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35" windowWidth="18195" windowHeight="10800" tabRatio="842"/>
  </bookViews>
  <sheets>
    <sheet name="RAP-NATURAL GAS PRICES" sheetId="1" r:id="rId1"/>
    <sheet name="RAP TEMPLATE-GAS AVAILABILITY" sheetId="2" r:id="rId2"/>
    <sheet name="RAP-HEAVY &amp; LIGHT OIL &amp; WTI" sheetId="3" r:id="rId3"/>
    <sheet name="RAP-SOLID FUEL PRICES" sheetId="6" r:id="rId4"/>
    <sheet name="CONTROL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 localSheetId="3">[1]HISTORY!#REF!</definedName>
    <definedName name="\a">[1]HISTORY!#REF!</definedName>
    <definedName name="__123Graph_A" localSheetId="1" hidden="1">'[2]FPL MOST LIKELY GAS BACKUP 1'!#REF!</definedName>
    <definedName name="__123Graph_A" localSheetId="3" hidden="1">'[2]FPL MOST LIKELY GAS BACKUP 1'!#REF!</definedName>
    <definedName name="__123Graph_A" hidden="1">'[2]FPL MOST LIKELY GAS BACKUP 1'!#REF!</definedName>
    <definedName name="__123Graph_B" localSheetId="1" hidden="1">'[2]FPL MOST LIKELY GAS BACKUP 1'!#REF!</definedName>
    <definedName name="__123Graph_B" localSheetId="3" hidden="1">'[2]FPL MOST LIKELY GAS BACKUP 1'!#REF!</definedName>
    <definedName name="__123Graph_B" hidden="1">'[2]FPL MOST LIKELY GAS BACKUP 1'!#REF!</definedName>
    <definedName name="__123Graph_X" localSheetId="1" hidden="1">'[2]FPL MOST LIKELY GAS BACKUP 1'!#REF!</definedName>
    <definedName name="__123Graph_X" localSheetId="3" hidden="1">'[2]FPL MOST LIKELY GAS BACKUP 1'!#REF!</definedName>
    <definedName name="__123Graph_X" hidden="1">'[2]FPL MOST LIKELY GAS BACKUP 1'!#REF!</definedName>
    <definedName name="_1" localSheetId="1">#REF!</definedName>
    <definedName name="_1" localSheetId="3">#REF!</definedName>
    <definedName name="_1">#REF!</definedName>
    <definedName name="_1A" localSheetId="1">#REF!</definedName>
    <definedName name="_1A" localSheetId="3">#REF!</definedName>
    <definedName name="_1A">#REF!</definedName>
    <definedName name="_2" localSheetId="1">#REF!</definedName>
    <definedName name="_2" localSheetId="3">#REF!</definedName>
    <definedName name="_2">#REF!</definedName>
    <definedName name="_3" localSheetId="1">#REF!</definedName>
    <definedName name="_3" localSheetId="3">#REF!</definedName>
    <definedName name="_3">#REF!</definedName>
    <definedName name="_4" localSheetId="1">#REF!</definedName>
    <definedName name="_4" localSheetId="3">#REF!</definedName>
    <definedName name="_4">#REF!</definedName>
    <definedName name="_5" localSheetId="1">#REF!</definedName>
    <definedName name="_5" localSheetId="3">#REF!</definedName>
    <definedName name="_5">#REF!</definedName>
    <definedName name="_6" localSheetId="1">#REF!</definedName>
    <definedName name="_6" localSheetId="3">#REF!</definedName>
    <definedName name="_6">#REF!</definedName>
    <definedName name="_7" localSheetId="1">#REF!</definedName>
    <definedName name="_7" localSheetId="3">#REF!</definedName>
    <definedName name="_7">#REF!</definedName>
    <definedName name="_8" localSheetId="1">#REF!</definedName>
    <definedName name="_8" localSheetId="3">#REF!</definedName>
    <definedName name="_8">#REF!</definedName>
    <definedName name="_9394GAS" localSheetId="1">#REF!</definedName>
    <definedName name="_9394GAS" localSheetId="3">#REF!</definedName>
    <definedName name="_9394GAS">#REF!</definedName>
    <definedName name="_9394OIL" localSheetId="1">#REF!</definedName>
    <definedName name="_9394OIL" localSheetId="3">#REF!</definedName>
    <definedName name="_9394OIL">#REF!</definedName>
    <definedName name="_C1" localSheetId="1">#REF!</definedName>
    <definedName name="_C1" localSheetId="3">#REF!</definedName>
    <definedName name="_C1">#REF!</definedName>
    <definedName name="_GIP1" localSheetId="1">#REF!</definedName>
    <definedName name="_GIP1" localSheetId="3">#REF!</definedName>
    <definedName name="_GIP1">#REF!</definedName>
    <definedName name="_SYP1" localSheetId="1">#REF!</definedName>
    <definedName name="_SYP1" localSheetId="3">#REF!</definedName>
    <definedName name="_SYP1">#REF!</definedName>
    <definedName name="C_" localSheetId="1">#REF!</definedName>
    <definedName name="C_" localSheetId="3">#REF!</definedName>
    <definedName name="C_">#REF!</definedName>
    <definedName name="CC1_" localSheetId="1">#REF!</definedName>
    <definedName name="CC1_" localSheetId="3">#REF!</definedName>
    <definedName name="CC1_">#REF!</definedName>
    <definedName name="COMPET" localSheetId="1">#REF!</definedName>
    <definedName name="COMPET" localSheetId="3">#REF!</definedName>
    <definedName name="COMPET">#REF!</definedName>
    <definedName name="CopyXC" localSheetId="1">#REF!</definedName>
    <definedName name="CopyXC" localSheetId="3">#REF!</definedName>
    <definedName name="CopyXC">#REF!</definedName>
    <definedName name="DatabaseNameCopy" localSheetId="1">#REF!</definedName>
    <definedName name="DatabaseNameCopy" localSheetId="3">#REF!</definedName>
    <definedName name="DatabaseNameCopy">#REF!</definedName>
    <definedName name="DatabaseNameDG" localSheetId="1">#REF!</definedName>
    <definedName name="DatabaseNameDG" localSheetId="3">#REF!</definedName>
    <definedName name="DatabaseNameDG">#REF!</definedName>
    <definedName name="DateColumn" localSheetId="1">[3]_Setup_!#REF!</definedName>
    <definedName name="DateColumn" localSheetId="3">[4]_Setup_!#REF!</definedName>
    <definedName name="DateColumn">[3]_Setup_!#REF!</definedName>
    <definedName name="DestColRowXC" localSheetId="1">#REF!</definedName>
    <definedName name="DestColRowXC" localSheetId="3">#REF!</definedName>
    <definedName name="DestColRowXC">#REF!</definedName>
    <definedName name="DestDBname" localSheetId="1">#REF!</definedName>
    <definedName name="DestDBname" localSheetId="3">#REF!</definedName>
    <definedName name="DestDBname">#REF!</definedName>
    <definedName name="DestHdrRowColXC" localSheetId="1">#REF!</definedName>
    <definedName name="DestHdrRowColXC" localSheetId="3">#REF!</definedName>
    <definedName name="DestHdrRowColXC">#REF!</definedName>
    <definedName name="DestLayoutXC" localSheetId="1">#REF!</definedName>
    <definedName name="DestLayoutXC" localSheetId="3">#REF!</definedName>
    <definedName name="DestLayoutXC">#REF!</definedName>
    <definedName name="DestRowColXC" localSheetId="1">#REF!</definedName>
    <definedName name="DestRowColXC" localSheetId="3">#REF!</definedName>
    <definedName name="DestRowColXC">#REF!</definedName>
    <definedName name="DestStudyName" localSheetId="1">#REF!</definedName>
    <definedName name="DestStudyName" localSheetId="3">#REF!</definedName>
    <definedName name="DestStudyName">#REF!</definedName>
    <definedName name="DestStudyNameCopy" localSheetId="1">#REF!</definedName>
    <definedName name="DestStudyNameCopy" localSheetId="3">#REF!</definedName>
    <definedName name="DestStudyNameCopy">#REF!</definedName>
    <definedName name="DestUserName" localSheetId="1">#REF!</definedName>
    <definedName name="DestUserName" localSheetId="3">#REF!</definedName>
    <definedName name="DestUserName">#REF!</definedName>
    <definedName name="DestWorksheetXC" localSheetId="1">#REF!</definedName>
    <definedName name="DestWorksheetXC" localSheetId="3">#REF!</definedName>
    <definedName name="DestWorksheetXC">#REF!</definedName>
    <definedName name="EffectiveDate" localSheetId="1">[3]_Setup_!#REF!</definedName>
    <definedName name="EffectiveDate" localSheetId="3">[4]_Setup_!#REF!</definedName>
    <definedName name="EffectiveDate">[3]_Setup_!#REF!</definedName>
    <definedName name="FIRM" localSheetId="1">#REF!</definedName>
    <definedName name="FIRM" localSheetId="3">#REF!</definedName>
    <definedName name="FIRM">#REF!</definedName>
    <definedName name="FIRM1" localSheetId="1">#REF!</definedName>
    <definedName name="FIRM1" localSheetId="3">#REF!</definedName>
    <definedName name="FIRM1">#REF!</definedName>
    <definedName name="GAS" localSheetId="1">#REF!</definedName>
    <definedName name="GAS" localSheetId="3">#REF!</definedName>
    <definedName name="GAS">#REF!</definedName>
    <definedName name="GASAVAIL" localSheetId="1">#REF!</definedName>
    <definedName name="GASAVAIL" localSheetId="3">#REF!</definedName>
    <definedName name="GASAVAIL">#REF!</definedName>
    <definedName name="GIP" localSheetId="1">#REF!</definedName>
    <definedName name="GIP" localSheetId="3">#REF!</definedName>
    <definedName name="GIP">#REF!</definedName>
    <definedName name="HeaderXC" localSheetId="1">#REF!</definedName>
    <definedName name="HeaderXC" localSheetId="3">#REF!</definedName>
    <definedName name="HeaderXC">#REF!</definedName>
    <definedName name="I5_" localSheetId="1">#REF!</definedName>
    <definedName name="I5_" localSheetId="3">#REF!</definedName>
    <definedName name="I5_">#REF!</definedName>
    <definedName name="I6_" localSheetId="1">#REF!</definedName>
    <definedName name="I6_" localSheetId="3">#REF!</definedName>
    <definedName name="I6_">#REF!</definedName>
    <definedName name="I7_" localSheetId="1">#REF!</definedName>
    <definedName name="I7_" localSheetId="3">#REF!</definedName>
    <definedName name="I7_">#REF!</definedName>
    <definedName name="ImportListDG" localSheetId="1">#REF!</definedName>
    <definedName name="ImportListDG" localSheetId="3">#REF!</definedName>
    <definedName name="ImportListDG">#REF!</definedName>
    <definedName name="INDEXDATA">'[5]Index-Data'!$A$2:$CG$68</definedName>
    <definedName name="INFLAT" localSheetId="1">#REF!</definedName>
    <definedName name="INFLAT" localSheetId="3">#REF!</definedName>
    <definedName name="INFLAT">#REF!</definedName>
    <definedName name="LayoutXC" localSheetId="1">#REF!</definedName>
    <definedName name="LayoutXC" localSheetId="3">#REF!</definedName>
    <definedName name="LayoutXC">#REF!</definedName>
    <definedName name="Messages" localSheetId="1">[6]_UnregulatedCurves_!#REF!</definedName>
    <definedName name="Messages" localSheetId="3">[6]_UnregulatedCurves_!#REF!</definedName>
    <definedName name="Messages">[6]_UnregulatedCurves_!#REF!</definedName>
    <definedName name="MessagesDG" localSheetId="1">#REF!</definedName>
    <definedName name="MessagesDG" localSheetId="3">#REF!</definedName>
    <definedName name="MessagesDG">#REF!</definedName>
    <definedName name="MessagesDW" localSheetId="1">[6]_UnregulatedCurves_!#REF!</definedName>
    <definedName name="MessagesDW" localSheetId="3">[6]_UnregulatedCurves_!#REF!</definedName>
    <definedName name="MessagesDW">[6]_UnregulatedCurves_!#REF!</definedName>
    <definedName name="MONTH" localSheetId="1">#REF!</definedName>
    <definedName name="MONTH" localSheetId="3">#REF!</definedName>
    <definedName name="MONTH">#REF!</definedName>
    <definedName name="MONTH1" localSheetId="1">#REF!</definedName>
    <definedName name="MONTH1" localSheetId="3">#REF!</definedName>
    <definedName name="MONTH1">#REF!</definedName>
    <definedName name="MONTHID">'[5]Misc-Data'!$A$2:$F$85</definedName>
    <definedName name="MONTHS2" localSheetId="1">#REF!</definedName>
    <definedName name="MONTHS2" localSheetId="3">#REF!</definedName>
    <definedName name="MONTHS2">#REF!</definedName>
    <definedName name="MONTHS3" localSheetId="1">#REF!</definedName>
    <definedName name="MONTHS3" localSheetId="3">#REF!</definedName>
    <definedName name="MONTHS3">#REF!</definedName>
    <definedName name="MONTHS4" localSheetId="1">#REF!</definedName>
    <definedName name="MONTHS4" localSheetId="3">#REF!</definedName>
    <definedName name="MONTHS4">#REF!</definedName>
    <definedName name="MONTHS5" localSheetId="1">#REF!</definedName>
    <definedName name="MONTHS5" localSheetId="3">#REF!</definedName>
    <definedName name="MONTHS5">#REF!</definedName>
    <definedName name="MONTHS6" localSheetId="1">#REF!</definedName>
    <definedName name="MONTHS6" localSheetId="3">#REF!</definedName>
    <definedName name="MONTHS6">#REF!</definedName>
    <definedName name="MONTHS7" localSheetId="1">#REF!</definedName>
    <definedName name="MONTHS7" localSheetId="3">#REF!</definedName>
    <definedName name="MONTHS7">#REF!</definedName>
    <definedName name="OIPBBL" localSheetId="1">#REF!</definedName>
    <definedName name="OIPBBL" localSheetId="3">#REF!</definedName>
    <definedName name="OIPBBL">#REF!</definedName>
    <definedName name="OIPBBL1" localSheetId="1">#REF!</definedName>
    <definedName name="OIPBBL1" localSheetId="3">#REF!</definedName>
    <definedName name="OIPBBL1">#REF!</definedName>
    <definedName name="PasswordCopy" localSheetId="1">#REF!</definedName>
    <definedName name="PasswordCopy" localSheetId="3">#REF!</definedName>
    <definedName name="PasswordCopy">#REF!</definedName>
    <definedName name="PasswordDG" localSheetId="1">#REF!</definedName>
    <definedName name="PasswordDG" localSheetId="3">#REF!</definedName>
    <definedName name="PasswordDG">#REF!</definedName>
    <definedName name="PHASEII" localSheetId="1">#REF!</definedName>
    <definedName name="PHASEII" localSheetId="3">#REF!</definedName>
    <definedName name="PHASEII">#REF!</definedName>
    <definedName name="PHASEII1" localSheetId="1">#REF!</definedName>
    <definedName name="PHASEII1" localSheetId="3">#REF!</definedName>
    <definedName name="PHASEII1">#REF!</definedName>
    <definedName name="PHASEIII" localSheetId="1">#REF!</definedName>
    <definedName name="PHASEIII" localSheetId="3">#REF!</definedName>
    <definedName name="PHASEIII">#REF!</definedName>
    <definedName name="PHASEIII1" localSheetId="1">#REF!</definedName>
    <definedName name="PHASEIII1" localSheetId="3">#REF!</definedName>
    <definedName name="PHASEIII1">#REF!</definedName>
    <definedName name="pipedes">'[5]Misc-Data'!$D$2:$F$69</definedName>
    <definedName name="PRINT">#N/A</definedName>
    <definedName name="_xlnm.Print_Area" localSheetId="1">'RAP TEMPLATE-GAS AVAILABILITY'!$A$17:$J$1136</definedName>
    <definedName name="_xlnm.Print_Area" localSheetId="2">'RAP-HEAVY &amp; LIGHT OIL &amp; WTI'!$A$17:$I$1136</definedName>
    <definedName name="_xlnm.Print_Area" localSheetId="0">'RAP-NATURAL GAS PRICES'!$A$17:$S$1136</definedName>
    <definedName name="_xlnm.Print_Area" localSheetId="3">'RAP-SOLID FUEL PRICES'!$A$17:$K$1131</definedName>
    <definedName name="_xlnm.Print_Titles" localSheetId="1">'RAP TEMPLATE-GAS AVAILABILITY'!$1:$16</definedName>
    <definedName name="_xlnm.Print_Titles" localSheetId="2">'RAP-HEAVY &amp; LIGHT OIL &amp; WTI'!$1:$16</definedName>
    <definedName name="_xlnm.Print_Titles" localSheetId="0">'RAP-NATURAL GAS PRICES'!$1:$16</definedName>
    <definedName name="_xlnm.Print_Titles" localSheetId="3">'RAP-SOLID FUEL PRICES'!$1:$16</definedName>
    <definedName name="RESULTS" localSheetId="1">#REF!</definedName>
    <definedName name="RESULTS" localSheetId="3">#REF!</definedName>
    <definedName name="RESULTS">#REF!</definedName>
    <definedName name="RESULTS1" localSheetId="1">#REF!</definedName>
    <definedName name="RESULTS1" localSheetId="3">#REF!</definedName>
    <definedName name="RESULTS1">#REF!</definedName>
    <definedName name="RESULTS2" localSheetId="1">#REF!</definedName>
    <definedName name="RESULTS2" localSheetId="3">#REF!</definedName>
    <definedName name="RESULTS2">#REF!</definedName>
    <definedName name="RESULTS3" localSheetId="1">#REF!</definedName>
    <definedName name="RESULTS3" localSheetId="3">#REF!</definedName>
    <definedName name="RESULTS3">#REF!</definedName>
    <definedName name="RESULTS4" localSheetId="1">#REF!</definedName>
    <definedName name="RESULTS4" localSheetId="3">#REF!</definedName>
    <definedName name="RESULTS4">#REF!</definedName>
    <definedName name="RESULTSA" localSheetId="1">#REF!</definedName>
    <definedName name="RESULTSA" localSheetId="3">#REF!</definedName>
    <definedName name="RESULTSA">#REF!</definedName>
    <definedName name="RowStart" localSheetId="1">[3]_Setup_!#REF!</definedName>
    <definedName name="RowStart" localSheetId="3">[4]_Setup_!#REF!</definedName>
    <definedName name="RowStart">[3]_Setup_!#REF!</definedName>
    <definedName name="SelectListCopy" localSheetId="1">#REF!</definedName>
    <definedName name="SelectListCopy" localSheetId="3">#REF!</definedName>
    <definedName name="SelectListCopy">#REF!</definedName>
    <definedName name="SFOR" localSheetId="1">#REF!</definedName>
    <definedName name="SFOR" localSheetId="3">#REF!</definedName>
    <definedName name="SFOR">#REF!</definedName>
    <definedName name="SFOR1" localSheetId="1">#REF!</definedName>
    <definedName name="SFOR1" localSheetId="3">#REF!</definedName>
    <definedName name="SFOR1">#REF!</definedName>
    <definedName name="SourceDBname" localSheetId="1">#REF!</definedName>
    <definedName name="SourceDBname" localSheetId="3">#REF!</definedName>
    <definedName name="SourceDBname">#REF!</definedName>
    <definedName name="SourceStudyName" localSheetId="1">#REF!</definedName>
    <definedName name="SourceStudyName" localSheetId="3">#REF!</definedName>
    <definedName name="SourceStudyName">#REF!</definedName>
    <definedName name="SourceStudyNameCopy" localSheetId="1">#REF!</definedName>
    <definedName name="SourceStudyNameCopy" localSheetId="3">#REF!</definedName>
    <definedName name="SourceStudyNameCopy">#REF!</definedName>
    <definedName name="SourceUserName" localSheetId="1">#REF!</definedName>
    <definedName name="SourceUserName" localSheetId="3">#REF!</definedName>
    <definedName name="SourceUserName">#REF!</definedName>
    <definedName name="SrcColRowXC" localSheetId="1">#REF!</definedName>
    <definedName name="SrcColRowXC" localSheetId="3">#REF!</definedName>
    <definedName name="SrcColRowXC">#REF!</definedName>
    <definedName name="SrcFileXC" localSheetId="1">#REF!</definedName>
    <definedName name="SrcFileXC" localSheetId="3">#REF!</definedName>
    <definedName name="SrcFileXC">#REF!</definedName>
    <definedName name="SrcStartRowColXC" localSheetId="1">#REF!</definedName>
    <definedName name="SrcStartRowColXC" localSheetId="3">#REF!</definedName>
    <definedName name="SrcStartRowColXC">#REF!</definedName>
    <definedName name="SrcWorksheetXC" localSheetId="1">#REF!</definedName>
    <definedName name="SrcWorksheetXC" localSheetId="3">#REF!</definedName>
    <definedName name="SrcWorksheetXC">#REF!</definedName>
    <definedName name="StatusCopy" localSheetId="1">#REF!</definedName>
    <definedName name="StatusCopy" localSheetId="3">#REF!</definedName>
    <definedName name="StatusCopy">#REF!</definedName>
    <definedName name="StatusDG" localSheetId="1">#REF!</definedName>
    <definedName name="StatusDG" localSheetId="3">#REF!</definedName>
    <definedName name="StatusDG">#REF!</definedName>
    <definedName name="StatusXC" localSheetId="1">#REF!</definedName>
    <definedName name="StatusXC" localSheetId="3">#REF!</definedName>
    <definedName name="StatusXC">#REF!</definedName>
    <definedName name="StudyNameDG" localSheetId="1">#REF!</definedName>
    <definedName name="StudyNameDG" localSheetId="3">#REF!</definedName>
    <definedName name="StudyNameDG">#REF!</definedName>
    <definedName name="SYP" localSheetId="1">#REF!</definedName>
    <definedName name="SYP" localSheetId="3">#REF!</definedName>
    <definedName name="SYP">#REF!</definedName>
    <definedName name="SYSGAS" localSheetId="1">#REF!</definedName>
    <definedName name="SYSGAS" localSheetId="3">#REF!</definedName>
    <definedName name="SYSGAS">#REF!</definedName>
    <definedName name="test" localSheetId="3" hidden="1">'[2]FPL MOST LIKELY GAS BACKUP 1'!#REF!</definedName>
    <definedName name="test" hidden="1">'[2]FPL MOST LIKELY GAS BACKUP 1'!#REF!</definedName>
    <definedName name="TITLES" localSheetId="1">#REF!</definedName>
    <definedName name="TITLES" localSheetId="3">#REF!</definedName>
    <definedName name="TITLES">#REF!</definedName>
    <definedName name="TOBBL" localSheetId="1">#REF!</definedName>
    <definedName name="TOBBL" localSheetId="3">#REF!</definedName>
    <definedName name="TOBBL">#REF!</definedName>
    <definedName name="TotalRowColXC" localSheetId="1">#REF!</definedName>
    <definedName name="TotalRowColXC" localSheetId="3">#REF!</definedName>
    <definedName name="TotalRowColXC">#REF!</definedName>
    <definedName name="TransferListDG" localSheetId="1">#REF!</definedName>
    <definedName name="TransferListDG" localSheetId="3">#REF!</definedName>
    <definedName name="TransferListDG">#REF!</definedName>
    <definedName name="TTG" localSheetId="1">#REF!</definedName>
    <definedName name="TTG" localSheetId="3">#REF!</definedName>
    <definedName name="TTG">#REF!</definedName>
    <definedName name="UserNameCopy" localSheetId="1">#REF!</definedName>
    <definedName name="UserNameCopy" localSheetId="3">#REF!</definedName>
    <definedName name="UserNameCopy">#REF!</definedName>
    <definedName name="UserNameDG" localSheetId="1">#REF!</definedName>
    <definedName name="UserNameDG" localSheetId="3">#REF!</definedName>
    <definedName name="UserNameDG">#REF!</definedName>
    <definedName name="VOLUMES" localSheetId="1">#REF!</definedName>
    <definedName name="VOLUMES" localSheetId="3">#REF!</definedName>
    <definedName name="VOLUMES">#REF!</definedName>
    <definedName name="VOLUMES1" localSheetId="1">#REF!</definedName>
    <definedName name="VOLUMES1" localSheetId="3">#REF!</definedName>
    <definedName name="VOLUMES1">#REF!</definedName>
    <definedName name="YEAR" localSheetId="1">#REF!</definedName>
    <definedName name="YEAR" localSheetId="3">#REF!</definedName>
    <definedName name="YEAR">#REF!</definedName>
    <definedName name="YEARS" localSheetId="1">#REF!</definedName>
    <definedName name="YEARS" localSheetId="3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H1125" i="6" l="1"/>
  <c r="J1121" i="6"/>
  <c r="I1121" i="6"/>
  <c r="H1121" i="6"/>
  <c r="J1117" i="6"/>
  <c r="B1115" i="6"/>
  <c r="H1114" i="6"/>
  <c r="G1114" i="6"/>
  <c r="D1110" i="6"/>
  <c r="C1110" i="6"/>
  <c r="B1110" i="6"/>
  <c r="J1107" i="6"/>
  <c r="B1106" i="6"/>
  <c r="J1105" i="6"/>
  <c r="I1105" i="6"/>
  <c r="J1101" i="6"/>
  <c r="I1101" i="6"/>
  <c r="H1101" i="6"/>
  <c r="H1097" i="6"/>
  <c r="G1097" i="6"/>
  <c r="F1097" i="6"/>
  <c r="G1093" i="6"/>
  <c r="F1093" i="6"/>
  <c r="D1093" i="6"/>
  <c r="E1089" i="6"/>
  <c r="D1089" i="6"/>
  <c r="B1089" i="6"/>
  <c r="K1084" i="6"/>
  <c r="J1084" i="6"/>
  <c r="K1080" i="6"/>
  <c r="J1080" i="6"/>
  <c r="I1080" i="6"/>
  <c r="I1076" i="6"/>
  <c r="H1076" i="6"/>
  <c r="G1076" i="6"/>
  <c r="F1072" i="6"/>
  <c r="D1060" i="6"/>
  <c r="G1130" i="6"/>
  <c r="F1130" i="6"/>
  <c r="G1129" i="6"/>
  <c r="F1129" i="6"/>
  <c r="H1128" i="6"/>
  <c r="C1128" i="6"/>
  <c r="G1128" i="6"/>
  <c r="F1128" i="6"/>
  <c r="K1127" i="6"/>
  <c r="G1127" i="6"/>
  <c r="F1127" i="6"/>
  <c r="H1126" i="6"/>
  <c r="E1126" i="6"/>
  <c r="G1126" i="6"/>
  <c r="F1126" i="6"/>
  <c r="I1125" i="6"/>
  <c r="G1125" i="6"/>
  <c r="F1125" i="6"/>
  <c r="G1124" i="6"/>
  <c r="F1124" i="6"/>
  <c r="C1124" i="6"/>
  <c r="J1123" i="6"/>
  <c r="K1123" i="6"/>
  <c r="G1123" i="6"/>
  <c r="F1123" i="6"/>
  <c r="G1122" i="6"/>
  <c r="F1122" i="6"/>
  <c r="G1121" i="6"/>
  <c r="F1121" i="6"/>
  <c r="G1120" i="6"/>
  <c r="F1120" i="6"/>
  <c r="K1119" i="6"/>
  <c r="G1119" i="6"/>
  <c r="F1119" i="6"/>
  <c r="E1118" i="6"/>
  <c r="D1118" i="6"/>
  <c r="K1118" i="6"/>
  <c r="G1118" i="6"/>
  <c r="F1118" i="6"/>
  <c r="G1117" i="6"/>
  <c r="F1117" i="6"/>
  <c r="C1116" i="6"/>
  <c r="G1116" i="6"/>
  <c r="F1116" i="6"/>
  <c r="D1116" i="6"/>
  <c r="G1115" i="6"/>
  <c r="F1115" i="6"/>
  <c r="D1115" i="6"/>
  <c r="F1114" i="6"/>
  <c r="C1114" i="6"/>
  <c r="G1113" i="6"/>
  <c r="F1113" i="6"/>
  <c r="C1112" i="6"/>
  <c r="D1112" i="6"/>
  <c r="G1112" i="6"/>
  <c r="F1112" i="6"/>
  <c r="B1111" i="6"/>
  <c r="G1111" i="6"/>
  <c r="F1111" i="6"/>
  <c r="D1111" i="6"/>
  <c r="C1111" i="6"/>
  <c r="G1110" i="6"/>
  <c r="F1110" i="6"/>
  <c r="G1109" i="6"/>
  <c r="F1109" i="6"/>
  <c r="D1109" i="6"/>
  <c r="K1108" i="6"/>
  <c r="C1108" i="6"/>
  <c r="G1108" i="6"/>
  <c r="F1108" i="6"/>
  <c r="B1108" i="6"/>
  <c r="G1107" i="6"/>
  <c r="F1107" i="6"/>
  <c r="E1107" i="6"/>
  <c r="C1107" i="6"/>
  <c r="J1106" i="6"/>
  <c r="K1106" i="6"/>
  <c r="G1106" i="6"/>
  <c r="F1106" i="6"/>
  <c r="E1106" i="6"/>
  <c r="G1105" i="6"/>
  <c r="F1105" i="6"/>
  <c r="E1105" i="6"/>
  <c r="I1104" i="6"/>
  <c r="K1104" i="6"/>
  <c r="G1104" i="6"/>
  <c r="F1104" i="6"/>
  <c r="C1104" i="6"/>
  <c r="I1103" i="6"/>
  <c r="K1103" i="6"/>
  <c r="J1103" i="6"/>
  <c r="G1103" i="6"/>
  <c r="F1103" i="6"/>
  <c r="C1103" i="6"/>
  <c r="H1102" i="6"/>
  <c r="K1102" i="6"/>
  <c r="G1102" i="6"/>
  <c r="F1102" i="6"/>
  <c r="C1102" i="6"/>
  <c r="G1101" i="6"/>
  <c r="F1101" i="6"/>
  <c r="G1100" i="6"/>
  <c r="F1100" i="6"/>
  <c r="J1099" i="6"/>
  <c r="H1099" i="6"/>
  <c r="G1099" i="6"/>
  <c r="F1099" i="6"/>
  <c r="G1098" i="6"/>
  <c r="F1098" i="6"/>
  <c r="G1096" i="6"/>
  <c r="F1096" i="6"/>
  <c r="E1095" i="6"/>
  <c r="H1095" i="6"/>
  <c r="G1095" i="6"/>
  <c r="F1095" i="6"/>
  <c r="E1094" i="6"/>
  <c r="G1094" i="6"/>
  <c r="F1094" i="6"/>
  <c r="C1092" i="6"/>
  <c r="G1092" i="6"/>
  <c r="F1092" i="6"/>
  <c r="D1092" i="6"/>
  <c r="C1091" i="6"/>
  <c r="E1091" i="6"/>
  <c r="D1091" i="6"/>
  <c r="G1091" i="6"/>
  <c r="F1091" i="6"/>
  <c r="C1090" i="6"/>
  <c r="G1090" i="6"/>
  <c r="F1090" i="6"/>
  <c r="E1090" i="6"/>
  <c r="D1090" i="6"/>
  <c r="G1089" i="6"/>
  <c r="F1089" i="6"/>
  <c r="G1088" i="6"/>
  <c r="F1088" i="6"/>
  <c r="D1088" i="6"/>
  <c r="C1088" i="6"/>
  <c r="B1088" i="6"/>
  <c r="C1087" i="6"/>
  <c r="B1087" i="6"/>
  <c r="D1087" i="6"/>
  <c r="G1087" i="6"/>
  <c r="F1087" i="6"/>
  <c r="G1086" i="6"/>
  <c r="F1086" i="6"/>
  <c r="D1086" i="6"/>
  <c r="C1086" i="6"/>
  <c r="G1084" i="6"/>
  <c r="F1084" i="6"/>
  <c r="K1083" i="6"/>
  <c r="J1083" i="6"/>
  <c r="G1083" i="6"/>
  <c r="F1083" i="6"/>
  <c r="E1083" i="6"/>
  <c r="B1083" i="6"/>
  <c r="K1082" i="6"/>
  <c r="J1082" i="6"/>
  <c r="G1082" i="6"/>
  <c r="F1082" i="6"/>
  <c r="D1082" i="6"/>
  <c r="I1081" i="6"/>
  <c r="G1081" i="6"/>
  <c r="F1081" i="6"/>
  <c r="D1081" i="6"/>
  <c r="G1080" i="6"/>
  <c r="F1080" i="6"/>
  <c r="C1080" i="6"/>
  <c r="I1079" i="6"/>
  <c r="K1079" i="6"/>
  <c r="G1079" i="6"/>
  <c r="F1079" i="6"/>
  <c r="C1079" i="6"/>
  <c r="K1078" i="6"/>
  <c r="J1078" i="6"/>
  <c r="G1078" i="6"/>
  <c r="F1078" i="6"/>
  <c r="C1078" i="6"/>
  <c r="G1077" i="6"/>
  <c r="F1077" i="6"/>
  <c r="F1076" i="6"/>
  <c r="G1075" i="6"/>
  <c r="F1075" i="6"/>
  <c r="K1074" i="6"/>
  <c r="H1074" i="6"/>
  <c r="G1074" i="6"/>
  <c r="F1074" i="6"/>
  <c r="G1073" i="6"/>
  <c r="F1073" i="6"/>
  <c r="D1073" i="6"/>
  <c r="C1073" i="6"/>
  <c r="H1072" i="6"/>
  <c r="G1072" i="6"/>
  <c r="K1072" i="6"/>
  <c r="D1072" i="6"/>
  <c r="C1072" i="6"/>
  <c r="K1071" i="6"/>
  <c r="D1071" i="6"/>
  <c r="C1071" i="6"/>
  <c r="K1070" i="6"/>
  <c r="G1070" i="6"/>
  <c r="E1070" i="6"/>
  <c r="D1070" i="6"/>
  <c r="C1070" i="6"/>
  <c r="K1069" i="6"/>
  <c r="D1069" i="6"/>
  <c r="C1069" i="6"/>
  <c r="F1068" i="6"/>
  <c r="K1068" i="6"/>
  <c r="D1068" i="6"/>
  <c r="C1068" i="6"/>
  <c r="K1067" i="6"/>
  <c r="D1067" i="6"/>
  <c r="C1067" i="6"/>
  <c r="K1066" i="6"/>
  <c r="E1066" i="6"/>
  <c r="D1066" i="6"/>
  <c r="C1066" i="6"/>
  <c r="K1065" i="6"/>
  <c r="D1065" i="6"/>
  <c r="C1065" i="6"/>
  <c r="B1065" i="6"/>
  <c r="K1064" i="6"/>
  <c r="D1064" i="6"/>
  <c r="C1064" i="6"/>
  <c r="K1063" i="6"/>
  <c r="D1063" i="6"/>
  <c r="C1063" i="6"/>
  <c r="B1062" i="6"/>
  <c r="K1062" i="6"/>
  <c r="D1062" i="6"/>
  <c r="C1062" i="6"/>
  <c r="K1061" i="6"/>
  <c r="D1061" i="6"/>
  <c r="C1061" i="6"/>
  <c r="F1060" i="6"/>
  <c r="E1060" i="6"/>
  <c r="K1060" i="6"/>
  <c r="C1060" i="6"/>
  <c r="K1059" i="6"/>
  <c r="E1059" i="6"/>
  <c r="D1059" i="6"/>
  <c r="C1059" i="6"/>
  <c r="K1058" i="6"/>
  <c r="H1058" i="6"/>
  <c r="G1058" i="6"/>
  <c r="F1058" i="6"/>
  <c r="D1058" i="6"/>
  <c r="C1058" i="6"/>
  <c r="K1057" i="6"/>
  <c r="F1057" i="6"/>
  <c r="D1057" i="6"/>
  <c r="C1057" i="6"/>
  <c r="H1056" i="6"/>
  <c r="G1056" i="6"/>
  <c r="J1056" i="6"/>
  <c r="K1056" i="6"/>
  <c r="D1056" i="6"/>
  <c r="C1056" i="6"/>
  <c r="K1055" i="6"/>
  <c r="H1055" i="6"/>
  <c r="D1055" i="6"/>
  <c r="C1055" i="6"/>
  <c r="I1054" i="6"/>
  <c r="K1054" i="6"/>
  <c r="J1054" i="6"/>
  <c r="D1054" i="6"/>
  <c r="C1054" i="6"/>
  <c r="B1053" i="6"/>
  <c r="K1053" i="6"/>
  <c r="J1053" i="6"/>
  <c r="D1053" i="6"/>
  <c r="C1053" i="6"/>
  <c r="K1052" i="6"/>
  <c r="D1052" i="6"/>
  <c r="C1052" i="6"/>
  <c r="B1052" i="6"/>
  <c r="K1051" i="6"/>
  <c r="E1051" i="6"/>
  <c r="D1051" i="6"/>
  <c r="C1051" i="6"/>
  <c r="B1051" i="6"/>
  <c r="K1050" i="6"/>
  <c r="D1050" i="6"/>
  <c r="C1050" i="6"/>
  <c r="F1049" i="6"/>
  <c r="E1049" i="6"/>
  <c r="G1049" i="6"/>
  <c r="K1049" i="6"/>
  <c r="D1049" i="6"/>
  <c r="C1049" i="6"/>
  <c r="K1048" i="6"/>
  <c r="G1048" i="6"/>
  <c r="D1048" i="6"/>
  <c r="C1048" i="6"/>
  <c r="I1047" i="6"/>
  <c r="K1047" i="6"/>
  <c r="J1047" i="6"/>
  <c r="D1047" i="6"/>
  <c r="C1047" i="6"/>
  <c r="K1046" i="6"/>
  <c r="E1046" i="6"/>
  <c r="D1046" i="6"/>
  <c r="C1046" i="6"/>
  <c r="D1085" i="6"/>
  <c r="J1045" i="6"/>
  <c r="E13" i="6"/>
  <c r="C13" i="6"/>
  <c r="I1085" i="6" l="1"/>
  <c r="I1045" i="6"/>
  <c r="C1085" i="6"/>
  <c r="C1045" i="6"/>
  <c r="E1061" i="6"/>
  <c r="E1069" i="6"/>
  <c r="E1072" i="6"/>
  <c r="F1052" i="6"/>
  <c r="F1054" i="6"/>
  <c r="F1064" i="6"/>
  <c r="F1066" i="6"/>
  <c r="F1067" i="6"/>
  <c r="F1069" i="6"/>
  <c r="F1070" i="6"/>
  <c r="F1071" i="6"/>
  <c r="J1085" i="6"/>
  <c r="K1085" i="6"/>
  <c r="K1045" i="6"/>
  <c r="E1048" i="6"/>
  <c r="E1052" i="6"/>
  <c r="E1054" i="6"/>
  <c r="E1055" i="6"/>
  <c r="E1062" i="6"/>
  <c r="E1063" i="6"/>
  <c r="E1064" i="6"/>
  <c r="F1046" i="6"/>
  <c r="F1059" i="6"/>
  <c r="F1065" i="6"/>
  <c r="G1050" i="6"/>
  <c r="G1055" i="6"/>
  <c r="G1060" i="6"/>
  <c r="G1063" i="6"/>
  <c r="G1065" i="6"/>
  <c r="G1068" i="6"/>
  <c r="H1048" i="6"/>
  <c r="H1050" i="6"/>
  <c r="H1051" i="6"/>
  <c r="H1052" i="6"/>
  <c r="H1053" i="6"/>
  <c r="H1057" i="6"/>
  <c r="H1059" i="6"/>
  <c r="H1060" i="6"/>
  <c r="H1061" i="6"/>
  <c r="H1063" i="6"/>
  <c r="H1065" i="6"/>
  <c r="H1067" i="6"/>
  <c r="H1068" i="6"/>
  <c r="H1069" i="6"/>
  <c r="H1070" i="6"/>
  <c r="H1073" i="6"/>
  <c r="H1078" i="6"/>
  <c r="H1079" i="6"/>
  <c r="H1080" i="6"/>
  <c r="H1081" i="6"/>
  <c r="H1082" i="6"/>
  <c r="H1083" i="6"/>
  <c r="H1084" i="6"/>
  <c r="H1086" i="6"/>
  <c r="H1087" i="6"/>
  <c r="H1088" i="6"/>
  <c r="H1089" i="6"/>
  <c r="H1090" i="6"/>
  <c r="H1091" i="6"/>
  <c r="H1092" i="6"/>
  <c r="H1093" i="6"/>
  <c r="H1094" i="6"/>
  <c r="H1096" i="6"/>
  <c r="H1098" i="6"/>
  <c r="H1100" i="6"/>
  <c r="H1103" i="6"/>
  <c r="H1104" i="6"/>
  <c r="H1105" i="6"/>
  <c r="H1106" i="6"/>
  <c r="H1107" i="6"/>
  <c r="H1108" i="6"/>
  <c r="H1109" i="6"/>
  <c r="H1110" i="6"/>
  <c r="H1111" i="6"/>
  <c r="H1112" i="6"/>
  <c r="H1113" i="6"/>
  <c r="H1115" i="6"/>
  <c r="H1116" i="6"/>
  <c r="H1117" i="6"/>
  <c r="H1118" i="6"/>
  <c r="H1119" i="6"/>
  <c r="H1120" i="6"/>
  <c r="H1122" i="6"/>
  <c r="H1123" i="6"/>
  <c r="B1085" i="6"/>
  <c r="B1045" i="6"/>
  <c r="E1056" i="6"/>
  <c r="E1057" i="6"/>
  <c r="E1058" i="6"/>
  <c r="E1065" i="6"/>
  <c r="E1068" i="6"/>
  <c r="E1071" i="6"/>
  <c r="D1045" i="6"/>
  <c r="F1047" i="6"/>
  <c r="F1051" i="6"/>
  <c r="F1053" i="6"/>
  <c r="F1055" i="6"/>
  <c r="F1062" i="6"/>
  <c r="F1063" i="6"/>
  <c r="E1085" i="6"/>
  <c r="G1047" i="6"/>
  <c r="G1051" i="6"/>
  <c r="G1053" i="6"/>
  <c r="G1059" i="6"/>
  <c r="G1061" i="6"/>
  <c r="G1062" i="6"/>
  <c r="G1064" i="6"/>
  <c r="G1066" i="6"/>
  <c r="G1069" i="6"/>
  <c r="F1045" i="6"/>
  <c r="F1085" i="6"/>
  <c r="H1046" i="6"/>
  <c r="H1047" i="6"/>
  <c r="H1049" i="6"/>
  <c r="H1054" i="6"/>
  <c r="H1062" i="6"/>
  <c r="H1064" i="6"/>
  <c r="H1066" i="6"/>
  <c r="H1071" i="6"/>
  <c r="H1075" i="6"/>
  <c r="H1077" i="6"/>
  <c r="G1085" i="6"/>
  <c r="G1045" i="6"/>
  <c r="I1046" i="6"/>
  <c r="I1048" i="6"/>
  <c r="I1049" i="6"/>
  <c r="I1050" i="6"/>
  <c r="I1051" i="6"/>
  <c r="I1052" i="6"/>
  <c r="I1053" i="6"/>
  <c r="I1055" i="6"/>
  <c r="I1056" i="6"/>
  <c r="I1057" i="6"/>
  <c r="I1058" i="6"/>
  <c r="I1059" i="6"/>
  <c r="I1060" i="6"/>
  <c r="I1061" i="6"/>
  <c r="I1062" i="6"/>
  <c r="I1063" i="6"/>
  <c r="I1064" i="6"/>
  <c r="I1065" i="6"/>
  <c r="I1066" i="6"/>
  <c r="I1067" i="6"/>
  <c r="I1068" i="6"/>
  <c r="I1069" i="6"/>
  <c r="I1070" i="6"/>
  <c r="I1071" i="6"/>
  <c r="I1072" i="6"/>
  <c r="I1075" i="6"/>
  <c r="I1091" i="6"/>
  <c r="I1092" i="6"/>
  <c r="I1093" i="6"/>
  <c r="I1100" i="6"/>
  <c r="I1116" i="6"/>
  <c r="E1047" i="6"/>
  <c r="E1050" i="6"/>
  <c r="E1053" i="6"/>
  <c r="E1067" i="6"/>
  <c r="F1048" i="6"/>
  <c r="F1050" i="6"/>
  <c r="F1056" i="6"/>
  <c r="F1061" i="6"/>
  <c r="G1046" i="6"/>
  <c r="G1052" i="6"/>
  <c r="G1054" i="6"/>
  <c r="G1057" i="6"/>
  <c r="G1067" i="6"/>
  <c r="G1071" i="6"/>
  <c r="H1085" i="6"/>
  <c r="H1045" i="6"/>
  <c r="B1046" i="6"/>
  <c r="J1046" i="6"/>
  <c r="B1047" i="6"/>
  <c r="B1048" i="6"/>
  <c r="J1048" i="6"/>
  <c r="B1049" i="6"/>
  <c r="J1049" i="6"/>
  <c r="B1050" i="6"/>
  <c r="J1050" i="6"/>
  <c r="J1051" i="6"/>
  <c r="J1052" i="6"/>
  <c r="B1054" i="6"/>
  <c r="B1055" i="6"/>
  <c r="J1055" i="6"/>
  <c r="B1056" i="6"/>
  <c r="B1057" i="6"/>
  <c r="J1057" i="6"/>
  <c r="B1058" i="6"/>
  <c r="J1058" i="6"/>
  <c r="B1059" i="6"/>
  <c r="J1059" i="6"/>
  <c r="B1060" i="6"/>
  <c r="J1060" i="6"/>
  <c r="B1061" i="6"/>
  <c r="J1061" i="6"/>
  <c r="J1062" i="6"/>
  <c r="B1063" i="6"/>
  <c r="J1063" i="6"/>
  <c r="B1064" i="6"/>
  <c r="J1064" i="6"/>
  <c r="J1065" i="6"/>
  <c r="B1066" i="6"/>
  <c r="J1066" i="6"/>
  <c r="B1067" i="6"/>
  <c r="J1067" i="6"/>
  <c r="B1068" i="6"/>
  <c r="J1068" i="6"/>
  <c r="B1069" i="6"/>
  <c r="J1069" i="6"/>
  <c r="B1070" i="6"/>
  <c r="J1070" i="6"/>
  <c r="B1071" i="6"/>
  <c r="J1071" i="6"/>
  <c r="B1072" i="6"/>
  <c r="J1072" i="6"/>
  <c r="B1073" i="6"/>
  <c r="J1073" i="6"/>
  <c r="B1074" i="6"/>
  <c r="J1074" i="6"/>
  <c r="B1075" i="6"/>
  <c r="J1075" i="6"/>
  <c r="B1076" i="6"/>
  <c r="J1076" i="6"/>
  <c r="B1077" i="6"/>
  <c r="J1077" i="6"/>
  <c r="B1078" i="6"/>
  <c r="B1079" i="6"/>
  <c r="J1079" i="6"/>
  <c r="B1080" i="6"/>
  <c r="B1081" i="6"/>
  <c r="J1081" i="6"/>
  <c r="B1082" i="6"/>
  <c r="B1084" i="6"/>
  <c r="B1086" i="6"/>
  <c r="J1086" i="6"/>
  <c r="J1087" i="6"/>
  <c r="J1088" i="6"/>
  <c r="J1089" i="6"/>
  <c r="B1090" i="6"/>
  <c r="J1090" i="6"/>
  <c r="B1091" i="6"/>
  <c r="J1091" i="6"/>
  <c r="B1092" i="6"/>
  <c r="J1092" i="6"/>
  <c r="B1093" i="6"/>
  <c r="J1093" i="6"/>
  <c r="B1094" i="6"/>
  <c r="J1094" i="6"/>
  <c r="B1095" i="6"/>
  <c r="J1095" i="6"/>
  <c r="B1096" i="6"/>
  <c r="J1096" i="6"/>
  <c r="B1097" i="6"/>
  <c r="J1097" i="6"/>
  <c r="B1098" i="6"/>
  <c r="J1098" i="6"/>
  <c r="B1099" i="6"/>
  <c r="B1100" i="6"/>
  <c r="J1100" i="6"/>
  <c r="B1101" i="6"/>
  <c r="B1102" i="6"/>
  <c r="J1102" i="6"/>
  <c r="B1103" i="6"/>
  <c r="B1104" i="6"/>
  <c r="J1104" i="6"/>
  <c r="B1105" i="6"/>
  <c r="B1107" i="6"/>
  <c r="J1108" i="6"/>
  <c r="B1109" i="6"/>
  <c r="J1109" i="6"/>
  <c r="J1110" i="6"/>
  <c r="J1111" i="6"/>
  <c r="B1112" i="6"/>
  <c r="J1112" i="6"/>
  <c r="B1113" i="6"/>
  <c r="J1113" i="6"/>
  <c r="B1114" i="6"/>
  <c r="J1114" i="6"/>
  <c r="J1115" i="6"/>
  <c r="B1116" i="6"/>
  <c r="J1116" i="6"/>
  <c r="B1117" i="6"/>
  <c r="B1118" i="6"/>
  <c r="J1118" i="6"/>
  <c r="B1119" i="6"/>
  <c r="J1119" i="6"/>
  <c r="B1120" i="6"/>
  <c r="J1120" i="6"/>
  <c r="B1121" i="6"/>
  <c r="B1122" i="6"/>
  <c r="J1122" i="6"/>
  <c r="B1123" i="6"/>
  <c r="B1124" i="6"/>
  <c r="J1124" i="6"/>
  <c r="H1124" i="6"/>
  <c r="B1125" i="6"/>
  <c r="J1125" i="6"/>
  <c r="B1127" i="6"/>
  <c r="J1127" i="6"/>
  <c r="E1045" i="6"/>
  <c r="I1073" i="6"/>
  <c r="I1074" i="6"/>
  <c r="I1077" i="6"/>
  <c r="I1078" i="6"/>
  <c r="I1082" i="6"/>
  <c r="I1083" i="6"/>
  <c r="I1084" i="6"/>
  <c r="I1086" i="6"/>
  <c r="I1087" i="6"/>
  <c r="I1088" i="6"/>
  <c r="I1089" i="6"/>
  <c r="I1090" i="6"/>
  <c r="I1094" i="6"/>
  <c r="I1095" i="6"/>
  <c r="I1096" i="6"/>
  <c r="I1097" i="6"/>
  <c r="I1098" i="6"/>
  <c r="I1099" i="6"/>
  <c r="I1102" i="6"/>
  <c r="I1106" i="6"/>
  <c r="I1107" i="6"/>
  <c r="I1108" i="6"/>
  <c r="I1109" i="6"/>
  <c r="I1110" i="6"/>
  <c r="I1111" i="6"/>
  <c r="I1112" i="6"/>
  <c r="I1113" i="6"/>
  <c r="I1114" i="6"/>
  <c r="I1115" i="6"/>
  <c r="I1117" i="6"/>
  <c r="I1118" i="6"/>
  <c r="I1119" i="6"/>
  <c r="I1120" i="6"/>
  <c r="I1122" i="6"/>
  <c r="I1123" i="6"/>
  <c r="I1124" i="6"/>
  <c r="I1126" i="6"/>
  <c r="I1127" i="6"/>
  <c r="I1128" i="6"/>
  <c r="I1129" i="6"/>
  <c r="I1130" i="6"/>
  <c r="K1073" i="6"/>
  <c r="C1074" i="6"/>
  <c r="C1075" i="6"/>
  <c r="K1075" i="6"/>
  <c r="C1076" i="6"/>
  <c r="K1076" i="6"/>
  <c r="C1077" i="6"/>
  <c r="K1077" i="6"/>
  <c r="C1081" i="6"/>
  <c r="K1081" i="6"/>
  <c r="C1082" i="6"/>
  <c r="C1083" i="6"/>
  <c r="C1084" i="6"/>
  <c r="K1086" i="6"/>
  <c r="K1087" i="6"/>
  <c r="K1088" i="6"/>
  <c r="C1089" i="6"/>
  <c r="K1089" i="6"/>
  <c r="K1090" i="6"/>
  <c r="K1091" i="6"/>
  <c r="K1092" i="6"/>
  <c r="C1093" i="6"/>
  <c r="K1093" i="6"/>
  <c r="C1094" i="6"/>
  <c r="K1094" i="6"/>
  <c r="C1095" i="6"/>
  <c r="K1095" i="6"/>
  <c r="C1096" i="6"/>
  <c r="K1096" i="6"/>
  <c r="C1097" i="6"/>
  <c r="K1097" i="6"/>
  <c r="C1098" i="6"/>
  <c r="K1098" i="6"/>
  <c r="C1099" i="6"/>
  <c r="K1099" i="6"/>
  <c r="C1100" i="6"/>
  <c r="K1100" i="6"/>
  <c r="C1101" i="6"/>
  <c r="K1101" i="6"/>
  <c r="C1105" i="6"/>
  <c r="K1105" i="6"/>
  <c r="C1106" i="6"/>
  <c r="K1107" i="6"/>
  <c r="C1109" i="6"/>
  <c r="K1109" i="6"/>
  <c r="K1110" i="6"/>
  <c r="K1111" i="6"/>
  <c r="K1112" i="6"/>
  <c r="C1113" i="6"/>
  <c r="K1113" i="6"/>
  <c r="K1114" i="6"/>
  <c r="C1115" i="6"/>
  <c r="K1115" i="6"/>
  <c r="K1116" i="6"/>
  <c r="C1117" i="6"/>
  <c r="K1117" i="6"/>
  <c r="C1118" i="6"/>
  <c r="C1119" i="6"/>
  <c r="C1120" i="6"/>
  <c r="K1120" i="6"/>
  <c r="C1121" i="6"/>
  <c r="K1121" i="6"/>
  <c r="C1122" i="6"/>
  <c r="K1122" i="6"/>
  <c r="C1123" i="6"/>
  <c r="K1124" i="6"/>
  <c r="C1125" i="6"/>
  <c r="K1125" i="6"/>
  <c r="C1127" i="6"/>
  <c r="D1074" i="6"/>
  <c r="D1075" i="6"/>
  <c r="D1076" i="6"/>
  <c r="D1077" i="6"/>
  <c r="D1078" i="6"/>
  <c r="D1079" i="6"/>
  <c r="D1080" i="6"/>
  <c r="D1083" i="6"/>
  <c r="D1084" i="6"/>
  <c r="D1094" i="6"/>
  <c r="D1095" i="6"/>
  <c r="D1096" i="6"/>
  <c r="D1097" i="6"/>
  <c r="D1098" i="6"/>
  <c r="D1099" i="6"/>
  <c r="D1100" i="6"/>
  <c r="D1101" i="6"/>
  <c r="D1102" i="6"/>
  <c r="D1103" i="6"/>
  <c r="D1104" i="6"/>
  <c r="D1105" i="6"/>
  <c r="D1106" i="6"/>
  <c r="D1107" i="6"/>
  <c r="D1108" i="6"/>
  <c r="D1113" i="6"/>
  <c r="D1114" i="6"/>
  <c r="D1117" i="6"/>
  <c r="D1119" i="6"/>
  <c r="D1120" i="6"/>
  <c r="D1121" i="6"/>
  <c r="D1122" i="6"/>
  <c r="D1123" i="6"/>
  <c r="D1124" i="6"/>
  <c r="D1125" i="6"/>
  <c r="D1126" i="6"/>
  <c r="D1130" i="6"/>
  <c r="E1073" i="6"/>
  <c r="E1074" i="6"/>
  <c r="E1075" i="6"/>
  <c r="E1076" i="6"/>
  <c r="E1077" i="6"/>
  <c r="E1078" i="6"/>
  <c r="E1079" i="6"/>
  <c r="E1080" i="6"/>
  <c r="E1081" i="6"/>
  <c r="E1082" i="6"/>
  <c r="E1084" i="6"/>
  <c r="E1086" i="6"/>
  <c r="E1087" i="6"/>
  <c r="E1088" i="6"/>
  <c r="E1092" i="6"/>
  <c r="E1093" i="6"/>
  <c r="E1096" i="6"/>
  <c r="E1097" i="6"/>
  <c r="E1098" i="6"/>
  <c r="E1099" i="6"/>
  <c r="E1100" i="6"/>
  <c r="E1101" i="6"/>
  <c r="E1102" i="6"/>
  <c r="E1103" i="6"/>
  <c r="E1104" i="6"/>
  <c r="E1108" i="6"/>
  <c r="E1109" i="6"/>
  <c r="E1110" i="6"/>
  <c r="E1111" i="6"/>
  <c r="E1112" i="6"/>
  <c r="E1113" i="6"/>
  <c r="E1114" i="6"/>
  <c r="E1115" i="6"/>
  <c r="E1116" i="6"/>
  <c r="E1117" i="6"/>
  <c r="E1119" i="6"/>
  <c r="E1120" i="6"/>
  <c r="E1121" i="6"/>
  <c r="E1122" i="6"/>
  <c r="E1123" i="6"/>
  <c r="E1124" i="6"/>
  <c r="E1125" i="6"/>
  <c r="E1127" i="6"/>
  <c r="E1128" i="6"/>
  <c r="E1129" i="6"/>
  <c r="E1130" i="6"/>
  <c r="H1127" i="6"/>
  <c r="H1129" i="6"/>
  <c r="H1130" i="6"/>
  <c r="B1126" i="6"/>
  <c r="J1126" i="6"/>
  <c r="B1128" i="6"/>
  <c r="J1128" i="6"/>
  <c r="B1129" i="6"/>
  <c r="J1129" i="6"/>
  <c r="B1130" i="6"/>
  <c r="J1130" i="6"/>
  <c r="C1126" i="6"/>
  <c r="K1126" i="6"/>
  <c r="K1128" i="6"/>
  <c r="C1129" i="6"/>
  <c r="K1129" i="6"/>
  <c r="C1130" i="6"/>
  <c r="K1130" i="6"/>
  <c r="D1127" i="6"/>
  <c r="D1128" i="6"/>
  <c r="D1129" i="6"/>
  <c r="C13" i="3" l="1"/>
  <c r="E13" i="3"/>
  <c r="B17" i="3"/>
  <c r="C17" i="3"/>
  <c r="D17" i="3"/>
  <c r="E17" i="3"/>
  <c r="B18" i="3"/>
  <c r="C18" i="3"/>
  <c r="D18" i="3"/>
  <c r="E18" i="3"/>
  <c r="B19" i="3"/>
  <c r="C19" i="3"/>
  <c r="D19" i="3"/>
  <c r="E19" i="3"/>
  <c r="B20" i="3"/>
  <c r="C20" i="3"/>
  <c r="D20" i="3"/>
  <c r="E20" i="3"/>
  <c r="B21" i="3"/>
  <c r="C21" i="3"/>
  <c r="D21" i="3"/>
  <c r="E21" i="3"/>
  <c r="B22" i="3"/>
  <c r="C22" i="3"/>
  <c r="D22" i="3"/>
  <c r="E22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B122" i="3"/>
  <c r="C122" i="3"/>
  <c r="D122" i="3"/>
  <c r="E122" i="3"/>
  <c r="B123" i="3"/>
  <c r="C123" i="3"/>
  <c r="D123" i="3"/>
  <c r="E123" i="3"/>
  <c r="B124" i="3"/>
  <c r="C124" i="3"/>
  <c r="D124" i="3"/>
  <c r="E124" i="3"/>
  <c r="B125" i="3"/>
  <c r="C125" i="3"/>
  <c r="D125" i="3"/>
  <c r="E125" i="3"/>
  <c r="B126" i="3"/>
  <c r="C126" i="3"/>
  <c r="D126" i="3"/>
  <c r="E126" i="3"/>
  <c r="B127" i="3"/>
  <c r="C127" i="3"/>
  <c r="D127" i="3"/>
  <c r="E127" i="3"/>
  <c r="B128" i="3"/>
  <c r="C128" i="3"/>
  <c r="D128" i="3"/>
  <c r="E128" i="3"/>
  <c r="B129" i="3"/>
  <c r="C129" i="3"/>
  <c r="D129" i="3"/>
  <c r="E129" i="3"/>
  <c r="B130" i="3"/>
  <c r="C130" i="3"/>
  <c r="D130" i="3"/>
  <c r="E130" i="3"/>
  <c r="B131" i="3"/>
  <c r="C131" i="3"/>
  <c r="D131" i="3"/>
  <c r="E131" i="3"/>
  <c r="B132" i="3"/>
  <c r="C132" i="3"/>
  <c r="D132" i="3"/>
  <c r="E132" i="3"/>
  <c r="B133" i="3"/>
  <c r="C133" i="3"/>
  <c r="D133" i="3"/>
  <c r="E133" i="3"/>
  <c r="B134" i="3"/>
  <c r="C134" i="3"/>
  <c r="D134" i="3"/>
  <c r="E134" i="3"/>
  <c r="B135" i="3"/>
  <c r="C135" i="3"/>
  <c r="D135" i="3"/>
  <c r="E135" i="3"/>
  <c r="B136" i="3"/>
  <c r="C136" i="3"/>
  <c r="D136" i="3"/>
  <c r="E136" i="3"/>
  <c r="B137" i="3"/>
  <c r="C137" i="3"/>
  <c r="D137" i="3"/>
  <c r="E137" i="3"/>
  <c r="B138" i="3"/>
  <c r="C138" i="3"/>
  <c r="D138" i="3"/>
  <c r="E138" i="3"/>
  <c r="B139" i="3"/>
  <c r="C139" i="3"/>
  <c r="D139" i="3"/>
  <c r="E139" i="3"/>
  <c r="B140" i="3"/>
  <c r="C140" i="3"/>
  <c r="D140" i="3"/>
  <c r="E140" i="3"/>
  <c r="B141" i="3"/>
  <c r="C141" i="3"/>
  <c r="D141" i="3"/>
  <c r="E141" i="3"/>
  <c r="B142" i="3"/>
  <c r="C142" i="3"/>
  <c r="D142" i="3"/>
  <c r="E142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52" i="3"/>
  <c r="C152" i="3"/>
  <c r="D152" i="3"/>
  <c r="E152" i="3"/>
  <c r="B153" i="3"/>
  <c r="C153" i="3"/>
  <c r="D153" i="3"/>
  <c r="E153" i="3"/>
  <c r="B154" i="3"/>
  <c r="C154" i="3"/>
  <c r="D154" i="3"/>
  <c r="E154" i="3"/>
  <c r="B155" i="3"/>
  <c r="C155" i="3"/>
  <c r="D155" i="3"/>
  <c r="E155" i="3"/>
  <c r="B156" i="3"/>
  <c r="C156" i="3"/>
  <c r="D156" i="3"/>
  <c r="E156" i="3"/>
  <c r="B157" i="3"/>
  <c r="C157" i="3"/>
  <c r="D157" i="3"/>
  <c r="E157" i="3"/>
  <c r="B158" i="3"/>
  <c r="C158" i="3"/>
  <c r="D158" i="3"/>
  <c r="E158" i="3"/>
  <c r="B159" i="3"/>
  <c r="C159" i="3"/>
  <c r="D159" i="3"/>
  <c r="E159" i="3"/>
  <c r="B160" i="3"/>
  <c r="C160" i="3"/>
  <c r="D160" i="3"/>
  <c r="E160" i="3"/>
  <c r="B161" i="3"/>
  <c r="C161" i="3"/>
  <c r="D161" i="3"/>
  <c r="E161" i="3"/>
  <c r="B162" i="3"/>
  <c r="C162" i="3"/>
  <c r="D162" i="3"/>
  <c r="E162" i="3"/>
  <c r="B163" i="3"/>
  <c r="C163" i="3"/>
  <c r="D163" i="3"/>
  <c r="E163" i="3"/>
  <c r="B164" i="3"/>
  <c r="C164" i="3"/>
  <c r="D164" i="3"/>
  <c r="E164" i="3"/>
  <c r="B165" i="3"/>
  <c r="C165" i="3"/>
  <c r="D165" i="3"/>
  <c r="E165" i="3"/>
  <c r="B166" i="3"/>
  <c r="C166" i="3"/>
  <c r="D166" i="3"/>
  <c r="E166" i="3"/>
  <c r="B167" i="3"/>
  <c r="C167" i="3"/>
  <c r="D167" i="3"/>
  <c r="E167" i="3"/>
  <c r="B168" i="3"/>
  <c r="C168" i="3"/>
  <c r="D168" i="3"/>
  <c r="E168" i="3"/>
  <c r="B169" i="3"/>
  <c r="C169" i="3"/>
  <c r="D169" i="3"/>
  <c r="E169" i="3"/>
  <c r="B170" i="3"/>
  <c r="C170" i="3"/>
  <c r="D170" i="3"/>
  <c r="E170" i="3"/>
  <c r="B171" i="3"/>
  <c r="C171" i="3"/>
  <c r="D171" i="3"/>
  <c r="E171" i="3"/>
  <c r="B172" i="3"/>
  <c r="C172" i="3"/>
  <c r="D172" i="3"/>
  <c r="E172" i="3"/>
  <c r="B173" i="3"/>
  <c r="C173" i="3"/>
  <c r="D173" i="3"/>
  <c r="E173" i="3"/>
  <c r="B174" i="3"/>
  <c r="C174" i="3"/>
  <c r="D174" i="3"/>
  <c r="E174" i="3"/>
  <c r="B175" i="3"/>
  <c r="C175" i="3"/>
  <c r="D175" i="3"/>
  <c r="E175" i="3"/>
  <c r="B176" i="3"/>
  <c r="C176" i="3"/>
  <c r="D176" i="3"/>
  <c r="E176" i="3"/>
  <c r="B177" i="3"/>
  <c r="C177" i="3"/>
  <c r="D177" i="3"/>
  <c r="E177" i="3"/>
  <c r="B178" i="3"/>
  <c r="C178" i="3"/>
  <c r="D178" i="3"/>
  <c r="E178" i="3"/>
  <c r="B179" i="3"/>
  <c r="C179" i="3"/>
  <c r="D179" i="3"/>
  <c r="E179" i="3"/>
  <c r="B180" i="3"/>
  <c r="C180" i="3"/>
  <c r="D180" i="3"/>
  <c r="E180" i="3"/>
  <c r="B181" i="3"/>
  <c r="C181" i="3"/>
  <c r="D181" i="3"/>
  <c r="E181" i="3"/>
  <c r="B182" i="3"/>
  <c r="C182" i="3"/>
  <c r="D182" i="3"/>
  <c r="E182" i="3"/>
  <c r="B183" i="3"/>
  <c r="C183" i="3"/>
  <c r="D183" i="3"/>
  <c r="E183" i="3"/>
  <c r="B184" i="3"/>
  <c r="C184" i="3"/>
  <c r="D184" i="3"/>
  <c r="E184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1" i="3"/>
  <c r="C191" i="3"/>
  <c r="D191" i="3"/>
  <c r="E191" i="3"/>
  <c r="B192" i="3"/>
  <c r="C192" i="3"/>
  <c r="D192" i="3"/>
  <c r="E192" i="3"/>
  <c r="B193" i="3"/>
  <c r="C193" i="3"/>
  <c r="D193" i="3"/>
  <c r="E193" i="3"/>
  <c r="B194" i="3"/>
  <c r="C194" i="3"/>
  <c r="D194" i="3"/>
  <c r="E194" i="3"/>
  <c r="B195" i="3"/>
  <c r="C195" i="3"/>
  <c r="D195" i="3"/>
  <c r="E195" i="3"/>
  <c r="B196" i="3"/>
  <c r="C196" i="3"/>
  <c r="D196" i="3"/>
  <c r="E196" i="3"/>
  <c r="B197" i="3"/>
  <c r="C197" i="3"/>
  <c r="D197" i="3"/>
  <c r="E197" i="3"/>
  <c r="B198" i="3"/>
  <c r="C198" i="3"/>
  <c r="D198" i="3"/>
  <c r="E198" i="3"/>
  <c r="B199" i="3"/>
  <c r="C199" i="3"/>
  <c r="D199" i="3"/>
  <c r="E199" i="3"/>
  <c r="B200" i="3"/>
  <c r="C200" i="3"/>
  <c r="D200" i="3"/>
  <c r="E200" i="3"/>
  <c r="B201" i="3"/>
  <c r="C201" i="3"/>
  <c r="D201" i="3"/>
  <c r="E201" i="3"/>
  <c r="B202" i="3"/>
  <c r="C202" i="3"/>
  <c r="D202" i="3"/>
  <c r="E202" i="3"/>
  <c r="B203" i="3"/>
  <c r="C203" i="3"/>
  <c r="D203" i="3"/>
  <c r="E203" i="3"/>
  <c r="B204" i="3"/>
  <c r="C204" i="3"/>
  <c r="D204" i="3"/>
  <c r="E204" i="3"/>
  <c r="B205" i="3"/>
  <c r="C205" i="3"/>
  <c r="D205" i="3"/>
  <c r="E205" i="3"/>
  <c r="B206" i="3"/>
  <c r="C206" i="3"/>
  <c r="D206" i="3"/>
  <c r="E206" i="3"/>
  <c r="B207" i="3"/>
  <c r="C207" i="3"/>
  <c r="D207" i="3"/>
  <c r="E207" i="3"/>
  <c r="B208" i="3"/>
  <c r="C208" i="3"/>
  <c r="D208" i="3"/>
  <c r="E208" i="3"/>
  <c r="B209" i="3"/>
  <c r="C209" i="3"/>
  <c r="D209" i="3"/>
  <c r="E209" i="3"/>
  <c r="B210" i="3"/>
  <c r="C210" i="3"/>
  <c r="D210" i="3"/>
  <c r="E210" i="3"/>
  <c r="B211" i="3"/>
  <c r="C211" i="3"/>
  <c r="D211" i="3"/>
  <c r="E211" i="3"/>
  <c r="B212" i="3"/>
  <c r="C212" i="3"/>
  <c r="D212" i="3"/>
  <c r="E212" i="3"/>
  <c r="B213" i="3"/>
  <c r="C213" i="3"/>
  <c r="D213" i="3"/>
  <c r="E213" i="3"/>
  <c r="B214" i="3"/>
  <c r="C214" i="3"/>
  <c r="D214" i="3"/>
  <c r="E214" i="3"/>
  <c r="B215" i="3"/>
  <c r="C215" i="3"/>
  <c r="D215" i="3"/>
  <c r="E215" i="3"/>
  <c r="B216" i="3"/>
  <c r="C216" i="3"/>
  <c r="D216" i="3"/>
  <c r="E216" i="3"/>
  <c r="B217" i="3"/>
  <c r="C217" i="3"/>
  <c r="D217" i="3"/>
  <c r="E217" i="3"/>
  <c r="B218" i="3"/>
  <c r="C218" i="3"/>
  <c r="D218" i="3"/>
  <c r="E218" i="3"/>
  <c r="B219" i="3"/>
  <c r="C219" i="3"/>
  <c r="D219" i="3"/>
  <c r="E219" i="3"/>
  <c r="B220" i="3"/>
  <c r="C220" i="3"/>
  <c r="D220" i="3"/>
  <c r="E220" i="3"/>
  <c r="B221" i="3"/>
  <c r="C221" i="3"/>
  <c r="D221" i="3"/>
  <c r="E221" i="3"/>
  <c r="B222" i="3"/>
  <c r="C222" i="3"/>
  <c r="D222" i="3"/>
  <c r="E222" i="3"/>
  <c r="B223" i="3"/>
  <c r="C223" i="3"/>
  <c r="D223" i="3"/>
  <c r="E223" i="3"/>
  <c r="B224" i="3"/>
  <c r="C224" i="3"/>
  <c r="D224" i="3"/>
  <c r="E224" i="3"/>
  <c r="B225" i="3"/>
  <c r="C225" i="3"/>
  <c r="D225" i="3"/>
  <c r="E225" i="3"/>
  <c r="B226" i="3"/>
  <c r="C226" i="3"/>
  <c r="D226" i="3"/>
  <c r="E226" i="3"/>
  <c r="B227" i="3"/>
  <c r="C227" i="3"/>
  <c r="D227" i="3"/>
  <c r="E227" i="3"/>
  <c r="B228" i="3"/>
  <c r="C228" i="3"/>
  <c r="D228" i="3"/>
  <c r="E228" i="3"/>
  <c r="B229" i="3"/>
  <c r="C229" i="3"/>
  <c r="D229" i="3"/>
  <c r="E229" i="3"/>
  <c r="B230" i="3"/>
  <c r="C230" i="3"/>
  <c r="D230" i="3"/>
  <c r="E230" i="3"/>
  <c r="B231" i="3"/>
  <c r="C231" i="3"/>
  <c r="D231" i="3"/>
  <c r="E231" i="3"/>
  <c r="B232" i="3"/>
  <c r="C232" i="3"/>
  <c r="D232" i="3"/>
  <c r="E232" i="3"/>
  <c r="B233" i="3"/>
  <c r="C233" i="3"/>
  <c r="D233" i="3"/>
  <c r="E233" i="3"/>
  <c r="B234" i="3"/>
  <c r="C234" i="3"/>
  <c r="D234" i="3"/>
  <c r="E234" i="3"/>
  <c r="B235" i="3"/>
  <c r="C235" i="3"/>
  <c r="D235" i="3"/>
  <c r="E235" i="3"/>
  <c r="B236" i="3"/>
  <c r="C236" i="3"/>
  <c r="D236" i="3"/>
  <c r="E236" i="3"/>
  <c r="B237" i="3"/>
  <c r="C237" i="3"/>
  <c r="D237" i="3"/>
  <c r="E237" i="3"/>
  <c r="B238" i="3"/>
  <c r="C238" i="3"/>
  <c r="D238" i="3"/>
  <c r="E238" i="3"/>
  <c r="B239" i="3"/>
  <c r="C239" i="3"/>
  <c r="D239" i="3"/>
  <c r="E239" i="3"/>
  <c r="B240" i="3"/>
  <c r="C240" i="3"/>
  <c r="D240" i="3"/>
  <c r="E240" i="3"/>
  <c r="B241" i="3"/>
  <c r="C241" i="3"/>
  <c r="D241" i="3"/>
  <c r="E241" i="3"/>
  <c r="B242" i="3"/>
  <c r="C242" i="3"/>
  <c r="D242" i="3"/>
  <c r="E242" i="3"/>
  <c r="B243" i="3"/>
  <c r="C243" i="3"/>
  <c r="D243" i="3"/>
  <c r="E243" i="3"/>
  <c r="B244" i="3"/>
  <c r="C244" i="3"/>
  <c r="D244" i="3"/>
  <c r="E244" i="3"/>
  <c r="B245" i="3"/>
  <c r="C245" i="3"/>
  <c r="D245" i="3"/>
  <c r="E245" i="3"/>
  <c r="B246" i="3"/>
  <c r="C246" i="3"/>
  <c r="D246" i="3"/>
  <c r="E246" i="3"/>
  <c r="B247" i="3"/>
  <c r="C247" i="3"/>
  <c r="D247" i="3"/>
  <c r="E247" i="3"/>
  <c r="B248" i="3"/>
  <c r="C248" i="3"/>
  <c r="D248" i="3"/>
  <c r="E248" i="3"/>
  <c r="B249" i="3"/>
  <c r="C249" i="3"/>
  <c r="D249" i="3"/>
  <c r="E249" i="3"/>
  <c r="B250" i="3"/>
  <c r="C250" i="3"/>
  <c r="D250" i="3"/>
  <c r="E250" i="3"/>
  <c r="B251" i="3"/>
  <c r="C251" i="3"/>
  <c r="D251" i="3"/>
  <c r="E251" i="3"/>
  <c r="B252" i="3"/>
  <c r="C252" i="3"/>
  <c r="D252" i="3"/>
  <c r="E252" i="3"/>
  <c r="B253" i="3"/>
  <c r="C253" i="3"/>
  <c r="D253" i="3"/>
  <c r="E253" i="3"/>
  <c r="B254" i="3"/>
  <c r="C254" i="3"/>
  <c r="D254" i="3"/>
  <c r="E254" i="3"/>
  <c r="B255" i="3"/>
  <c r="C255" i="3"/>
  <c r="D255" i="3"/>
  <c r="E255" i="3"/>
  <c r="B256" i="3"/>
  <c r="C256" i="3"/>
  <c r="D256" i="3"/>
  <c r="E256" i="3"/>
  <c r="B257" i="3"/>
  <c r="C257" i="3"/>
  <c r="D257" i="3"/>
  <c r="E257" i="3"/>
  <c r="B258" i="3"/>
  <c r="C258" i="3"/>
  <c r="D258" i="3"/>
  <c r="E258" i="3"/>
  <c r="B259" i="3"/>
  <c r="C259" i="3"/>
  <c r="D259" i="3"/>
  <c r="E259" i="3"/>
  <c r="B260" i="3"/>
  <c r="C260" i="3"/>
  <c r="D260" i="3"/>
  <c r="E260" i="3"/>
  <c r="B261" i="3"/>
  <c r="C261" i="3"/>
  <c r="D261" i="3"/>
  <c r="E261" i="3"/>
  <c r="B262" i="3"/>
  <c r="C262" i="3"/>
  <c r="D262" i="3"/>
  <c r="E262" i="3"/>
  <c r="B263" i="3"/>
  <c r="C263" i="3"/>
  <c r="D263" i="3"/>
  <c r="E263" i="3"/>
  <c r="B264" i="3"/>
  <c r="C264" i="3"/>
  <c r="D264" i="3"/>
  <c r="E264" i="3"/>
  <c r="B265" i="3"/>
  <c r="C265" i="3"/>
  <c r="D265" i="3"/>
  <c r="E265" i="3"/>
  <c r="B266" i="3"/>
  <c r="C266" i="3"/>
  <c r="D266" i="3"/>
  <c r="E266" i="3"/>
  <c r="B267" i="3"/>
  <c r="C267" i="3"/>
  <c r="D267" i="3"/>
  <c r="E267" i="3"/>
  <c r="B268" i="3"/>
  <c r="C268" i="3"/>
  <c r="D268" i="3"/>
  <c r="E268" i="3"/>
  <c r="B269" i="3"/>
  <c r="C269" i="3"/>
  <c r="D269" i="3"/>
  <c r="E269" i="3"/>
  <c r="B270" i="3"/>
  <c r="C270" i="3"/>
  <c r="D270" i="3"/>
  <c r="E270" i="3"/>
  <c r="B271" i="3"/>
  <c r="C271" i="3"/>
  <c r="D271" i="3"/>
  <c r="E271" i="3"/>
  <c r="B272" i="3"/>
  <c r="C272" i="3"/>
  <c r="D272" i="3"/>
  <c r="E272" i="3"/>
  <c r="B273" i="3"/>
  <c r="C273" i="3"/>
  <c r="D273" i="3"/>
  <c r="E273" i="3"/>
  <c r="B274" i="3"/>
  <c r="C274" i="3"/>
  <c r="D274" i="3"/>
  <c r="E274" i="3"/>
  <c r="B275" i="3"/>
  <c r="C275" i="3"/>
  <c r="D275" i="3"/>
  <c r="E275" i="3"/>
  <c r="B276" i="3"/>
  <c r="C276" i="3"/>
  <c r="D276" i="3"/>
  <c r="E276" i="3"/>
  <c r="B277" i="3"/>
  <c r="C277" i="3"/>
  <c r="D277" i="3"/>
  <c r="E277" i="3"/>
  <c r="B278" i="3"/>
  <c r="C278" i="3"/>
  <c r="D278" i="3"/>
  <c r="E278" i="3"/>
  <c r="B279" i="3"/>
  <c r="C279" i="3"/>
  <c r="D279" i="3"/>
  <c r="E279" i="3"/>
  <c r="B280" i="3"/>
  <c r="C280" i="3"/>
  <c r="D280" i="3"/>
  <c r="E280" i="3"/>
  <c r="B281" i="3"/>
  <c r="C281" i="3"/>
  <c r="D281" i="3"/>
  <c r="E281" i="3"/>
  <c r="B282" i="3"/>
  <c r="C282" i="3"/>
  <c r="D282" i="3"/>
  <c r="E282" i="3"/>
  <c r="B283" i="3"/>
  <c r="C283" i="3"/>
  <c r="D283" i="3"/>
  <c r="E283" i="3"/>
  <c r="B284" i="3"/>
  <c r="C284" i="3"/>
  <c r="D284" i="3"/>
  <c r="E284" i="3"/>
  <c r="B285" i="3"/>
  <c r="C285" i="3"/>
  <c r="D285" i="3"/>
  <c r="E285" i="3"/>
  <c r="B286" i="3"/>
  <c r="C286" i="3"/>
  <c r="D286" i="3"/>
  <c r="E286" i="3"/>
  <c r="B287" i="3"/>
  <c r="C287" i="3"/>
  <c r="D287" i="3"/>
  <c r="E287" i="3"/>
  <c r="B288" i="3"/>
  <c r="C288" i="3"/>
  <c r="D288" i="3"/>
  <c r="E288" i="3"/>
  <c r="B289" i="3"/>
  <c r="C289" i="3"/>
  <c r="D289" i="3"/>
  <c r="E289" i="3"/>
  <c r="B290" i="3"/>
  <c r="C290" i="3"/>
  <c r="D290" i="3"/>
  <c r="E290" i="3"/>
  <c r="B291" i="3"/>
  <c r="C291" i="3"/>
  <c r="D291" i="3"/>
  <c r="E291" i="3"/>
  <c r="B292" i="3"/>
  <c r="C292" i="3"/>
  <c r="D292" i="3"/>
  <c r="E292" i="3"/>
  <c r="B293" i="3"/>
  <c r="C293" i="3"/>
  <c r="D293" i="3"/>
  <c r="E293" i="3"/>
  <c r="B294" i="3"/>
  <c r="C294" i="3"/>
  <c r="D294" i="3"/>
  <c r="E294" i="3"/>
  <c r="B295" i="3"/>
  <c r="C295" i="3"/>
  <c r="D295" i="3"/>
  <c r="E295" i="3"/>
  <c r="B296" i="3"/>
  <c r="C296" i="3"/>
  <c r="D296" i="3"/>
  <c r="E296" i="3"/>
  <c r="B297" i="3"/>
  <c r="C297" i="3"/>
  <c r="D297" i="3"/>
  <c r="E297" i="3"/>
  <c r="B298" i="3"/>
  <c r="C298" i="3"/>
  <c r="D298" i="3"/>
  <c r="E298" i="3"/>
  <c r="B299" i="3"/>
  <c r="C299" i="3"/>
  <c r="D299" i="3"/>
  <c r="E299" i="3"/>
  <c r="B300" i="3"/>
  <c r="C300" i="3"/>
  <c r="D300" i="3"/>
  <c r="E300" i="3"/>
  <c r="B301" i="3"/>
  <c r="C301" i="3"/>
  <c r="D301" i="3"/>
  <c r="E301" i="3"/>
  <c r="B302" i="3"/>
  <c r="C302" i="3"/>
  <c r="D302" i="3"/>
  <c r="E302" i="3"/>
  <c r="B303" i="3"/>
  <c r="C303" i="3"/>
  <c r="D303" i="3"/>
  <c r="E303" i="3"/>
  <c r="B304" i="3"/>
  <c r="C304" i="3"/>
  <c r="D304" i="3"/>
  <c r="E304" i="3"/>
  <c r="B305" i="3"/>
  <c r="C305" i="3"/>
  <c r="D305" i="3"/>
  <c r="E305" i="3"/>
  <c r="B306" i="3"/>
  <c r="C306" i="3"/>
  <c r="D306" i="3"/>
  <c r="E306" i="3"/>
  <c r="B307" i="3"/>
  <c r="C307" i="3"/>
  <c r="D307" i="3"/>
  <c r="E307" i="3"/>
  <c r="B308" i="3"/>
  <c r="C308" i="3"/>
  <c r="D308" i="3"/>
  <c r="E308" i="3"/>
  <c r="B309" i="3"/>
  <c r="C309" i="3"/>
  <c r="D309" i="3"/>
  <c r="E309" i="3"/>
  <c r="B310" i="3"/>
  <c r="C310" i="3"/>
  <c r="D310" i="3"/>
  <c r="E310" i="3"/>
  <c r="B311" i="3"/>
  <c r="C311" i="3"/>
  <c r="D311" i="3"/>
  <c r="E311" i="3"/>
  <c r="B312" i="3"/>
  <c r="C312" i="3"/>
  <c r="D312" i="3"/>
  <c r="E312" i="3"/>
  <c r="B313" i="3"/>
  <c r="C313" i="3"/>
  <c r="D313" i="3"/>
  <c r="E313" i="3"/>
  <c r="B314" i="3"/>
  <c r="C314" i="3"/>
  <c r="D314" i="3"/>
  <c r="E314" i="3"/>
  <c r="B315" i="3"/>
  <c r="C315" i="3"/>
  <c r="D315" i="3"/>
  <c r="E315" i="3"/>
  <c r="B316" i="3"/>
  <c r="C316" i="3"/>
  <c r="D316" i="3"/>
  <c r="E316" i="3"/>
  <c r="B317" i="3"/>
  <c r="C317" i="3"/>
  <c r="D317" i="3"/>
  <c r="E317" i="3"/>
  <c r="B318" i="3"/>
  <c r="C318" i="3"/>
  <c r="D318" i="3"/>
  <c r="E318" i="3"/>
  <c r="B319" i="3"/>
  <c r="C319" i="3"/>
  <c r="D319" i="3"/>
  <c r="E319" i="3"/>
  <c r="B320" i="3"/>
  <c r="C320" i="3"/>
  <c r="D320" i="3"/>
  <c r="E320" i="3"/>
  <c r="B321" i="3"/>
  <c r="C321" i="3"/>
  <c r="D321" i="3"/>
  <c r="E321" i="3"/>
  <c r="B322" i="3"/>
  <c r="C322" i="3"/>
  <c r="D322" i="3"/>
  <c r="E322" i="3"/>
  <c r="B323" i="3"/>
  <c r="C323" i="3"/>
  <c r="D323" i="3"/>
  <c r="E323" i="3"/>
  <c r="B324" i="3"/>
  <c r="C324" i="3"/>
  <c r="D324" i="3"/>
  <c r="E324" i="3"/>
  <c r="B325" i="3"/>
  <c r="C325" i="3"/>
  <c r="D325" i="3"/>
  <c r="E325" i="3"/>
  <c r="B326" i="3"/>
  <c r="C326" i="3"/>
  <c r="D326" i="3"/>
  <c r="E326" i="3"/>
  <c r="B327" i="3"/>
  <c r="C327" i="3"/>
  <c r="D327" i="3"/>
  <c r="E327" i="3"/>
  <c r="B328" i="3"/>
  <c r="C328" i="3"/>
  <c r="D328" i="3"/>
  <c r="E328" i="3"/>
  <c r="B329" i="3"/>
  <c r="C329" i="3"/>
  <c r="D329" i="3"/>
  <c r="E329" i="3"/>
  <c r="B330" i="3"/>
  <c r="C330" i="3"/>
  <c r="D330" i="3"/>
  <c r="E330" i="3"/>
  <c r="B331" i="3"/>
  <c r="C331" i="3"/>
  <c r="D331" i="3"/>
  <c r="E331" i="3"/>
  <c r="B332" i="3"/>
  <c r="C332" i="3"/>
  <c r="D332" i="3"/>
  <c r="E332" i="3"/>
  <c r="B333" i="3"/>
  <c r="C333" i="3"/>
  <c r="D333" i="3"/>
  <c r="E333" i="3"/>
  <c r="B334" i="3"/>
  <c r="C334" i="3"/>
  <c r="D334" i="3"/>
  <c r="E334" i="3"/>
  <c r="B335" i="3"/>
  <c r="C335" i="3"/>
  <c r="D335" i="3"/>
  <c r="E335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B339" i="3"/>
  <c r="C339" i="3"/>
  <c r="D339" i="3"/>
  <c r="E339" i="3"/>
  <c r="B340" i="3"/>
  <c r="C340" i="3"/>
  <c r="D340" i="3"/>
  <c r="E340" i="3"/>
  <c r="B341" i="3"/>
  <c r="C341" i="3"/>
  <c r="D341" i="3"/>
  <c r="E341" i="3"/>
  <c r="B342" i="3"/>
  <c r="C342" i="3"/>
  <c r="D342" i="3"/>
  <c r="E342" i="3"/>
  <c r="B343" i="3"/>
  <c r="C343" i="3"/>
  <c r="D343" i="3"/>
  <c r="E343" i="3"/>
  <c r="B344" i="3"/>
  <c r="C344" i="3"/>
  <c r="D344" i="3"/>
  <c r="E344" i="3"/>
  <c r="B345" i="3"/>
  <c r="C345" i="3"/>
  <c r="D345" i="3"/>
  <c r="E345" i="3"/>
  <c r="B346" i="3"/>
  <c r="C346" i="3"/>
  <c r="D346" i="3"/>
  <c r="E346" i="3"/>
  <c r="B347" i="3"/>
  <c r="C347" i="3"/>
  <c r="D347" i="3"/>
  <c r="E347" i="3"/>
  <c r="B348" i="3"/>
  <c r="C348" i="3"/>
  <c r="D348" i="3"/>
  <c r="E348" i="3"/>
  <c r="B349" i="3"/>
  <c r="C349" i="3"/>
  <c r="D349" i="3"/>
  <c r="E349" i="3"/>
  <c r="B350" i="3"/>
  <c r="C350" i="3"/>
  <c r="D350" i="3"/>
  <c r="E350" i="3"/>
  <c r="B351" i="3"/>
  <c r="C351" i="3"/>
  <c r="D351" i="3"/>
  <c r="E351" i="3"/>
  <c r="B352" i="3"/>
  <c r="C352" i="3"/>
  <c r="D352" i="3"/>
  <c r="E352" i="3"/>
  <c r="B353" i="3"/>
  <c r="C353" i="3"/>
  <c r="D353" i="3"/>
  <c r="E353" i="3"/>
  <c r="B354" i="3"/>
  <c r="C354" i="3"/>
  <c r="D354" i="3"/>
  <c r="E354" i="3"/>
  <c r="B355" i="3"/>
  <c r="C355" i="3"/>
  <c r="D355" i="3"/>
  <c r="E355" i="3"/>
  <c r="B356" i="3"/>
  <c r="C356" i="3"/>
  <c r="D356" i="3"/>
  <c r="E356" i="3"/>
  <c r="B357" i="3"/>
  <c r="C357" i="3"/>
  <c r="D357" i="3"/>
  <c r="E357" i="3"/>
  <c r="B358" i="3"/>
  <c r="C358" i="3"/>
  <c r="D358" i="3"/>
  <c r="E358" i="3"/>
  <c r="B359" i="3"/>
  <c r="C359" i="3"/>
  <c r="D359" i="3"/>
  <c r="E359" i="3"/>
  <c r="B360" i="3"/>
  <c r="C360" i="3"/>
  <c r="D360" i="3"/>
  <c r="E360" i="3"/>
  <c r="B361" i="3"/>
  <c r="C361" i="3"/>
  <c r="D361" i="3"/>
  <c r="E361" i="3"/>
  <c r="B362" i="3"/>
  <c r="C362" i="3"/>
  <c r="D362" i="3"/>
  <c r="E362" i="3"/>
  <c r="B363" i="3"/>
  <c r="C363" i="3"/>
  <c r="D363" i="3"/>
  <c r="E363" i="3"/>
  <c r="B364" i="3"/>
  <c r="C364" i="3"/>
  <c r="D364" i="3"/>
  <c r="E364" i="3"/>
  <c r="B365" i="3"/>
  <c r="C365" i="3"/>
  <c r="D365" i="3"/>
  <c r="E365" i="3"/>
  <c r="B366" i="3"/>
  <c r="C366" i="3"/>
  <c r="D366" i="3"/>
  <c r="E366" i="3"/>
  <c r="B367" i="3"/>
  <c r="C367" i="3"/>
  <c r="D367" i="3"/>
  <c r="E367" i="3"/>
  <c r="B368" i="3"/>
  <c r="C368" i="3"/>
  <c r="D368" i="3"/>
  <c r="E368" i="3"/>
  <c r="B369" i="3"/>
  <c r="C369" i="3"/>
  <c r="D369" i="3"/>
  <c r="E369" i="3"/>
  <c r="B370" i="3"/>
  <c r="C370" i="3"/>
  <c r="D370" i="3"/>
  <c r="E370" i="3"/>
  <c r="B371" i="3"/>
  <c r="C371" i="3"/>
  <c r="D371" i="3"/>
  <c r="E371" i="3"/>
  <c r="B372" i="3"/>
  <c r="C372" i="3"/>
  <c r="D372" i="3"/>
  <c r="E372" i="3"/>
  <c r="B373" i="3"/>
  <c r="C373" i="3"/>
  <c r="D373" i="3"/>
  <c r="E373" i="3"/>
  <c r="B374" i="3"/>
  <c r="C374" i="3"/>
  <c r="D374" i="3"/>
  <c r="E374" i="3"/>
  <c r="B375" i="3"/>
  <c r="C375" i="3"/>
  <c r="D375" i="3"/>
  <c r="E375" i="3"/>
  <c r="B376" i="3"/>
  <c r="C376" i="3"/>
  <c r="D376" i="3"/>
  <c r="E376" i="3"/>
  <c r="B377" i="3"/>
  <c r="C377" i="3"/>
  <c r="D377" i="3"/>
  <c r="E377" i="3"/>
  <c r="B378" i="3"/>
  <c r="C378" i="3"/>
  <c r="D378" i="3"/>
  <c r="E378" i="3"/>
  <c r="B379" i="3"/>
  <c r="C379" i="3"/>
  <c r="D379" i="3"/>
  <c r="E379" i="3"/>
  <c r="B380" i="3"/>
  <c r="C380" i="3"/>
  <c r="D380" i="3"/>
  <c r="E380" i="3"/>
  <c r="B381" i="3"/>
  <c r="C381" i="3"/>
  <c r="D381" i="3"/>
  <c r="E381" i="3"/>
  <c r="B382" i="3"/>
  <c r="C382" i="3"/>
  <c r="D382" i="3"/>
  <c r="E382" i="3"/>
  <c r="B383" i="3"/>
  <c r="C383" i="3"/>
  <c r="D383" i="3"/>
  <c r="E383" i="3"/>
  <c r="B384" i="3"/>
  <c r="C384" i="3"/>
  <c r="D384" i="3"/>
  <c r="E384" i="3"/>
  <c r="B385" i="3"/>
  <c r="C385" i="3"/>
  <c r="D385" i="3"/>
  <c r="E385" i="3"/>
  <c r="B386" i="3"/>
  <c r="C386" i="3"/>
  <c r="D386" i="3"/>
  <c r="E386" i="3"/>
  <c r="B387" i="3"/>
  <c r="C387" i="3"/>
  <c r="D387" i="3"/>
  <c r="E387" i="3"/>
  <c r="B388" i="3"/>
  <c r="C388" i="3"/>
  <c r="D388" i="3"/>
  <c r="E388" i="3"/>
  <c r="B389" i="3"/>
  <c r="C389" i="3"/>
  <c r="D389" i="3"/>
  <c r="E389" i="3"/>
  <c r="B390" i="3"/>
  <c r="C390" i="3"/>
  <c r="D390" i="3"/>
  <c r="E390" i="3"/>
  <c r="B391" i="3"/>
  <c r="C391" i="3"/>
  <c r="D391" i="3"/>
  <c r="E391" i="3"/>
  <c r="B392" i="3"/>
  <c r="C392" i="3"/>
  <c r="D392" i="3"/>
  <c r="E392" i="3"/>
  <c r="B393" i="3"/>
  <c r="C393" i="3"/>
  <c r="D393" i="3"/>
  <c r="E393" i="3"/>
  <c r="B394" i="3"/>
  <c r="C394" i="3"/>
  <c r="D394" i="3"/>
  <c r="E394" i="3"/>
  <c r="B395" i="3"/>
  <c r="C395" i="3"/>
  <c r="D395" i="3"/>
  <c r="E395" i="3"/>
  <c r="B396" i="3"/>
  <c r="C396" i="3"/>
  <c r="D396" i="3"/>
  <c r="E396" i="3"/>
  <c r="B397" i="3"/>
  <c r="C397" i="3"/>
  <c r="D397" i="3"/>
  <c r="E397" i="3"/>
  <c r="B398" i="3"/>
  <c r="C398" i="3"/>
  <c r="D398" i="3"/>
  <c r="E398" i="3"/>
  <c r="B399" i="3"/>
  <c r="C399" i="3"/>
  <c r="D399" i="3"/>
  <c r="E399" i="3"/>
  <c r="B400" i="3"/>
  <c r="C400" i="3"/>
  <c r="D400" i="3"/>
  <c r="E400" i="3"/>
  <c r="B401" i="3"/>
  <c r="C401" i="3"/>
  <c r="D401" i="3"/>
  <c r="E401" i="3"/>
  <c r="B402" i="3"/>
  <c r="C402" i="3"/>
  <c r="D402" i="3"/>
  <c r="E402" i="3"/>
  <c r="B403" i="3"/>
  <c r="C403" i="3"/>
  <c r="D403" i="3"/>
  <c r="E403" i="3"/>
  <c r="B404" i="3"/>
  <c r="C404" i="3"/>
  <c r="D404" i="3"/>
  <c r="E404" i="3"/>
  <c r="B405" i="3"/>
  <c r="C405" i="3"/>
  <c r="D405" i="3"/>
  <c r="E405" i="3"/>
  <c r="B406" i="3"/>
  <c r="C406" i="3"/>
  <c r="D406" i="3"/>
  <c r="E406" i="3"/>
  <c r="B407" i="3"/>
  <c r="C407" i="3"/>
  <c r="D407" i="3"/>
  <c r="E407" i="3"/>
  <c r="B408" i="3"/>
  <c r="C408" i="3"/>
  <c r="D408" i="3"/>
  <c r="E408" i="3"/>
  <c r="B409" i="3"/>
  <c r="C409" i="3"/>
  <c r="D409" i="3"/>
  <c r="E409" i="3"/>
  <c r="B410" i="3"/>
  <c r="C410" i="3"/>
  <c r="D410" i="3"/>
  <c r="E410" i="3"/>
  <c r="B411" i="3"/>
  <c r="C411" i="3"/>
  <c r="D411" i="3"/>
  <c r="E411" i="3"/>
  <c r="B412" i="3"/>
  <c r="C412" i="3"/>
  <c r="D412" i="3"/>
  <c r="E412" i="3"/>
  <c r="B413" i="3"/>
  <c r="C413" i="3"/>
  <c r="D413" i="3"/>
  <c r="E413" i="3"/>
  <c r="B414" i="3"/>
  <c r="C414" i="3"/>
  <c r="D414" i="3"/>
  <c r="E414" i="3"/>
  <c r="B415" i="3"/>
  <c r="C415" i="3"/>
  <c r="D415" i="3"/>
  <c r="E415" i="3"/>
  <c r="B416" i="3"/>
  <c r="C416" i="3"/>
  <c r="D416" i="3"/>
  <c r="E416" i="3"/>
  <c r="B417" i="3"/>
  <c r="C417" i="3"/>
  <c r="D417" i="3"/>
  <c r="E417" i="3"/>
  <c r="B418" i="3"/>
  <c r="C418" i="3"/>
  <c r="D418" i="3"/>
  <c r="E418" i="3"/>
  <c r="B419" i="3"/>
  <c r="C419" i="3"/>
  <c r="D419" i="3"/>
  <c r="E419" i="3"/>
  <c r="B420" i="3"/>
  <c r="C420" i="3"/>
  <c r="D420" i="3"/>
  <c r="E420" i="3"/>
  <c r="B421" i="3"/>
  <c r="C421" i="3"/>
  <c r="D421" i="3"/>
  <c r="E421" i="3"/>
  <c r="B422" i="3"/>
  <c r="C422" i="3"/>
  <c r="D422" i="3"/>
  <c r="E422" i="3"/>
  <c r="B423" i="3"/>
  <c r="C423" i="3"/>
  <c r="D423" i="3"/>
  <c r="E423" i="3"/>
  <c r="B424" i="3"/>
  <c r="C424" i="3"/>
  <c r="D424" i="3"/>
  <c r="E424" i="3"/>
  <c r="B425" i="3"/>
  <c r="C425" i="3"/>
  <c r="D425" i="3"/>
  <c r="E425" i="3"/>
  <c r="B426" i="3"/>
  <c r="C426" i="3"/>
  <c r="D426" i="3"/>
  <c r="E426" i="3"/>
  <c r="B427" i="3"/>
  <c r="C427" i="3"/>
  <c r="D427" i="3"/>
  <c r="E427" i="3"/>
  <c r="B428" i="3"/>
  <c r="C428" i="3"/>
  <c r="D428" i="3"/>
  <c r="E428" i="3"/>
  <c r="B429" i="3"/>
  <c r="C429" i="3"/>
  <c r="D429" i="3"/>
  <c r="E429" i="3"/>
  <c r="B430" i="3"/>
  <c r="C430" i="3"/>
  <c r="D430" i="3"/>
  <c r="E430" i="3"/>
  <c r="B431" i="3"/>
  <c r="C431" i="3"/>
  <c r="D431" i="3"/>
  <c r="E431" i="3"/>
  <c r="B432" i="3"/>
  <c r="C432" i="3"/>
  <c r="D432" i="3"/>
  <c r="E432" i="3"/>
  <c r="B433" i="3"/>
  <c r="C433" i="3"/>
  <c r="D433" i="3"/>
  <c r="E433" i="3"/>
  <c r="B434" i="3"/>
  <c r="C434" i="3"/>
  <c r="D434" i="3"/>
  <c r="E434" i="3"/>
  <c r="B435" i="3"/>
  <c r="C435" i="3"/>
  <c r="D435" i="3"/>
  <c r="E435" i="3"/>
  <c r="B436" i="3"/>
  <c r="C436" i="3"/>
  <c r="D436" i="3"/>
  <c r="E436" i="3"/>
  <c r="B437" i="3"/>
  <c r="C437" i="3"/>
  <c r="D437" i="3"/>
  <c r="E437" i="3"/>
  <c r="B438" i="3"/>
  <c r="C438" i="3"/>
  <c r="D438" i="3"/>
  <c r="E438" i="3"/>
  <c r="B439" i="3"/>
  <c r="C439" i="3"/>
  <c r="D439" i="3"/>
  <c r="E439" i="3"/>
  <c r="B440" i="3"/>
  <c r="C440" i="3"/>
  <c r="D440" i="3"/>
  <c r="E440" i="3"/>
  <c r="B441" i="3"/>
  <c r="C441" i="3"/>
  <c r="D441" i="3"/>
  <c r="E441" i="3"/>
  <c r="B442" i="3"/>
  <c r="C442" i="3"/>
  <c r="D442" i="3"/>
  <c r="E442" i="3"/>
  <c r="B443" i="3"/>
  <c r="C443" i="3"/>
  <c r="D443" i="3"/>
  <c r="E443" i="3"/>
  <c r="B444" i="3"/>
  <c r="C444" i="3"/>
  <c r="D444" i="3"/>
  <c r="E444" i="3"/>
  <c r="B445" i="3"/>
  <c r="C445" i="3"/>
  <c r="D445" i="3"/>
  <c r="E445" i="3"/>
  <c r="B446" i="3"/>
  <c r="C446" i="3"/>
  <c r="D446" i="3"/>
  <c r="E446" i="3"/>
  <c r="B447" i="3"/>
  <c r="C447" i="3"/>
  <c r="D447" i="3"/>
  <c r="E447" i="3"/>
  <c r="B448" i="3"/>
  <c r="C448" i="3"/>
  <c r="D448" i="3"/>
  <c r="E448" i="3"/>
  <c r="B449" i="3"/>
  <c r="C449" i="3"/>
  <c r="D449" i="3"/>
  <c r="E449" i="3"/>
  <c r="B450" i="3"/>
  <c r="C450" i="3"/>
  <c r="D450" i="3"/>
  <c r="E450" i="3"/>
  <c r="B451" i="3"/>
  <c r="C451" i="3"/>
  <c r="D451" i="3"/>
  <c r="E451" i="3"/>
  <c r="B452" i="3"/>
  <c r="C452" i="3"/>
  <c r="D452" i="3"/>
  <c r="E452" i="3"/>
  <c r="B453" i="3"/>
  <c r="C453" i="3"/>
  <c r="D453" i="3"/>
  <c r="E453" i="3"/>
  <c r="B454" i="3"/>
  <c r="C454" i="3"/>
  <c r="D454" i="3"/>
  <c r="E454" i="3"/>
  <c r="B455" i="3"/>
  <c r="C455" i="3"/>
  <c r="D455" i="3"/>
  <c r="E455" i="3"/>
  <c r="B456" i="3"/>
  <c r="C456" i="3"/>
  <c r="D456" i="3"/>
  <c r="E456" i="3"/>
  <c r="B457" i="3"/>
  <c r="C457" i="3"/>
  <c r="D457" i="3"/>
  <c r="E457" i="3"/>
  <c r="B458" i="3"/>
  <c r="C458" i="3"/>
  <c r="D458" i="3"/>
  <c r="E458" i="3"/>
  <c r="B459" i="3"/>
  <c r="C459" i="3"/>
  <c r="D459" i="3"/>
  <c r="E459" i="3"/>
  <c r="B460" i="3"/>
  <c r="C460" i="3"/>
  <c r="D460" i="3"/>
  <c r="E460" i="3"/>
  <c r="B461" i="3"/>
  <c r="C461" i="3"/>
  <c r="D461" i="3"/>
  <c r="E461" i="3"/>
  <c r="B462" i="3"/>
  <c r="C462" i="3"/>
  <c r="D462" i="3"/>
  <c r="E462" i="3"/>
  <c r="B463" i="3"/>
  <c r="C463" i="3"/>
  <c r="D463" i="3"/>
  <c r="E463" i="3"/>
  <c r="B464" i="3"/>
  <c r="C464" i="3"/>
  <c r="D464" i="3"/>
  <c r="E464" i="3"/>
  <c r="B465" i="3"/>
  <c r="C465" i="3"/>
  <c r="D465" i="3"/>
  <c r="E465" i="3"/>
  <c r="B466" i="3"/>
  <c r="C466" i="3"/>
  <c r="D466" i="3"/>
  <c r="E466" i="3"/>
  <c r="B467" i="3"/>
  <c r="C467" i="3"/>
  <c r="D467" i="3"/>
  <c r="E467" i="3"/>
  <c r="B468" i="3"/>
  <c r="C468" i="3"/>
  <c r="D468" i="3"/>
  <c r="E468" i="3"/>
  <c r="B469" i="3"/>
  <c r="C469" i="3"/>
  <c r="D469" i="3"/>
  <c r="E469" i="3"/>
  <c r="B470" i="3"/>
  <c r="C470" i="3"/>
  <c r="D470" i="3"/>
  <c r="E470" i="3"/>
  <c r="B471" i="3"/>
  <c r="C471" i="3"/>
  <c r="D471" i="3"/>
  <c r="E471" i="3"/>
  <c r="B472" i="3"/>
  <c r="C472" i="3"/>
  <c r="D472" i="3"/>
  <c r="E472" i="3"/>
  <c r="B473" i="3"/>
  <c r="C473" i="3"/>
  <c r="D473" i="3"/>
  <c r="E473" i="3"/>
  <c r="B474" i="3"/>
  <c r="C474" i="3"/>
  <c r="D474" i="3"/>
  <c r="E474" i="3"/>
  <c r="B475" i="3"/>
  <c r="C475" i="3"/>
  <c r="D475" i="3"/>
  <c r="E475" i="3"/>
  <c r="B476" i="3"/>
  <c r="C476" i="3"/>
  <c r="D476" i="3"/>
  <c r="E476" i="3"/>
  <c r="B477" i="3"/>
  <c r="C477" i="3"/>
  <c r="D477" i="3"/>
  <c r="E477" i="3"/>
  <c r="B478" i="3"/>
  <c r="C478" i="3"/>
  <c r="D478" i="3"/>
  <c r="E478" i="3"/>
  <c r="B479" i="3"/>
  <c r="C479" i="3"/>
  <c r="D479" i="3"/>
  <c r="E479" i="3"/>
  <c r="B480" i="3"/>
  <c r="C480" i="3"/>
  <c r="D480" i="3"/>
  <c r="E480" i="3"/>
  <c r="B481" i="3"/>
  <c r="C481" i="3"/>
  <c r="D481" i="3"/>
  <c r="E481" i="3"/>
  <c r="B482" i="3"/>
  <c r="C482" i="3"/>
  <c r="D482" i="3"/>
  <c r="E482" i="3"/>
  <c r="B483" i="3"/>
  <c r="C483" i="3"/>
  <c r="D483" i="3"/>
  <c r="E483" i="3"/>
  <c r="B484" i="3"/>
  <c r="C484" i="3"/>
  <c r="D484" i="3"/>
  <c r="E484" i="3"/>
  <c r="B485" i="3"/>
  <c r="C485" i="3"/>
  <c r="D485" i="3"/>
  <c r="E485" i="3"/>
  <c r="B486" i="3"/>
  <c r="C486" i="3"/>
  <c r="D486" i="3"/>
  <c r="E486" i="3"/>
  <c r="B487" i="3"/>
  <c r="C487" i="3"/>
  <c r="D487" i="3"/>
  <c r="E487" i="3"/>
  <c r="B488" i="3"/>
  <c r="C488" i="3"/>
  <c r="D488" i="3"/>
  <c r="E488" i="3"/>
  <c r="B489" i="3"/>
  <c r="C489" i="3"/>
  <c r="D489" i="3"/>
  <c r="E489" i="3"/>
  <c r="B490" i="3"/>
  <c r="C490" i="3"/>
  <c r="D490" i="3"/>
  <c r="E490" i="3"/>
  <c r="B491" i="3"/>
  <c r="C491" i="3"/>
  <c r="D491" i="3"/>
  <c r="E491" i="3"/>
  <c r="B492" i="3"/>
  <c r="C492" i="3"/>
  <c r="D492" i="3"/>
  <c r="E492" i="3"/>
  <c r="B493" i="3"/>
  <c r="C493" i="3"/>
  <c r="D493" i="3"/>
  <c r="E493" i="3"/>
  <c r="B494" i="3"/>
  <c r="C494" i="3"/>
  <c r="D494" i="3"/>
  <c r="E494" i="3"/>
  <c r="B495" i="3"/>
  <c r="C495" i="3"/>
  <c r="D495" i="3"/>
  <c r="E495" i="3"/>
  <c r="B496" i="3"/>
  <c r="C496" i="3"/>
  <c r="D496" i="3"/>
  <c r="E496" i="3"/>
  <c r="B497" i="3"/>
  <c r="C497" i="3"/>
  <c r="D497" i="3"/>
  <c r="E497" i="3"/>
  <c r="B498" i="3"/>
  <c r="C498" i="3"/>
  <c r="D498" i="3"/>
  <c r="E498" i="3"/>
  <c r="B499" i="3"/>
  <c r="C499" i="3"/>
  <c r="D499" i="3"/>
  <c r="E499" i="3"/>
  <c r="B500" i="3"/>
  <c r="C500" i="3"/>
  <c r="D500" i="3"/>
  <c r="E500" i="3"/>
  <c r="B501" i="3"/>
  <c r="C501" i="3"/>
  <c r="D501" i="3"/>
  <c r="E501" i="3"/>
  <c r="B502" i="3"/>
  <c r="C502" i="3"/>
  <c r="D502" i="3"/>
  <c r="E502" i="3"/>
  <c r="B503" i="3"/>
  <c r="C503" i="3"/>
  <c r="D503" i="3"/>
  <c r="E503" i="3"/>
  <c r="B504" i="3"/>
  <c r="C504" i="3"/>
  <c r="D504" i="3"/>
  <c r="E504" i="3"/>
  <c r="B505" i="3"/>
  <c r="C505" i="3"/>
  <c r="D505" i="3"/>
  <c r="E505" i="3"/>
  <c r="B506" i="3"/>
  <c r="C506" i="3"/>
  <c r="D506" i="3"/>
  <c r="E506" i="3"/>
  <c r="B507" i="3"/>
  <c r="C507" i="3"/>
  <c r="D507" i="3"/>
  <c r="E507" i="3"/>
  <c r="B508" i="3"/>
  <c r="C508" i="3"/>
  <c r="D508" i="3"/>
  <c r="E508" i="3"/>
  <c r="B509" i="3"/>
  <c r="C509" i="3"/>
  <c r="D509" i="3"/>
  <c r="E509" i="3"/>
  <c r="B510" i="3"/>
  <c r="C510" i="3"/>
  <c r="D510" i="3"/>
  <c r="E510" i="3"/>
  <c r="B511" i="3"/>
  <c r="C511" i="3"/>
  <c r="D511" i="3"/>
  <c r="E511" i="3"/>
  <c r="B512" i="3"/>
  <c r="C512" i="3"/>
  <c r="D512" i="3"/>
  <c r="E512" i="3"/>
  <c r="B513" i="3"/>
  <c r="C513" i="3"/>
  <c r="D513" i="3"/>
  <c r="E513" i="3"/>
  <c r="B514" i="3"/>
  <c r="C514" i="3"/>
  <c r="D514" i="3"/>
  <c r="E514" i="3"/>
  <c r="B515" i="3"/>
  <c r="C515" i="3"/>
  <c r="D515" i="3"/>
  <c r="E515" i="3"/>
  <c r="B516" i="3"/>
  <c r="C516" i="3"/>
  <c r="D516" i="3"/>
  <c r="E516" i="3"/>
  <c r="B517" i="3"/>
  <c r="C517" i="3"/>
  <c r="D517" i="3"/>
  <c r="E517" i="3"/>
  <c r="B518" i="3"/>
  <c r="C518" i="3"/>
  <c r="D518" i="3"/>
  <c r="E518" i="3"/>
  <c r="B519" i="3"/>
  <c r="C519" i="3"/>
  <c r="D519" i="3"/>
  <c r="E519" i="3"/>
  <c r="B520" i="3"/>
  <c r="C520" i="3"/>
  <c r="D520" i="3"/>
  <c r="E520" i="3"/>
  <c r="B521" i="3"/>
  <c r="C521" i="3"/>
  <c r="D521" i="3"/>
  <c r="E521" i="3"/>
  <c r="B522" i="3"/>
  <c r="C522" i="3"/>
  <c r="D522" i="3"/>
  <c r="E522" i="3"/>
  <c r="B523" i="3"/>
  <c r="C523" i="3"/>
  <c r="D523" i="3"/>
  <c r="E523" i="3"/>
  <c r="B524" i="3"/>
  <c r="C524" i="3"/>
  <c r="D524" i="3"/>
  <c r="E524" i="3"/>
  <c r="B525" i="3"/>
  <c r="C525" i="3"/>
  <c r="D525" i="3"/>
  <c r="E525" i="3"/>
  <c r="B526" i="3"/>
  <c r="C526" i="3"/>
  <c r="D526" i="3"/>
  <c r="E526" i="3"/>
  <c r="B527" i="3"/>
  <c r="C527" i="3"/>
  <c r="D527" i="3"/>
  <c r="E527" i="3"/>
  <c r="B528" i="3"/>
  <c r="C528" i="3"/>
  <c r="D528" i="3"/>
  <c r="E528" i="3"/>
  <c r="B529" i="3"/>
  <c r="C529" i="3"/>
  <c r="D529" i="3"/>
  <c r="E529" i="3"/>
  <c r="B530" i="3"/>
  <c r="C530" i="3"/>
  <c r="D530" i="3"/>
  <c r="E530" i="3"/>
  <c r="B531" i="3"/>
  <c r="C531" i="3"/>
  <c r="D531" i="3"/>
  <c r="E531" i="3"/>
  <c r="B532" i="3"/>
  <c r="C532" i="3"/>
  <c r="D532" i="3"/>
  <c r="E532" i="3"/>
  <c r="B533" i="3"/>
  <c r="C533" i="3"/>
  <c r="D533" i="3"/>
  <c r="E533" i="3"/>
  <c r="B534" i="3"/>
  <c r="C534" i="3"/>
  <c r="D534" i="3"/>
  <c r="E534" i="3"/>
  <c r="B535" i="3"/>
  <c r="C535" i="3"/>
  <c r="D535" i="3"/>
  <c r="E535" i="3"/>
  <c r="B536" i="3"/>
  <c r="C536" i="3"/>
  <c r="D536" i="3"/>
  <c r="E536" i="3"/>
  <c r="B537" i="3"/>
  <c r="C537" i="3"/>
  <c r="D537" i="3"/>
  <c r="E537" i="3"/>
  <c r="B538" i="3"/>
  <c r="C538" i="3"/>
  <c r="D538" i="3"/>
  <c r="E538" i="3"/>
  <c r="B539" i="3"/>
  <c r="C539" i="3"/>
  <c r="D539" i="3"/>
  <c r="E539" i="3"/>
  <c r="B540" i="3"/>
  <c r="C540" i="3"/>
  <c r="D540" i="3"/>
  <c r="E540" i="3"/>
  <c r="B541" i="3"/>
  <c r="C541" i="3"/>
  <c r="D541" i="3"/>
  <c r="E541" i="3"/>
  <c r="B542" i="3"/>
  <c r="C542" i="3"/>
  <c r="D542" i="3"/>
  <c r="E542" i="3"/>
  <c r="B543" i="3"/>
  <c r="C543" i="3"/>
  <c r="D543" i="3"/>
  <c r="E543" i="3"/>
  <c r="B544" i="3"/>
  <c r="C544" i="3"/>
  <c r="D544" i="3"/>
  <c r="E544" i="3"/>
  <c r="B545" i="3"/>
  <c r="C545" i="3"/>
  <c r="D545" i="3"/>
  <c r="E545" i="3"/>
  <c r="B546" i="3"/>
  <c r="C546" i="3"/>
  <c r="D546" i="3"/>
  <c r="E546" i="3"/>
  <c r="B547" i="3"/>
  <c r="C547" i="3"/>
  <c r="D547" i="3"/>
  <c r="E547" i="3"/>
  <c r="B548" i="3"/>
  <c r="C548" i="3"/>
  <c r="D548" i="3"/>
  <c r="E548" i="3"/>
  <c r="B549" i="3"/>
  <c r="C549" i="3"/>
  <c r="D549" i="3"/>
  <c r="E549" i="3"/>
  <c r="B550" i="3"/>
  <c r="C550" i="3"/>
  <c r="D550" i="3"/>
  <c r="E550" i="3"/>
  <c r="B551" i="3"/>
  <c r="C551" i="3"/>
  <c r="D551" i="3"/>
  <c r="E551" i="3"/>
  <c r="B552" i="3"/>
  <c r="C552" i="3"/>
  <c r="D552" i="3"/>
  <c r="E552" i="3"/>
  <c r="B553" i="3"/>
  <c r="C553" i="3"/>
  <c r="D553" i="3"/>
  <c r="E553" i="3"/>
  <c r="B554" i="3"/>
  <c r="C554" i="3"/>
  <c r="D554" i="3"/>
  <c r="E554" i="3"/>
  <c r="B555" i="3"/>
  <c r="C555" i="3"/>
  <c r="D555" i="3"/>
  <c r="E555" i="3"/>
  <c r="B556" i="3"/>
  <c r="C556" i="3"/>
  <c r="D556" i="3"/>
  <c r="E556" i="3"/>
  <c r="B557" i="3"/>
  <c r="C557" i="3"/>
  <c r="D557" i="3"/>
  <c r="E557" i="3"/>
  <c r="B558" i="3"/>
  <c r="C558" i="3"/>
  <c r="D558" i="3"/>
  <c r="E558" i="3"/>
  <c r="B559" i="3"/>
  <c r="C559" i="3"/>
  <c r="D559" i="3"/>
  <c r="E559" i="3"/>
  <c r="B560" i="3"/>
  <c r="C560" i="3"/>
  <c r="D560" i="3"/>
  <c r="E560" i="3"/>
  <c r="B561" i="3"/>
  <c r="C561" i="3"/>
  <c r="D561" i="3"/>
  <c r="E561" i="3"/>
  <c r="B562" i="3"/>
  <c r="C562" i="3"/>
  <c r="D562" i="3"/>
  <c r="E562" i="3"/>
  <c r="B563" i="3"/>
  <c r="C563" i="3"/>
  <c r="D563" i="3"/>
  <c r="E563" i="3"/>
  <c r="B564" i="3"/>
  <c r="C564" i="3"/>
  <c r="D564" i="3"/>
  <c r="E564" i="3"/>
  <c r="B565" i="3"/>
  <c r="C565" i="3"/>
  <c r="D565" i="3"/>
  <c r="E565" i="3"/>
  <c r="B566" i="3"/>
  <c r="C566" i="3"/>
  <c r="D566" i="3"/>
  <c r="E566" i="3"/>
  <c r="B567" i="3"/>
  <c r="C567" i="3"/>
  <c r="D567" i="3"/>
  <c r="E567" i="3"/>
  <c r="B568" i="3"/>
  <c r="C568" i="3"/>
  <c r="D568" i="3"/>
  <c r="E568" i="3"/>
  <c r="B569" i="3"/>
  <c r="C569" i="3"/>
  <c r="D569" i="3"/>
  <c r="E569" i="3"/>
  <c r="B570" i="3"/>
  <c r="C570" i="3"/>
  <c r="D570" i="3"/>
  <c r="E570" i="3"/>
  <c r="B571" i="3"/>
  <c r="C571" i="3"/>
  <c r="D571" i="3"/>
  <c r="E571" i="3"/>
  <c r="B572" i="3"/>
  <c r="C572" i="3"/>
  <c r="D572" i="3"/>
  <c r="E572" i="3"/>
  <c r="B573" i="3"/>
  <c r="C573" i="3"/>
  <c r="D573" i="3"/>
  <c r="E573" i="3"/>
  <c r="B574" i="3"/>
  <c r="C574" i="3"/>
  <c r="D574" i="3"/>
  <c r="E574" i="3"/>
  <c r="B575" i="3"/>
  <c r="C575" i="3"/>
  <c r="D575" i="3"/>
  <c r="E575" i="3"/>
  <c r="B576" i="3"/>
  <c r="C576" i="3"/>
  <c r="D576" i="3"/>
  <c r="E576" i="3"/>
  <c r="B577" i="3"/>
  <c r="C577" i="3"/>
  <c r="D577" i="3"/>
  <c r="E577" i="3"/>
  <c r="B578" i="3"/>
  <c r="C578" i="3"/>
  <c r="D578" i="3"/>
  <c r="E578" i="3"/>
  <c r="B579" i="3"/>
  <c r="C579" i="3"/>
  <c r="D579" i="3"/>
  <c r="E579" i="3"/>
  <c r="B580" i="3"/>
  <c r="C580" i="3"/>
  <c r="D580" i="3"/>
  <c r="E580" i="3"/>
  <c r="B581" i="3"/>
  <c r="C581" i="3"/>
  <c r="D581" i="3"/>
  <c r="E581" i="3"/>
  <c r="B582" i="3"/>
  <c r="C582" i="3"/>
  <c r="D582" i="3"/>
  <c r="E582" i="3"/>
  <c r="B583" i="3"/>
  <c r="C583" i="3"/>
  <c r="D583" i="3"/>
  <c r="E583" i="3"/>
  <c r="B584" i="3"/>
  <c r="C584" i="3"/>
  <c r="D584" i="3"/>
  <c r="E584" i="3"/>
  <c r="B585" i="3"/>
  <c r="C585" i="3"/>
  <c r="D585" i="3"/>
  <c r="E585" i="3"/>
  <c r="B586" i="3"/>
  <c r="C586" i="3"/>
  <c r="D586" i="3"/>
  <c r="E586" i="3"/>
  <c r="B587" i="3"/>
  <c r="C587" i="3"/>
  <c r="D587" i="3"/>
  <c r="E587" i="3"/>
  <c r="B588" i="3"/>
  <c r="C588" i="3"/>
  <c r="D588" i="3"/>
  <c r="E588" i="3"/>
  <c r="B589" i="3"/>
  <c r="C589" i="3"/>
  <c r="D589" i="3"/>
  <c r="E589" i="3"/>
  <c r="B590" i="3"/>
  <c r="C590" i="3"/>
  <c r="D590" i="3"/>
  <c r="E590" i="3"/>
  <c r="B591" i="3"/>
  <c r="C591" i="3"/>
  <c r="D591" i="3"/>
  <c r="E591" i="3"/>
  <c r="B592" i="3"/>
  <c r="C592" i="3"/>
  <c r="D592" i="3"/>
  <c r="E592" i="3"/>
  <c r="B593" i="3"/>
  <c r="C593" i="3"/>
  <c r="D593" i="3"/>
  <c r="E593" i="3"/>
  <c r="B594" i="3"/>
  <c r="C594" i="3"/>
  <c r="D594" i="3"/>
  <c r="E594" i="3"/>
  <c r="B595" i="3"/>
  <c r="C595" i="3"/>
  <c r="D595" i="3"/>
  <c r="E595" i="3"/>
  <c r="B596" i="3"/>
  <c r="C596" i="3"/>
  <c r="D596" i="3"/>
  <c r="E596" i="3"/>
  <c r="B597" i="3"/>
  <c r="C597" i="3"/>
  <c r="D597" i="3"/>
  <c r="E597" i="3"/>
  <c r="B598" i="3"/>
  <c r="C598" i="3"/>
  <c r="D598" i="3"/>
  <c r="E598" i="3"/>
  <c r="B599" i="3"/>
  <c r="C599" i="3"/>
  <c r="D599" i="3"/>
  <c r="E599" i="3"/>
  <c r="B600" i="3"/>
  <c r="C600" i="3"/>
  <c r="D600" i="3"/>
  <c r="E600" i="3"/>
  <c r="B601" i="3"/>
  <c r="C601" i="3"/>
  <c r="D601" i="3"/>
  <c r="E601" i="3"/>
  <c r="B602" i="3"/>
  <c r="C602" i="3"/>
  <c r="D602" i="3"/>
  <c r="E602" i="3"/>
  <c r="B603" i="3"/>
  <c r="C603" i="3"/>
  <c r="D603" i="3"/>
  <c r="E603" i="3"/>
  <c r="B604" i="3"/>
  <c r="C604" i="3"/>
  <c r="D604" i="3"/>
  <c r="E604" i="3"/>
  <c r="B605" i="3"/>
  <c r="C605" i="3"/>
  <c r="D605" i="3"/>
  <c r="E605" i="3"/>
  <c r="B606" i="3"/>
  <c r="C606" i="3"/>
  <c r="D606" i="3"/>
  <c r="E606" i="3"/>
  <c r="B607" i="3"/>
  <c r="C607" i="3"/>
  <c r="D607" i="3"/>
  <c r="E607" i="3"/>
  <c r="B608" i="3"/>
  <c r="C608" i="3"/>
  <c r="D608" i="3"/>
  <c r="E608" i="3"/>
  <c r="B609" i="3"/>
  <c r="C609" i="3"/>
  <c r="D609" i="3"/>
  <c r="E609" i="3"/>
  <c r="B610" i="3"/>
  <c r="C610" i="3"/>
  <c r="D610" i="3"/>
  <c r="E610" i="3"/>
  <c r="B611" i="3"/>
  <c r="C611" i="3"/>
  <c r="D611" i="3"/>
  <c r="E611" i="3"/>
  <c r="B612" i="3"/>
  <c r="C612" i="3"/>
  <c r="D612" i="3"/>
  <c r="E612" i="3"/>
  <c r="B613" i="3"/>
  <c r="C613" i="3"/>
  <c r="D613" i="3"/>
  <c r="E613" i="3"/>
  <c r="B614" i="3"/>
  <c r="C614" i="3"/>
  <c r="D614" i="3"/>
  <c r="E614" i="3"/>
  <c r="B615" i="3"/>
  <c r="C615" i="3"/>
  <c r="D615" i="3"/>
  <c r="E615" i="3"/>
  <c r="B616" i="3"/>
  <c r="C616" i="3"/>
  <c r="D616" i="3"/>
  <c r="E616" i="3"/>
  <c r="B617" i="3"/>
  <c r="C617" i="3"/>
  <c r="D617" i="3"/>
  <c r="E617" i="3"/>
  <c r="B618" i="3"/>
  <c r="C618" i="3"/>
  <c r="D618" i="3"/>
  <c r="E618" i="3"/>
  <c r="B619" i="3"/>
  <c r="C619" i="3"/>
  <c r="D619" i="3"/>
  <c r="E619" i="3"/>
  <c r="B620" i="3"/>
  <c r="C620" i="3"/>
  <c r="D620" i="3"/>
  <c r="E620" i="3"/>
  <c r="B621" i="3"/>
  <c r="C621" i="3"/>
  <c r="D621" i="3"/>
  <c r="E621" i="3"/>
  <c r="B622" i="3"/>
  <c r="C622" i="3"/>
  <c r="D622" i="3"/>
  <c r="E622" i="3"/>
  <c r="B623" i="3"/>
  <c r="C623" i="3"/>
  <c r="D623" i="3"/>
  <c r="E623" i="3"/>
  <c r="B624" i="3"/>
  <c r="C624" i="3"/>
  <c r="D624" i="3"/>
  <c r="E624" i="3"/>
  <c r="B625" i="3"/>
  <c r="C625" i="3"/>
  <c r="D625" i="3"/>
  <c r="E625" i="3"/>
  <c r="B626" i="3"/>
  <c r="C626" i="3"/>
  <c r="D626" i="3"/>
  <c r="E626" i="3"/>
  <c r="B627" i="3"/>
  <c r="C627" i="3"/>
  <c r="D627" i="3"/>
  <c r="E627" i="3"/>
  <c r="B628" i="3"/>
  <c r="C628" i="3"/>
  <c r="D628" i="3"/>
  <c r="E628" i="3"/>
  <c r="B629" i="3"/>
  <c r="C629" i="3"/>
  <c r="D629" i="3"/>
  <c r="E629" i="3"/>
  <c r="B630" i="3"/>
  <c r="C630" i="3"/>
  <c r="D630" i="3"/>
  <c r="E630" i="3"/>
  <c r="B631" i="3"/>
  <c r="C631" i="3"/>
  <c r="D631" i="3"/>
  <c r="E631" i="3"/>
  <c r="B632" i="3"/>
  <c r="C632" i="3"/>
  <c r="D632" i="3"/>
  <c r="E632" i="3"/>
  <c r="B633" i="3"/>
  <c r="C633" i="3"/>
  <c r="D633" i="3"/>
  <c r="E633" i="3"/>
  <c r="B634" i="3"/>
  <c r="C634" i="3"/>
  <c r="D634" i="3"/>
  <c r="E634" i="3"/>
  <c r="B635" i="3"/>
  <c r="C635" i="3"/>
  <c r="D635" i="3"/>
  <c r="E635" i="3"/>
  <c r="B636" i="3"/>
  <c r="C636" i="3"/>
  <c r="D636" i="3"/>
  <c r="E636" i="3"/>
  <c r="B637" i="3"/>
  <c r="C637" i="3"/>
  <c r="D637" i="3"/>
  <c r="E637" i="3"/>
  <c r="B638" i="3"/>
  <c r="C638" i="3"/>
  <c r="D638" i="3"/>
  <c r="E638" i="3"/>
  <c r="B639" i="3"/>
  <c r="C639" i="3"/>
  <c r="D639" i="3"/>
  <c r="E639" i="3"/>
  <c r="B640" i="3"/>
  <c r="C640" i="3"/>
  <c r="D640" i="3"/>
  <c r="E640" i="3"/>
  <c r="B641" i="3"/>
  <c r="C641" i="3"/>
  <c r="D641" i="3"/>
  <c r="E641" i="3"/>
  <c r="B642" i="3"/>
  <c r="C642" i="3"/>
  <c r="D642" i="3"/>
  <c r="E642" i="3"/>
  <c r="B643" i="3"/>
  <c r="C643" i="3"/>
  <c r="D643" i="3"/>
  <c r="E643" i="3"/>
  <c r="B644" i="3"/>
  <c r="C644" i="3"/>
  <c r="D644" i="3"/>
  <c r="E644" i="3"/>
  <c r="B645" i="3"/>
  <c r="C645" i="3"/>
  <c r="D645" i="3"/>
  <c r="E645" i="3"/>
  <c r="B646" i="3"/>
  <c r="C646" i="3"/>
  <c r="D646" i="3"/>
  <c r="E646" i="3"/>
  <c r="B647" i="3"/>
  <c r="C647" i="3"/>
  <c r="D647" i="3"/>
  <c r="E647" i="3"/>
  <c r="B648" i="3"/>
  <c r="C648" i="3"/>
  <c r="D648" i="3"/>
  <c r="E648" i="3"/>
  <c r="B649" i="3"/>
  <c r="C649" i="3"/>
  <c r="D649" i="3"/>
  <c r="E649" i="3"/>
  <c r="B650" i="3"/>
  <c r="C650" i="3"/>
  <c r="D650" i="3"/>
  <c r="E650" i="3"/>
  <c r="B651" i="3"/>
  <c r="C651" i="3"/>
  <c r="D651" i="3"/>
  <c r="E651" i="3"/>
  <c r="B652" i="3"/>
  <c r="C652" i="3"/>
  <c r="D652" i="3"/>
  <c r="E652" i="3"/>
  <c r="B653" i="3"/>
  <c r="C653" i="3"/>
  <c r="D653" i="3"/>
  <c r="E653" i="3"/>
  <c r="B654" i="3"/>
  <c r="C654" i="3"/>
  <c r="D654" i="3"/>
  <c r="E654" i="3"/>
  <c r="B655" i="3"/>
  <c r="C655" i="3"/>
  <c r="D655" i="3"/>
  <c r="E655" i="3"/>
  <c r="B656" i="3"/>
  <c r="C656" i="3"/>
  <c r="D656" i="3"/>
  <c r="E656" i="3"/>
  <c r="B657" i="3"/>
  <c r="C657" i="3"/>
  <c r="D657" i="3"/>
  <c r="E657" i="3"/>
  <c r="B658" i="3"/>
  <c r="C658" i="3"/>
  <c r="D658" i="3"/>
  <c r="E658" i="3"/>
  <c r="B659" i="3"/>
  <c r="C659" i="3"/>
  <c r="D659" i="3"/>
  <c r="E659" i="3"/>
  <c r="B660" i="3"/>
  <c r="C660" i="3"/>
  <c r="D660" i="3"/>
  <c r="E660" i="3"/>
  <c r="B661" i="3"/>
  <c r="C661" i="3"/>
  <c r="D661" i="3"/>
  <c r="E661" i="3"/>
  <c r="B662" i="3"/>
  <c r="C662" i="3"/>
  <c r="D662" i="3"/>
  <c r="E662" i="3"/>
  <c r="B663" i="3"/>
  <c r="C663" i="3"/>
  <c r="D663" i="3"/>
  <c r="E663" i="3"/>
  <c r="B664" i="3"/>
  <c r="C664" i="3"/>
  <c r="D664" i="3"/>
  <c r="E664" i="3"/>
  <c r="B665" i="3"/>
  <c r="C665" i="3"/>
  <c r="D665" i="3"/>
  <c r="E665" i="3"/>
  <c r="B666" i="3"/>
  <c r="C666" i="3"/>
  <c r="D666" i="3"/>
  <c r="E666" i="3"/>
  <c r="B667" i="3"/>
  <c r="C667" i="3"/>
  <c r="D667" i="3"/>
  <c r="E667" i="3"/>
  <c r="B668" i="3"/>
  <c r="C668" i="3"/>
  <c r="D668" i="3"/>
  <c r="E668" i="3"/>
  <c r="B669" i="3"/>
  <c r="C669" i="3"/>
  <c r="D669" i="3"/>
  <c r="E669" i="3"/>
  <c r="B670" i="3"/>
  <c r="C670" i="3"/>
  <c r="D670" i="3"/>
  <c r="E670" i="3"/>
  <c r="B671" i="3"/>
  <c r="C671" i="3"/>
  <c r="D671" i="3"/>
  <c r="E671" i="3"/>
  <c r="B672" i="3"/>
  <c r="C672" i="3"/>
  <c r="D672" i="3"/>
  <c r="E672" i="3"/>
  <c r="B673" i="3"/>
  <c r="C673" i="3"/>
  <c r="D673" i="3"/>
  <c r="E673" i="3"/>
  <c r="B674" i="3"/>
  <c r="C674" i="3"/>
  <c r="D674" i="3"/>
  <c r="E674" i="3"/>
  <c r="B675" i="3"/>
  <c r="C675" i="3"/>
  <c r="D675" i="3"/>
  <c r="E675" i="3"/>
  <c r="B676" i="3"/>
  <c r="C676" i="3"/>
  <c r="D676" i="3"/>
  <c r="E676" i="3"/>
  <c r="B677" i="3"/>
  <c r="C677" i="3"/>
  <c r="D677" i="3"/>
  <c r="E677" i="3"/>
  <c r="B678" i="3"/>
  <c r="C678" i="3"/>
  <c r="D678" i="3"/>
  <c r="E678" i="3"/>
  <c r="B679" i="3"/>
  <c r="C679" i="3"/>
  <c r="D679" i="3"/>
  <c r="E679" i="3"/>
  <c r="B680" i="3"/>
  <c r="C680" i="3"/>
  <c r="D680" i="3"/>
  <c r="E680" i="3"/>
  <c r="B681" i="3"/>
  <c r="C681" i="3"/>
  <c r="D681" i="3"/>
  <c r="E681" i="3"/>
  <c r="B682" i="3"/>
  <c r="C682" i="3"/>
  <c r="D682" i="3"/>
  <c r="E682" i="3"/>
  <c r="B683" i="3"/>
  <c r="C683" i="3"/>
  <c r="D683" i="3"/>
  <c r="E683" i="3"/>
  <c r="B684" i="3"/>
  <c r="C684" i="3"/>
  <c r="D684" i="3"/>
  <c r="E684" i="3"/>
  <c r="B685" i="3"/>
  <c r="C685" i="3"/>
  <c r="D685" i="3"/>
  <c r="E685" i="3"/>
  <c r="B686" i="3"/>
  <c r="C686" i="3"/>
  <c r="D686" i="3"/>
  <c r="E686" i="3"/>
  <c r="B687" i="3"/>
  <c r="C687" i="3"/>
  <c r="D687" i="3"/>
  <c r="E687" i="3"/>
  <c r="B688" i="3"/>
  <c r="C688" i="3"/>
  <c r="D688" i="3"/>
  <c r="E688" i="3"/>
  <c r="B689" i="3"/>
  <c r="C689" i="3"/>
  <c r="D689" i="3"/>
  <c r="E689" i="3"/>
  <c r="B690" i="3"/>
  <c r="C690" i="3"/>
  <c r="D690" i="3"/>
  <c r="E690" i="3"/>
  <c r="B691" i="3"/>
  <c r="C691" i="3"/>
  <c r="D691" i="3"/>
  <c r="E691" i="3"/>
  <c r="B692" i="3"/>
  <c r="C692" i="3"/>
  <c r="D692" i="3"/>
  <c r="E692" i="3"/>
  <c r="B693" i="3"/>
  <c r="C693" i="3"/>
  <c r="D693" i="3"/>
  <c r="E693" i="3"/>
  <c r="B694" i="3"/>
  <c r="C694" i="3"/>
  <c r="D694" i="3"/>
  <c r="E694" i="3"/>
  <c r="B695" i="3"/>
  <c r="C695" i="3"/>
  <c r="D695" i="3"/>
  <c r="E695" i="3"/>
  <c r="B696" i="3"/>
  <c r="C696" i="3"/>
  <c r="D696" i="3"/>
  <c r="E696" i="3"/>
  <c r="B697" i="3"/>
  <c r="C697" i="3"/>
  <c r="D697" i="3"/>
  <c r="E697" i="3"/>
  <c r="B698" i="3"/>
  <c r="C698" i="3"/>
  <c r="D698" i="3"/>
  <c r="E698" i="3"/>
  <c r="B699" i="3"/>
  <c r="C699" i="3"/>
  <c r="D699" i="3"/>
  <c r="E699" i="3"/>
  <c r="B700" i="3"/>
  <c r="C700" i="3"/>
  <c r="D700" i="3"/>
  <c r="E700" i="3"/>
  <c r="B701" i="3"/>
  <c r="C701" i="3"/>
  <c r="D701" i="3"/>
  <c r="E701" i="3"/>
  <c r="B702" i="3"/>
  <c r="C702" i="3"/>
  <c r="D702" i="3"/>
  <c r="E702" i="3"/>
  <c r="B703" i="3"/>
  <c r="C703" i="3"/>
  <c r="D703" i="3"/>
  <c r="E703" i="3"/>
  <c r="B704" i="3"/>
  <c r="C704" i="3"/>
  <c r="D704" i="3"/>
  <c r="E704" i="3"/>
  <c r="B705" i="3"/>
  <c r="C705" i="3"/>
  <c r="D705" i="3"/>
  <c r="E705" i="3"/>
  <c r="B706" i="3"/>
  <c r="C706" i="3"/>
  <c r="D706" i="3"/>
  <c r="E706" i="3"/>
  <c r="B707" i="3"/>
  <c r="C707" i="3"/>
  <c r="D707" i="3"/>
  <c r="E707" i="3"/>
  <c r="B708" i="3"/>
  <c r="C708" i="3"/>
  <c r="D708" i="3"/>
  <c r="E708" i="3"/>
  <c r="B709" i="3"/>
  <c r="C709" i="3"/>
  <c r="D709" i="3"/>
  <c r="E709" i="3"/>
  <c r="B710" i="3"/>
  <c r="C710" i="3"/>
  <c r="D710" i="3"/>
  <c r="E710" i="3"/>
  <c r="B711" i="3"/>
  <c r="C711" i="3"/>
  <c r="D711" i="3"/>
  <c r="E711" i="3"/>
  <c r="B712" i="3"/>
  <c r="C712" i="3"/>
  <c r="D712" i="3"/>
  <c r="E712" i="3"/>
  <c r="B713" i="3"/>
  <c r="C713" i="3"/>
  <c r="D713" i="3"/>
  <c r="E713" i="3"/>
  <c r="B714" i="3"/>
  <c r="C714" i="3"/>
  <c r="D714" i="3"/>
  <c r="E714" i="3"/>
  <c r="B715" i="3"/>
  <c r="C715" i="3"/>
  <c r="D715" i="3"/>
  <c r="E715" i="3"/>
  <c r="B716" i="3"/>
  <c r="C716" i="3"/>
  <c r="D716" i="3"/>
  <c r="E716" i="3"/>
  <c r="B717" i="3"/>
  <c r="C717" i="3"/>
  <c r="D717" i="3"/>
  <c r="E717" i="3"/>
  <c r="B718" i="3"/>
  <c r="C718" i="3"/>
  <c r="D718" i="3"/>
  <c r="E718" i="3"/>
  <c r="B719" i="3"/>
  <c r="C719" i="3"/>
  <c r="D719" i="3"/>
  <c r="E719" i="3"/>
  <c r="B720" i="3"/>
  <c r="C720" i="3"/>
  <c r="D720" i="3"/>
  <c r="E720" i="3"/>
  <c r="B721" i="3"/>
  <c r="C721" i="3"/>
  <c r="D721" i="3"/>
  <c r="E721" i="3"/>
  <c r="B722" i="3"/>
  <c r="C722" i="3"/>
  <c r="D722" i="3"/>
  <c r="E722" i="3"/>
  <c r="B723" i="3"/>
  <c r="C723" i="3"/>
  <c r="D723" i="3"/>
  <c r="E723" i="3"/>
  <c r="B724" i="3"/>
  <c r="C724" i="3"/>
  <c r="D724" i="3"/>
  <c r="E724" i="3"/>
  <c r="B725" i="3"/>
  <c r="C725" i="3"/>
  <c r="D725" i="3"/>
  <c r="E725" i="3"/>
  <c r="B726" i="3"/>
  <c r="C726" i="3"/>
  <c r="D726" i="3"/>
  <c r="E726" i="3"/>
  <c r="B727" i="3"/>
  <c r="C727" i="3"/>
  <c r="D727" i="3"/>
  <c r="E727" i="3"/>
  <c r="B728" i="3"/>
  <c r="C728" i="3"/>
  <c r="D728" i="3"/>
  <c r="E728" i="3"/>
  <c r="B729" i="3"/>
  <c r="C729" i="3"/>
  <c r="D729" i="3"/>
  <c r="E729" i="3"/>
  <c r="B730" i="3"/>
  <c r="C730" i="3"/>
  <c r="D730" i="3"/>
  <c r="E730" i="3"/>
  <c r="B731" i="3"/>
  <c r="C731" i="3"/>
  <c r="D731" i="3"/>
  <c r="E731" i="3"/>
  <c r="B732" i="3"/>
  <c r="C732" i="3"/>
  <c r="D732" i="3"/>
  <c r="E732" i="3"/>
  <c r="B733" i="3"/>
  <c r="C733" i="3"/>
  <c r="D733" i="3"/>
  <c r="E733" i="3"/>
  <c r="B734" i="3"/>
  <c r="C734" i="3"/>
  <c r="D734" i="3"/>
  <c r="E734" i="3"/>
  <c r="B735" i="3"/>
  <c r="C735" i="3"/>
  <c r="D735" i="3"/>
  <c r="E735" i="3"/>
  <c r="B736" i="3"/>
  <c r="C736" i="3"/>
  <c r="D736" i="3"/>
  <c r="E736" i="3"/>
  <c r="B737" i="3"/>
  <c r="C737" i="3"/>
  <c r="D737" i="3"/>
  <c r="E737" i="3"/>
  <c r="B738" i="3"/>
  <c r="C738" i="3"/>
  <c r="D738" i="3"/>
  <c r="E738" i="3"/>
  <c r="B739" i="3"/>
  <c r="C739" i="3"/>
  <c r="D739" i="3"/>
  <c r="E739" i="3"/>
  <c r="B740" i="3"/>
  <c r="C740" i="3"/>
  <c r="D740" i="3"/>
  <c r="E740" i="3"/>
  <c r="B741" i="3"/>
  <c r="C741" i="3"/>
  <c r="D741" i="3"/>
  <c r="E741" i="3"/>
  <c r="B742" i="3"/>
  <c r="C742" i="3"/>
  <c r="D742" i="3"/>
  <c r="E742" i="3"/>
  <c r="B743" i="3"/>
  <c r="C743" i="3"/>
  <c r="D743" i="3"/>
  <c r="E743" i="3"/>
  <c r="B744" i="3"/>
  <c r="C744" i="3"/>
  <c r="D744" i="3"/>
  <c r="E744" i="3"/>
  <c r="B745" i="3"/>
  <c r="C745" i="3"/>
  <c r="D745" i="3"/>
  <c r="E745" i="3"/>
  <c r="B746" i="3"/>
  <c r="C746" i="3"/>
  <c r="D746" i="3"/>
  <c r="E746" i="3"/>
  <c r="B747" i="3"/>
  <c r="C747" i="3"/>
  <c r="D747" i="3"/>
  <c r="E747" i="3"/>
  <c r="B748" i="3"/>
  <c r="C748" i="3"/>
  <c r="D748" i="3"/>
  <c r="E748" i="3"/>
  <c r="B749" i="3"/>
  <c r="C749" i="3"/>
  <c r="D749" i="3"/>
  <c r="E749" i="3"/>
  <c r="B750" i="3"/>
  <c r="C750" i="3"/>
  <c r="D750" i="3"/>
  <c r="E750" i="3"/>
  <c r="B751" i="3"/>
  <c r="C751" i="3"/>
  <c r="D751" i="3"/>
  <c r="E751" i="3"/>
  <c r="B752" i="3"/>
  <c r="C752" i="3"/>
  <c r="D752" i="3"/>
  <c r="E752" i="3"/>
  <c r="B753" i="3"/>
  <c r="C753" i="3"/>
  <c r="D753" i="3"/>
  <c r="E753" i="3"/>
  <c r="B754" i="3"/>
  <c r="C754" i="3"/>
  <c r="D754" i="3"/>
  <c r="E754" i="3"/>
  <c r="B755" i="3"/>
  <c r="C755" i="3"/>
  <c r="D755" i="3"/>
  <c r="E755" i="3"/>
  <c r="B756" i="3"/>
  <c r="C756" i="3"/>
  <c r="D756" i="3"/>
  <c r="E756" i="3"/>
  <c r="B757" i="3"/>
  <c r="C757" i="3"/>
  <c r="D757" i="3"/>
  <c r="E757" i="3"/>
  <c r="B758" i="3"/>
  <c r="C758" i="3"/>
  <c r="D758" i="3"/>
  <c r="E758" i="3"/>
  <c r="B759" i="3"/>
  <c r="C759" i="3"/>
  <c r="D759" i="3"/>
  <c r="E759" i="3"/>
  <c r="B760" i="3"/>
  <c r="C760" i="3"/>
  <c r="D760" i="3"/>
  <c r="E760" i="3"/>
  <c r="B761" i="3"/>
  <c r="C761" i="3"/>
  <c r="D761" i="3"/>
  <c r="E761" i="3"/>
  <c r="B762" i="3"/>
  <c r="C762" i="3"/>
  <c r="D762" i="3"/>
  <c r="E762" i="3"/>
  <c r="B763" i="3"/>
  <c r="C763" i="3"/>
  <c r="D763" i="3"/>
  <c r="E763" i="3"/>
  <c r="B764" i="3"/>
  <c r="C764" i="3"/>
  <c r="D764" i="3"/>
  <c r="E764" i="3"/>
  <c r="B765" i="3"/>
  <c r="C765" i="3"/>
  <c r="D765" i="3"/>
  <c r="E765" i="3"/>
  <c r="B766" i="3"/>
  <c r="C766" i="3"/>
  <c r="D766" i="3"/>
  <c r="E766" i="3"/>
  <c r="B767" i="3"/>
  <c r="C767" i="3"/>
  <c r="D767" i="3"/>
  <c r="E767" i="3"/>
  <c r="B768" i="3"/>
  <c r="C768" i="3"/>
  <c r="D768" i="3"/>
  <c r="E768" i="3"/>
  <c r="B769" i="3"/>
  <c r="C769" i="3"/>
  <c r="D769" i="3"/>
  <c r="E769" i="3"/>
  <c r="B770" i="3"/>
  <c r="C770" i="3"/>
  <c r="D770" i="3"/>
  <c r="E770" i="3"/>
  <c r="B771" i="3"/>
  <c r="C771" i="3"/>
  <c r="D771" i="3"/>
  <c r="E771" i="3"/>
  <c r="B772" i="3"/>
  <c r="C772" i="3"/>
  <c r="D772" i="3"/>
  <c r="E772" i="3"/>
  <c r="B773" i="3"/>
  <c r="C773" i="3"/>
  <c r="D773" i="3"/>
  <c r="E773" i="3"/>
  <c r="B774" i="3"/>
  <c r="C774" i="3"/>
  <c r="D774" i="3"/>
  <c r="E774" i="3"/>
  <c r="B775" i="3"/>
  <c r="C775" i="3"/>
  <c r="D775" i="3"/>
  <c r="E775" i="3"/>
  <c r="B776" i="3"/>
  <c r="C776" i="3"/>
  <c r="D776" i="3"/>
  <c r="E776" i="3"/>
  <c r="B777" i="3"/>
  <c r="C777" i="3"/>
  <c r="D777" i="3"/>
  <c r="E777" i="3"/>
  <c r="B778" i="3"/>
  <c r="C778" i="3"/>
  <c r="D778" i="3"/>
  <c r="E778" i="3"/>
  <c r="B779" i="3"/>
  <c r="C779" i="3"/>
  <c r="D779" i="3"/>
  <c r="E779" i="3"/>
  <c r="B780" i="3"/>
  <c r="C780" i="3"/>
  <c r="D780" i="3"/>
  <c r="E780" i="3"/>
  <c r="B781" i="3"/>
  <c r="C781" i="3"/>
  <c r="D781" i="3"/>
  <c r="E781" i="3"/>
  <c r="B782" i="3"/>
  <c r="C782" i="3"/>
  <c r="D782" i="3"/>
  <c r="E782" i="3"/>
  <c r="B783" i="3"/>
  <c r="C783" i="3"/>
  <c r="D783" i="3"/>
  <c r="E783" i="3"/>
  <c r="B784" i="3"/>
  <c r="C784" i="3"/>
  <c r="D784" i="3"/>
  <c r="E784" i="3"/>
  <c r="B785" i="3"/>
  <c r="C785" i="3"/>
  <c r="D785" i="3"/>
  <c r="E785" i="3"/>
  <c r="B786" i="3"/>
  <c r="C786" i="3"/>
  <c r="D786" i="3"/>
  <c r="E786" i="3"/>
  <c r="B787" i="3"/>
  <c r="C787" i="3"/>
  <c r="D787" i="3"/>
  <c r="E787" i="3"/>
  <c r="B788" i="3"/>
  <c r="C788" i="3"/>
  <c r="D788" i="3"/>
  <c r="E788" i="3"/>
  <c r="B789" i="3"/>
  <c r="C789" i="3"/>
  <c r="D789" i="3"/>
  <c r="E789" i="3"/>
  <c r="B790" i="3"/>
  <c r="C790" i="3"/>
  <c r="D790" i="3"/>
  <c r="E790" i="3"/>
  <c r="B791" i="3"/>
  <c r="C791" i="3"/>
  <c r="D791" i="3"/>
  <c r="E791" i="3"/>
  <c r="B792" i="3"/>
  <c r="C792" i="3"/>
  <c r="D792" i="3"/>
  <c r="E792" i="3"/>
  <c r="B793" i="3"/>
  <c r="C793" i="3"/>
  <c r="D793" i="3"/>
  <c r="E793" i="3"/>
  <c r="B794" i="3"/>
  <c r="C794" i="3"/>
  <c r="D794" i="3"/>
  <c r="E794" i="3"/>
  <c r="B795" i="3"/>
  <c r="C795" i="3"/>
  <c r="D795" i="3"/>
  <c r="E795" i="3"/>
  <c r="B796" i="3"/>
  <c r="C796" i="3"/>
  <c r="D796" i="3"/>
  <c r="E796" i="3"/>
  <c r="B797" i="3"/>
  <c r="C797" i="3"/>
  <c r="D797" i="3"/>
  <c r="E797" i="3"/>
  <c r="B798" i="3"/>
  <c r="C798" i="3"/>
  <c r="D798" i="3"/>
  <c r="E798" i="3"/>
  <c r="B799" i="3"/>
  <c r="C799" i="3"/>
  <c r="D799" i="3"/>
  <c r="E799" i="3"/>
  <c r="B800" i="3"/>
  <c r="C800" i="3"/>
  <c r="D800" i="3"/>
  <c r="E800" i="3"/>
  <c r="B801" i="3"/>
  <c r="C801" i="3"/>
  <c r="D801" i="3"/>
  <c r="E801" i="3"/>
  <c r="B802" i="3"/>
  <c r="C802" i="3"/>
  <c r="D802" i="3"/>
  <c r="E802" i="3"/>
  <c r="B803" i="3"/>
  <c r="C803" i="3"/>
  <c r="D803" i="3"/>
  <c r="E803" i="3"/>
  <c r="B804" i="3"/>
  <c r="C804" i="3"/>
  <c r="D804" i="3"/>
  <c r="E804" i="3"/>
  <c r="B805" i="3"/>
  <c r="C805" i="3"/>
  <c r="D805" i="3"/>
  <c r="E805" i="3"/>
  <c r="B806" i="3"/>
  <c r="C806" i="3"/>
  <c r="D806" i="3"/>
  <c r="E806" i="3"/>
  <c r="B807" i="3"/>
  <c r="C807" i="3"/>
  <c r="D807" i="3"/>
  <c r="E807" i="3"/>
  <c r="B808" i="3"/>
  <c r="C808" i="3"/>
  <c r="D808" i="3"/>
  <c r="E808" i="3"/>
  <c r="B809" i="3"/>
  <c r="C809" i="3"/>
  <c r="D809" i="3"/>
  <c r="E809" i="3"/>
  <c r="B810" i="3"/>
  <c r="C810" i="3"/>
  <c r="D810" i="3"/>
  <c r="E810" i="3"/>
  <c r="B811" i="3"/>
  <c r="C811" i="3"/>
  <c r="D811" i="3"/>
  <c r="E811" i="3"/>
  <c r="B812" i="3"/>
  <c r="C812" i="3"/>
  <c r="D812" i="3"/>
  <c r="E812" i="3"/>
  <c r="B813" i="3"/>
  <c r="C813" i="3"/>
  <c r="D813" i="3"/>
  <c r="E813" i="3"/>
  <c r="B814" i="3"/>
  <c r="C814" i="3"/>
  <c r="D814" i="3"/>
  <c r="E814" i="3"/>
  <c r="B815" i="3"/>
  <c r="C815" i="3"/>
  <c r="D815" i="3"/>
  <c r="E815" i="3"/>
  <c r="B816" i="3"/>
  <c r="C816" i="3"/>
  <c r="D816" i="3"/>
  <c r="E816" i="3"/>
  <c r="B817" i="3"/>
  <c r="C817" i="3"/>
  <c r="D817" i="3"/>
  <c r="E817" i="3"/>
  <c r="B818" i="3"/>
  <c r="C818" i="3"/>
  <c r="D818" i="3"/>
  <c r="E818" i="3"/>
  <c r="B819" i="3"/>
  <c r="C819" i="3"/>
  <c r="D819" i="3"/>
  <c r="E819" i="3"/>
  <c r="B820" i="3"/>
  <c r="C820" i="3"/>
  <c r="D820" i="3"/>
  <c r="E820" i="3"/>
  <c r="B821" i="3"/>
  <c r="C821" i="3"/>
  <c r="D821" i="3"/>
  <c r="E821" i="3"/>
  <c r="B822" i="3"/>
  <c r="C822" i="3"/>
  <c r="D822" i="3"/>
  <c r="E822" i="3"/>
  <c r="B823" i="3"/>
  <c r="C823" i="3"/>
  <c r="D823" i="3"/>
  <c r="E823" i="3"/>
  <c r="B824" i="3"/>
  <c r="C824" i="3"/>
  <c r="D824" i="3"/>
  <c r="E824" i="3"/>
  <c r="B825" i="3"/>
  <c r="C825" i="3"/>
  <c r="D825" i="3"/>
  <c r="E825" i="3"/>
  <c r="B826" i="3"/>
  <c r="C826" i="3"/>
  <c r="D826" i="3"/>
  <c r="E826" i="3"/>
  <c r="B827" i="3"/>
  <c r="C827" i="3"/>
  <c r="D827" i="3"/>
  <c r="E827" i="3"/>
  <c r="B828" i="3"/>
  <c r="C828" i="3"/>
  <c r="D828" i="3"/>
  <c r="E828" i="3"/>
  <c r="B829" i="3"/>
  <c r="C829" i="3"/>
  <c r="D829" i="3"/>
  <c r="E829" i="3"/>
  <c r="B830" i="3"/>
  <c r="C830" i="3"/>
  <c r="D830" i="3"/>
  <c r="E830" i="3"/>
  <c r="B831" i="3"/>
  <c r="C831" i="3"/>
  <c r="D831" i="3"/>
  <c r="E831" i="3"/>
  <c r="B832" i="3"/>
  <c r="C832" i="3"/>
  <c r="D832" i="3"/>
  <c r="E832" i="3"/>
  <c r="B833" i="3"/>
  <c r="C833" i="3"/>
  <c r="D833" i="3"/>
  <c r="E833" i="3"/>
  <c r="B834" i="3"/>
  <c r="C834" i="3"/>
  <c r="D834" i="3"/>
  <c r="E834" i="3"/>
  <c r="B835" i="3"/>
  <c r="C835" i="3"/>
  <c r="D835" i="3"/>
  <c r="E835" i="3"/>
  <c r="B836" i="3"/>
  <c r="C836" i="3"/>
  <c r="D836" i="3"/>
  <c r="E836" i="3"/>
  <c r="B837" i="3"/>
  <c r="C837" i="3"/>
  <c r="D837" i="3"/>
  <c r="E837" i="3"/>
  <c r="B838" i="3"/>
  <c r="C838" i="3"/>
  <c r="D838" i="3"/>
  <c r="E838" i="3"/>
  <c r="B839" i="3"/>
  <c r="C839" i="3"/>
  <c r="D839" i="3"/>
  <c r="E839" i="3"/>
  <c r="B840" i="3"/>
  <c r="C840" i="3"/>
  <c r="D840" i="3"/>
  <c r="E840" i="3"/>
  <c r="B841" i="3"/>
  <c r="C841" i="3"/>
  <c r="D841" i="3"/>
  <c r="E841" i="3"/>
  <c r="B842" i="3"/>
  <c r="C842" i="3"/>
  <c r="D842" i="3"/>
  <c r="E842" i="3"/>
  <c r="B843" i="3"/>
  <c r="C843" i="3"/>
  <c r="D843" i="3"/>
  <c r="E843" i="3"/>
  <c r="B844" i="3"/>
  <c r="C844" i="3"/>
  <c r="D844" i="3"/>
  <c r="E844" i="3"/>
  <c r="B845" i="3"/>
  <c r="C845" i="3"/>
  <c r="D845" i="3"/>
  <c r="E845" i="3"/>
  <c r="B846" i="3"/>
  <c r="C846" i="3"/>
  <c r="D846" i="3"/>
  <c r="E846" i="3"/>
  <c r="B847" i="3"/>
  <c r="C847" i="3"/>
  <c r="D847" i="3"/>
  <c r="E847" i="3"/>
  <c r="B848" i="3"/>
  <c r="C848" i="3"/>
  <c r="D848" i="3"/>
  <c r="E848" i="3"/>
  <c r="B849" i="3"/>
  <c r="C849" i="3"/>
  <c r="D849" i="3"/>
  <c r="E849" i="3"/>
  <c r="B850" i="3"/>
  <c r="C850" i="3"/>
  <c r="D850" i="3"/>
  <c r="E850" i="3"/>
  <c r="B851" i="3"/>
  <c r="C851" i="3"/>
  <c r="D851" i="3"/>
  <c r="E851" i="3"/>
  <c r="B852" i="3"/>
  <c r="C852" i="3"/>
  <c r="D852" i="3"/>
  <c r="E852" i="3"/>
  <c r="B853" i="3"/>
  <c r="C853" i="3"/>
  <c r="D853" i="3"/>
  <c r="E853" i="3"/>
  <c r="B854" i="3"/>
  <c r="C854" i="3"/>
  <c r="D854" i="3"/>
  <c r="E854" i="3"/>
  <c r="B855" i="3"/>
  <c r="C855" i="3"/>
  <c r="D855" i="3"/>
  <c r="E855" i="3"/>
  <c r="B856" i="3"/>
  <c r="C856" i="3"/>
  <c r="D856" i="3"/>
  <c r="E856" i="3"/>
  <c r="B857" i="3"/>
  <c r="C857" i="3"/>
  <c r="D857" i="3"/>
  <c r="E857" i="3"/>
  <c r="B858" i="3"/>
  <c r="C858" i="3"/>
  <c r="D858" i="3"/>
  <c r="E858" i="3"/>
  <c r="B859" i="3"/>
  <c r="C859" i="3"/>
  <c r="D859" i="3"/>
  <c r="E859" i="3"/>
  <c r="B860" i="3"/>
  <c r="C860" i="3"/>
  <c r="D860" i="3"/>
  <c r="E860" i="3"/>
  <c r="B861" i="3"/>
  <c r="C861" i="3"/>
  <c r="D861" i="3"/>
  <c r="E861" i="3"/>
  <c r="B862" i="3"/>
  <c r="C862" i="3"/>
  <c r="D862" i="3"/>
  <c r="E862" i="3"/>
  <c r="B863" i="3"/>
  <c r="C863" i="3"/>
  <c r="D863" i="3"/>
  <c r="E863" i="3"/>
  <c r="B864" i="3"/>
  <c r="C864" i="3"/>
  <c r="D864" i="3"/>
  <c r="E864" i="3"/>
  <c r="B865" i="3"/>
  <c r="C865" i="3"/>
  <c r="D865" i="3"/>
  <c r="E865" i="3"/>
  <c r="B866" i="3"/>
  <c r="C866" i="3"/>
  <c r="D866" i="3"/>
  <c r="E866" i="3"/>
  <c r="B867" i="3"/>
  <c r="C867" i="3"/>
  <c r="D867" i="3"/>
  <c r="E867" i="3"/>
  <c r="B868" i="3"/>
  <c r="C868" i="3"/>
  <c r="D868" i="3"/>
  <c r="E868" i="3"/>
  <c r="B869" i="3"/>
  <c r="C869" i="3"/>
  <c r="D869" i="3"/>
  <c r="E869" i="3"/>
  <c r="B870" i="3"/>
  <c r="C870" i="3"/>
  <c r="D870" i="3"/>
  <c r="E870" i="3"/>
  <c r="B871" i="3"/>
  <c r="C871" i="3"/>
  <c r="D871" i="3"/>
  <c r="E871" i="3"/>
  <c r="B872" i="3"/>
  <c r="C872" i="3"/>
  <c r="D872" i="3"/>
  <c r="E872" i="3"/>
  <c r="B873" i="3"/>
  <c r="C873" i="3"/>
  <c r="D873" i="3"/>
  <c r="E873" i="3"/>
  <c r="B874" i="3"/>
  <c r="C874" i="3"/>
  <c r="D874" i="3"/>
  <c r="E874" i="3"/>
  <c r="B875" i="3"/>
  <c r="C875" i="3"/>
  <c r="D875" i="3"/>
  <c r="E875" i="3"/>
  <c r="B876" i="3"/>
  <c r="C876" i="3"/>
  <c r="D876" i="3"/>
  <c r="E876" i="3"/>
  <c r="B877" i="3"/>
  <c r="C877" i="3"/>
  <c r="D877" i="3"/>
  <c r="E877" i="3"/>
  <c r="B878" i="3"/>
  <c r="C878" i="3"/>
  <c r="D878" i="3"/>
  <c r="E878" i="3"/>
  <c r="B879" i="3"/>
  <c r="C879" i="3"/>
  <c r="D879" i="3"/>
  <c r="E879" i="3"/>
  <c r="B880" i="3"/>
  <c r="C880" i="3"/>
  <c r="D880" i="3"/>
  <c r="E880" i="3"/>
  <c r="B881" i="3"/>
  <c r="C881" i="3"/>
  <c r="D881" i="3"/>
  <c r="E881" i="3"/>
  <c r="B882" i="3"/>
  <c r="C882" i="3"/>
  <c r="D882" i="3"/>
  <c r="E882" i="3"/>
  <c r="B883" i="3"/>
  <c r="C883" i="3"/>
  <c r="D883" i="3"/>
  <c r="E883" i="3"/>
  <c r="B884" i="3"/>
  <c r="C884" i="3"/>
  <c r="D884" i="3"/>
  <c r="E884" i="3"/>
  <c r="B885" i="3"/>
  <c r="C885" i="3"/>
  <c r="D885" i="3"/>
  <c r="E885" i="3"/>
  <c r="B886" i="3"/>
  <c r="C886" i="3"/>
  <c r="D886" i="3"/>
  <c r="E886" i="3"/>
  <c r="B887" i="3"/>
  <c r="C887" i="3"/>
  <c r="D887" i="3"/>
  <c r="E887" i="3"/>
  <c r="B888" i="3"/>
  <c r="C888" i="3"/>
  <c r="D888" i="3"/>
  <c r="E888" i="3"/>
  <c r="B889" i="3"/>
  <c r="C889" i="3"/>
  <c r="D889" i="3"/>
  <c r="E889" i="3"/>
  <c r="B890" i="3"/>
  <c r="C890" i="3"/>
  <c r="D890" i="3"/>
  <c r="E890" i="3"/>
  <c r="B891" i="3"/>
  <c r="C891" i="3"/>
  <c r="D891" i="3"/>
  <c r="E891" i="3"/>
  <c r="B892" i="3"/>
  <c r="C892" i="3"/>
  <c r="D892" i="3"/>
  <c r="E892" i="3"/>
  <c r="B893" i="3"/>
  <c r="C893" i="3"/>
  <c r="D893" i="3"/>
  <c r="E893" i="3"/>
  <c r="B894" i="3"/>
  <c r="C894" i="3"/>
  <c r="D894" i="3"/>
  <c r="E894" i="3"/>
  <c r="B895" i="3"/>
  <c r="C895" i="3"/>
  <c r="D895" i="3"/>
  <c r="E895" i="3"/>
  <c r="B896" i="3"/>
  <c r="C896" i="3"/>
  <c r="D896" i="3"/>
  <c r="E896" i="3"/>
  <c r="B897" i="3"/>
  <c r="C897" i="3"/>
  <c r="D897" i="3"/>
  <c r="E897" i="3"/>
  <c r="B898" i="3"/>
  <c r="C898" i="3"/>
  <c r="D898" i="3"/>
  <c r="E898" i="3"/>
  <c r="B899" i="3"/>
  <c r="C899" i="3"/>
  <c r="D899" i="3"/>
  <c r="E899" i="3"/>
  <c r="B900" i="3"/>
  <c r="C900" i="3"/>
  <c r="D900" i="3"/>
  <c r="E900" i="3"/>
  <c r="B901" i="3"/>
  <c r="C901" i="3"/>
  <c r="D901" i="3"/>
  <c r="E901" i="3"/>
  <c r="B902" i="3"/>
  <c r="C902" i="3"/>
  <c r="D902" i="3"/>
  <c r="E902" i="3"/>
  <c r="B903" i="3"/>
  <c r="C903" i="3"/>
  <c r="D903" i="3"/>
  <c r="E903" i="3"/>
  <c r="B904" i="3"/>
  <c r="C904" i="3"/>
  <c r="D904" i="3"/>
  <c r="E904" i="3"/>
  <c r="B905" i="3"/>
  <c r="C905" i="3"/>
  <c r="D905" i="3"/>
  <c r="E905" i="3"/>
  <c r="B906" i="3"/>
  <c r="C906" i="3"/>
  <c r="D906" i="3"/>
  <c r="E906" i="3"/>
  <c r="B907" i="3"/>
  <c r="C907" i="3"/>
  <c r="D907" i="3"/>
  <c r="E907" i="3"/>
  <c r="B908" i="3"/>
  <c r="C908" i="3"/>
  <c r="D908" i="3"/>
  <c r="E908" i="3"/>
  <c r="B909" i="3"/>
  <c r="C909" i="3"/>
  <c r="D909" i="3"/>
  <c r="E909" i="3"/>
  <c r="B910" i="3"/>
  <c r="C910" i="3"/>
  <c r="D910" i="3"/>
  <c r="E910" i="3"/>
  <c r="B911" i="3"/>
  <c r="C911" i="3"/>
  <c r="D911" i="3"/>
  <c r="E911" i="3"/>
  <c r="B912" i="3"/>
  <c r="C912" i="3"/>
  <c r="D912" i="3"/>
  <c r="E912" i="3"/>
  <c r="B913" i="3"/>
  <c r="C913" i="3"/>
  <c r="D913" i="3"/>
  <c r="E913" i="3"/>
  <c r="B914" i="3"/>
  <c r="C914" i="3"/>
  <c r="D914" i="3"/>
  <c r="E914" i="3"/>
  <c r="B915" i="3"/>
  <c r="C915" i="3"/>
  <c r="D915" i="3"/>
  <c r="E915" i="3"/>
  <c r="B916" i="3"/>
  <c r="C916" i="3"/>
  <c r="D916" i="3"/>
  <c r="E916" i="3"/>
  <c r="B917" i="3"/>
  <c r="C917" i="3"/>
  <c r="D917" i="3"/>
  <c r="E917" i="3"/>
  <c r="B918" i="3"/>
  <c r="C918" i="3"/>
  <c r="D918" i="3"/>
  <c r="E918" i="3"/>
  <c r="B919" i="3"/>
  <c r="C919" i="3"/>
  <c r="D919" i="3"/>
  <c r="E919" i="3"/>
  <c r="B920" i="3"/>
  <c r="C920" i="3"/>
  <c r="D920" i="3"/>
  <c r="E920" i="3"/>
  <c r="B921" i="3"/>
  <c r="C921" i="3"/>
  <c r="D921" i="3"/>
  <c r="E921" i="3"/>
  <c r="B922" i="3"/>
  <c r="C922" i="3"/>
  <c r="D922" i="3"/>
  <c r="E922" i="3"/>
  <c r="B923" i="3"/>
  <c r="C923" i="3"/>
  <c r="D923" i="3"/>
  <c r="E923" i="3"/>
  <c r="B924" i="3"/>
  <c r="C924" i="3"/>
  <c r="D924" i="3"/>
  <c r="E924" i="3"/>
  <c r="B925" i="3"/>
  <c r="C925" i="3"/>
  <c r="D925" i="3"/>
  <c r="E925" i="3"/>
  <c r="B926" i="3"/>
  <c r="C926" i="3"/>
  <c r="D926" i="3"/>
  <c r="E926" i="3"/>
  <c r="B927" i="3"/>
  <c r="C927" i="3"/>
  <c r="D927" i="3"/>
  <c r="E927" i="3"/>
  <c r="B928" i="3"/>
  <c r="C928" i="3"/>
  <c r="D928" i="3"/>
  <c r="E928" i="3"/>
  <c r="B929" i="3"/>
  <c r="C929" i="3"/>
  <c r="D929" i="3"/>
  <c r="E929" i="3"/>
  <c r="B930" i="3"/>
  <c r="C930" i="3"/>
  <c r="D930" i="3"/>
  <c r="E930" i="3"/>
  <c r="B931" i="3"/>
  <c r="C931" i="3"/>
  <c r="D931" i="3"/>
  <c r="E931" i="3"/>
  <c r="B932" i="3"/>
  <c r="C932" i="3"/>
  <c r="D932" i="3"/>
  <c r="E932" i="3"/>
  <c r="B933" i="3"/>
  <c r="C933" i="3"/>
  <c r="D933" i="3"/>
  <c r="E933" i="3"/>
  <c r="B934" i="3"/>
  <c r="C934" i="3"/>
  <c r="D934" i="3"/>
  <c r="E934" i="3"/>
  <c r="B935" i="3"/>
  <c r="C935" i="3"/>
  <c r="D935" i="3"/>
  <c r="E935" i="3"/>
  <c r="B936" i="3"/>
  <c r="C936" i="3"/>
  <c r="D936" i="3"/>
  <c r="E936" i="3"/>
  <c r="B937" i="3"/>
  <c r="C937" i="3"/>
  <c r="D937" i="3"/>
  <c r="E937" i="3"/>
  <c r="B938" i="3"/>
  <c r="C938" i="3"/>
  <c r="D938" i="3"/>
  <c r="E938" i="3"/>
  <c r="B939" i="3"/>
  <c r="C939" i="3"/>
  <c r="D939" i="3"/>
  <c r="E939" i="3"/>
  <c r="B940" i="3"/>
  <c r="C940" i="3"/>
  <c r="D940" i="3"/>
  <c r="E940" i="3"/>
  <c r="B941" i="3"/>
  <c r="C941" i="3"/>
  <c r="D941" i="3"/>
  <c r="E941" i="3"/>
  <c r="B942" i="3"/>
  <c r="C942" i="3"/>
  <c r="D942" i="3"/>
  <c r="E942" i="3"/>
  <c r="B943" i="3"/>
  <c r="C943" i="3"/>
  <c r="D943" i="3"/>
  <c r="E943" i="3"/>
  <c r="B944" i="3"/>
  <c r="C944" i="3"/>
  <c r="D944" i="3"/>
  <c r="E944" i="3"/>
  <c r="B945" i="3"/>
  <c r="C945" i="3"/>
  <c r="D945" i="3"/>
  <c r="E945" i="3"/>
  <c r="B946" i="3"/>
  <c r="C946" i="3"/>
  <c r="D946" i="3"/>
  <c r="E946" i="3"/>
  <c r="B947" i="3"/>
  <c r="C947" i="3"/>
  <c r="D947" i="3"/>
  <c r="E947" i="3"/>
  <c r="B948" i="3"/>
  <c r="C948" i="3"/>
  <c r="D948" i="3"/>
  <c r="E948" i="3"/>
  <c r="B949" i="3"/>
  <c r="C949" i="3"/>
  <c r="D949" i="3"/>
  <c r="E949" i="3"/>
  <c r="B950" i="3"/>
  <c r="C950" i="3"/>
  <c r="D950" i="3"/>
  <c r="E950" i="3"/>
  <c r="B951" i="3"/>
  <c r="C951" i="3"/>
  <c r="D951" i="3"/>
  <c r="E951" i="3"/>
  <c r="B952" i="3"/>
  <c r="C952" i="3"/>
  <c r="D952" i="3"/>
  <c r="E952" i="3"/>
  <c r="B953" i="3"/>
  <c r="C953" i="3"/>
  <c r="D953" i="3"/>
  <c r="E953" i="3"/>
  <c r="B954" i="3"/>
  <c r="C954" i="3"/>
  <c r="D954" i="3"/>
  <c r="E954" i="3"/>
  <c r="B955" i="3"/>
  <c r="C955" i="3"/>
  <c r="D955" i="3"/>
  <c r="E955" i="3"/>
  <c r="B956" i="3"/>
  <c r="C956" i="3"/>
  <c r="D956" i="3"/>
  <c r="E956" i="3"/>
  <c r="B957" i="3"/>
  <c r="C957" i="3"/>
  <c r="D957" i="3"/>
  <c r="E957" i="3"/>
  <c r="B958" i="3"/>
  <c r="C958" i="3"/>
  <c r="D958" i="3"/>
  <c r="E958" i="3"/>
  <c r="B959" i="3"/>
  <c r="C959" i="3"/>
  <c r="D959" i="3"/>
  <c r="E959" i="3"/>
  <c r="B960" i="3"/>
  <c r="C960" i="3"/>
  <c r="D960" i="3"/>
  <c r="E960" i="3"/>
  <c r="B961" i="3"/>
  <c r="C961" i="3"/>
  <c r="D961" i="3"/>
  <c r="E961" i="3"/>
  <c r="B962" i="3"/>
  <c r="C962" i="3"/>
  <c r="D962" i="3"/>
  <c r="E962" i="3"/>
  <c r="B963" i="3"/>
  <c r="C963" i="3"/>
  <c r="D963" i="3"/>
  <c r="E963" i="3"/>
  <c r="B964" i="3"/>
  <c r="C964" i="3"/>
  <c r="D964" i="3"/>
  <c r="E964" i="3"/>
  <c r="B965" i="3"/>
  <c r="C965" i="3"/>
  <c r="D965" i="3"/>
  <c r="E965" i="3"/>
  <c r="B966" i="3"/>
  <c r="C966" i="3"/>
  <c r="D966" i="3"/>
  <c r="E966" i="3"/>
  <c r="B967" i="3"/>
  <c r="C967" i="3"/>
  <c r="D967" i="3"/>
  <c r="E967" i="3"/>
  <c r="B968" i="3"/>
  <c r="C968" i="3"/>
  <c r="D968" i="3"/>
  <c r="E968" i="3"/>
  <c r="B969" i="3"/>
  <c r="C969" i="3"/>
  <c r="D969" i="3"/>
  <c r="E969" i="3"/>
  <c r="B970" i="3"/>
  <c r="C970" i="3"/>
  <c r="D970" i="3"/>
  <c r="E970" i="3"/>
  <c r="B971" i="3"/>
  <c r="C971" i="3"/>
  <c r="D971" i="3"/>
  <c r="E971" i="3"/>
  <c r="B972" i="3"/>
  <c r="C972" i="3"/>
  <c r="D972" i="3"/>
  <c r="E972" i="3"/>
  <c r="B973" i="3"/>
  <c r="C973" i="3"/>
  <c r="D973" i="3"/>
  <c r="E973" i="3"/>
  <c r="B974" i="3"/>
  <c r="C974" i="3"/>
  <c r="D974" i="3"/>
  <c r="E974" i="3"/>
  <c r="B975" i="3"/>
  <c r="C975" i="3"/>
  <c r="D975" i="3"/>
  <c r="E975" i="3"/>
  <c r="B976" i="3"/>
  <c r="C976" i="3"/>
  <c r="D976" i="3"/>
  <c r="E976" i="3"/>
  <c r="B977" i="3"/>
  <c r="C977" i="3"/>
  <c r="D977" i="3"/>
  <c r="E977" i="3"/>
  <c r="B978" i="3"/>
  <c r="C978" i="3"/>
  <c r="D978" i="3"/>
  <c r="E978" i="3"/>
  <c r="B979" i="3"/>
  <c r="C979" i="3"/>
  <c r="D979" i="3"/>
  <c r="E979" i="3"/>
  <c r="B980" i="3"/>
  <c r="C980" i="3"/>
  <c r="D980" i="3"/>
  <c r="E980" i="3"/>
  <c r="B981" i="3"/>
  <c r="C981" i="3"/>
  <c r="D981" i="3"/>
  <c r="E981" i="3"/>
  <c r="B982" i="3"/>
  <c r="C982" i="3"/>
  <c r="D982" i="3"/>
  <c r="E982" i="3"/>
  <c r="B983" i="3"/>
  <c r="C983" i="3"/>
  <c r="D983" i="3"/>
  <c r="E983" i="3"/>
  <c r="B984" i="3"/>
  <c r="C984" i="3"/>
  <c r="D984" i="3"/>
  <c r="E984" i="3"/>
  <c r="B985" i="3"/>
  <c r="C985" i="3"/>
  <c r="D985" i="3"/>
  <c r="E985" i="3"/>
  <c r="B986" i="3"/>
  <c r="C986" i="3"/>
  <c r="D986" i="3"/>
  <c r="E986" i="3"/>
  <c r="B987" i="3"/>
  <c r="C987" i="3"/>
  <c r="D987" i="3"/>
  <c r="E987" i="3"/>
  <c r="B988" i="3"/>
  <c r="C988" i="3"/>
  <c r="D988" i="3"/>
  <c r="E988" i="3"/>
  <c r="B989" i="3"/>
  <c r="C989" i="3"/>
  <c r="D989" i="3"/>
  <c r="E989" i="3"/>
  <c r="B990" i="3"/>
  <c r="C990" i="3"/>
  <c r="D990" i="3"/>
  <c r="E990" i="3"/>
  <c r="B991" i="3"/>
  <c r="C991" i="3"/>
  <c r="D991" i="3"/>
  <c r="E991" i="3"/>
  <c r="B992" i="3"/>
  <c r="C992" i="3"/>
  <c r="D992" i="3"/>
  <c r="E992" i="3"/>
  <c r="B993" i="3"/>
  <c r="C993" i="3"/>
  <c r="D993" i="3"/>
  <c r="E993" i="3"/>
  <c r="B994" i="3"/>
  <c r="C994" i="3"/>
  <c r="D994" i="3"/>
  <c r="E994" i="3"/>
  <c r="B995" i="3"/>
  <c r="C995" i="3"/>
  <c r="D995" i="3"/>
  <c r="E995" i="3"/>
  <c r="B996" i="3"/>
  <c r="C996" i="3"/>
  <c r="D996" i="3"/>
  <c r="E996" i="3"/>
  <c r="B997" i="3"/>
  <c r="C997" i="3"/>
  <c r="D997" i="3"/>
  <c r="E997" i="3"/>
  <c r="B998" i="3"/>
  <c r="C998" i="3"/>
  <c r="D998" i="3"/>
  <c r="E998" i="3"/>
  <c r="B999" i="3"/>
  <c r="C999" i="3"/>
  <c r="D999" i="3"/>
  <c r="E999" i="3"/>
  <c r="B1000" i="3"/>
  <c r="C1000" i="3"/>
  <c r="D1000" i="3"/>
  <c r="E1000" i="3"/>
  <c r="B1001" i="3"/>
  <c r="C1001" i="3"/>
  <c r="D1001" i="3"/>
  <c r="E1001" i="3"/>
  <c r="B1002" i="3"/>
  <c r="C1002" i="3"/>
  <c r="D1002" i="3"/>
  <c r="E1002" i="3"/>
  <c r="B1003" i="3"/>
  <c r="C1003" i="3"/>
  <c r="D1003" i="3"/>
  <c r="E1003" i="3"/>
  <c r="B1004" i="3"/>
  <c r="C1004" i="3"/>
  <c r="D1004" i="3"/>
  <c r="E1004" i="3"/>
  <c r="B1005" i="3"/>
  <c r="C1005" i="3"/>
  <c r="D1005" i="3"/>
  <c r="E1005" i="3"/>
  <c r="B1006" i="3"/>
  <c r="C1006" i="3"/>
  <c r="D1006" i="3"/>
  <c r="E1006" i="3"/>
  <c r="B1007" i="3"/>
  <c r="C1007" i="3"/>
  <c r="D1007" i="3"/>
  <c r="E1007" i="3"/>
  <c r="B1008" i="3"/>
  <c r="C1008" i="3"/>
  <c r="D1008" i="3"/>
  <c r="E1008" i="3"/>
  <c r="B1009" i="3"/>
  <c r="C1009" i="3"/>
  <c r="D1009" i="3"/>
  <c r="E1009" i="3"/>
  <c r="B1010" i="3"/>
  <c r="C1010" i="3"/>
  <c r="D1010" i="3"/>
  <c r="E1010" i="3"/>
  <c r="B1011" i="3"/>
  <c r="C1011" i="3"/>
  <c r="D1011" i="3"/>
  <c r="E1011" i="3"/>
  <c r="B1012" i="3"/>
  <c r="C1012" i="3"/>
  <c r="D1012" i="3"/>
  <c r="E1012" i="3"/>
  <c r="B1013" i="3"/>
  <c r="C1013" i="3"/>
  <c r="D1013" i="3"/>
  <c r="E1013" i="3"/>
  <c r="B1014" i="3"/>
  <c r="C1014" i="3"/>
  <c r="D1014" i="3"/>
  <c r="E1014" i="3"/>
  <c r="B1015" i="3"/>
  <c r="C1015" i="3"/>
  <c r="D1015" i="3"/>
  <c r="E1015" i="3"/>
  <c r="B1016" i="3"/>
  <c r="C1016" i="3"/>
  <c r="D1016" i="3"/>
  <c r="E1016" i="3"/>
  <c r="B1017" i="3"/>
  <c r="C1017" i="3"/>
  <c r="D1017" i="3"/>
  <c r="E1017" i="3"/>
  <c r="B1018" i="3"/>
  <c r="C1018" i="3"/>
  <c r="D1018" i="3"/>
  <c r="E1018" i="3"/>
  <c r="B1019" i="3"/>
  <c r="C1019" i="3"/>
  <c r="D1019" i="3"/>
  <c r="E1019" i="3"/>
  <c r="B1020" i="3"/>
  <c r="C1020" i="3"/>
  <c r="D1020" i="3"/>
  <c r="E1020" i="3"/>
  <c r="B1021" i="3"/>
  <c r="C1021" i="3"/>
  <c r="D1021" i="3"/>
  <c r="E1021" i="3"/>
  <c r="B1022" i="3"/>
  <c r="C1022" i="3"/>
  <c r="D1022" i="3"/>
  <c r="E1022" i="3"/>
  <c r="B1023" i="3"/>
  <c r="C1023" i="3"/>
  <c r="D1023" i="3"/>
  <c r="E1023" i="3"/>
  <c r="B1024" i="3"/>
  <c r="C1024" i="3"/>
  <c r="D1024" i="3"/>
  <c r="E1024" i="3"/>
  <c r="B1025" i="3"/>
  <c r="C1025" i="3"/>
  <c r="D1025" i="3"/>
  <c r="E1025" i="3"/>
  <c r="B1026" i="3"/>
  <c r="C1026" i="3"/>
  <c r="D1026" i="3"/>
  <c r="E1026" i="3"/>
  <c r="B1027" i="3"/>
  <c r="C1027" i="3"/>
  <c r="D1027" i="3"/>
  <c r="E1027" i="3"/>
  <c r="B1028" i="3"/>
  <c r="C1028" i="3"/>
  <c r="D1028" i="3"/>
  <c r="E1028" i="3"/>
  <c r="B1029" i="3"/>
  <c r="C1029" i="3"/>
  <c r="D1029" i="3"/>
  <c r="E1029" i="3"/>
  <c r="B1030" i="3"/>
  <c r="C1030" i="3"/>
  <c r="D1030" i="3"/>
  <c r="E1030" i="3"/>
  <c r="B1031" i="3"/>
  <c r="C1031" i="3"/>
  <c r="D1031" i="3"/>
  <c r="E1031" i="3"/>
  <c r="B1032" i="3"/>
  <c r="C1032" i="3"/>
  <c r="D1032" i="3"/>
  <c r="E1032" i="3"/>
  <c r="B1033" i="3"/>
  <c r="C1033" i="3"/>
  <c r="D1033" i="3"/>
  <c r="E1033" i="3"/>
  <c r="B1034" i="3"/>
  <c r="C1034" i="3"/>
  <c r="D1034" i="3"/>
  <c r="E1034" i="3"/>
  <c r="B1035" i="3"/>
  <c r="C1035" i="3"/>
  <c r="D1035" i="3"/>
  <c r="E1035" i="3"/>
  <c r="B1036" i="3"/>
  <c r="C1036" i="3"/>
  <c r="D1036" i="3"/>
  <c r="E1036" i="3"/>
  <c r="B1037" i="3"/>
  <c r="C1037" i="3"/>
  <c r="D1037" i="3"/>
  <c r="E1037" i="3"/>
  <c r="B1038" i="3"/>
  <c r="C1038" i="3"/>
  <c r="D1038" i="3"/>
  <c r="E1038" i="3"/>
  <c r="B1039" i="3"/>
  <c r="C1039" i="3"/>
  <c r="D1039" i="3"/>
  <c r="E1039" i="3"/>
  <c r="B1040" i="3"/>
  <c r="C1040" i="3"/>
  <c r="D1040" i="3"/>
  <c r="E1040" i="3"/>
  <c r="B1041" i="3"/>
  <c r="C1041" i="3"/>
  <c r="D1041" i="3"/>
  <c r="E1041" i="3"/>
  <c r="B1042" i="3"/>
  <c r="C1042" i="3"/>
  <c r="D1042" i="3"/>
  <c r="E1042" i="3"/>
  <c r="B1043" i="3"/>
  <c r="C1043" i="3"/>
  <c r="D1043" i="3"/>
  <c r="E1043" i="3"/>
  <c r="B1044" i="3"/>
  <c r="C1044" i="3"/>
  <c r="D1044" i="3"/>
  <c r="E1044" i="3"/>
  <c r="B1045" i="3"/>
  <c r="C1045" i="3"/>
  <c r="D1045" i="3"/>
  <c r="E1045" i="3"/>
  <c r="B1046" i="3"/>
  <c r="C1046" i="3"/>
  <c r="D1046" i="3"/>
  <c r="E1046" i="3"/>
  <c r="B1047" i="3"/>
  <c r="C1047" i="3"/>
  <c r="D1047" i="3"/>
  <c r="E1047" i="3"/>
  <c r="B1048" i="3"/>
  <c r="C1048" i="3"/>
  <c r="D1048" i="3"/>
  <c r="E1048" i="3"/>
  <c r="B1050" i="3"/>
  <c r="B1054" i="3"/>
  <c r="D1057" i="3"/>
  <c r="E1057" i="3"/>
  <c r="B1058" i="3"/>
  <c r="B1062" i="3"/>
  <c r="C1065" i="3"/>
  <c r="D1065" i="3"/>
  <c r="E1065" i="3"/>
  <c r="B1070" i="3"/>
  <c r="A1073" i="3"/>
  <c r="B1073" i="3"/>
  <c r="D1073" i="3"/>
  <c r="A1074" i="3"/>
  <c r="A1075" i="3"/>
  <c r="A1076" i="3" s="1"/>
  <c r="A1077" i="3" s="1"/>
  <c r="A1078" i="3" s="1"/>
  <c r="A1079" i="3" s="1"/>
  <c r="A1080" i="3" s="1"/>
  <c r="A1081" i="3" s="1"/>
  <c r="A1082" i="3" s="1"/>
  <c r="C1076" i="3"/>
  <c r="D1076" i="3"/>
  <c r="D1078" i="3"/>
  <c r="E1081" i="3"/>
  <c r="E1082" i="3"/>
  <c r="A1083" i="3"/>
  <c r="A1084" i="3" s="1"/>
  <c r="E1084" i="3"/>
  <c r="A1085" i="3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B1088" i="3"/>
  <c r="B1089" i="3"/>
  <c r="B1091" i="3"/>
  <c r="E1095" i="3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50" i="2"/>
  <c r="C1050" i="2"/>
  <c r="D1050" i="2"/>
  <c r="E1050" i="2"/>
  <c r="F1050" i="2"/>
  <c r="G1050" i="2"/>
  <c r="I1050" i="2"/>
  <c r="J1050" i="2"/>
  <c r="B1051" i="2"/>
  <c r="C1051" i="2"/>
  <c r="D1051" i="2"/>
  <c r="E1051" i="2"/>
  <c r="F1051" i="2"/>
  <c r="G1051" i="2"/>
  <c r="I1051" i="2"/>
  <c r="J1051" i="2"/>
  <c r="B1052" i="2"/>
  <c r="C1052" i="2"/>
  <c r="D1052" i="2"/>
  <c r="E1052" i="2"/>
  <c r="F1052" i="2"/>
  <c r="G1052" i="2"/>
  <c r="H1052" i="2"/>
  <c r="I1052" i="2"/>
  <c r="J1052" i="2"/>
  <c r="B1053" i="2"/>
  <c r="C1053" i="2"/>
  <c r="D1053" i="2"/>
  <c r="E1053" i="2"/>
  <c r="F1053" i="2"/>
  <c r="G1053" i="2"/>
  <c r="H1053" i="2"/>
  <c r="I1053" i="2"/>
  <c r="J1053" i="2"/>
  <c r="B1054" i="2"/>
  <c r="C1054" i="2"/>
  <c r="D1054" i="2"/>
  <c r="E1054" i="2"/>
  <c r="F1054" i="2"/>
  <c r="G1054" i="2"/>
  <c r="H1054" i="2"/>
  <c r="I1054" i="2"/>
  <c r="J1054" i="2"/>
  <c r="B1055" i="2"/>
  <c r="C1055" i="2"/>
  <c r="D1055" i="2"/>
  <c r="E1055" i="2"/>
  <c r="F1055" i="2"/>
  <c r="G1055" i="2"/>
  <c r="H1055" i="2"/>
  <c r="I1055" i="2"/>
  <c r="J1055" i="2"/>
  <c r="B1056" i="2"/>
  <c r="C1056" i="2"/>
  <c r="D1056" i="2"/>
  <c r="E1056" i="2"/>
  <c r="F1056" i="2"/>
  <c r="G1056" i="2"/>
  <c r="H1056" i="2"/>
  <c r="I1056" i="2"/>
  <c r="J1056" i="2"/>
  <c r="B1057" i="2"/>
  <c r="C1057" i="2"/>
  <c r="D1057" i="2"/>
  <c r="E1057" i="2"/>
  <c r="F1057" i="2"/>
  <c r="G1057" i="2"/>
  <c r="H1057" i="2"/>
  <c r="I1057" i="2"/>
  <c r="J1057" i="2"/>
  <c r="B1058" i="2"/>
  <c r="C1058" i="2"/>
  <c r="D1058" i="2"/>
  <c r="E1058" i="2"/>
  <c r="F1058" i="2"/>
  <c r="G1058" i="2"/>
  <c r="H1058" i="2"/>
  <c r="I1058" i="2"/>
  <c r="J1058" i="2"/>
  <c r="B1059" i="2"/>
  <c r="C1059" i="2"/>
  <c r="D1059" i="2"/>
  <c r="E1059" i="2"/>
  <c r="F1059" i="2"/>
  <c r="G1059" i="2"/>
  <c r="H1059" i="2"/>
  <c r="I1059" i="2"/>
  <c r="J1059" i="2"/>
  <c r="B1060" i="2"/>
  <c r="C1060" i="2"/>
  <c r="D1060" i="2"/>
  <c r="E1060" i="2"/>
  <c r="F1060" i="2"/>
  <c r="G1060" i="2"/>
  <c r="H1060" i="2"/>
  <c r="I1060" i="2"/>
  <c r="J1060" i="2"/>
  <c r="B1061" i="2"/>
  <c r="C1061" i="2"/>
  <c r="D1061" i="2"/>
  <c r="E1061" i="2"/>
  <c r="F1061" i="2"/>
  <c r="G1061" i="2"/>
  <c r="H1061" i="2"/>
  <c r="I1061" i="2"/>
  <c r="J1061" i="2"/>
  <c r="B1062" i="2"/>
  <c r="C1062" i="2"/>
  <c r="D1062" i="2"/>
  <c r="E1062" i="2"/>
  <c r="F1062" i="2"/>
  <c r="G1062" i="2"/>
  <c r="H1062" i="2"/>
  <c r="I1062" i="2"/>
  <c r="J1062" i="2"/>
  <c r="B1063" i="2"/>
  <c r="C1063" i="2"/>
  <c r="D1063" i="2"/>
  <c r="E1063" i="2"/>
  <c r="F1063" i="2"/>
  <c r="G1063" i="2"/>
  <c r="H1063" i="2"/>
  <c r="I1063" i="2"/>
  <c r="J1063" i="2"/>
  <c r="B1064" i="2"/>
  <c r="C1064" i="2"/>
  <c r="D1064" i="2"/>
  <c r="E1064" i="2"/>
  <c r="F1064" i="2"/>
  <c r="G1064" i="2"/>
  <c r="H1064" i="2"/>
  <c r="I1064" i="2"/>
  <c r="J1064" i="2"/>
  <c r="B1065" i="2"/>
  <c r="C1065" i="2"/>
  <c r="D1065" i="2"/>
  <c r="E1065" i="2"/>
  <c r="F1065" i="2"/>
  <c r="G1065" i="2"/>
  <c r="H1065" i="2"/>
  <c r="I1065" i="2"/>
  <c r="J1065" i="2"/>
  <c r="B1066" i="2"/>
  <c r="C1066" i="2"/>
  <c r="D1066" i="2"/>
  <c r="E1066" i="2"/>
  <c r="F1066" i="2"/>
  <c r="G1066" i="2"/>
  <c r="H1066" i="2"/>
  <c r="I1066" i="2"/>
  <c r="J1066" i="2"/>
  <c r="B1067" i="2"/>
  <c r="C1067" i="2"/>
  <c r="D1067" i="2"/>
  <c r="E1067" i="2"/>
  <c r="F1067" i="2"/>
  <c r="G1067" i="2"/>
  <c r="H1067" i="2"/>
  <c r="I1067" i="2"/>
  <c r="J1067" i="2"/>
  <c r="B1068" i="2"/>
  <c r="C1068" i="2"/>
  <c r="D1068" i="2"/>
  <c r="E1068" i="2"/>
  <c r="F1068" i="2"/>
  <c r="G1068" i="2"/>
  <c r="H1068" i="2"/>
  <c r="I1068" i="2"/>
  <c r="J1068" i="2"/>
  <c r="B1069" i="2"/>
  <c r="C1069" i="2"/>
  <c r="D1069" i="2"/>
  <c r="E1069" i="2"/>
  <c r="F1069" i="2"/>
  <c r="G1069" i="2"/>
  <c r="H1069" i="2"/>
  <c r="I1069" i="2"/>
  <c r="J1069" i="2"/>
  <c r="B1070" i="2"/>
  <c r="C1070" i="2"/>
  <c r="D1070" i="2"/>
  <c r="E1070" i="2"/>
  <c r="F1070" i="2"/>
  <c r="G1070" i="2"/>
  <c r="H1070" i="2"/>
  <c r="I1070" i="2"/>
  <c r="J1070" i="2"/>
  <c r="B1071" i="2"/>
  <c r="C1071" i="2"/>
  <c r="D1071" i="2"/>
  <c r="E1071" i="2"/>
  <c r="F1071" i="2"/>
  <c r="G1071" i="2"/>
  <c r="H1071" i="2"/>
  <c r="I1071" i="2"/>
  <c r="J1071" i="2"/>
  <c r="B1072" i="2"/>
  <c r="C1072" i="2"/>
  <c r="D1072" i="2"/>
  <c r="E1072" i="2"/>
  <c r="F1072" i="2"/>
  <c r="G1072" i="2"/>
  <c r="H1072" i="2"/>
  <c r="I1072" i="2"/>
  <c r="J1072" i="2"/>
  <c r="A1073" i="2"/>
  <c r="C1073" i="2"/>
  <c r="D1073" i="2"/>
  <c r="E1073" i="2"/>
  <c r="F1073" i="2"/>
  <c r="G1073" i="2"/>
  <c r="H1073" i="2"/>
  <c r="I1073" i="2"/>
  <c r="J1073" i="2"/>
  <c r="C1074" i="2"/>
  <c r="D1074" i="2"/>
  <c r="E1074" i="2"/>
  <c r="F1074" i="2"/>
  <c r="G1074" i="2"/>
  <c r="H1074" i="2"/>
  <c r="I1074" i="2"/>
  <c r="J1074" i="2"/>
  <c r="C1075" i="2"/>
  <c r="D1075" i="2"/>
  <c r="E1075" i="2"/>
  <c r="F1075" i="2"/>
  <c r="G1075" i="2"/>
  <c r="H1075" i="2"/>
  <c r="I1075" i="2"/>
  <c r="J1075" i="2"/>
  <c r="C1076" i="2"/>
  <c r="D1076" i="2"/>
  <c r="E1076" i="2"/>
  <c r="F1076" i="2"/>
  <c r="G1076" i="2"/>
  <c r="H1076" i="2"/>
  <c r="I1076" i="2"/>
  <c r="J1076" i="2"/>
  <c r="C1077" i="2"/>
  <c r="D1077" i="2"/>
  <c r="E1077" i="2"/>
  <c r="F1077" i="2"/>
  <c r="G1077" i="2"/>
  <c r="H1077" i="2"/>
  <c r="I1077" i="2"/>
  <c r="J1077" i="2"/>
  <c r="C1078" i="2"/>
  <c r="D1078" i="2"/>
  <c r="E1078" i="2"/>
  <c r="F1078" i="2"/>
  <c r="G1078" i="2"/>
  <c r="H1078" i="2"/>
  <c r="I1078" i="2"/>
  <c r="J1078" i="2"/>
  <c r="C1079" i="2"/>
  <c r="D1079" i="2"/>
  <c r="E1079" i="2"/>
  <c r="F1079" i="2"/>
  <c r="G1079" i="2"/>
  <c r="H1079" i="2"/>
  <c r="I1079" i="2"/>
  <c r="J1079" i="2"/>
  <c r="C1080" i="2"/>
  <c r="D1080" i="2"/>
  <c r="E1080" i="2"/>
  <c r="F1080" i="2"/>
  <c r="G1080" i="2"/>
  <c r="H1080" i="2"/>
  <c r="I1080" i="2"/>
  <c r="J1080" i="2"/>
  <c r="C1081" i="2"/>
  <c r="D1081" i="2"/>
  <c r="E1081" i="2"/>
  <c r="F1081" i="2"/>
  <c r="G1081" i="2"/>
  <c r="H1081" i="2"/>
  <c r="I1081" i="2"/>
  <c r="J1081" i="2"/>
  <c r="C1082" i="2"/>
  <c r="D1082" i="2"/>
  <c r="E1082" i="2"/>
  <c r="F1082" i="2"/>
  <c r="G1082" i="2"/>
  <c r="H1082" i="2"/>
  <c r="I1082" i="2"/>
  <c r="J1082" i="2"/>
  <c r="C1083" i="2"/>
  <c r="D1083" i="2"/>
  <c r="E1083" i="2"/>
  <c r="F1083" i="2"/>
  <c r="G1083" i="2"/>
  <c r="H1083" i="2"/>
  <c r="I1083" i="2"/>
  <c r="J1083" i="2"/>
  <c r="C1084" i="2"/>
  <c r="D1084" i="2"/>
  <c r="E1084" i="2"/>
  <c r="F1084" i="2"/>
  <c r="G1084" i="2"/>
  <c r="H1084" i="2"/>
  <c r="I1084" i="2"/>
  <c r="J1084" i="2"/>
  <c r="C1085" i="2"/>
  <c r="D1085" i="2"/>
  <c r="E1085" i="2"/>
  <c r="F1085" i="2"/>
  <c r="G1085" i="2"/>
  <c r="H1085" i="2"/>
  <c r="I1085" i="2"/>
  <c r="J1085" i="2"/>
  <c r="C1086" i="2"/>
  <c r="D1086" i="2"/>
  <c r="E1086" i="2"/>
  <c r="F1086" i="2"/>
  <c r="G1086" i="2"/>
  <c r="H1086" i="2"/>
  <c r="I1086" i="2"/>
  <c r="J1086" i="2"/>
  <c r="C1087" i="2"/>
  <c r="D1087" i="2"/>
  <c r="E1087" i="2"/>
  <c r="F1087" i="2"/>
  <c r="G1087" i="2"/>
  <c r="H1087" i="2"/>
  <c r="I1087" i="2"/>
  <c r="J1087" i="2"/>
  <c r="C1088" i="2"/>
  <c r="D1088" i="2"/>
  <c r="E1088" i="2"/>
  <c r="F1088" i="2"/>
  <c r="G1088" i="2"/>
  <c r="H1088" i="2"/>
  <c r="I1088" i="2"/>
  <c r="J1088" i="2"/>
  <c r="C1089" i="2"/>
  <c r="D1089" i="2"/>
  <c r="E1089" i="2"/>
  <c r="F1089" i="2"/>
  <c r="G1089" i="2"/>
  <c r="H1089" i="2"/>
  <c r="I1089" i="2"/>
  <c r="J1089" i="2"/>
  <c r="C1090" i="2"/>
  <c r="D1090" i="2"/>
  <c r="E1090" i="2"/>
  <c r="F1090" i="2"/>
  <c r="G1090" i="2"/>
  <c r="H1090" i="2"/>
  <c r="I1090" i="2"/>
  <c r="J1090" i="2"/>
  <c r="C1091" i="2"/>
  <c r="D1091" i="2"/>
  <c r="E1091" i="2"/>
  <c r="F1091" i="2"/>
  <c r="G1091" i="2"/>
  <c r="H1091" i="2"/>
  <c r="I1091" i="2"/>
  <c r="J1091" i="2"/>
  <c r="C1092" i="2"/>
  <c r="D1092" i="2"/>
  <c r="E1092" i="2"/>
  <c r="F1092" i="2"/>
  <c r="G1092" i="2"/>
  <c r="H1092" i="2"/>
  <c r="I1092" i="2"/>
  <c r="J1092" i="2"/>
  <c r="C1093" i="2"/>
  <c r="D1093" i="2"/>
  <c r="E1093" i="2"/>
  <c r="F1093" i="2"/>
  <c r="G1093" i="2"/>
  <c r="H1093" i="2"/>
  <c r="I1093" i="2"/>
  <c r="J1093" i="2"/>
  <c r="C1094" i="2"/>
  <c r="D1094" i="2"/>
  <c r="E1094" i="2"/>
  <c r="F1094" i="2"/>
  <c r="G1094" i="2"/>
  <c r="H1094" i="2"/>
  <c r="I1094" i="2"/>
  <c r="J1094" i="2"/>
  <c r="C1095" i="2"/>
  <c r="D1095" i="2"/>
  <c r="E1095" i="2"/>
  <c r="F1095" i="2"/>
  <c r="G1095" i="2"/>
  <c r="H1095" i="2"/>
  <c r="I1095" i="2"/>
  <c r="J1095" i="2"/>
  <c r="C1096" i="2"/>
  <c r="D1096" i="2"/>
  <c r="E1096" i="2"/>
  <c r="F1096" i="2"/>
  <c r="G1096" i="2"/>
  <c r="H1096" i="2"/>
  <c r="I1096" i="2"/>
  <c r="J1096" i="2"/>
  <c r="D11" i="1"/>
  <c r="F11" i="1"/>
  <c r="B17" i="1"/>
  <c r="C17" i="1"/>
  <c r="D17" i="1"/>
  <c r="E17" i="1"/>
  <c r="F17" i="1"/>
  <c r="G17" i="1"/>
  <c r="H17" i="1"/>
  <c r="I17" i="1"/>
  <c r="J17" i="1"/>
  <c r="K17" i="1"/>
  <c r="R17" i="1"/>
  <c r="B18" i="1"/>
  <c r="C18" i="1"/>
  <c r="D18" i="1"/>
  <c r="E18" i="1"/>
  <c r="F18" i="1"/>
  <c r="G18" i="1"/>
  <c r="H18" i="1"/>
  <c r="I18" i="1"/>
  <c r="J18" i="1"/>
  <c r="K18" i="1"/>
  <c r="R18" i="1"/>
  <c r="B19" i="1"/>
  <c r="C19" i="1"/>
  <c r="D19" i="1"/>
  <c r="E19" i="1"/>
  <c r="F19" i="1"/>
  <c r="G19" i="1"/>
  <c r="H19" i="1"/>
  <c r="I19" i="1"/>
  <c r="J19" i="1"/>
  <c r="K19" i="1"/>
  <c r="R19" i="1"/>
  <c r="B20" i="1"/>
  <c r="C20" i="1"/>
  <c r="D20" i="1"/>
  <c r="E20" i="1"/>
  <c r="F20" i="1"/>
  <c r="G20" i="1"/>
  <c r="H20" i="1"/>
  <c r="I20" i="1"/>
  <c r="J20" i="1"/>
  <c r="K20" i="1"/>
  <c r="R20" i="1"/>
  <c r="B21" i="1"/>
  <c r="C21" i="1"/>
  <c r="D21" i="1"/>
  <c r="E21" i="1"/>
  <c r="F21" i="1"/>
  <c r="G21" i="1"/>
  <c r="H21" i="1"/>
  <c r="I21" i="1"/>
  <c r="J21" i="1"/>
  <c r="K21" i="1"/>
  <c r="R21" i="1"/>
  <c r="B22" i="1"/>
  <c r="C22" i="1"/>
  <c r="D22" i="1"/>
  <c r="E22" i="1"/>
  <c r="F22" i="1"/>
  <c r="G22" i="1"/>
  <c r="H22" i="1"/>
  <c r="I22" i="1"/>
  <c r="J22" i="1"/>
  <c r="K22" i="1"/>
  <c r="R22" i="1"/>
  <c r="B23" i="1"/>
  <c r="C23" i="1"/>
  <c r="D23" i="1"/>
  <c r="E23" i="1"/>
  <c r="F23" i="1"/>
  <c r="G23" i="1"/>
  <c r="H23" i="1"/>
  <c r="I23" i="1"/>
  <c r="J23" i="1"/>
  <c r="K23" i="1"/>
  <c r="R23" i="1"/>
  <c r="B24" i="1"/>
  <c r="C24" i="1"/>
  <c r="D24" i="1"/>
  <c r="E24" i="1"/>
  <c r="F24" i="1"/>
  <c r="G24" i="1"/>
  <c r="H24" i="1"/>
  <c r="I24" i="1"/>
  <c r="J24" i="1"/>
  <c r="K24" i="1"/>
  <c r="R24" i="1"/>
  <c r="B25" i="1"/>
  <c r="C25" i="1"/>
  <c r="D25" i="1"/>
  <c r="E25" i="1"/>
  <c r="F25" i="1"/>
  <c r="G25" i="1"/>
  <c r="H25" i="1"/>
  <c r="I25" i="1"/>
  <c r="J25" i="1"/>
  <c r="K25" i="1"/>
  <c r="R25" i="1"/>
  <c r="B26" i="1"/>
  <c r="C26" i="1"/>
  <c r="D26" i="1"/>
  <c r="E26" i="1"/>
  <c r="F26" i="1"/>
  <c r="G26" i="1"/>
  <c r="H26" i="1"/>
  <c r="I26" i="1"/>
  <c r="J26" i="1"/>
  <c r="K26" i="1"/>
  <c r="R26" i="1"/>
  <c r="B27" i="1"/>
  <c r="C27" i="1"/>
  <c r="D27" i="1"/>
  <c r="E27" i="1"/>
  <c r="F27" i="1"/>
  <c r="G27" i="1"/>
  <c r="H27" i="1"/>
  <c r="I27" i="1"/>
  <c r="J27" i="1"/>
  <c r="K27" i="1"/>
  <c r="R27" i="1"/>
  <c r="B28" i="1"/>
  <c r="C28" i="1"/>
  <c r="D28" i="1"/>
  <c r="E28" i="1"/>
  <c r="F28" i="1"/>
  <c r="G28" i="1"/>
  <c r="H28" i="1"/>
  <c r="I28" i="1"/>
  <c r="J28" i="1"/>
  <c r="K28" i="1"/>
  <c r="R28" i="1"/>
  <c r="B29" i="1"/>
  <c r="C29" i="1"/>
  <c r="D29" i="1"/>
  <c r="E29" i="1"/>
  <c r="F29" i="1"/>
  <c r="G29" i="1"/>
  <c r="H29" i="1"/>
  <c r="I29" i="1"/>
  <c r="J29" i="1"/>
  <c r="R29" i="1"/>
  <c r="B30" i="1"/>
  <c r="C30" i="1"/>
  <c r="D30" i="1"/>
  <c r="E30" i="1"/>
  <c r="F30" i="1"/>
  <c r="G30" i="1"/>
  <c r="H30" i="1"/>
  <c r="I30" i="1"/>
  <c r="J30" i="1"/>
  <c r="R30" i="1"/>
  <c r="B31" i="1"/>
  <c r="C31" i="1"/>
  <c r="D31" i="1"/>
  <c r="E31" i="1"/>
  <c r="F31" i="1"/>
  <c r="G31" i="1"/>
  <c r="H31" i="1"/>
  <c r="I31" i="1"/>
  <c r="J31" i="1"/>
  <c r="R31" i="1"/>
  <c r="B32" i="1"/>
  <c r="C32" i="1"/>
  <c r="D32" i="1"/>
  <c r="E32" i="1"/>
  <c r="F32" i="1"/>
  <c r="G32" i="1"/>
  <c r="H32" i="1"/>
  <c r="I32" i="1"/>
  <c r="J32" i="1"/>
  <c r="R32" i="1"/>
  <c r="B33" i="1"/>
  <c r="C33" i="1"/>
  <c r="D33" i="1"/>
  <c r="E33" i="1"/>
  <c r="F33" i="1"/>
  <c r="G33" i="1"/>
  <c r="H33" i="1"/>
  <c r="I33" i="1"/>
  <c r="J33" i="1"/>
  <c r="R33" i="1"/>
  <c r="B34" i="1"/>
  <c r="C34" i="1"/>
  <c r="D34" i="1"/>
  <c r="E34" i="1"/>
  <c r="F34" i="1"/>
  <c r="G34" i="1"/>
  <c r="H34" i="1"/>
  <c r="I34" i="1"/>
  <c r="J34" i="1"/>
  <c r="R34" i="1"/>
  <c r="B35" i="1"/>
  <c r="C35" i="1"/>
  <c r="D35" i="1"/>
  <c r="E35" i="1"/>
  <c r="F35" i="1"/>
  <c r="G35" i="1"/>
  <c r="H35" i="1"/>
  <c r="I35" i="1"/>
  <c r="J35" i="1"/>
  <c r="R35" i="1"/>
  <c r="B36" i="1"/>
  <c r="C36" i="1"/>
  <c r="D36" i="1"/>
  <c r="E36" i="1"/>
  <c r="F36" i="1"/>
  <c r="G36" i="1"/>
  <c r="H36" i="1"/>
  <c r="I36" i="1"/>
  <c r="J36" i="1"/>
  <c r="R36" i="1"/>
  <c r="B37" i="1"/>
  <c r="C37" i="1"/>
  <c r="D37" i="1"/>
  <c r="E37" i="1"/>
  <c r="F37" i="1"/>
  <c r="G37" i="1"/>
  <c r="H37" i="1"/>
  <c r="I37" i="1"/>
  <c r="J37" i="1"/>
  <c r="R37" i="1"/>
  <c r="B38" i="1"/>
  <c r="C38" i="1"/>
  <c r="D38" i="1"/>
  <c r="E38" i="1"/>
  <c r="F38" i="1"/>
  <c r="G38" i="1"/>
  <c r="H38" i="1"/>
  <c r="I38" i="1"/>
  <c r="J38" i="1"/>
  <c r="R38" i="1"/>
  <c r="B39" i="1"/>
  <c r="C39" i="1"/>
  <c r="D39" i="1"/>
  <c r="E39" i="1"/>
  <c r="F39" i="1"/>
  <c r="G39" i="1"/>
  <c r="H39" i="1"/>
  <c r="I39" i="1"/>
  <c r="J39" i="1"/>
  <c r="R39" i="1"/>
  <c r="B40" i="1"/>
  <c r="C40" i="1"/>
  <c r="D40" i="1"/>
  <c r="E40" i="1"/>
  <c r="F40" i="1"/>
  <c r="G40" i="1"/>
  <c r="H40" i="1"/>
  <c r="I40" i="1"/>
  <c r="J40" i="1"/>
  <c r="R40" i="1"/>
  <c r="B41" i="1"/>
  <c r="C41" i="1"/>
  <c r="D41" i="1"/>
  <c r="E41" i="1"/>
  <c r="F41" i="1"/>
  <c r="G41" i="1"/>
  <c r="H41" i="1"/>
  <c r="I41" i="1"/>
  <c r="J41" i="1"/>
  <c r="R41" i="1"/>
  <c r="B42" i="1"/>
  <c r="C42" i="1"/>
  <c r="D42" i="1"/>
  <c r="E42" i="1"/>
  <c r="F42" i="1"/>
  <c r="G42" i="1"/>
  <c r="H42" i="1"/>
  <c r="I42" i="1"/>
  <c r="J42" i="1"/>
  <c r="R42" i="1"/>
  <c r="B43" i="1"/>
  <c r="C43" i="1"/>
  <c r="D43" i="1"/>
  <c r="E43" i="1"/>
  <c r="F43" i="1"/>
  <c r="G43" i="1"/>
  <c r="H43" i="1"/>
  <c r="I43" i="1"/>
  <c r="J43" i="1"/>
  <c r="R43" i="1"/>
  <c r="B44" i="1"/>
  <c r="C44" i="1"/>
  <c r="D44" i="1"/>
  <c r="E44" i="1"/>
  <c r="F44" i="1"/>
  <c r="G44" i="1"/>
  <c r="H44" i="1"/>
  <c r="I44" i="1"/>
  <c r="J44" i="1"/>
  <c r="R44" i="1"/>
  <c r="B45" i="1"/>
  <c r="C45" i="1"/>
  <c r="D45" i="1"/>
  <c r="E45" i="1"/>
  <c r="F45" i="1"/>
  <c r="G45" i="1"/>
  <c r="H45" i="1"/>
  <c r="I45" i="1"/>
  <c r="J45" i="1"/>
  <c r="B46" i="1"/>
  <c r="C46" i="1"/>
  <c r="D46" i="1"/>
  <c r="E46" i="1"/>
  <c r="F46" i="1"/>
  <c r="G46" i="1"/>
  <c r="H46" i="1"/>
  <c r="I46" i="1"/>
  <c r="J46" i="1"/>
  <c r="B47" i="1"/>
  <c r="C47" i="1"/>
  <c r="D47" i="1"/>
  <c r="E47" i="1"/>
  <c r="F47" i="1"/>
  <c r="G47" i="1"/>
  <c r="H47" i="1"/>
  <c r="I47" i="1"/>
  <c r="J47" i="1"/>
  <c r="B48" i="1"/>
  <c r="C48" i="1"/>
  <c r="D48" i="1"/>
  <c r="E48" i="1"/>
  <c r="F48" i="1"/>
  <c r="G48" i="1"/>
  <c r="H48" i="1"/>
  <c r="I48" i="1"/>
  <c r="J48" i="1"/>
  <c r="B49" i="1"/>
  <c r="C49" i="1"/>
  <c r="D49" i="1"/>
  <c r="E49" i="1"/>
  <c r="F49" i="1"/>
  <c r="G49" i="1"/>
  <c r="H49" i="1"/>
  <c r="I49" i="1"/>
  <c r="J49" i="1"/>
  <c r="B50" i="1"/>
  <c r="C50" i="1"/>
  <c r="D50" i="1"/>
  <c r="E50" i="1"/>
  <c r="F50" i="1"/>
  <c r="G50" i="1"/>
  <c r="H50" i="1"/>
  <c r="I50" i="1"/>
  <c r="J50" i="1"/>
  <c r="B51" i="1"/>
  <c r="C51" i="1"/>
  <c r="D51" i="1"/>
  <c r="E51" i="1"/>
  <c r="F51" i="1"/>
  <c r="G51" i="1"/>
  <c r="H51" i="1"/>
  <c r="I51" i="1"/>
  <c r="J51" i="1"/>
  <c r="B52" i="1"/>
  <c r="C52" i="1"/>
  <c r="D52" i="1"/>
  <c r="E52" i="1"/>
  <c r="F52" i="1"/>
  <c r="G52" i="1"/>
  <c r="H52" i="1"/>
  <c r="I52" i="1"/>
  <c r="J52" i="1"/>
  <c r="B53" i="1"/>
  <c r="C53" i="1"/>
  <c r="D53" i="1"/>
  <c r="E53" i="1"/>
  <c r="F53" i="1"/>
  <c r="G53" i="1"/>
  <c r="H53" i="1"/>
  <c r="I53" i="1"/>
  <c r="J53" i="1"/>
  <c r="B54" i="1"/>
  <c r="C54" i="1"/>
  <c r="D54" i="1"/>
  <c r="E54" i="1"/>
  <c r="F54" i="1"/>
  <c r="G54" i="1"/>
  <c r="H54" i="1"/>
  <c r="I54" i="1"/>
  <c r="J54" i="1"/>
  <c r="B55" i="1"/>
  <c r="C55" i="1"/>
  <c r="D55" i="1"/>
  <c r="E55" i="1"/>
  <c r="F55" i="1"/>
  <c r="G55" i="1"/>
  <c r="H55" i="1"/>
  <c r="I55" i="1"/>
  <c r="J55" i="1"/>
  <c r="B56" i="1"/>
  <c r="C56" i="1"/>
  <c r="D56" i="1"/>
  <c r="E56" i="1"/>
  <c r="F56" i="1"/>
  <c r="G56" i="1"/>
  <c r="H56" i="1"/>
  <c r="I56" i="1"/>
  <c r="J56" i="1"/>
  <c r="B57" i="1"/>
  <c r="C57" i="1"/>
  <c r="D57" i="1"/>
  <c r="E57" i="1"/>
  <c r="F57" i="1"/>
  <c r="G57" i="1"/>
  <c r="H57" i="1"/>
  <c r="I57" i="1"/>
  <c r="J57" i="1"/>
  <c r="B58" i="1"/>
  <c r="C58" i="1"/>
  <c r="D58" i="1"/>
  <c r="E58" i="1"/>
  <c r="F58" i="1"/>
  <c r="G58" i="1"/>
  <c r="H58" i="1"/>
  <c r="I58" i="1"/>
  <c r="J58" i="1"/>
  <c r="B59" i="1"/>
  <c r="C59" i="1"/>
  <c r="D59" i="1"/>
  <c r="E59" i="1"/>
  <c r="F59" i="1"/>
  <c r="G59" i="1"/>
  <c r="H59" i="1"/>
  <c r="I59" i="1"/>
  <c r="J59" i="1"/>
  <c r="B60" i="1"/>
  <c r="C60" i="1"/>
  <c r="D60" i="1"/>
  <c r="E60" i="1"/>
  <c r="F60" i="1"/>
  <c r="G60" i="1"/>
  <c r="H60" i="1"/>
  <c r="I60" i="1"/>
  <c r="J60" i="1"/>
  <c r="B61" i="1"/>
  <c r="C61" i="1"/>
  <c r="D61" i="1"/>
  <c r="E61" i="1"/>
  <c r="F61" i="1"/>
  <c r="G61" i="1"/>
  <c r="H61" i="1"/>
  <c r="I61" i="1"/>
  <c r="J61" i="1"/>
  <c r="B62" i="1"/>
  <c r="C62" i="1"/>
  <c r="D62" i="1"/>
  <c r="E62" i="1"/>
  <c r="F62" i="1"/>
  <c r="G62" i="1"/>
  <c r="H62" i="1"/>
  <c r="I62" i="1"/>
  <c r="J62" i="1"/>
  <c r="B63" i="1"/>
  <c r="C63" i="1"/>
  <c r="D63" i="1"/>
  <c r="E63" i="1"/>
  <c r="F63" i="1"/>
  <c r="G63" i="1"/>
  <c r="H63" i="1"/>
  <c r="I63" i="1"/>
  <c r="J63" i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B66" i="1"/>
  <c r="C66" i="1"/>
  <c r="D66" i="1"/>
  <c r="E66" i="1"/>
  <c r="F66" i="1"/>
  <c r="G66" i="1"/>
  <c r="H66" i="1"/>
  <c r="I66" i="1"/>
  <c r="J66" i="1"/>
  <c r="B67" i="1"/>
  <c r="C67" i="1"/>
  <c r="D67" i="1"/>
  <c r="E67" i="1"/>
  <c r="F67" i="1"/>
  <c r="G67" i="1"/>
  <c r="H67" i="1"/>
  <c r="I67" i="1"/>
  <c r="J67" i="1"/>
  <c r="B68" i="1"/>
  <c r="C68" i="1"/>
  <c r="D68" i="1"/>
  <c r="E68" i="1"/>
  <c r="F68" i="1"/>
  <c r="G68" i="1"/>
  <c r="H68" i="1"/>
  <c r="I68" i="1"/>
  <c r="J68" i="1"/>
  <c r="B69" i="1"/>
  <c r="C69" i="1"/>
  <c r="D69" i="1"/>
  <c r="E69" i="1"/>
  <c r="F69" i="1"/>
  <c r="G69" i="1"/>
  <c r="H69" i="1"/>
  <c r="I69" i="1"/>
  <c r="J69" i="1"/>
  <c r="B70" i="1"/>
  <c r="C70" i="1"/>
  <c r="D70" i="1"/>
  <c r="E70" i="1"/>
  <c r="F70" i="1"/>
  <c r="G70" i="1"/>
  <c r="H70" i="1"/>
  <c r="I70" i="1"/>
  <c r="J70" i="1"/>
  <c r="B71" i="1"/>
  <c r="C71" i="1"/>
  <c r="D71" i="1"/>
  <c r="E71" i="1"/>
  <c r="F71" i="1"/>
  <c r="G71" i="1"/>
  <c r="H71" i="1"/>
  <c r="I71" i="1"/>
  <c r="J71" i="1"/>
  <c r="B72" i="1"/>
  <c r="C72" i="1"/>
  <c r="D72" i="1"/>
  <c r="E72" i="1"/>
  <c r="F72" i="1"/>
  <c r="G72" i="1"/>
  <c r="H72" i="1"/>
  <c r="I72" i="1"/>
  <c r="J72" i="1"/>
  <c r="B73" i="1"/>
  <c r="C73" i="1"/>
  <c r="D73" i="1"/>
  <c r="E73" i="1"/>
  <c r="F73" i="1"/>
  <c r="G73" i="1"/>
  <c r="H73" i="1"/>
  <c r="I73" i="1"/>
  <c r="J73" i="1"/>
  <c r="B74" i="1"/>
  <c r="C74" i="1"/>
  <c r="D74" i="1"/>
  <c r="E74" i="1"/>
  <c r="F74" i="1"/>
  <c r="G74" i="1"/>
  <c r="H74" i="1"/>
  <c r="I74" i="1"/>
  <c r="J74" i="1"/>
  <c r="B75" i="1"/>
  <c r="C75" i="1"/>
  <c r="D75" i="1"/>
  <c r="E75" i="1"/>
  <c r="F75" i="1"/>
  <c r="G75" i="1"/>
  <c r="H75" i="1"/>
  <c r="I75" i="1"/>
  <c r="J75" i="1"/>
  <c r="B76" i="1"/>
  <c r="C76" i="1"/>
  <c r="D76" i="1"/>
  <c r="E76" i="1"/>
  <c r="F76" i="1"/>
  <c r="G76" i="1"/>
  <c r="H76" i="1"/>
  <c r="I76" i="1"/>
  <c r="J76" i="1"/>
  <c r="B77" i="1"/>
  <c r="C77" i="1"/>
  <c r="D77" i="1"/>
  <c r="E77" i="1"/>
  <c r="F77" i="1"/>
  <c r="G77" i="1"/>
  <c r="H77" i="1"/>
  <c r="I77" i="1"/>
  <c r="J77" i="1"/>
  <c r="B78" i="1"/>
  <c r="C78" i="1"/>
  <c r="D78" i="1"/>
  <c r="E78" i="1"/>
  <c r="F78" i="1"/>
  <c r="G78" i="1"/>
  <c r="H78" i="1"/>
  <c r="I78" i="1"/>
  <c r="J78" i="1"/>
  <c r="B79" i="1"/>
  <c r="C79" i="1"/>
  <c r="D79" i="1"/>
  <c r="E79" i="1"/>
  <c r="F79" i="1"/>
  <c r="G79" i="1"/>
  <c r="H79" i="1"/>
  <c r="I79" i="1"/>
  <c r="J79" i="1"/>
  <c r="B80" i="1"/>
  <c r="C80" i="1"/>
  <c r="D80" i="1"/>
  <c r="E80" i="1"/>
  <c r="F80" i="1"/>
  <c r="G80" i="1"/>
  <c r="H80" i="1"/>
  <c r="I80" i="1"/>
  <c r="J80" i="1"/>
  <c r="B81" i="1"/>
  <c r="C81" i="1"/>
  <c r="D81" i="1"/>
  <c r="E81" i="1"/>
  <c r="F81" i="1"/>
  <c r="G81" i="1"/>
  <c r="H81" i="1"/>
  <c r="I81" i="1"/>
  <c r="J81" i="1"/>
  <c r="B82" i="1"/>
  <c r="C82" i="1"/>
  <c r="D82" i="1"/>
  <c r="E82" i="1"/>
  <c r="F82" i="1"/>
  <c r="G82" i="1"/>
  <c r="H82" i="1"/>
  <c r="I82" i="1"/>
  <c r="J82" i="1"/>
  <c r="B83" i="1"/>
  <c r="C83" i="1"/>
  <c r="D83" i="1"/>
  <c r="E83" i="1"/>
  <c r="F83" i="1"/>
  <c r="G83" i="1"/>
  <c r="H83" i="1"/>
  <c r="I83" i="1"/>
  <c r="J83" i="1"/>
  <c r="B84" i="1"/>
  <c r="C84" i="1"/>
  <c r="D84" i="1"/>
  <c r="E84" i="1"/>
  <c r="F84" i="1"/>
  <c r="G84" i="1"/>
  <c r="H84" i="1"/>
  <c r="I84" i="1"/>
  <c r="J84" i="1"/>
  <c r="B85" i="1"/>
  <c r="C85" i="1"/>
  <c r="D85" i="1"/>
  <c r="E85" i="1"/>
  <c r="F85" i="1"/>
  <c r="G85" i="1"/>
  <c r="H85" i="1"/>
  <c r="I85" i="1"/>
  <c r="J85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B89" i="1"/>
  <c r="C89" i="1"/>
  <c r="D89" i="1"/>
  <c r="E89" i="1"/>
  <c r="F89" i="1"/>
  <c r="G89" i="1"/>
  <c r="H89" i="1"/>
  <c r="I89" i="1"/>
  <c r="J89" i="1"/>
  <c r="B90" i="1"/>
  <c r="C90" i="1"/>
  <c r="D90" i="1"/>
  <c r="E90" i="1"/>
  <c r="F90" i="1"/>
  <c r="G90" i="1"/>
  <c r="H90" i="1"/>
  <c r="I90" i="1"/>
  <c r="J90" i="1"/>
  <c r="B91" i="1"/>
  <c r="C91" i="1"/>
  <c r="D91" i="1"/>
  <c r="E91" i="1"/>
  <c r="F91" i="1"/>
  <c r="G91" i="1"/>
  <c r="H91" i="1"/>
  <c r="I91" i="1"/>
  <c r="J91" i="1"/>
  <c r="B92" i="1"/>
  <c r="C92" i="1"/>
  <c r="D92" i="1"/>
  <c r="E92" i="1"/>
  <c r="F92" i="1"/>
  <c r="G92" i="1"/>
  <c r="H92" i="1"/>
  <c r="I92" i="1"/>
  <c r="J92" i="1"/>
  <c r="B93" i="1"/>
  <c r="C93" i="1"/>
  <c r="D93" i="1"/>
  <c r="E93" i="1"/>
  <c r="F93" i="1"/>
  <c r="G93" i="1"/>
  <c r="H93" i="1"/>
  <c r="I93" i="1"/>
  <c r="J93" i="1"/>
  <c r="B94" i="1"/>
  <c r="C94" i="1"/>
  <c r="D94" i="1"/>
  <c r="E94" i="1"/>
  <c r="F94" i="1"/>
  <c r="G94" i="1"/>
  <c r="H94" i="1"/>
  <c r="I94" i="1"/>
  <c r="J94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B97" i="1"/>
  <c r="C97" i="1"/>
  <c r="D97" i="1"/>
  <c r="E97" i="1"/>
  <c r="F97" i="1"/>
  <c r="G97" i="1"/>
  <c r="H97" i="1"/>
  <c r="I97" i="1"/>
  <c r="J97" i="1"/>
  <c r="B98" i="1"/>
  <c r="C98" i="1"/>
  <c r="D98" i="1"/>
  <c r="E98" i="1"/>
  <c r="F98" i="1"/>
  <c r="G98" i="1"/>
  <c r="H98" i="1"/>
  <c r="I98" i="1"/>
  <c r="J98" i="1"/>
  <c r="B99" i="1"/>
  <c r="C99" i="1"/>
  <c r="D99" i="1"/>
  <c r="E99" i="1"/>
  <c r="F99" i="1"/>
  <c r="G99" i="1"/>
  <c r="H99" i="1"/>
  <c r="I99" i="1"/>
  <c r="J99" i="1"/>
  <c r="B100" i="1"/>
  <c r="C100" i="1"/>
  <c r="D100" i="1"/>
  <c r="E100" i="1"/>
  <c r="F100" i="1"/>
  <c r="G100" i="1"/>
  <c r="H100" i="1"/>
  <c r="I100" i="1"/>
  <c r="J100" i="1"/>
  <c r="B101" i="1"/>
  <c r="C101" i="1"/>
  <c r="D101" i="1"/>
  <c r="E101" i="1"/>
  <c r="F101" i="1"/>
  <c r="G101" i="1"/>
  <c r="H101" i="1"/>
  <c r="I101" i="1"/>
  <c r="J101" i="1"/>
  <c r="B102" i="1"/>
  <c r="C102" i="1"/>
  <c r="D102" i="1"/>
  <c r="E102" i="1"/>
  <c r="F102" i="1"/>
  <c r="G102" i="1"/>
  <c r="H102" i="1"/>
  <c r="I102" i="1"/>
  <c r="J102" i="1"/>
  <c r="B103" i="1"/>
  <c r="C103" i="1"/>
  <c r="D103" i="1"/>
  <c r="E103" i="1"/>
  <c r="F103" i="1"/>
  <c r="G103" i="1"/>
  <c r="H103" i="1"/>
  <c r="I103" i="1"/>
  <c r="J103" i="1"/>
  <c r="B104" i="1"/>
  <c r="C104" i="1"/>
  <c r="D104" i="1"/>
  <c r="E104" i="1"/>
  <c r="F104" i="1"/>
  <c r="G104" i="1"/>
  <c r="H104" i="1"/>
  <c r="I104" i="1"/>
  <c r="J104" i="1"/>
  <c r="B105" i="1"/>
  <c r="C105" i="1"/>
  <c r="D105" i="1"/>
  <c r="E105" i="1"/>
  <c r="F105" i="1"/>
  <c r="G105" i="1"/>
  <c r="H105" i="1"/>
  <c r="I105" i="1"/>
  <c r="J105" i="1"/>
  <c r="B106" i="1"/>
  <c r="C106" i="1"/>
  <c r="D106" i="1"/>
  <c r="E106" i="1"/>
  <c r="F106" i="1"/>
  <c r="G106" i="1"/>
  <c r="H106" i="1"/>
  <c r="I106" i="1"/>
  <c r="J106" i="1"/>
  <c r="B107" i="1"/>
  <c r="C107" i="1"/>
  <c r="D107" i="1"/>
  <c r="E107" i="1"/>
  <c r="F107" i="1"/>
  <c r="G107" i="1"/>
  <c r="H107" i="1"/>
  <c r="I107" i="1"/>
  <c r="J107" i="1"/>
  <c r="B108" i="1"/>
  <c r="C108" i="1"/>
  <c r="D108" i="1"/>
  <c r="E108" i="1"/>
  <c r="F108" i="1"/>
  <c r="G108" i="1"/>
  <c r="H108" i="1"/>
  <c r="I108" i="1"/>
  <c r="J108" i="1"/>
  <c r="B109" i="1"/>
  <c r="C109" i="1"/>
  <c r="D109" i="1"/>
  <c r="E109" i="1"/>
  <c r="F109" i="1"/>
  <c r="G109" i="1"/>
  <c r="H109" i="1"/>
  <c r="I109" i="1"/>
  <c r="J109" i="1"/>
  <c r="B110" i="1"/>
  <c r="C110" i="1"/>
  <c r="D110" i="1"/>
  <c r="E110" i="1"/>
  <c r="F110" i="1"/>
  <c r="G110" i="1"/>
  <c r="H110" i="1"/>
  <c r="I110" i="1"/>
  <c r="J110" i="1"/>
  <c r="B111" i="1"/>
  <c r="C111" i="1"/>
  <c r="D111" i="1"/>
  <c r="E111" i="1"/>
  <c r="F111" i="1"/>
  <c r="G111" i="1"/>
  <c r="H111" i="1"/>
  <c r="I111" i="1"/>
  <c r="J111" i="1"/>
  <c r="B112" i="1"/>
  <c r="C112" i="1"/>
  <c r="D112" i="1"/>
  <c r="E112" i="1"/>
  <c r="F112" i="1"/>
  <c r="G112" i="1"/>
  <c r="H112" i="1"/>
  <c r="I112" i="1"/>
  <c r="J112" i="1"/>
  <c r="B113" i="1"/>
  <c r="C113" i="1"/>
  <c r="D113" i="1"/>
  <c r="E113" i="1"/>
  <c r="F113" i="1"/>
  <c r="G113" i="1"/>
  <c r="H113" i="1"/>
  <c r="I113" i="1"/>
  <c r="J113" i="1"/>
  <c r="B114" i="1"/>
  <c r="C114" i="1"/>
  <c r="D114" i="1"/>
  <c r="E114" i="1"/>
  <c r="F114" i="1"/>
  <c r="G114" i="1"/>
  <c r="H114" i="1"/>
  <c r="I114" i="1"/>
  <c r="J114" i="1"/>
  <c r="B115" i="1"/>
  <c r="C115" i="1"/>
  <c r="D115" i="1"/>
  <c r="E115" i="1"/>
  <c r="F115" i="1"/>
  <c r="G115" i="1"/>
  <c r="H115" i="1"/>
  <c r="I115" i="1"/>
  <c r="J115" i="1"/>
  <c r="B116" i="1"/>
  <c r="C116" i="1"/>
  <c r="D116" i="1"/>
  <c r="E116" i="1"/>
  <c r="F116" i="1"/>
  <c r="G116" i="1"/>
  <c r="H116" i="1"/>
  <c r="I116" i="1"/>
  <c r="J116" i="1"/>
  <c r="B117" i="1"/>
  <c r="C117" i="1"/>
  <c r="D117" i="1"/>
  <c r="E117" i="1"/>
  <c r="F117" i="1"/>
  <c r="G117" i="1"/>
  <c r="H117" i="1"/>
  <c r="I117" i="1"/>
  <c r="J117" i="1"/>
  <c r="B118" i="1"/>
  <c r="C118" i="1"/>
  <c r="D118" i="1"/>
  <c r="E118" i="1"/>
  <c r="F118" i="1"/>
  <c r="G118" i="1"/>
  <c r="H118" i="1"/>
  <c r="I118" i="1"/>
  <c r="J118" i="1"/>
  <c r="B119" i="1"/>
  <c r="C119" i="1"/>
  <c r="D119" i="1"/>
  <c r="E119" i="1"/>
  <c r="F119" i="1"/>
  <c r="G119" i="1"/>
  <c r="H119" i="1"/>
  <c r="I119" i="1"/>
  <c r="J119" i="1"/>
  <c r="B120" i="1"/>
  <c r="C120" i="1"/>
  <c r="D120" i="1"/>
  <c r="E120" i="1"/>
  <c r="F120" i="1"/>
  <c r="G120" i="1"/>
  <c r="H120" i="1"/>
  <c r="I120" i="1"/>
  <c r="J120" i="1"/>
  <c r="B121" i="1"/>
  <c r="C121" i="1"/>
  <c r="D121" i="1"/>
  <c r="E121" i="1"/>
  <c r="F121" i="1"/>
  <c r="G121" i="1"/>
  <c r="H121" i="1"/>
  <c r="I121" i="1"/>
  <c r="J121" i="1"/>
  <c r="B122" i="1"/>
  <c r="C122" i="1"/>
  <c r="D122" i="1"/>
  <c r="E122" i="1"/>
  <c r="F122" i="1"/>
  <c r="G122" i="1"/>
  <c r="H122" i="1"/>
  <c r="I122" i="1"/>
  <c r="J122" i="1"/>
  <c r="B123" i="1"/>
  <c r="C123" i="1"/>
  <c r="D123" i="1"/>
  <c r="E123" i="1"/>
  <c r="F123" i="1"/>
  <c r="G123" i="1"/>
  <c r="H123" i="1"/>
  <c r="I123" i="1"/>
  <c r="J123" i="1"/>
  <c r="B124" i="1"/>
  <c r="C124" i="1"/>
  <c r="D124" i="1"/>
  <c r="E124" i="1"/>
  <c r="F124" i="1"/>
  <c r="G124" i="1"/>
  <c r="H124" i="1"/>
  <c r="I124" i="1"/>
  <c r="J124" i="1"/>
  <c r="B125" i="1"/>
  <c r="C125" i="1"/>
  <c r="D125" i="1"/>
  <c r="E125" i="1"/>
  <c r="F125" i="1"/>
  <c r="G125" i="1"/>
  <c r="H125" i="1"/>
  <c r="I125" i="1"/>
  <c r="J125" i="1"/>
  <c r="B126" i="1"/>
  <c r="C126" i="1"/>
  <c r="D126" i="1"/>
  <c r="E126" i="1"/>
  <c r="F126" i="1"/>
  <c r="G126" i="1"/>
  <c r="H126" i="1"/>
  <c r="I126" i="1"/>
  <c r="J126" i="1"/>
  <c r="B127" i="1"/>
  <c r="C127" i="1"/>
  <c r="D127" i="1"/>
  <c r="E127" i="1"/>
  <c r="F127" i="1"/>
  <c r="G127" i="1"/>
  <c r="H127" i="1"/>
  <c r="I127" i="1"/>
  <c r="J127" i="1"/>
  <c r="B128" i="1"/>
  <c r="C128" i="1"/>
  <c r="D128" i="1"/>
  <c r="E128" i="1"/>
  <c r="F128" i="1"/>
  <c r="G128" i="1"/>
  <c r="H128" i="1"/>
  <c r="I128" i="1"/>
  <c r="J128" i="1"/>
  <c r="B129" i="1"/>
  <c r="C129" i="1"/>
  <c r="D129" i="1"/>
  <c r="E129" i="1"/>
  <c r="F129" i="1"/>
  <c r="G129" i="1"/>
  <c r="H129" i="1"/>
  <c r="I129" i="1"/>
  <c r="J129" i="1"/>
  <c r="B130" i="1"/>
  <c r="C130" i="1"/>
  <c r="D130" i="1"/>
  <c r="E130" i="1"/>
  <c r="F130" i="1"/>
  <c r="G130" i="1"/>
  <c r="H130" i="1"/>
  <c r="I130" i="1"/>
  <c r="J130" i="1"/>
  <c r="B131" i="1"/>
  <c r="C131" i="1"/>
  <c r="D131" i="1"/>
  <c r="E131" i="1"/>
  <c r="F131" i="1"/>
  <c r="G131" i="1"/>
  <c r="H131" i="1"/>
  <c r="I131" i="1"/>
  <c r="J131" i="1"/>
  <c r="B132" i="1"/>
  <c r="C132" i="1"/>
  <c r="D132" i="1"/>
  <c r="E132" i="1"/>
  <c r="F132" i="1"/>
  <c r="G132" i="1"/>
  <c r="H132" i="1"/>
  <c r="I132" i="1"/>
  <c r="J132" i="1"/>
  <c r="B133" i="1"/>
  <c r="C133" i="1"/>
  <c r="D133" i="1"/>
  <c r="E133" i="1"/>
  <c r="F133" i="1"/>
  <c r="G133" i="1"/>
  <c r="H133" i="1"/>
  <c r="I133" i="1"/>
  <c r="J133" i="1"/>
  <c r="B134" i="1"/>
  <c r="C134" i="1"/>
  <c r="D134" i="1"/>
  <c r="E134" i="1"/>
  <c r="F134" i="1"/>
  <c r="G134" i="1"/>
  <c r="H134" i="1"/>
  <c r="I134" i="1"/>
  <c r="J134" i="1"/>
  <c r="B135" i="1"/>
  <c r="C135" i="1"/>
  <c r="D135" i="1"/>
  <c r="E135" i="1"/>
  <c r="F135" i="1"/>
  <c r="G135" i="1"/>
  <c r="H135" i="1"/>
  <c r="I135" i="1"/>
  <c r="J135" i="1"/>
  <c r="B136" i="1"/>
  <c r="C136" i="1"/>
  <c r="D136" i="1"/>
  <c r="E136" i="1"/>
  <c r="F136" i="1"/>
  <c r="G136" i="1"/>
  <c r="H136" i="1"/>
  <c r="I136" i="1"/>
  <c r="J136" i="1"/>
  <c r="B137" i="1"/>
  <c r="C137" i="1"/>
  <c r="D137" i="1"/>
  <c r="E137" i="1"/>
  <c r="F137" i="1"/>
  <c r="G137" i="1"/>
  <c r="H137" i="1"/>
  <c r="I137" i="1"/>
  <c r="J137" i="1"/>
  <c r="B138" i="1"/>
  <c r="C138" i="1"/>
  <c r="D138" i="1"/>
  <c r="E138" i="1"/>
  <c r="F138" i="1"/>
  <c r="G138" i="1"/>
  <c r="H138" i="1"/>
  <c r="I138" i="1"/>
  <c r="J138" i="1"/>
  <c r="B139" i="1"/>
  <c r="C139" i="1"/>
  <c r="D139" i="1"/>
  <c r="E139" i="1"/>
  <c r="F139" i="1"/>
  <c r="G139" i="1"/>
  <c r="H139" i="1"/>
  <c r="I139" i="1"/>
  <c r="J139" i="1"/>
  <c r="B140" i="1"/>
  <c r="C140" i="1"/>
  <c r="D140" i="1"/>
  <c r="E140" i="1"/>
  <c r="F140" i="1"/>
  <c r="G140" i="1"/>
  <c r="H140" i="1"/>
  <c r="I140" i="1"/>
  <c r="J140" i="1"/>
  <c r="B141" i="1"/>
  <c r="C141" i="1"/>
  <c r="D141" i="1"/>
  <c r="E141" i="1"/>
  <c r="F141" i="1"/>
  <c r="G141" i="1"/>
  <c r="H141" i="1"/>
  <c r="I141" i="1"/>
  <c r="J141" i="1"/>
  <c r="B142" i="1"/>
  <c r="C142" i="1"/>
  <c r="D142" i="1"/>
  <c r="E142" i="1"/>
  <c r="F142" i="1"/>
  <c r="G142" i="1"/>
  <c r="H142" i="1"/>
  <c r="I142" i="1"/>
  <c r="J142" i="1"/>
  <c r="B143" i="1"/>
  <c r="C143" i="1"/>
  <c r="D143" i="1"/>
  <c r="E143" i="1"/>
  <c r="F143" i="1"/>
  <c r="G143" i="1"/>
  <c r="H143" i="1"/>
  <c r="I143" i="1"/>
  <c r="J143" i="1"/>
  <c r="B144" i="1"/>
  <c r="C144" i="1"/>
  <c r="D144" i="1"/>
  <c r="E144" i="1"/>
  <c r="F144" i="1"/>
  <c r="G144" i="1"/>
  <c r="H144" i="1"/>
  <c r="I144" i="1"/>
  <c r="J144" i="1"/>
  <c r="B145" i="1"/>
  <c r="C145" i="1"/>
  <c r="D145" i="1"/>
  <c r="E145" i="1"/>
  <c r="F145" i="1"/>
  <c r="G145" i="1"/>
  <c r="H145" i="1"/>
  <c r="I145" i="1"/>
  <c r="J145" i="1"/>
  <c r="B146" i="1"/>
  <c r="C146" i="1"/>
  <c r="D146" i="1"/>
  <c r="E146" i="1"/>
  <c r="F146" i="1"/>
  <c r="G146" i="1"/>
  <c r="H146" i="1"/>
  <c r="I146" i="1"/>
  <c r="J146" i="1"/>
  <c r="B147" i="1"/>
  <c r="C147" i="1"/>
  <c r="D147" i="1"/>
  <c r="E147" i="1"/>
  <c r="F147" i="1"/>
  <c r="G147" i="1"/>
  <c r="H147" i="1"/>
  <c r="I147" i="1"/>
  <c r="J147" i="1"/>
  <c r="B148" i="1"/>
  <c r="C148" i="1"/>
  <c r="D148" i="1"/>
  <c r="E148" i="1"/>
  <c r="F148" i="1"/>
  <c r="G148" i="1"/>
  <c r="H148" i="1"/>
  <c r="I148" i="1"/>
  <c r="J148" i="1"/>
  <c r="B149" i="1"/>
  <c r="C149" i="1"/>
  <c r="D149" i="1"/>
  <c r="E149" i="1"/>
  <c r="F149" i="1"/>
  <c r="G149" i="1"/>
  <c r="H149" i="1"/>
  <c r="I149" i="1"/>
  <c r="J149" i="1"/>
  <c r="B150" i="1"/>
  <c r="C150" i="1"/>
  <c r="D150" i="1"/>
  <c r="E150" i="1"/>
  <c r="F150" i="1"/>
  <c r="G150" i="1"/>
  <c r="H150" i="1"/>
  <c r="I150" i="1"/>
  <c r="J150" i="1"/>
  <c r="B151" i="1"/>
  <c r="C151" i="1"/>
  <c r="D151" i="1"/>
  <c r="E151" i="1"/>
  <c r="F151" i="1"/>
  <c r="G151" i="1"/>
  <c r="H151" i="1"/>
  <c r="I151" i="1"/>
  <c r="J151" i="1"/>
  <c r="B152" i="1"/>
  <c r="C152" i="1"/>
  <c r="D152" i="1"/>
  <c r="E152" i="1"/>
  <c r="F152" i="1"/>
  <c r="G152" i="1"/>
  <c r="H152" i="1"/>
  <c r="I152" i="1"/>
  <c r="J152" i="1"/>
  <c r="B153" i="1"/>
  <c r="C153" i="1"/>
  <c r="D153" i="1"/>
  <c r="E153" i="1"/>
  <c r="F153" i="1"/>
  <c r="G153" i="1"/>
  <c r="H153" i="1"/>
  <c r="I153" i="1"/>
  <c r="J153" i="1"/>
  <c r="B154" i="1"/>
  <c r="C154" i="1"/>
  <c r="D154" i="1"/>
  <c r="E154" i="1"/>
  <c r="F154" i="1"/>
  <c r="G154" i="1"/>
  <c r="H154" i="1"/>
  <c r="I154" i="1"/>
  <c r="J154" i="1"/>
  <c r="B155" i="1"/>
  <c r="C155" i="1"/>
  <c r="D155" i="1"/>
  <c r="E155" i="1"/>
  <c r="F155" i="1"/>
  <c r="G155" i="1"/>
  <c r="H155" i="1"/>
  <c r="I155" i="1"/>
  <c r="J155" i="1"/>
  <c r="B156" i="1"/>
  <c r="C156" i="1"/>
  <c r="D156" i="1"/>
  <c r="E156" i="1"/>
  <c r="F156" i="1"/>
  <c r="G156" i="1"/>
  <c r="H156" i="1"/>
  <c r="I156" i="1"/>
  <c r="J156" i="1"/>
  <c r="B157" i="1"/>
  <c r="C157" i="1"/>
  <c r="D157" i="1"/>
  <c r="E157" i="1"/>
  <c r="F157" i="1"/>
  <c r="G157" i="1"/>
  <c r="H157" i="1"/>
  <c r="I157" i="1"/>
  <c r="J157" i="1"/>
  <c r="B158" i="1"/>
  <c r="C158" i="1"/>
  <c r="D158" i="1"/>
  <c r="E158" i="1"/>
  <c r="F158" i="1"/>
  <c r="G158" i="1"/>
  <c r="H158" i="1"/>
  <c r="I158" i="1"/>
  <c r="J158" i="1"/>
  <c r="B159" i="1"/>
  <c r="C159" i="1"/>
  <c r="D159" i="1"/>
  <c r="E159" i="1"/>
  <c r="F159" i="1"/>
  <c r="G159" i="1"/>
  <c r="H159" i="1"/>
  <c r="I159" i="1"/>
  <c r="J159" i="1"/>
  <c r="B160" i="1"/>
  <c r="C160" i="1"/>
  <c r="D160" i="1"/>
  <c r="E160" i="1"/>
  <c r="F160" i="1"/>
  <c r="G160" i="1"/>
  <c r="H160" i="1"/>
  <c r="I160" i="1"/>
  <c r="J160" i="1"/>
  <c r="B161" i="1"/>
  <c r="C161" i="1"/>
  <c r="D161" i="1"/>
  <c r="E161" i="1"/>
  <c r="F161" i="1"/>
  <c r="G161" i="1"/>
  <c r="H161" i="1"/>
  <c r="I161" i="1"/>
  <c r="J161" i="1"/>
  <c r="B162" i="1"/>
  <c r="C162" i="1"/>
  <c r="D162" i="1"/>
  <c r="E162" i="1"/>
  <c r="F162" i="1"/>
  <c r="G162" i="1"/>
  <c r="H162" i="1"/>
  <c r="I162" i="1"/>
  <c r="J162" i="1"/>
  <c r="B163" i="1"/>
  <c r="C163" i="1"/>
  <c r="D163" i="1"/>
  <c r="E163" i="1"/>
  <c r="F163" i="1"/>
  <c r="G163" i="1"/>
  <c r="H163" i="1"/>
  <c r="I163" i="1"/>
  <c r="J163" i="1"/>
  <c r="B164" i="1"/>
  <c r="C164" i="1"/>
  <c r="D164" i="1"/>
  <c r="E164" i="1"/>
  <c r="F164" i="1"/>
  <c r="G164" i="1"/>
  <c r="H164" i="1"/>
  <c r="I164" i="1"/>
  <c r="J164" i="1"/>
  <c r="B165" i="1"/>
  <c r="C165" i="1"/>
  <c r="D165" i="1"/>
  <c r="E165" i="1"/>
  <c r="F165" i="1"/>
  <c r="G165" i="1"/>
  <c r="H165" i="1"/>
  <c r="I165" i="1"/>
  <c r="J165" i="1"/>
  <c r="B166" i="1"/>
  <c r="C166" i="1"/>
  <c r="D166" i="1"/>
  <c r="E166" i="1"/>
  <c r="F166" i="1"/>
  <c r="G166" i="1"/>
  <c r="H166" i="1"/>
  <c r="I166" i="1"/>
  <c r="J166" i="1"/>
  <c r="B167" i="1"/>
  <c r="C167" i="1"/>
  <c r="D167" i="1"/>
  <c r="E167" i="1"/>
  <c r="F167" i="1"/>
  <c r="G167" i="1"/>
  <c r="H167" i="1"/>
  <c r="I167" i="1"/>
  <c r="J167" i="1"/>
  <c r="B168" i="1"/>
  <c r="C168" i="1"/>
  <c r="D168" i="1"/>
  <c r="E168" i="1"/>
  <c r="F168" i="1"/>
  <c r="G168" i="1"/>
  <c r="H168" i="1"/>
  <c r="I168" i="1"/>
  <c r="J168" i="1"/>
  <c r="B169" i="1"/>
  <c r="C169" i="1"/>
  <c r="D169" i="1"/>
  <c r="E169" i="1"/>
  <c r="F169" i="1"/>
  <c r="G169" i="1"/>
  <c r="H169" i="1"/>
  <c r="I169" i="1"/>
  <c r="J169" i="1"/>
  <c r="B170" i="1"/>
  <c r="C170" i="1"/>
  <c r="D170" i="1"/>
  <c r="E170" i="1"/>
  <c r="F170" i="1"/>
  <c r="G170" i="1"/>
  <c r="H170" i="1"/>
  <c r="I170" i="1"/>
  <c r="J170" i="1"/>
  <c r="B171" i="1"/>
  <c r="C171" i="1"/>
  <c r="D171" i="1"/>
  <c r="E171" i="1"/>
  <c r="F171" i="1"/>
  <c r="G171" i="1"/>
  <c r="H171" i="1"/>
  <c r="I171" i="1"/>
  <c r="J171" i="1"/>
  <c r="B172" i="1"/>
  <c r="C172" i="1"/>
  <c r="D172" i="1"/>
  <c r="E172" i="1"/>
  <c r="F172" i="1"/>
  <c r="G172" i="1"/>
  <c r="H172" i="1"/>
  <c r="I172" i="1"/>
  <c r="J172" i="1"/>
  <c r="B173" i="1"/>
  <c r="C173" i="1"/>
  <c r="D173" i="1"/>
  <c r="E173" i="1"/>
  <c r="F173" i="1"/>
  <c r="G173" i="1"/>
  <c r="H173" i="1"/>
  <c r="I173" i="1"/>
  <c r="J173" i="1"/>
  <c r="B174" i="1"/>
  <c r="C174" i="1"/>
  <c r="D174" i="1"/>
  <c r="E174" i="1"/>
  <c r="F174" i="1"/>
  <c r="G174" i="1"/>
  <c r="H174" i="1"/>
  <c r="I174" i="1"/>
  <c r="J174" i="1"/>
  <c r="B175" i="1"/>
  <c r="C175" i="1"/>
  <c r="D175" i="1"/>
  <c r="E175" i="1"/>
  <c r="F175" i="1"/>
  <c r="G175" i="1"/>
  <c r="H175" i="1"/>
  <c r="I175" i="1"/>
  <c r="J175" i="1"/>
  <c r="B176" i="1"/>
  <c r="C176" i="1"/>
  <c r="D176" i="1"/>
  <c r="E176" i="1"/>
  <c r="F176" i="1"/>
  <c r="G176" i="1"/>
  <c r="H176" i="1"/>
  <c r="I176" i="1"/>
  <c r="J176" i="1"/>
  <c r="B177" i="1"/>
  <c r="C177" i="1"/>
  <c r="D177" i="1"/>
  <c r="E177" i="1"/>
  <c r="F177" i="1"/>
  <c r="G177" i="1"/>
  <c r="H177" i="1"/>
  <c r="I177" i="1"/>
  <c r="J177" i="1"/>
  <c r="B178" i="1"/>
  <c r="C178" i="1"/>
  <c r="D178" i="1"/>
  <c r="E178" i="1"/>
  <c r="F178" i="1"/>
  <c r="G178" i="1"/>
  <c r="H178" i="1"/>
  <c r="I178" i="1"/>
  <c r="J178" i="1"/>
  <c r="B179" i="1"/>
  <c r="C179" i="1"/>
  <c r="D179" i="1"/>
  <c r="E179" i="1"/>
  <c r="F179" i="1"/>
  <c r="G179" i="1"/>
  <c r="H179" i="1"/>
  <c r="I179" i="1"/>
  <c r="J179" i="1"/>
  <c r="B180" i="1"/>
  <c r="C180" i="1"/>
  <c r="D180" i="1"/>
  <c r="E180" i="1"/>
  <c r="F180" i="1"/>
  <c r="G180" i="1"/>
  <c r="H180" i="1"/>
  <c r="I180" i="1"/>
  <c r="J180" i="1"/>
  <c r="B181" i="1"/>
  <c r="C181" i="1"/>
  <c r="D181" i="1"/>
  <c r="E181" i="1"/>
  <c r="F181" i="1"/>
  <c r="G181" i="1"/>
  <c r="H181" i="1"/>
  <c r="I181" i="1"/>
  <c r="J181" i="1"/>
  <c r="B182" i="1"/>
  <c r="C182" i="1"/>
  <c r="D182" i="1"/>
  <c r="E182" i="1"/>
  <c r="F182" i="1"/>
  <c r="G182" i="1"/>
  <c r="H182" i="1"/>
  <c r="I182" i="1"/>
  <c r="J182" i="1"/>
  <c r="B183" i="1"/>
  <c r="C183" i="1"/>
  <c r="D183" i="1"/>
  <c r="E183" i="1"/>
  <c r="F183" i="1"/>
  <c r="G183" i="1"/>
  <c r="H183" i="1"/>
  <c r="I183" i="1"/>
  <c r="J183" i="1"/>
  <c r="B184" i="1"/>
  <c r="C184" i="1"/>
  <c r="D184" i="1"/>
  <c r="E184" i="1"/>
  <c r="F184" i="1"/>
  <c r="G184" i="1"/>
  <c r="H184" i="1"/>
  <c r="I184" i="1"/>
  <c r="J184" i="1"/>
  <c r="B185" i="1"/>
  <c r="C185" i="1"/>
  <c r="D185" i="1"/>
  <c r="E185" i="1"/>
  <c r="F185" i="1"/>
  <c r="G185" i="1"/>
  <c r="H185" i="1"/>
  <c r="I185" i="1"/>
  <c r="J185" i="1"/>
  <c r="B186" i="1"/>
  <c r="C186" i="1"/>
  <c r="D186" i="1"/>
  <c r="E186" i="1"/>
  <c r="F186" i="1"/>
  <c r="G186" i="1"/>
  <c r="H186" i="1"/>
  <c r="I186" i="1"/>
  <c r="J186" i="1"/>
  <c r="B187" i="1"/>
  <c r="C187" i="1"/>
  <c r="D187" i="1"/>
  <c r="E187" i="1"/>
  <c r="F187" i="1"/>
  <c r="G187" i="1"/>
  <c r="H187" i="1"/>
  <c r="I187" i="1"/>
  <c r="J187" i="1"/>
  <c r="B188" i="1"/>
  <c r="C188" i="1"/>
  <c r="D188" i="1"/>
  <c r="E188" i="1"/>
  <c r="F188" i="1"/>
  <c r="G188" i="1"/>
  <c r="H188" i="1"/>
  <c r="I188" i="1"/>
  <c r="J188" i="1"/>
  <c r="B189" i="1"/>
  <c r="C189" i="1"/>
  <c r="D189" i="1"/>
  <c r="E189" i="1"/>
  <c r="F189" i="1"/>
  <c r="G189" i="1"/>
  <c r="H189" i="1"/>
  <c r="I189" i="1"/>
  <c r="J189" i="1"/>
  <c r="B190" i="1"/>
  <c r="C190" i="1"/>
  <c r="D190" i="1"/>
  <c r="E190" i="1"/>
  <c r="F190" i="1"/>
  <c r="G190" i="1"/>
  <c r="H190" i="1"/>
  <c r="I190" i="1"/>
  <c r="J190" i="1"/>
  <c r="B191" i="1"/>
  <c r="C191" i="1"/>
  <c r="D191" i="1"/>
  <c r="E191" i="1"/>
  <c r="F191" i="1"/>
  <c r="G191" i="1"/>
  <c r="H191" i="1"/>
  <c r="I191" i="1"/>
  <c r="J191" i="1"/>
  <c r="B192" i="1"/>
  <c r="C192" i="1"/>
  <c r="D192" i="1"/>
  <c r="E192" i="1"/>
  <c r="F192" i="1"/>
  <c r="G192" i="1"/>
  <c r="H192" i="1"/>
  <c r="I192" i="1"/>
  <c r="J192" i="1"/>
  <c r="B193" i="1"/>
  <c r="C193" i="1"/>
  <c r="D193" i="1"/>
  <c r="E193" i="1"/>
  <c r="F193" i="1"/>
  <c r="G193" i="1"/>
  <c r="H193" i="1"/>
  <c r="I193" i="1"/>
  <c r="J193" i="1"/>
  <c r="B194" i="1"/>
  <c r="C194" i="1"/>
  <c r="D194" i="1"/>
  <c r="E194" i="1"/>
  <c r="F194" i="1"/>
  <c r="G194" i="1"/>
  <c r="H194" i="1"/>
  <c r="I194" i="1"/>
  <c r="J194" i="1"/>
  <c r="B195" i="1"/>
  <c r="C195" i="1"/>
  <c r="D195" i="1"/>
  <c r="E195" i="1"/>
  <c r="F195" i="1"/>
  <c r="G195" i="1"/>
  <c r="H195" i="1"/>
  <c r="I195" i="1"/>
  <c r="J195" i="1"/>
  <c r="B196" i="1"/>
  <c r="C196" i="1"/>
  <c r="D196" i="1"/>
  <c r="E196" i="1"/>
  <c r="F196" i="1"/>
  <c r="G196" i="1"/>
  <c r="H196" i="1"/>
  <c r="I196" i="1"/>
  <c r="J196" i="1"/>
  <c r="B197" i="1"/>
  <c r="C197" i="1"/>
  <c r="D197" i="1"/>
  <c r="E197" i="1"/>
  <c r="F197" i="1"/>
  <c r="G197" i="1"/>
  <c r="H197" i="1"/>
  <c r="I197" i="1"/>
  <c r="J197" i="1"/>
  <c r="B198" i="1"/>
  <c r="C198" i="1"/>
  <c r="D198" i="1"/>
  <c r="E198" i="1"/>
  <c r="F198" i="1"/>
  <c r="G198" i="1"/>
  <c r="H198" i="1"/>
  <c r="I198" i="1"/>
  <c r="J198" i="1"/>
  <c r="B199" i="1"/>
  <c r="C199" i="1"/>
  <c r="D199" i="1"/>
  <c r="E199" i="1"/>
  <c r="F199" i="1"/>
  <c r="G199" i="1"/>
  <c r="H199" i="1"/>
  <c r="I199" i="1"/>
  <c r="J199" i="1"/>
  <c r="B200" i="1"/>
  <c r="C200" i="1"/>
  <c r="D200" i="1"/>
  <c r="E200" i="1"/>
  <c r="F200" i="1"/>
  <c r="G200" i="1"/>
  <c r="H200" i="1"/>
  <c r="I200" i="1"/>
  <c r="J200" i="1"/>
  <c r="B201" i="1"/>
  <c r="C201" i="1"/>
  <c r="D201" i="1"/>
  <c r="E201" i="1"/>
  <c r="F201" i="1"/>
  <c r="G201" i="1"/>
  <c r="H201" i="1"/>
  <c r="I201" i="1"/>
  <c r="J201" i="1"/>
  <c r="B202" i="1"/>
  <c r="C202" i="1"/>
  <c r="D202" i="1"/>
  <c r="E202" i="1"/>
  <c r="F202" i="1"/>
  <c r="G202" i="1"/>
  <c r="H202" i="1"/>
  <c r="I202" i="1"/>
  <c r="J202" i="1"/>
  <c r="B203" i="1"/>
  <c r="C203" i="1"/>
  <c r="D203" i="1"/>
  <c r="E203" i="1"/>
  <c r="F203" i="1"/>
  <c r="G203" i="1"/>
  <c r="H203" i="1"/>
  <c r="I203" i="1"/>
  <c r="J203" i="1"/>
  <c r="B204" i="1"/>
  <c r="C204" i="1"/>
  <c r="D204" i="1"/>
  <c r="E204" i="1"/>
  <c r="F204" i="1"/>
  <c r="G204" i="1"/>
  <c r="H204" i="1"/>
  <c r="I204" i="1"/>
  <c r="J204" i="1"/>
  <c r="B205" i="1"/>
  <c r="C205" i="1"/>
  <c r="D205" i="1"/>
  <c r="E205" i="1"/>
  <c r="F205" i="1"/>
  <c r="G205" i="1"/>
  <c r="H205" i="1"/>
  <c r="I205" i="1"/>
  <c r="J205" i="1"/>
  <c r="B206" i="1"/>
  <c r="C206" i="1"/>
  <c r="D206" i="1"/>
  <c r="E206" i="1"/>
  <c r="F206" i="1"/>
  <c r="G206" i="1"/>
  <c r="H206" i="1"/>
  <c r="I206" i="1"/>
  <c r="J206" i="1"/>
  <c r="B207" i="1"/>
  <c r="C207" i="1"/>
  <c r="D207" i="1"/>
  <c r="E207" i="1"/>
  <c r="F207" i="1"/>
  <c r="G207" i="1"/>
  <c r="H207" i="1"/>
  <c r="I207" i="1"/>
  <c r="J207" i="1"/>
  <c r="B208" i="1"/>
  <c r="C208" i="1"/>
  <c r="D208" i="1"/>
  <c r="E208" i="1"/>
  <c r="F208" i="1"/>
  <c r="G208" i="1"/>
  <c r="H208" i="1"/>
  <c r="I208" i="1"/>
  <c r="J208" i="1"/>
  <c r="B209" i="1"/>
  <c r="C209" i="1"/>
  <c r="D209" i="1"/>
  <c r="E209" i="1"/>
  <c r="F209" i="1"/>
  <c r="G209" i="1"/>
  <c r="H209" i="1"/>
  <c r="I209" i="1"/>
  <c r="J209" i="1"/>
  <c r="B210" i="1"/>
  <c r="C210" i="1"/>
  <c r="D210" i="1"/>
  <c r="E210" i="1"/>
  <c r="F210" i="1"/>
  <c r="G210" i="1"/>
  <c r="H210" i="1"/>
  <c r="I210" i="1"/>
  <c r="J210" i="1"/>
  <c r="B211" i="1"/>
  <c r="C211" i="1"/>
  <c r="D211" i="1"/>
  <c r="E211" i="1"/>
  <c r="F211" i="1"/>
  <c r="G211" i="1"/>
  <c r="H211" i="1"/>
  <c r="I211" i="1"/>
  <c r="J211" i="1"/>
  <c r="B212" i="1"/>
  <c r="C212" i="1"/>
  <c r="D212" i="1"/>
  <c r="E212" i="1"/>
  <c r="F212" i="1"/>
  <c r="G212" i="1"/>
  <c r="H212" i="1"/>
  <c r="I212" i="1"/>
  <c r="J212" i="1"/>
  <c r="B213" i="1"/>
  <c r="C213" i="1"/>
  <c r="D213" i="1"/>
  <c r="E213" i="1"/>
  <c r="F213" i="1"/>
  <c r="G213" i="1"/>
  <c r="H213" i="1"/>
  <c r="I213" i="1"/>
  <c r="J213" i="1"/>
  <c r="B214" i="1"/>
  <c r="C214" i="1"/>
  <c r="D214" i="1"/>
  <c r="E214" i="1"/>
  <c r="F214" i="1"/>
  <c r="G214" i="1"/>
  <c r="H214" i="1"/>
  <c r="I214" i="1"/>
  <c r="J214" i="1"/>
  <c r="B215" i="1"/>
  <c r="C215" i="1"/>
  <c r="D215" i="1"/>
  <c r="E215" i="1"/>
  <c r="F215" i="1"/>
  <c r="G215" i="1"/>
  <c r="H215" i="1"/>
  <c r="I215" i="1"/>
  <c r="J215" i="1"/>
  <c r="B216" i="1"/>
  <c r="C216" i="1"/>
  <c r="D216" i="1"/>
  <c r="E216" i="1"/>
  <c r="F216" i="1"/>
  <c r="G216" i="1"/>
  <c r="H216" i="1"/>
  <c r="I216" i="1"/>
  <c r="J216" i="1"/>
  <c r="B217" i="1"/>
  <c r="C217" i="1"/>
  <c r="D217" i="1"/>
  <c r="E217" i="1"/>
  <c r="F217" i="1"/>
  <c r="G217" i="1"/>
  <c r="H217" i="1"/>
  <c r="I217" i="1"/>
  <c r="J217" i="1"/>
  <c r="B218" i="1"/>
  <c r="C218" i="1"/>
  <c r="D218" i="1"/>
  <c r="E218" i="1"/>
  <c r="F218" i="1"/>
  <c r="G218" i="1"/>
  <c r="H218" i="1"/>
  <c r="I218" i="1"/>
  <c r="J218" i="1"/>
  <c r="B219" i="1"/>
  <c r="C219" i="1"/>
  <c r="D219" i="1"/>
  <c r="E219" i="1"/>
  <c r="F219" i="1"/>
  <c r="G219" i="1"/>
  <c r="H219" i="1"/>
  <c r="I219" i="1"/>
  <c r="J219" i="1"/>
  <c r="B220" i="1"/>
  <c r="C220" i="1"/>
  <c r="D220" i="1"/>
  <c r="E220" i="1"/>
  <c r="F220" i="1"/>
  <c r="G220" i="1"/>
  <c r="H220" i="1"/>
  <c r="I220" i="1"/>
  <c r="J220" i="1"/>
  <c r="B221" i="1"/>
  <c r="C221" i="1"/>
  <c r="D221" i="1"/>
  <c r="E221" i="1"/>
  <c r="F221" i="1"/>
  <c r="G221" i="1"/>
  <c r="H221" i="1"/>
  <c r="I221" i="1"/>
  <c r="J221" i="1"/>
  <c r="B222" i="1"/>
  <c r="C222" i="1"/>
  <c r="D222" i="1"/>
  <c r="E222" i="1"/>
  <c r="F222" i="1"/>
  <c r="G222" i="1"/>
  <c r="H222" i="1"/>
  <c r="I222" i="1"/>
  <c r="J222" i="1"/>
  <c r="B223" i="1"/>
  <c r="C223" i="1"/>
  <c r="D223" i="1"/>
  <c r="E223" i="1"/>
  <c r="F223" i="1"/>
  <c r="G223" i="1"/>
  <c r="H223" i="1"/>
  <c r="I223" i="1"/>
  <c r="J223" i="1"/>
  <c r="B224" i="1"/>
  <c r="C224" i="1"/>
  <c r="D224" i="1"/>
  <c r="E224" i="1"/>
  <c r="F224" i="1"/>
  <c r="G224" i="1"/>
  <c r="H224" i="1"/>
  <c r="I224" i="1"/>
  <c r="J224" i="1"/>
  <c r="B225" i="1"/>
  <c r="C225" i="1"/>
  <c r="D225" i="1"/>
  <c r="E225" i="1"/>
  <c r="F225" i="1"/>
  <c r="G225" i="1"/>
  <c r="H225" i="1"/>
  <c r="I225" i="1"/>
  <c r="J225" i="1"/>
  <c r="B226" i="1"/>
  <c r="C226" i="1"/>
  <c r="D226" i="1"/>
  <c r="E226" i="1"/>
  <c r="F226" i="1"/>
  <c r="G226" i="1"/>
  <c r="H226" i="1"/>
  <c r="I226" i="1"/>
  <c r="J226" i="1"/>
  <c r="B227" i="1"/>
  <c r="C227" i="1"/>
  <c r="D227" i="1"/>
  <c r="E227" i="1"/>
  <c r="F227" i="1"/>
  <c r="G227" i="1"/>
  <c r="H227" i="1"/>
  <c r="I227" i="1"/>
  <c r="J227" i="1"/>
  <c r="B228" i="1"/>
  <c r="C228" i="1"/>
  <c r="D228" i="1"/>
  <c r="E228" i="1"/>
  <c r="F228" i="1"/>
  <c r="G228" i="1"/>
  <c r="H228" i="1"/>
  <c r="I228" i="1"/>
  <c r="J228" i="1"/>
  <c r="B229" i="1"/>
  <c r="C229" i="1"/>
  <c r="D229" i="1"/>
  <c r="E229" i="1"/>
  <c r="F229" i="1"/>
  <c r="G229" i="1"/>
  <c r="H229" i="1"/>
  <c r="I229" i="1"/>
  <c r="J229" i="1"/>
  <c r="B230" i="1"/>
  <c r="C230" i="1"/>
  <c r="D230" i="1"/>
  <c r="E230" i="1"/>
  <c r="F230" i="1"/>
  <c r="G230" i="1"/>
  <c r="H230" i="1"/>
  <c r="I230" i="1"/>
  <c r="J230" i="1"/>
  <c r="B231" i="1"/>
  <c r="C231" i="1"/>
  <c r="D231" i="1"/>
  <c r="E231" i="1"/>
  <c r="F231" i="1"/>
  <c r="G231" i="1"/>
  <c r="H231" i="1"/>
  <c r="I231" i="1"/>
  <c r="J231" i="1"/>
  <c r="B232" i="1"/>
  <c r="C232" i="1"/>
  <c r="D232" i="1"/>
  <c r="E232" i="1"/>
  <c r="F232" i="1"/>
  <c r="G232" i="1"/>
  <c r="H232" i="1"/>
  <c r="I232" i="1"/>
  <c r="J232" i="1"/>
  <c r="B233" i="1"/>
  <c r="C233" i="1"/>
  <c r="D233" i="1"/>
  <c r="E233" i="1"/>
  <c r="F233" i="1"/>
  <c r="G233" i="1"/>
  <c r="H233" i="1"/>
  <c r="I233" i="1"/>
  <c r="J233" i="1"/>
  <c r="B234" i="1"/>
  <c r="C234" i="1"/>
  <c r="D234" i="1"/>
  <c r="E234" i="1"/>
  <c r="F234" i="1"/>
  <c r="G234" i="1"/>
  <c r="H234" i="1"/>
  <c r="I234" i="1"/>
  <c r="J234" i="1"/>
  <c r="B235" i="1"/>
  <c r="C235" i="1"/>
  <c r="D235" i="1"/>
  <c r="E235" i="1"/>
  <c r="F235" i="1"/>
  <c r="G235" i="1"/>
  <c r="H235" i="1"/>
  <c r="I235" i="1"/>
  <c r="J235" i="1"/>
  <c r="B236" i="1"/>
  <c r="C236" i="1"/>
  <c r="D236" i="1"/>
  <c r="E236" i="1"/>
  <c r="F236" i="1"/>
  <c r="G236" i="1"/>
  <c r="H236" i="1"/>
  <c r="I236" i="1"/>
  <c r="J236" i="1"/>
  <c r="B237" i="1"/>
  <c r="C237" i="1"/>
  <c r="D237" i="1"/>
  <c r="E237" i="1"/>
  <c r="F237" i="1"/>
  <c r="G237" i="1"/>
  <c r="H237" i="1"/>
  <c r="I237" i="1"/>
  <c r="J237" i="1"/>
  <c r="B238" i="1"/>
  <c r="C238" i="1"/>
  <c r="D238" i="1"/>
  <c r="E238" i="1"/>
  <c r="F238" i="1"/>
  <c r="G238" i="1"/>
  <c r="H238" i="1"/>
  <c r="I238" i="1"/>
  <c r="J238" i="1"/>
  <c r="B239" i="1"/>
  <c r="C239" i="1"/>
  <c r="D239" i="1"/>
  <c r="E239" i="1"/>
  <c r="F239" i="1"/>
  <c r="G239" i="1"/>
  <c r="H239" i="1"/>
  <c r="I239" i="1"/>
  <c r="J239" i="1"/>
  <c r="B240" i="1"/>
  <c r="C240" i="1"/>
  <c r="D240" i="1"/>
  <c r="E240" i="1"/>
  <c r="F240" i="1"/>
  <c r="G240" i="1"/>
  <c r="H240" i="1"/>
  <c r="I240" i="1"/>
  <c r="J240" i="1"/>
  <c r="B241" i="1"/>
  <c r="C241" i="1"/>
  <c r="D241" i="1"/>
  <c r="E241" i="1"/>
  <c r="F241" i="1"/>
  <c r="G241" i="1"/>
  <c r="H241" i="1"/>
  <c r="I241" i="1"/>
  <c r="J241" i="1"/>
  <c r="B242" i="1"/>
  <c r="C242" i="1"/>
  <c r="D242" i="1"/>
  <c r="E242" i="1"/>
  <c r="F242" i="1"/>
  <c r="G242" i="1"/>
  <c r="H242" i="1"/>
  <c r="I242" i="1"/>
  <c r="J242" i="1"/>
  <c r="B243" i="1"/>
  <c r="C243" i="1"/>
  <c r="D243" i="1"/>
  <c r="E243" i="1"/>
  <c r="F243" i="1"/>
  <c r="G243" i="1"/>
  <c r="H243" i="1"/>
  <c r="I243" i="1"/>
  <c r="J243" i="1"/>
  <c r="B244" i="1"/>
  <c r="C244" i="1"/>
  <c r="D244" i="1"/>
  <c r="E244" i="1"/>
  <c r="F244" i="1"/>
  <c r="G244" i="1"/>
  <c r="H244" i="1"/>
  <c r="I244" i="1"/>
  <c r="J244" i="1"/>
  <c r="B245" i="1"/>
  <c r="C245" i="1"/>
  <c r="D245" i="1"/>
  <c r="E245" i="1"/>
  <c r="F245" i="1"/>
  <c r="G245" i="1"/>
  <c r="H245" i="1"/>
  <c r="I245" i="1"/>
  <c r="J245" i="1"/>
  <c r="B246" i="1"/>
  <c r="C246" i="1"/>
  <c r="D246" i="1"/>
  <c r="E246" i="1"/>
  <c r="F246" i="1"/>
  <c r="G246" i="1"/>
  <c r="H246" i="1"/>
  <c r="I246" i="1"/>
  <c r="J246" i="1"/>
  <c r="B247" i="1"/>
  <c r="C247" i="1"/>
  <c r="D247" i="1"/>
  <c r="E247" i="1"/>
  <c r="F247" i="1"/>
  <c r="G247" i="1"/>
  <c r="H247" i="1"/>
  <c r="I247" i="1"/>
  <c r="J247" i="1"/>
  <c r="B248" i="1"/>
  <c r="C248" i="1"/>
  <c r="D248" i="1"/>
  <c r="E248" i="1"/>
  <c r="F248" i="1"/>
  <c r="G248" i="1"/>
  <c r="H248" i="1"/>
  <c r="I248" i="1"/>
  <c r="J248" i="1"/>
  <c r="B249" i="1"/>
  <c r="C249" i="1"/>
  <c r="D249" i="1"/>
  <c r="E249" i="1"/>
  <c r="F249" i="1"/>
  <c r="G249" i="1"/>
  <c r="H249" i="1"/>
  <c r="I249" i="1"/>
  <c r="J249" i="1"/>
  <c r="B250" i="1"/>
  <c r="C250" i="1"/>
  <c r="D250" i="1"/>
  <c r="E250" i="1"/>
  <c r="F250" i="1"/>
  <c r="G250" i="1"/>
  <c r="H250" i="1"/>
  <c r="I250" i="1"/>
  <c r="J250" i="1"/>
  <c r="B251" i="1"/>
  <c r="C251" i="1"/>
  <c r="D251" i="1"/>
  <c r="E251" i="1"/>
  <c r="F251" i="1"/>
  <c r="G251" i="1"/>
  <c r="H251" i="1"/>
  <c r="I251" i="1"/>
  <c r="J251" i="1"/>
  <c r="B252" i="1"/>
  <c r="C252" i="1"/>
  <c r="D252" i="1"/>
  <c r="E252" i="1"/>
  <c r="F252" i="1"/>
  <c r="G252" i="1"/>
  <c r="H252" i="1"/>
  <c r="I252" i="1"/>
  <c r="J252" i="1"/>
  <c r="B253" i="1"/>
  <c r="C253" i="1"/>
  <c r="D253" i="1"/>
  <c r="E253" i="1"/>
  <c r="F253" i="1"/>
  <c r="G253" i="1"/>
  <c r="H253" i="1"/>
  <c r="I253" i="1"/>
  <c r="J253" i="1"/>
  <c r="B254" i="1"/>
  <c r="C254" i="1"/>
  <c r="D254" i="1"/>
  <c r="E254" i="1"/>
  <c r="F254" i="1"/>
  <c r="G254" i="1"/>
  <c r="H254" i="1"/>
  <c r="I254" i="1"/>
  <c r="J254" i="1"/>
  <c r="B255" i="1"/>
  <c r="C255" i="1"/>
  <c r="D255" i="1"/>
  <c r="E255" i="1"/>
  <c r="F255" i="1"/>
  <c r="G255" i="1"/>
  <c r="H255" i="1"/>
  <c r="I255" i="1"/>
  <c r="J255" i="1"/>
  <c r="B256" i="1"/>
  <c r="C256" i="1"/>
  <c r="D256" i="1"/>
  <c r="E256" i="1"/>
  <c r="F256" i="1"/>
  <c r="G256" i="1"/>
  <c r="H256" i="1"/>
  <c r="I256" i="1"/>
  <c r="J256" i="1"/>
  <c r="B257" i="1"/>
  <c r="C257" i="1"/>
  <c r="D257" i="1"/>
  <c r="E257" i="1"/>
  <c r="F257" i="1"/>
  <c r="G257" i="1"/>
  <c r="H257" i="1"/>
  <c r="I257" i="1"/>
  <c r="J257" i="1"/>
  <c r="B258" i="1"/>
  <c r="C258" i="1"/>
  <c r="D258" i="1"/>
  <c r="E258" i="1"/>
  <c r="F258" i="1"/>
  <c r="G258" i="1"/>
  <c r="H258" i="1"/>
  <c r="I258" i="1"/>
  <c r="J258" i="1"/>
  <c r="B259" i="1"/>
  <c r="C259" i="1"/>
  <c r="D259" i="1"/>
  <c r="E259" i="1"/>
  <c r="F259" i="1"/>
  <c r="G259" i="1"/>
  <c r="H259" i="1"/>
  <c r="I259" i="1"/>
  <c r="J259" i="1"/>
  <c r="B260" i="1"/>
  <c r="C260" i="1"/>
  <c r="D260" i="1"/>
  <c r="E260" i="1"/>
  <c r="F260" i="1"/>
  <c r="G260" i="1"/>
  <c r="H260" i="1"/>
  <c r="I260" i="1"/>
  <c r="J260" i="1"/>
  <c r="B261" i="1"/>
  <c r="C261" i="1"/>
  <c r="D261" i="1"/>
  <c r="E261" i="1"/>
  <c r="F261" i="1"/>
  <c r="G261" i="1"/>
  <c r="H261" i="1"/>
  <c r="I261" i="1"/>
  <c r="J261" i="1"/>
  <c r="B262" i="1"/>
  <c r="C262" i="1"/>
  <c r="D262" i="1"/>
  <c r="E262" i="1"/>
  <c r="F262" i="1"/>
  <c r="G262" i="1"/>
  <c r="H262" i="1"/>
  <c r="I262" i="1"/>
  <c r="J262" i="1"/>
  <c r="B263" i="1"/>
  <c r="C263" i="1"/>
  <c r="D263" i="1"/>
  <c r="E263" i="1"/>
  <c r="F263" i="1"/>
  <c r="G263" i="1"/>
  <c r="H263" i="1"/>
  <c r="I263" i="1"/>
  <c r="J263" i="1"/>
  <c r="B264" i="1"/>
  <c r="C264" i="1"/>
  <c r="D264" i="1"/>
  <c r="E264" i="1"/>
  <c r="F264" i="1"/>
  <c r="G264" i="1"/>
  <c r="H264" i="1"/>
  <c r="I264" i="1"/>
  <c r="J264" i="1"/>
  <c r="B265" i="1"/>
  <c r="C265" i="1"/>
  <c r="D265" i="1"/>
  <c r="E265" i="1"/>
  <c r="F265" i="1"/>
  <c r="G265" i="1"/>
  <c r="H265" i="1"/>
  <c r="I265" i="1"/>
  <c r="J265" i="1"/>
  <c r="B266" i="1"/>
  <c r="C266" i="1"/>
  <c r="D266" i="1"/>
  <c r="E266" i="1"/>
  <c r="F266" i="1"/>
  <c r="G266" i="1"/>
  <c r="H266" i="1"/>
  <c r="I266" i="1"/>
  <c r="J266" i="1"/>
  <c r="B267" i="1"/>
  <c r="C267" i="1"/>
  <c r="D267" i="1"/>
  <c r="E267" i="1"/>
  <c r="F267" i="1"/>
  <c r="G267" i="1"/>
  <c r="H267" i="1"/>
  <c r="I267" i="1"/>
  <c r="J267" i="1"/>
  <c r="B268" i="1"/>
  <c r="C268" i="1"/>
  <c r="D268" i="1"/>
  <c r="E268" i="1"/>
  <c r="F268" i="1"/>
  <c r="G268" i="1"/>
  <c r="H268" i="1"/>
  <c r="I268" i="1"/>
  <c r="J268" i="1"/>
  <c r="B269" i="1"/>
  <c r="C269" i="1"/>
  <c r="D269" i="1"/>
  <c r="E269" i="1"/>
  <c r="F269" i="1"/>
  <c r="G269" i="1"/>
  <c r="H269" i="1"/>
  <c r="I269" i="1"/>
  <c r="J269" i="1"/>
  <c r="B270" i="1"/>
  <c r="C270" i="1"/>
  <c r="D270" i="1"/>
  <c r="E270" i="1"/>
  <c r="F270" i="1"/>
  <c r="G270" i="1"/>
  <c r="H270" i="1"/>
  <c r="I270" i="1"/>
  <c r="J270" i="1"/>
  <c r="B271" i="1"/>
  <c r="C271" i="1"/>
  <c r="D271" i="1"/>
  <c r="E271" i="1"/>
  <c r="F271" i="1"/>
  <c r="G271" i="1"/>
  <c r="H271" i="1"/>
  <c r="I271" i="1"/>
  <c r="J271" i="1"/>
  <c r="B272" i="1"/>
  <c r="C272" i="1"/>
  <c r="D272" i="1"/>
  <c r="E272" i="1"/>
  <c r="F272" i="1"/>
  <c r="G272" i="1"/>
  <c r="H272" i="1"/>
  <c r="I272" i="1"/>
  <c r="J272" i="1"/>
  <c r="B273" i="1"/>
  <c r="C273" i="1"/>
  <c r="D273" i="1"/>
  <c r="E273" i="1"/>
  <c r="F273" i="1"/>
  <c r="G273" i="1"/>
  <c r="H273" i="1"/>
  <c r="I273" i="1"/>
  <c r="J273" i="1"/>
  <c r="B274" i="1"/>
  <c r="C274" i="1"/>
  <c r="D274" i="1"/>
  <c r="E274" i="1"/>
  <c r="F274" i="1"/>
  <c r="G274" i="1"/>
  <c r="H274" i="1"/>
  <c r="I274" i="1"/>
  <c r="J274" i="1"/>
  <c r="B275" i="1"/>
  <c r="C275" i="1"/>
  <c r="D275" i="1"/>
  <c r="E275" i="1"/>
  <c r="F275" i="1"/>
  <c r="G275" i="1"/>
  <c r="H275" i="1"/>
  <c r="I275" i="1"/>
  <c r="J275" i="1"/>
  <c r="B276" i="1"/>
  <c r="C276" i="1"/>
  <c r="D276" i="1"/>
  <c r="E276" i="1"/>
  <c r="F276" i="1"/>
  <c r="G276" i="1"/>
  <c r="H276" i="1"/>
  <c r="I276" i="1"/>
  <c r="J276" i="1"/>
  <c r="B277" i="1"/>
  <c r="C277" i="1"/>
  <c r="D277" i="1"/>
  <c r="E277" i="1"/>
  <c r="F277" i="1"/>
  <c r="G277" i="1"/>
  <c r="H277" i="1"/>
  <c r="I277" i="1"/>
  <c r="J277" i="1"/>
  <c r="B278" i="1"/>
  <c r="C278" i="1"/>
  <c r="D278" i="1"/>
  <c r="E278" i="1"/>
  <c r="F278" i="1"/>
  <c r="G278" i="1"/>
  <c r="H278" i="1"/>
  <c r="I278" i="1"/>
  <c r="J278" i="1"/>
  <c r="B279" i="1"/>
  <c r="C279" i="1"/>
  <c r="D279" i="1"/>
  <c r="E279" i="1"/>
  <c r="F279" i="1"/>
  <c r="G279" i="1"/>
  <c r="H279" i="1"/>
  <c r="I279" i="1"/>
  <c r="J279" i="1"/>
  <c r="B280" i="1"/>
  <c r="C280" i="1"/>
  <c r="D280" i="1"/>
  <c r="E280" i="1"/>
  <c r="F280" i="1"/>
  <c r="G280" i="1"/>
  <c r="H280" i="1"/>
  <c r="I280" i="1"/>
  <c r="J280" i="1"/>
  <c r="B281" i="1"/>
  <c r="C281" i="1"/>
  <c r="D281" i="1"/>
  <c r="E281" i="1"/>
  <c r="F281" i="1"/>
  <c r="G281" i="1"/>
  <c r="H281" i="1"/>
  <c r="I281" i="1"/>
  <c r="J281" i="1"/>
  <c r="B282" i="1"/>
  <c r="C282" i="1"/>
  <c r="D282" i="1"/>
  <c r="E282" i="1"/>
  <c r="F282" i="1"/>
  <c r="G282" i="1"/>
  <c r="H282" i="1"/>
  <c r="I282" i="1"/>
  <c r="J282" i="1"/>
  <c r="B283" i="1"/>
  <c r="C283" i="1"/>
  <c r="D283" i="1"/>
  <c r="E283" i="1"/>
  <c r="F283" i="1"/>
  <c r="G283" i="1"/>
  <c r="H283" i="1"/>
  <c r="I283" i="1"/>
  <c r="J283" i="1"/>
  <c r="B284" i="1"/>
  <c r="C284" i="1"/>
  <c r="D284" i="1"/>
  <c r="E284" i="1"/>
  <c r="F284" i="1"/>
  <c r="G284" i="1"/>
  <c r="H284" i="1"/>
  <c r="I284" i="1"/>
  <c r="J284" i="1"/>
  <c r="B285" i="1"/>
  <c r="C285" i="1"/>
  <c r="D285" i="1"/>
  <c r="E285" i="1"/>
  <c r="F285" i="1"/>
  <c r="G285" i="1"/>
  <c r="H285" i="1"/>
  <c r="I285" i="1"/>
  <c r="J285" i="1"/>
  <c r="B286" i="1"/>
  <c r="C286" i="1"/>
  <c r="D286" i="1"/>
  <c r="E286" i="1"/>
  <c r="F286" i="1"/>
  <c r="G286" i="1"/>
  <c r="H286" i="1"/>
  <c r="I286" i="1"/>
  <c r="J286" i="1"/>
  <c r="B287" i="1"/>
  <c r="C287" i="1"/>
  <c r="D287" i="1"/>
  <c r="E287" i="1"/>
  <c r="F287" i="1"/>
  <c r="G287" i="1"/>
  <c r="H287" i="1"/>
  <c r="I287" i="1"/>
  <c r="J287" i="1"/>
  <c r="B288" i="1"/>
  <c r="C288" i="1"/>
  <c r="D288" i="1"/>
  <c r="E288" i="1"/>
  <c r="F288" i="1"/>
  <c r="G288" i="1"/>
  <c r="H288" i="1"/>
  <c r="I288" i="1"/>
  <c r="J288" i="1"/>
  <c r="B289" i="1"/>
  <c r="C289" i="1"/>
  <c r="D289" i="1"/>
  <c r="E289" i="1"/>
  <c r="F289" i="1"/>
  <c r="G289" i="1"/>
  <c r="H289" i="1"/>
  <c r="I289" i="1"/>
  <c r="J289" i="1"/>
  <c r="B290" i="1"/>
  <c r="C290" i="1"/>
  <c r="D290" i="1"/>
  <c r="E290" i="1"/>
  <c r="F290" i="1"/>
  <c r="G290" i="1"/>
  <c r="H290" i="1"/>
  <c r="I290" i="1"/>
  <c r="J290" i="1"/>
  <c r="B291" i="1"/>
  <c r="C291" i="1"/>
  <c r="D291" i="1"/>
  <c r="E291" i="1"/>
  <c r="F291" i="1"/>
  <c r="G291" i="1"/>
  <c r="H291" i="1"/>
  <c r="I291" i="1"/>
  <c r="J291" i="1"/>
  <c r="B292" i="1"/>
  <c r="C292" i="1"/>
  <c r="D292" i="1"/>
  <c r="E292" i="1"/>
  <c r="F292" i="1"/>
  <c r="G292" i="1"/>
  <c r="H292" i="1"/>
  <c r="I292" i="1"/>
  <c r="J292" i="1"/>
  <c r="B293" i="1"/>
  <c r="C293" i="1"/>
  <c r="D293" i="1"/>
  <c r="E293" i="1"/>
  <c r="F293" i="1"/>
  <c r="G293" i="1"/>
  <c r="H293" i="1"/>
  <c r="I293" i="1"/>
  <c r="J293" i="1"/>
  <c r="B294" i="1"/>
  <c r="C294" i="1"/>
  <c r="D294" i="1"/>
  <c r="E294" i="1"/>
  <c r="F294" i="1"/>
  <c r="G294" i="1"/>
  <c r="H294" i="1"/>
  <c r="I294" i="1"/>
  <c r="J294" i="1"/>
  <c r="B295" i="1"/>
  <c r="C295" i="1"/>
  <c r="D295" i="1"/>
  <c r="E295" i="1"/>
  <c r="F295" i="1"/>
  <c r="G295" i="1"/>
  <c r="H295" i="1"/>
  <c r="I295" i="1"/>
  <c r="J295" i="1"/>
  <c r="B296" i="1"/>
  <c r="C296" i="1"/>
  <c r="D296" i="1"/>
  <c r="E296" i="1"/>
  <c r="F296" i="1"/>
  <c r="G296" i="1"/>
  <c r="H296" i="1"/>
  <c r="I296" i="1"/>
  <c r="J296" i="1"/>
  <c r="B297" i="1"/>
  <c r="C297" i="1"/>
  <c r="D297" i="1"/>
  <c r="E297" i="1"/>
  <c r="F297" i="1"/>
  <c r="G297" i="1"/>
  <c r="H297" i="1"/>
  <c r="I297" i="1"/>
  <c r="J297" i="1"/>
  <c r="B298" i="1"/>
  <c r="C298" i="1"/>
  <c r="D298" i="1"/>
  <c r="E298" i="1"/>
  <c r="F298" i="1"/>
  <c r="G298" i="1"/>
  <c r="H298" i="1"/>
  <c r="I298" i="1"/>
  <c r="J298" i="1"/>
  <c r="B299" i="1"/>
  <c r="C299" i="1"/>
  <c r="D299" i="1"/>
  <c r="E299" i="1"/>
  <c r="F299" i="1"/>
  <c r="G299" i="1"/>
  <c r="H299" i="1"/>
  <c r="I299" i="1"/>
  <c r="J299" i="1"/>
  <c r="B300" i="1"/>
  <c r="C300" i="1"/>
  <c r="D300" i="1"/>
  <c r="E300" i="1"/>
  <c r="F300" i="1"/>
  <c r="G300" i="1"/>
  <c r="H300" i="1"/>
  <c r="I300" i="1"/>
  <c r="J300" i="1"/>
  <c r="B301" i="1"/>
  <c r="C301" i="1"/>
  <c r="D301" i="1"/>
  <c r="E301" i="1"/>
  <c r="F301" i="1"/>
  <c r="G301" i="1"/>
  <c r="H301" i="1"/>
  <c r="I301" i="1"/>
  <c r="J301" i="1"/>
  <c r="B302" i="1"/>
  <c r="C302" i="1"/>
  <c r="D302" i="1"/>
  <c r="E302" i="1"/>
  <c r="F302" i="1"/>
  <c r="G302" i="1"/>
  <c r="H302" i="1"/>
  <c r="I302" i="1"/>
  <c r="J302" i="1"/>
  <c r="B303" i="1"/>
  <c r="C303" i="1"/>
  <c r="D303" i="1"/>
  <c r="E303" i="1"/>
  <c r="F303" i="1"/>
  <c r="G303" i="1"/>
  <c r="H303" i="1"/>
  <c r="I303" i="1"/>
  <c r="J303" i="1"/>
  <c r="B304" i="1"/>
  <c r="C304" i="1"/>
  <c r="D304" i="1"/>
  <c r="E304" i="1"/>
  <c r="F304" i="1"/>
  <c r="G304" i="1"/>
  <c r="H304" i="1"/>
  <c r="I304" i="1"/>
  <c r="J304" i="1"/>
  <c r="B305" i="1"/>
  <c r="C305" i="1"/>
  <c r="D305" i="1"/>
  <c r="E305" i="1"/>
  <c r="F305" i="1"/>
  <c r="G305" i="1"/>
  <c r="H305" i="1"/>
  <c r="I305" i="1"/>
  <c r="J305" i="1"/>
  <c r="B306" i="1"/>
  <c r="C306" i="1"/>
  <c r="D306" i="1"/>
  <c r="E306" i="1"/>
  <c r="F306" i="1"/>
  <c r="G306" i="1"/>
  <c r="H306" i="1"/>
  <c r="I306" i="1"/>
  <c r="J306" i="1"/>
  <c r="B307" i="1"/>
  <c r="C307" i="1"/>
  <c r="D307" i="1"/>
  <c r="E307" i="1"/>
  <c r="F307" i="1"/>
  <c r="G307" i="1"/>
  <c r="H307" i="1"/>
  <c r="I307" i="1"/>
  <c r="J307" i="1"/>
  <c r="B308" i="1"/>
  <c r="C308" i="1"/>
  <c r="D308" i="1"/>
  <c r="E308" i="1"/>
  <c r="F308" i="1"/>
  <c r="G308" i="1"/>
  <c r="H308" i="1"/>
  <c r="I308" i="1"/>
  <c r="J308" i="1"/>
  <c r="B309" i="1"/>
  <c r="C309" i="1"/>
  <c r="D309" i="1"/>
  <c r="E309" i="1"/>
  <c r="F309" i="1"/>
  <c r="G309" i="1"/>
  <c r="H309" i="1"/>
  <c r="I309" i="1"/>
  <c r="J309" i="1"/>
  <c r="B310" i="1"/>
  <c r="C310" i="1"/>
  <c r="D310" i="1"/>
  <c r="E310" i="1"/>
  <c r="F310" i="1"/>
  <c r="G310" i="1"/>
  <c r="H310" i="1"/>
  <c r="I310" i="1"/>
  <c r="J310" i="1"/>
  <c r="B311" i="1"/>
  <c r="C311" i="1"/>
  <c r="D311" i="1"/>
  <c r="E311" i="1"/>
  <c r="F311" i="1"/>
  <c r="G311" i="1"/>
  <c r="H311" i="1"/>
  <c r="I311" i="1"/>
  <c r="J311" i="1"/>
  <c r="B312" i="1"/>
  <c r="C312" i="1"/>
  <c r="D312" i="1"/>
  <c r="E312" i="1"/>
  <c r="F312" i="1"/>
  <c r="G312" i="1"/>
  <c r="H312" i="1"/>
  <c r="I312" i="1"/>
  <c r="J312" i="1"/>
  <c r="B313" i="1"/>
  <c r="C313" i="1"/>
  <c r="D313" i="1"/>
  <c r="E313" i="1"/>
  <c r="F313" i="1"/>
  <c r="G313" i="1"/>
  <c r="H313" i="1"/>
  <c r="I313" i="1"/>
  <c r="J313" i="1"/>
  <c r="B314" i="1"/>
  <c r="C314" i="1"/>
  <c r="D314" i="1"/>
  <c r="E314" i="1"/>
  <c r="F314" i="1"/>
  <c r="G314" i="1"/>
  <c r="H314" i="1"/>
  <c r="I314" i="1"/>
  <c r="J314" i="1"/>
  <c r="B315" i="1"/>
  <c r="C315" i="1"/>
  <c r="D315" i="1"/>
  <c r="E315" i="1"/>
  <c r="F315" i="1"/>
  <c r="G315" i="1"/>
  <c r="H315" i="1"/>
  <c r="I315" i="1"/>
  <c r="J315" i="1"/>
  <c r="B316" i="1"/>
  <c r="C316" i="1"/>
  <c r="D316" i="1"/>
  <c r="E316" i="1"/>
  <c r="F316" i="1"/>
  <c r="G316" i="1"/>
  <c r="H316" i="1"/>
  <c r="I316" i="1"/>
  <c r="J316" i="1"/>
  <c r="B317" i="1"/>
  <c r="C317" i="1"/>
  <c r="D317" i="1"/>
  <c r="E317" i="1"/>
  <c r="F317" i="1"/>
  <c r="G317" i="1"/>
  <c r="H317" i="1"/>
  <c r="I317" i="1"/>
  <c r="J317" i="1"/>
  <c r="B318" i="1"/>
  <c r="C318" i="1"/>
  <c r="D318" i="1"/>
  <c r="E318" i="1"/>
  <c r="F318" i="1"/>
  <c r="G318" i="1"/>
  <c r="H318" i="1"/>
  <c r="I318" i="1"/>
  <c r="J318" i="1"/>
  <c r="B319" i="1"/>
  <c r="C319" i="1"/>
  <c r="D319" i="1"/>
  <c r="E319" i="1"/>
  <c r="F319" i="1"/>
  <c r="G319" i="1"/>
  <c r="H319" i="1"/>
  <c r="I319" i="1"/>
  <c r="J319" i="1"/>
  <c r="B320" i="1"/>
  <c r="C320" i="1"/>
  <c r="D320" i="1"/>
  <c r="E320" i="1"/>
  <c r="F320" i="1"/>
  <c r="G320" i="1"/>
  <c r="H320" i="1"/>
  <c r="I320" i="1"/>
  <c r="J320" i="1"/>
  <c r="B321" i="1"/>
  <c r="C321" i="1"/>
  <c r="D321" i="1"/>
  <c r="E321" i="1"/>
  <c r="F321" i="1"/>
  <c r="G321" i="1"/>
  <c r="H321" i="1"/>
  <c r="I321" i="1"/>
  <c r="J321" i="1"/>
  <c r="B322" i="1"/>
  <c r="C322" i="1"/>
  <c r="D322" i="1"/>
  <c r="E322" i="1"/>
  <c r="F322" i="1"/>
  <c r="G322" i="1"/>
  <c r="H322" i="1"/>
  <c r="I322" i="1"/>
  <c r="J322" i="1"/>
  <c r="B323" i="1"/>
  <c r="C323" i="1"/>
  <c r="D323" i="1"/>
  <c r="E323" i="1"/>
  <c r="F323" i="1"/>
  <c r="G323" i="1"/>
  <c r="H323" i="1"/>
  <c r="I323" i="1"/>
  <c r="J323" i="1"/>
  <c r="B324" i="1"/>
  <c r="C324" i="1"/>
  <c r="D324" i="1"/>
  <c r="E324" i="1"/>
  <c r="F324" i="1"/>
  <c r="G324" i="1"/>
  <c r="H324" i="1"/>
  <c r="I324" i="1"/>
  <c r="J324" i="1"/>
  <c r="B325" i="1"/>
  <c r="C325" i="1"/>
  <c r="D325" i="1"/>
  <c r="E325" i="1"/>
  <c r="F325" i="1"/>
  <c r="G325" i="1"/>
  <c r="H325" i="1"/>
  <c r="I325" i="1"/>
  <c r="J325" i="1"/>
  <c r="B326" i="1"/>
  <c r="C326" i="1"/>
  <c r="D326" i="1"/>
  <c r="E326" i="1"/>
  <c r="F326" i="1"/>
  <c r="G326" i="1"/>
  <c r="H326" i="1"/>
  <c r="I326" i="1"/>
  <c r="J326" i="1"/>
  <c r="B327" i="1"/>
  <c r="C327" i="1"/>
  <c r="D327" i="1"/>
  <c r="E327" i="1"/>
  <c r="F327" i="1"/>
  <c r="G327" i="1"/>
  <c r="H327" i="1"/>
  <c r="I327" i="1"/>
  <c r="J327" i="1"/>
  <c r="B328" i="1"/>
  <c r="C328" i="1"/>
  <c r="D328" i="1"/>
  <c r="E328" i="1"/>
  <c r="F328" i="1"/>
  <c r="G328" i="1"/>
  <c r="H328" i="1"/>
  <c r="I328" i="1"/>
  <c r="J328" i="1"/>
  <c r="B329" i="1"/>
  <c r="C329" i="1"/>
  <c r="D329" i="1"/>
  <c r="E329" i="1"/>
  <c r="F329" i="1"/>
  <c r="G329" i="1"/>
  <c r="H329" i="1"/>
  <c r="I329" i="1"/>
  <c r="J329" i="1"/>
  <c r="B330" i="1"/>
  <c r="C330" i="1"/>
  <c r="D330" i="1"/>
  <c r="E330" i="1"/>
  <c r="F330" i="1"/>
  <c r="G330" i="1"/>
  <c r="H330" i="1"/>
  <c r="I330" i="1"/>
  <c r="J330" i="1"/>
  <c r="B331" i="1"/>
  <c r="C331" i="1"/>
  <c r="D331" i="1"/>
  <c r="E331" i="1"/>
  <c r="F331" i="1"/>
  <c r="G331" i="1"/>
  <c r="H331" i="1"/>
  <c r="I331" i="1"/>
  <c r="J331" i="1"/>
  <c r="B332" i="1"/>
  <c r="C332" i="1"/>
  <c r="D332" i="1"/>
  <c r="E332" i="1"/>
  <c r="F332" i="1"/>
  <c r="G332" i="1"/>
  <c r="H332" i="1"/>
  <c r="I332" i="1"/>
  <c r="J332" i="1"/>
  <c r="B333" i="1"/>
  <c r="C333" i="1"/>
  <c r="D333" i="1"/>
  <c r="E333" i="1"/>
  <c r="F333" i="1"/>
  <c r="G333" i="1"/>
  <c r="H333" i="1"/>
  <c r="I333" i="1"/>
  <c r="J333" i="1"/>
  <c r="B334" i="1"/>
  <c r="C334" i="1"/>
  <c r="D334" i="1"/>
  <c r="E334" i="1"/>
  <c r="F334" i="1"/>
  <c r="G334" i="1"/>
  <c r="H334" i="1"/>
  <c r="I334" i="1"/>
  <c r="J334" i="1"/>
  <c r="B335" i="1"/>
  <c r="C335" i="1"/>
  <c r="D335" i="1"/>
  <c r="E335" i="1"/>
  <c r="F335" i="1"/>
  <c r="G335" i="1"/>
  <c r="H335" i="1"/>
  <c r="I335" i="1"/>
  <c r="J335" i="1"/>
  <c r="B336" i="1"/>
  <c r="C336" i="1"/>
  <c r="D336" i="1"/>
  <c r="E336" i="1"/>
  <c r="F336" i="1"/>
  <c r="G336" i="1"/>
  <c r="H336" i="1"/>
  <c r="I336" i="1"/>
  <c r="J336" i="1"/>
  <c r="B337" i="1"/>
  <c r="C337" i="1"/>
  <c r="D337" i="1"/>
  <c r="E337" i="1"/>
  <c r="F337" i="1"/>
  <c r="G337" i="1"/>
  <c r="H337" i="1"/>
  <c r="I337" i="1"/>
  <c r="J337" i="1"/>
  <c r="B338" i="1"/>
  <c r="C338" i="1"/>
  <c r="D338" i="1"/>
  <c r="E338" i="1"/>
  <c r="F338" i="1"/>
  <c r="G338" i="1"/>
  <c r="H338" i="1"/>
  <c r="I338" i="1"/>
  <c r="J338" i="1"/>
  <c r="B339" i="1"/>
  <c r="C339" i="1"/>
  <c r="D339" i="1"/>
  <c r="E339" i="1"/>
  <c r="F339" i="1"/>
  <c r="G339" i="1"/>
  <c r="H339" i="1"/>
  <c r="I339" i="1"/>
  <c r="J339" i="1"/>
  <c r="B340" i="1"/>
  <c r="C340" i="1"/>
  <c r="D340" i="1"/>
  <c r="E340" i="1"/>
  <c r="F340" i="1"/>
  <c r="G340" i="1"/>
  <c r="H340" i="1"/>
  <c r="I340" i="1"/>
  <c r="J340" i="1"/>
  <c r="B341" i="1"/>
  <c r="C341" i="1"/>
  <c r="D341" i="1"/>
  <c r="E341" i="1"/>
  <c r="F341" i="1"/>
  <c r="G341" i="1"/>
  <c r="H341" i="1"/>
  <c r="I341" i="1"/>
  <c r="J341" i="1"/>
  <c r="B342" i="1"/>
  <c r="C342" i="1"/>
  <c r="D342" i="1"/>
  <c r="E342" i="1"/>
  <c r="F342" i="1"/>
  <c r="G342" i="1"/>
  <c r="H342" i="1"/>
  <c r="I342" i="1"/>
  <c r="J342" i="1"/>
  <c r="B343" i="1"/>
  <c r="C343" i="1"/>
  <c r="D343" i="1"/>
  <c r="E343" i="1"/>
  <c r="F343" i="1"/>
  <c r="G343" i="1"/>
  <c r="H343" i="1"/>
  <c r="I343" i="1"/>
  <c r="J343" i="1"/>
  <c r="B344" i="1"/>
  <c r="C344" i="1"/>
  <c r="D344" i="1"/>
  <c r="E344" i="1"/>
  <c r="F344" i="1"/>
  <c r="G344" i="1"/>
  <c r="H344" i="1"/>
  <c r="I344" i="1"/>
  <c r="J344" i="1"/>
  <c r="B345" i="1"/>
  <c r="C345" i="1"/>
  <c r="D345" i="1"/>
  <c r="E345" i="1"/>
  <c r="F345" i="1"/>
  <c r="G345" i="1"/>
  <c r="H345" i="1"/>
  <c r="I345" i="1"/>
  <c r="J345" i="1"/>
  <c r="B346" i="1"/>
  <c r="C346" i="1"/>
  <c r="D346" i="1"/>
  <c r="E346" i="1"/>
  <c r="F346" i="1"/>
  <c r="G346" i="1"/>
  <c r="H346" i="1"/>
  <c r="I346" i="1"/>
  <c r="J346" i="1"/>
  <c r="B347" i="1"/>
  <c r="C347" i="1"/>
  <c r="D347" i="1"/>
  <c r="E347" i="1"/>
  <c r="F347" i="1"/>
  <c r="G347" i="1"/>
  <c r="H347" i="1"/>
  <c r="I347" i="1"/>
  <c r="J347" i="1"/>
  <c r="B348" i="1"/>
  <c r="C348" i="1"/>
  <c r="D348" i="1"/>
  <c r="E348" i="1"/>
  <c r="F348" i="1"/>
  <c r="G348" i="1"/>
  <c r="H348" i="1"/>
  <c r="I348" i="1"/>
  <c r="J348" i="1"/>
  <c r="B349" i="1"/>
  <c r="C349" i="1"/>
  <c r="D349" i="1"/>
  <c r="E349" i="1"/>
  <c r="F349" i="1"/>
  <c r="G349" i="1"/>
  <c r="H349" i="1"/>
  <c r="I349" i="1"/>
  <c r="J349" i="1"/>
  <c r="B350" i="1"/>
  <c r="C350" i="1"/>
  <c r="D350" i="1"/>
  <c r="E350" i="1"/>
  <c r="F350" i="1"/>
  <c r="G350" i="1"/>
  <c r="H350" i="1"/>
  <c r="I350" i="1"/>
  <c r="J350" i="1"/>
  <c r="B351" i="1"/>
  <c r="C351" i="1"/>
  <c r="D351" i="1"/>
  <c r="E351" i="1"/>
  <c r="F351" i="1"/>
  <c r="G351" i="1"/>
  <c r="H351" i="1"/>
  <c r="I351" i="1"/>
  <c r="J351" i="1"/>
  <c r="B352" i="1"/>
  <c r="C352" i="1"/>
  <c r="D352" i="1"/>
  <c r="E352" i="1"/>
  <c r="F352" i="1"/>
  <c r="G352" i="1"/>
  <c r="H352" i="1"/>
  <c r="I352" i="1"/>
  <c r="J352" i="1"/>
  <c r="B353" i="1"/>
  <c r="C353" i="1"/>
  <c r="D353" i="1"/>
  <c r="E353" i="1"/>
  <c r="F353" i="1"/>
  <c r="G353" i="1"/>
  <c r="H353" i="1"/>
  <c r="I353" i="1"/>
  <c r="J353" i="1"/>
  <c r="B354" i="1"/>
  <c r="C354" i="1"/>
  <c r="D354" i="1"/>
  <c r="E354" i="1"/>
  <c r="F354" i="1"/>
  <c r="G354" i="1"/>
  <c r="H354" i="1"/>
  <c r="I354" i="1"/>
  <c r="J354" i="1"/>
  <c r="B355" i="1"/>
  <c r="C355" i="1"/>
  <c r="D355" i="1"/>
  <c r="E355" i="1"/>
  <c r="F355" i="1"/>
  <c r="G355" i="1"/>
  <c r="H355" i="1"/>
  <c r="I355" i="1"/>
  <c r="J355" i="1"/>
  <c r="B356" i="1"/>
  <c r="C356" i="1"/>
  <c r="D356" i="1"/>
  <c r="E356" i="1"/>
  <c r="F356" i="1"/>
  <c r="G356" i="1"/>
  <c r="H356" i="1"/>
  <c r="I356" i="1"/>
  <c r="J356" i="1"/>
  <c r="B357" i="1"/>
  <c r="C357" i="1"/>
  <c r="D357" i="1"/>
  <c r="E357" i="1"/>
  <c r="F357" i="1"/>
  <c r="G357" i="1"/>
  <c r="H357" i="1"/>
  <c r="I357" i="1"/>
  <c r="J357" i="1"/>
  <c r="B358" i="1"/>
  <c r="C358" i="1"/>
  <c r="D358" i="1"/>
  <c r="E358" i="1"/>
  <c r="F358" i="1"/>
  <c r="G358" i="1"/>
  <c r="H358" i="1"/>
  <c r="I358" i="1"/>
  <c r="J358" i="1"/>
  <c r="B359" i="1"/>
  <c r="C359" i="1"/>
  <c r="D359" i="1"/>
  <c r="E359" i="1"/>
  <c r="F359" i="1"/>
  <c r="G359" i="1"/>
  <c r="H359" i="1"/>
  <c r="I359" i="1"/>
  <c r="J359" i="1"/>
  <c r="B360" i="1"/>
  <c r="C360" i="1"/>
  <c r="D360" i="1"/>
  <c r="E360" i="1"/>
  <c r="F360" i="1"/>
  <c r="G360" i="1"/>
  <c r="H360" i="1"/>
  <c r="I360" i="1"/>
  <c r="J360" i="1"/>
  <c r="B361" i="1"/>
  <c r="C361" i="1"/>
  <c r="D361" i="1"/>
  <c r="E361" i="1"/>
  <c r="F361" i="1"/>
  <c r="G361" i="1"/>
  <c r="H361" i="1"/>
  <c r="I361" i="1"/>
  <c r="J361" i="1"/>
  <c r="B362" i="1"/>
  <c r="C362" i="1"/>
  <c r="D362" i="1"/>
  <c r="E362" i="1"/>
  <c r="F362" i="1"/>
  <c r="G362" i="1"/>
  <c r="H362" i="1"/>
  <c r="I362" i="1"/>
  <c r="J362" i="1"/>
  <c r="B363" i="1"/>
  <c r="C363" i="1"/>
  <c r="D363" i="1"/>
  <c r="E363" i="1"/>
  <c r="F363" i="1"/>
  <c r="G363" i="1"/>
  <c r="H363" i="1"/>
  <c r="I363" i="1"/>
  <c r="J363" i="1"/>
  <c r="B364" i="1"/>
  <c r="C364" i="1"/>
  <c r="D364" i="1"/>
  <c r="E364" i="1"/>
  <c r="F364" i="1"/>
  <c r="G364" i="1"/>
  <c r="H364" i="1"/>
  <c r="I364" i="1"/>
  <c r="J364" i="1"/>
  <c r="B365" i="1"/>
  <c r="C365" i="1"/>
  <c r="D365" i="1"/>
  <c r="E365" i="1"/>
  <c r="F365" i="1"/>
  <c r="G365" i="1"/>
  <c r="H365" i="1"/>
  <c r="I365" i="1"/>
  <c r="J365" i="1"/>
  <c r="B366" i="1"/>
  <c r="C366" i="1"/>
  <c r="D366" i="1"/>
  <c r="E366" i="1"/>
  <c r="F366" i="1"/>
  <c r="G366" i="1"/>
  <c r="H366" i="1"/>
  <c r="I366" i="1"/>
  <c r="J366" i="1"/>
  <c r="B367" i="1"/>
  <c r="C367" i="1"/>
  <c r="D367" i="1"/>
  <c r="E367" i="1"/>
  <c r="F367" i="1"/>
  <c r="G367" i="1"/>
  <c r="H367" i="1"/>
  <c r="I367" i="1"/>
  <c r="J367" i="1"/>
  <c r="B368" i="1"/>
  <c r="C368" i="1"/>
  <c r="D368" i="1"/>
  <c r="E368" i="1"/>
  <c r="F368" i="1"/>
  <c r="G368" i="1"/>
  <c r="H368" i="1"/>
  <c r="I368" i="1"/>
  <c r="J368" i="1"/>
  <c r="B369" i="1"/>
  <c r="C369" i="1"/>
  <c r="D369" i="1"/>
  <c r="E369" i="1"/>
  <c r="F369" i="1"/>
  <c r="G369" i="1"/>
  <c r="H369" i="1"/>
  <c r="I369" i="1"/>
  <c r="J369" i="1"/>
  <c r="B370" i="1"/>
  <c r="C370" i="1"/>
  <c r="D370" i="1"/>
  <c r="E370" i="1"/>
  <c r="F370" i="1"/>
  <c r="G370" i="1"/>
  <c r="H370" i="1"/>
  <c r="I370" i="1"/>
  <c r="J370" i="1"/>
  <c r="B371" i="1"/>
  <c r="C371" i="1"/>
  <c r="D371" i="1"/>
  <c r="E371" i="1"/>
  <c r="F371" i="1"/>
  <c r="G371" i="1"/>
  <c r="H371" i="1"/>
  <c r="I371" i="1"/>
  <c r="J371" i="1"/>
  <c r="B372" i="1"/>
  <c r="C372" i="1"/>
  <c r="D372" i="1"/>
  <c r="E372" i="1"/>
  <c r="F372" i="1"/>
  <c r="G372" i="1"/>
  <c r="H372" i="1"/>
  <c r="I372" i="1"/>
  <c r="J372" i="1"/>
  <c r="B373" i="1"/>
  <c r="C373" i="1"/>
  <c r="D373" i="1"/>
  <c r="E373" i="1"/>
  <c r="F373" i="1"/>
  <c r="G373" i="1"/>
  <c r="H373" i="1"/>
  <c r="I373" i="1"/>
  <c r="J373" i="1"/>
  <c r="B374" i="1"/>
  <c r="C374" i="1"/>
  <c r="D374" i="1"/>
  <c r="E374" i="1"/>
  <c r="F374" i="1"/>
  <c r="G374" i="1"/>
  <c r="H374" i="1"/>
  <c r="I374" i="1"/>
  <c r="J374" i="1"/>
  <c r="B375" i="1"/>
  <c r="C375" i="1"/>
  <c r="D375" i="1"/>
  <c r="E375" i="1"/>
  <c r="F375" i="1"/>
  <c r="G375" i="1"/>
  <c r="H375" i="1"/>
  <c r="I375" i="1"/>
  <c r="J375" i="1"/>
  <c r="B376" i="1"/>
  <c r="C376" i="1"/>
  <c r="D376" i="1"/>
  <c r="E376" i="1"/>
  <c r="F376" i="1"/>
  <c r="G376" i="1"/>
  <c r="H376" i="1"/>
  <c r="I376" i="1"/>
  <c r="J376" i="1"/>
  <c r="B377" i="1"/>
  <c r="C377" i="1"/>
  <c r="D377" i="1"/>
  <c r="E377" i="1"/>
  <c r="F377" i="1"/>
  <c r="G377" i="1"/>
  <c r="H377" i="1"/>
  <c r="I377" i="1"/>
  <c r="J377" i="1"/>
  <c r="B378" i="1"/>
  <c r="C378" i="1"/>
  <c r="D378" i="1"/>
  <c r="E378" i="1"/>
  <c r="F378" i="1"/>
  <c r="G378" i="1"/>
  <c r="H378" i="1"/>
  <c r="I378" i="1"/>
  <c r="J378" i="1"/>
  <c r="B379" i="1"/>
  <c r="C379" i="1"/>
  <c r="D379" i="1"/>
  <c r="E379" i="1"/>
  <c r="F379" i="1"/>
  <c r="G379" i="1"/>
  <c r="H379" i="1"/>
  <c r="I379" i="1"/>
  <c r="J379" i="1"/>
  <c r="B380" i="1"/>
  <c r="C380" i="1"/>
  <c r="D380" i="1"/>
  <c r="E380" i="1"/>
  <c r="F380" i="1"/>
  <c r="G380" i="1"/>
  <c r="H380" i="1"/>
  <c r="I380" i="1"/>
  <c r="J380" i="1"/>
  <c r="B381" i="1"/>
  <c r="C381" i="1"/>
  <c r="D381" i="1"/>
  <c r="E381" i="1"/>
  <c r="F381" i="1"/>
  <c r="G381" i="1"/>
  <c r="H381" i="1"/>
  <c r="I381" i="1"/>
  <c r="J381" i="1"/>
  <c r="B382" i="1"/>
  <c r="C382" i="1"/>
  <c r="D382" i="1"/>
  <c r="E382" i="1"/>
  <c r="F382" i="1"/>
  <c r="G382" i="1"/>
  <c r="H382" i="1"/>
  <c r="I382" i="1"/>
  <c r="J382" i="1"/>
  <c r="B383" i="1"/>
  <c r="C383" i="1"/>
  <c r="D383" i="1"/>
  <c r="E383" i="1"/>
  <c r="F383" i="1"/>
  <c r="G383" i="1"/>
  <c r="H383" i="1"/>
  <c r="I383" i="1"/>
  <c r="J383" i="1"/>
  <c r="B384" i="1"/>
  <c r="C384" i="1"/>
  <c r="D384" i="1"/>
  <c r="E384" i="1"/>
  <c r="F384" i="1"/>
  <c r="G384" i="1"/>
  <c r="H384" i="1"/>
  <c r="I384" i="1"/>
  <c r="J384" i="1"/>
  <c r="B385" i="1"/>
  <c r="C385" i="1"/>
  <c r="D385" i="1"/>
  <c r="E385" i="1"/>
  <c r="F385" i="1"/>
  <c r="G385" i="1"/>
  <c r="H385" i="1"/>
  <c r="I385" i="1"/>
  <c r="J385" i="1"/>
  <c r="B386" i="1"/>
  <c r="C386" i="1"/>
  <c r="D386" i="1"/>
  <c r="E386" i="1"/>
  <c r="F386" i="1"/>
  <c r="G386" i="1"/>
  <c r="H386" i="1"/>
  <c r="I386" i="1"/>
  <c r="J386" i="1"/>
  <c r="B387" i="1"/>
  <c r="C387" i="1"/>
  <c r="D387" i="1"/>
  <c r="E387" i="1"/>
  <c r="F387" i="1"/>
  <c r="G387" i="1"/>
  <c r="H387" i="1"/>
  <c r="I387" i="1"/>
  <c r="J387" i="1"/>
  <c r="B388" i="1"/>
  <c r="C388" i="1"/>
  <c r="D388" i="1"/>
  <c r="E388" i="1"/>
  <c r="F388" i="1"/>
  <c r="G388" i="1"/>
  <c r="H388" i="1"/>
  <c r="I388" i="1"/>
  <c r="J388" i="1"/>
  <c r="B389" i="1"/>
  <c r="C389" i="1"/>
  <c r="D389" i="1"/>
  <c r="E389" i="1"/>
  <c r="F389" i="1"/>
  <c r="G389" i="1"/>
  <c r="H389" i="1"/>
  <c r="I389" i="1"/>
  <c r="J389" i="1"/>
  <c r="B390" i="1"/>
  <c r="C390" i="1"/>
  <c r="D390" i="1"/>
  <c r="E390" i="1"/>
  <c r="F390" i="1"/>
  <c r="G390" i="1"/>
  <c r="H390" i="1"/>
  <c r="I390" i="1"/>
  <c r="J390" i="1"/>
  <c r="B391" i="1"/>
  <c r="C391" i="1"/>
  <c r="D391" i="1"/>
  <c r="E391" i="1"/>
  <c r="F391" i="1"/>
  <c r="G391" i="1"/>
  <c r="H391" i="1"/>
  <c r="I391" i="1"/>
  <c r="J391" i="1"/>
  <c r="B392" i="1"/>
  <c r="C392" i="1"/>
  <c r="D392" i="1"/>
  <c r="E392" i="1"/>
  <c r="F392" i="1"/>
  <c r="G392" i="1"/>
  <c r="H392" i="1"/>
  <c r="I392" i="1"/>
  <c r="J392" i="1"/>
  <c r="B393" i="1"/>
  <c r="C393" i="1"/>
  <c r="D393" i="1"/>
  <c r="E393" i="1"/>
  <c r="F393" i="1"/>
  <c r="G393" i="1"/>
  <c r="H393" i="1"/>
  <c r="I393" i="1"/>
  <c r="J393" i="1"/>
  <c r="B394" i="1"/>
  <c r="C394" i="1"/>
  <c r="D394" i="1"/>
  <c r="E394" i="1"/>
  <c r="F394" i="1"/>
  <c r="G394" i="1"/>
  <c r="H394" i="1"/>
  <c r="I394" i="1"/>
  <c r="J394" i="1"/>
  <c r="B395" i="1"/>
  <c r="C395" i="1"/>
  <c r="D395" i="1"/>
  <c r="E395" i="1"/>
  <c r="F395" i="1"/>
  <c r="G395" i="1"/>
  <c r="H395" i="1"/>
  <c r="I395" i="1"/>
  <c r="J395" i="1"/>
  <c r="B396" i="1"/>
  <c r="C396" i="1"/>
  <c r="D396" i="1"/>
  <c r="E396" i="1"/>
  <c r="F396" i="1"/>
  <c r="G396" i="1"/>
  <c r="H396" i="1"/>
  <c r="I396" i="1"/>
  <c r="J396" i="1"/>
  <c r="B397" i="1"/>
  <c r="C397" i="1"/>
  <c r="D397" i="1"/>
  <c r="E397" i="1"/>
  <c r="F397" i="1"/>
  <c r="G397" i="1"/>
  <c r="H397" i="1"/>
  <c r="I397" i="1"/>
  <c r="J397" i="1"/>
  <c r="B398" i="1"/>
  <c r="C398" i="1"/>
  <c r="D398" i="1"/>
  <c r="E398" i="1"/>
  <c r="F398" i="1"/>
  <c r="G398" i="1"/>
  <c r="H398" i="1"/>
  <c r="I398" i="1"/>
  <c r="J398" i="1"/>
  <c r="B399" i="1"/>
  <c r="C399" i="1"/>
  <c r="D399" i="1"/>
  <c r="E399" i="1"/>
  <c r="F399" i="1"/>
  <c r="G399" i="1"/>
  <c r="H399" i="1"/>
  <c r="I399" i="1"/>
  <c r="J399" i="1"/>
  <c r="B400" i="1"/>
  <c r="C400" i="1"/>
  <c r="D400" i="1"/>
  <c r="E400" i="1"/>
  <c r="F400" i="1"/>
  <c r="G400" i="1"/>
  <c r="H400" i="1"/>
  <c r="I400" i="1"/>
  <c r="J400" i="1"/>
  <c r="B401" i="1"/>
  <c r="C401" i="1"/>
  <c r="D401" i="1"/>
  <c r="E401" i="1"/>
  <c r="F401" i="1"/>
  <c r="G401" i="1"/>
  <c r="H401" i="1"/>
  <c r="I401" i="1"/>
  <c r="J401" i="1"/>
  <c r="B402" i="1"/>
  <c r="C402" i="1"/>
  <c r="D402" i="1"/>
  <c r="E402" i="1"/>
  <c r="F402" i="1"/>
  <c r="G402" i="1"/>
  <c r="H402" i="1"/>
  <c r="I402" i="1"/>
  <c r="J402" i="1"/>
  <c r="B403" i="1"/>
  <c r="C403" i="1"/>
  <c r="D403" i="1"/>
  <c r="E403" i="1"/>
  <c r="F403" i="1"/>
  <c r="G403" i="1"/>
  <c r="H403" i="1"/>
  <c r="I403" i="1"/>
  <c r="J403" i="1"/>
  <c r="B404" i="1"/>
  <c r="C404" i="1"/>
  <c r="D404" i="1"/>
  <c r="E404" i="1"/>
  <c r="F404" i="1"/>
  <c r="G404" i="1"/>
  <c r="H404" i="1"/>
  <c r="I404" i="1"/>
  <c r="J404" i="1"/>
  <c r="B405" i="1"/>
  <c r="C405" i="1"/>
  <c r="D405" i="1"/>
  <c r="E405" i="1"/>
  <c r="F405" i="1"/>
  <c r="G405" i="1"/>
  <c r="H405" i="1"/>
  <c r="I405" i="1"/>
  <c r="J405" i="1"/>
  <c r="B406" i="1"/>
  <c r="C406" i="1"/>
  <c r="D406" i="1"/>
  <c r="E406" i="1"/>
  <c r="F406" i="1"/>
  <c r="G406" i="1"/>
  <c r="H406" i="1"/>
  <c r="I406" i="1"/>
  <c r="J406" i="1"/>
  <c r="B407" i="1"/>
  <c r="C407" i="1"/>
  <c r="D407" i="1"/>
  <c r="E407" i="1"/>
  <c r="F407" i="1"/>
  <c r="G407" i="1"/>
  <c r="H407" i="1"/>
  <c r="I407" i="1"/>
  <c r="J407" i="1"/>
  <c r="B408" i="1"/>
  <c r="C408" i="1"/>
  <c r="D408" i="1"/>
  <c r="E408" i="1"/>
  <c r="F408" i="1"/>
  <c r="G408" i="1"/>
  <c r="H408" i="1"/>
  <c r="I408" i="1"/>
  <c r="J408" i="1"/>
  <c r="B409" i="1"/>
  <c r="C409" i="1"/>
  <c r="D409" i="1"/>
  <c r="E409" i="1"/>
  <c r="F409" i="1"/>
  <c r="G409" i="1"/>
  <c r="H409" i="1"/>
  <c r="I409" i="1"/>
  <c r="J409" i="1"/>
  <c r="B410" i="1"/>
  <c r="C410" i="1"/>
  <c r="D410" i="1"/>
  <c r="E410" i="1"/>
  <c r="F410" i="1"/>
  <c r="G410" i="1"/>
  <c r="H410" i="1"/>
  <c r="I410" i="1"/>
  <c r="J410" i="1"/>
  <c r="B411" i="1"/>
  <c r="C411" i="1"/>
  <c r="D411" i="1"/>
  <c r="E411" i="1"/>
  <c r="F411" i="1"/>
  <c r="G411" i="1"/>
  <c r="H411" i="1"/>
  <c r="I411" i="1"/>
  <c r="J411" i="1"/>
  <c r="B412" i="1"/>
  <c r="C412" i="1"/>
  <c r="D412" i="1"/>
  <c r="E412" i="1"/>
  <c r="F412" i="1"/>
  <c r="G412" i="1"/>
  <c r="H412" i="1"/>
  <c r="I412" i="1"/>
  <c r="J412" i="1"/>
  <c r="B413" i="1"/>
  <c r="C413" i="1"/>
  <c r="D413" i="1"/>
  <c r="E413" i="1"/>
  <c r="F413" i="1"/>
  <c r="G413" i="1"/>
  <c r="H413" i="1"/>
  <c r="I413" i="1"/>
  <c r="J413" i="1"/>
  <c r="B414" i="1"/>
  <c r="C414" i="1"/>
  <c r="D414" i="1"/>
  <c r="E414" i="1"/>
  <c r="F414" i="1"/>
  <c r="G414" i="1"/>
  <c r="H414" i="1"/>
  <c r="I414" i="1"/>
  <c r="J414" i="1"/>
  <c r="B415" i="1"/>
  <c r="C415" i="1"/>
  <c r="D415" i="1"/>
  <c r="E415" i="1"/>
  <c r="F415" i="1"/>
  <c r="G415" i="1"/>
  <c r="H415" i="1"/>
  <c r="I415" i="1"/>
  <c r="J415" i="1"/>
  <c r="B416" i="1"/>
  <c r="C416" i="1"/>
  <c r="D416" i="1"/>
  <c r="E416" i="1"/>
  <c r="F416" i="1"/>
  <c r="G416" i="1"/>
  <c r="H416" i="1"/>
  <c r="I416" i="1"/>
  <c r="J416" i="1"/>
  <c r="B417" i="1"/>
  <c r="C417" i="1"/>
  <c r="D417" i="1"/>
  <c r="E417" i="1"/>
  <c r="F417" i="1"/>
  <c r="G417" i="1"/>
  <c r="H417" i="1"/>
  <c r="I417" i="1"/>
  <c r="J417" i="1"/>
  <c r="B418" i="1"/>
  <c r="C418" i="1"/>
  <c r="D418" i="1"/>
  <c r="E418" i="1"/>
  <c r="F418" i="1"/>
  <c r="G418" i="1"/>
  <c r="H418" i="1"/>
  <c r="I418" i="1"/>
  <c r="J418" i="1"/>
  <c r="B419" i="1"/>
  <c r="C419" i="1"/>
  <c r="D419" i="1"/>
  <c r="E419" i="1"/>
  <c r="F419" i="1"/>
  <c r="G419" i="1"/>
  <c r="H419" i="1"/>
  <c r="I419" i="1"/>
  <c r="J419" i="1"/>
  <c r="B420" i="1"/>
  <c r="C420" i="1"/>
  <c r="D420" i="1"/>
  <c r="E420" i="1"/>
  <c r="F420" i="1"/>
  <c r="G420" i="1"/>
  <c r="H420" i="1"/>
  <c r="I420" i="1"/>
  <c r="J420" i="1"/>
  <c r="B421" i="1"/>
  <c r="C421" i="1"/>
  <c r="D421" i="1"/>
  <c r="E421" i="1"/>
  <c r="F421" i="1"/>
  <c r="G421" i="1"/>
  <c r="H421" i="1"/>
  <c r="I421" i="1"/>
  <c r="J421" i="1"/>
  <c r="B422" i="1"/>
  <c r="C422" i="1"/>
  <c r="D422" i="1"/>
  <c r="E422" i="1"/>
  <c r="F422" i="1"/>
  <c r="G422" i="1"/>
  <c r="H422" i="1"/>
  <c r="I422" i="1"/>
  <c r="J422" i="1"/>
  <c r="B423" i="1"/>
  <c r="C423" i="1"/>
  <c r="D423" i="1"/>
  <c r="E423" i="1"/>
  <c r="F423" i="1"/>
  <c r="G423" i="1"/>
  <c r="H423" i="1"/>
  <c r="I423" i="1"/>
  <c r="J423" i="1"/>
  <c r="B424" i="1"/>
  <c r="C424" i="1"/>
  <c r="D424" i="1"/>
  <c r="E424" i="1"/>
  <c r="F424" i="1"/>
  <c r="G424" i="1"/>
  <c r="H424" i="1"/>
  <c r="I424" i="1"/>
  <c r="J424" i="1"/>
  <c r="B425" i="1"/>
  <c r="C425" i="1"/>
  <c r="D425" i="1"/>
  <c r="E425" i="1"/>
  <c r="F425" i="1"/>
  <c r="G425" i="1"/>
  <c r="H425" i="1"/>
  <c r="I425" i="1"/>
  <c r="J425" i="1"/>
  <c r="B426" i="1"/>
  <c r="C426" i="1"/>
  <c r="D426" i="1"/>
  <c r="E426" i="1"/>
  <c r="F426" i="1"/>
  <c r="G426" i="1"/>
  <c r="H426" i="1"/>
  <c r="I426" i="1"/>
  <c r="J426" i="1"/>
  <c r="B427" i="1"/>
  <c r="C427" i="1"/>
  <c r="D427" i="1"/>
  <c r="E427" i="1"/>
  <c r="F427" i="1"/>
  <c r="G427" i="1"/>
  <c r="H427" i="1"/>
  <c r="I427" i="1"/>
  <c r="J427" i="1"/>
  <c r="B428" i="1"/>
  <c r="C428" i="1"/>
  <c r="D428" i="1"/>
  <c r="E428" i="1"/>
  <c r="F428" i="1"/>
  <c r="G428" i="1"/>
  <c r="H428" i="1"/>
  <c r="I428" i="1"/>
  <c r="J428" i="1"/>
  <c r="B429" i="1"/>
  <c r="C429" i="1"/>
  <c r="D429" i="1"/>
  <c r="E429" i="1"/>
  <c r="F429" i="1"/>
  <c r="G429" i="1"/>
  <c r="H429" i="1"/>
  <c r="I429" i="1"/>
  <c r="J429" i="1"/>
  <c r="B430" i="1"/>
  <c r="C430" i="1"/>
  <c r="D430" i="1"/>
  <c r="E430" i="1"/>
  <c r="F430" i="1"/>
  <c r="G430" i="1"/>
  <c r="H430" i="1"/>
  <c r="I430" i="1"/>
  <c r="J430" i="1"/>
  <c r="B431" i="1"/>
  <c r="C431" i="1"/>
  <c r="D431" i="1"/>
  <c r="E431" i="1"/>
  <c r="F431" i="1"/>
  <c r="G431" i="1"/>
  <c r="H431" i="1"/>
  <c r="I431" i="1"/>
  <c r="J431" i="1"/>
  <c r="B432" i="1"/>
  <c r="C432" i="1"/>
  <c r="D432" i="1"/>
  <c r="E432" i="1"/>
  <c r="F432" i="1"/>
  <c r="G432" i="1"/>
  <c r="H432" i="1"/>
  <c r="I432" i="1"/>
  <c r="J432" i="1"/>
  <c r="B433" i="1"/>
  <c r="C433" i="1"/>
  <c r="D433" i="1"/>
  <c r="E433" i="1"/>
  <c r="F433" i="1"/>
  <c r="G433" i="1"/>
  <c r="H433" i="1"/>
  <c r="I433" i="1"/>
  <c r="J433" i="1"/>
  <c r="B434" i="1"/>
  <c r="C434" i="1"/>
  <c r="D434" i="1"/>
  <c r="E434" i="1"/>
  <c r="F434" i="1"/>
  <c r="G434" i="1"/>
  <c r="H434" i="1"/>
  <c r="I434" i="1"/>
  <c r="J434" i="1"/>
  <c r="B435" i="1"/>
  <c r="C435" i="1"/>
  <c r="D435" i="1"/>
  <c r="E435" i="1"/>
  <c r="F435" i="1"/>
  <c r="G435" i="1"/>
  <c r="H435" i="1"/>
  <c r="I435" i="1"/>
  <c r="J435" i="1"/>
  <c r="B436" i="1"/>
  <c r="C436" i="1"/>
  <c r="D436" i="1"/>
  <c r="E436" i="1"/>
  <c r="F436" i="1"/>
  <c r="G436" i="1"/>
  <c r="H436" i="1"/>
  <c r="I436" i="1"/>
  <c r="J436" i="1"/>
  <c r="B437" i="1"/>
  <c r="C437" i="1"/>
  <c r="D437" i="1"/>
  <c r="E437" i="1"/>
  <c r="F437" i="1"/>
  <c r="G437" i="1"/>
  <c r="H437" i="1"/>
  <c r="I437" i="1"/>
  <c r="J437" i="1"/>
  <c r="B438" i="1"/>
  <c r="C438" i="1"/>
  <c r="D438" i="1"/>
  <c r="E438" i="1"/>
  <c r="F438" i="1"/>
  <c r="G438" i="1"/>
  <c r="H438" i="1"/>
  <c r="I438" i="1"/>
  <c r="J438" i="1"/>
  <c r="B439" i="1"/>
  <c r="C439" i="1"/>
  <c r="D439" i="1"/>
  <c r="E439" i="1"/>
  <c r="F439" i="1"/>
  <c r="G439" i="1"/>
  <c r="H439" i="1"/>
  <c r="I439" i="1"/>
  <c r="J439" i="1"/>
  <c r="B440" i="1"/>
  <c r="C440" i="1"/>
  <c r="D440" i="1"/>
  <c r="E440" i="1"/>
  <c r="F440" i="1"/>
  <c r="G440" i="1"/>
  <c r="H440" i="1"/>
  <c r="I440" i="1"/>
  <c r="J440" i="1"/>
  <c r="B441" i="1"/>
  <c r="C441" i="1"/>
  <c r="D441" i="1"/>
  <c r="E441" i="1"/>
  <c r="F441" i="1"/>
  <c r="G441" i="1"/>
  <c r="H441" i="1"/>
  <c r="I441" i="1"/>
  <c r="J441" i="1"/>
  <c r="B442" i="1"/>
  <c r="C442" i="1"/>
  <c r="D442" i="1"/>
  <c r="E442" i="1"/>
  <c r="F442" i="1"/>
  <c r="G442" i="1"/>
  <c r="H442" i="1"/>
  <c r="I442" i="1"/>
  <c r="J442" i="1"/>
  <c r="B443" i="1"/>
  <c r="C443" i="1"/>
  <c r="D443" i="1"/>
  <c r="E443" i="1"/>
  <c r="F443" i="1"/>
  <c r="G443" i="1"/>
  <c r="H443" i="1"/>
  <c r="I443" i="1"/>
  <c r="J443" i="1"/>
  <c r="B444" i="1"/>
  <c r="C444" i="1"/>
  <c r="D444" i="1"/>
  <c r="E444" i="1"/>
  <c r="F444" i="1"/>
  <c r="G444" i="1"/>
  <c r="H444" i="1"/>
  <c r="I444" i="1"/>
  <c r="J444" i="1"/>
  <c r="B445" i="1"/>
  <c r="C445" i="1"/>
  <c r="D445" i="1"/>
  <c r="E445" i="1"/>
  <c r="F445" i="1"/>
  <c r="G445" i="1"/>
  <c r="H445" i="1"/>
  <c r="I445" i="1"/>
  <c r="J445" i="1"/>
  <c r="B446" i="1"/>
  <c r="C446" i="1"/>
  <c r="D446" i="1"/>
  <c r="E446" i="1"/>
  <c r="F446" i="1"/>
  <c r="G446" i="1"/>
  <c r="H446" i="1"/>
  <c r="I446" i="1"/>
  <c r="J446" i="1"/>
  <c r="B447" i="1"/>
  <c r="C447" i="1"/>
  <c r="D447" i="1"/>
  <c r="E447" i="1"/>
  <c r="F447" i="1"/>
  <c r="G447" i="1"/>
  <c r="H447" i="1"/>
  <c r="I447" i="1"/>
  <c r="J447" i="1"/>
  <c r="B448" i="1"/>
  <c r="C448" i="1"/>
  <c r="D448" i="1"/>
  <c r="E448" i="1"/>
  <c r="F448" i="1"/>
  <c r="G448" i="1"/>
  <c r="H448" i="1"/>
  <c r="I448" i="1"/>
  <c r="J448" i="1"/>
  <c r="B449" i="1"/>
  <c r="C449" i="1"/>
  <c r="D449" i="1"/>
  <c r="E449" i="1"/>
  <c r="F449" i="1"/>
  <c r="G449" i="1"/>
  <c r="H449" i="1"/>
  <c r="I449" i="1"/>
  <c r="J449" i="1"/>
  <c r="B450" i="1"/>
  <c r="C450" i="1"/>
  <c r="D450" i="1"/>
  <c r="E450" i="1"/>
  <c r="F450" i="1"/>
  <c r="G450" i="1"/>
  <c r="H450" i="1"/>
  <c r="I450" i="1"/>
  <c r="J450" i="1"/>
  <c r="B451" i="1"/>
  <c r="C451" i="1"/>
  <c r="D451" i="1"/>
  <c r="E451" i="1"/>
  <c r="F451" i="1"/>
  <c r="G451" i="1"/>
  <c r="H451" i="1"/>
  <c r="I451" i="1"/>
  <c r="J451" i="1"/>
  <c r="B452" i="1"/>
  <c r="C452" i="1"/>
  <c r="D452" i="1"/>
  <c r="E452" i="1"/>
  <c r="F452" i="1"/>
  <c r="G452" i="1"/>
  <c r="H452" i="1"/>
  <c r="I452" i="1"/>
  <c r="J452" i="1"/>
  <c r="B453" i="1"/>
  <c r="C453" i="1"/>
  <c r="D453" i="1"/>
  <c r="E453" i="1"/>
  <c r="F453" i="1"/>
  <c r="G453" i="1"/>
  <c r="H453" i="1"/>
  <c r="I453" i="1"/>
  <c r="J453" i="1"/>
  <c r="B454" i="1"/>
  <c r="C454" i="1"/>
  <c r="D454" i="1"/>
  <c r="E454" i="1"/>
  <c r="F454" i="1"/>
  <c r="G454" i="1"/>
  <c r="H454" i="1"/>
  <c r="I454" i="1"/>
  <c r="J454" i="1"/>
  <c r="B455" i="1"/>
  <c r="C455" i="1"/>
  <c r="D455" i="1"/>
  <c r="E455" i="1"/>
  <c r="F455" i="1"/>
  <c r="G455" i="1"/>
  <c r="H455" i="1"/>
  <c r="I455" i="1"/>
  <c r="J455" i="1"/>
  <c r="B456" i="1"/>
  <c r="C456" i="1"/>
  <c r="D456" i="1"/>
  <c r="E456" i="1"/>
  <c r="F456" i="1"/>
  <c r="G456" i="1"/>
  <c r="H456" i="1"/>
  <c r="I456" i="1"/>
  <c r="J456" i="1"/>
  <c r="B457" i="1"/>
  <c r="C457" i="1"/>
  <c r="D457" i="1"/>
  <c r="E457" i="1"/>
  <c r="F457" i="1"/>
  <c r="G457" i="1"/>
  <c r="H457" i="1"/>
  <c r="I457" i="1"/>
  <c r="J457" i="1"/>
  <c r="B458" i="1"/>
  <c r="C458" i="1"/>
  <c r="D458" i="1"/>
  <c r="E458" i="1"/>
  <c r="F458" i="1"/>
  <c r="G458" i="1"/>
  <c r="H458" i="1"/>
  <c r="I458" i="1"/>
  <c r="J458" i="1"/>
  <c r="B459" i="1"/>
  <c r="C459" i="1"/>
  <c r="D459" i="1"/>
  <c r="E459" i="1"/>
  <c r="F459" i="1"/>
  <c r="G459" i="1"/>
  <c r="H459" i="1"/>
  <c r="I459" i="1"/>
  <c r="J459" i="1"/>
  <c r="B460" i="1"/>
  <c r="C460" i="1"/>
  <c r="D460" i="1"/>
  <c r="E460" i="1"/>
  <c r="F460" i="1"/>
  <c r="G460" i="1"/>
  <c r="H460" i="1"/>
  <c r="I460" i="1"/>
  <c r="J460" i="1"/>
  <c r="B461" i="1"/>
  <c r="C461" i="1"/>
  <c r="D461" i="1"/>
  <c r="E461" i="1"/>
  <c r="F461" i="1"/>
  <c r="G461" i="1"/>
  <c r="H461" i="1"/>
  <c r="I461" i="1"/>
  <c r="J461" i="1"/>
  <c r="B462" i="1"/>
  <c r="C462" i="1"/>
  <c r="D462" i="1"/>
  <c r="E462" i="1"/>
  <c r="F462" i="1"/>
  <c r="G462" i="1"/>
  <c r="H462" i="1"/>
  <c r="I462" i="1"/>
  <c r="J462" i="1"/>
  <c r="B463" i="1"/>
  <c r="C463" i="1"/>
  <c r="D463" i="1"/>
  <c r="E463" i="1"/>
  <c r="F463" i="1"/>
  <c r="G463" i="1"/>
  <c r="H463" i="1"/>
  <c r="I463" i="1"/>
  <c r="J463" i="1"/>
  <c r="B464" i="1"/>
  <c r="C464" i="1"/>
  <c r="D464" i="1"/>
  <c r="E464" i="1"/>
  <c r="F464" i="1"/>
  <c r="G464" i="1"/>
  <c r="H464" i="1"/>
  <c r="I464" i="1"/>
  <c r="J464" i="1"/>
  <c r="B465" i="1"/>
  <c r="C465" i="1"/>
  <c r="D465" i="1"/>
  <c r="E465" i="1"/>
  <c r="F465" i="1"/>
  <c r="G465" i="1"/>
  <c r="H465" i="1"/>
  <c r="I465" i="1"/>
  <c r="J465" i="1"/>
  <c r="B466" i="1"/>
  <c r="C466" i="1"/>
  <c r="D466" i="1"/>
  <c r="E466" i="1"/>
  <c r="F466" i="1"/>
  <c r="G466" i="1"/>
  <c r="H466" i="1"/>
  <c r="I466" i="1"/>
  <c r="J466" i="1"/>
  <c r="B467" i="1"/>
  <c r="C467" i="1"/>
  <c r="D467" i="1"/>
  <c r="E467" i="1"/>
  <c r="F467" i="1"/>
  <c r="G467" i="1"/>
  <c r="H467" i="1"/>
  <c r="I467" i="1"/>
  <c r="J467" i="1"/>
  <c r="B468" i="1"/>
  <c r="C468" i="1"/>
  <c r="D468" i="1"/>
  <c r="E468" i="1"/>
  <c r="F468" i="1"/>
  <c r="G468" i="1"/>
  <c r="H468" i="1"/>
  <c r="I468" i="1"/>
  <c r="J468" i="1"/>
  <c r="B469" i="1"/>
  <c r="C469" i="1"/>
  <c r="D469" i="1"/>
  <c r="E469" i="1"/>
  <c r="F469" i="1"/>
  <c r="G469" i="1"/>
  <c r="H469" i="1"/>
  <c r="I469" i="1"/>
  <c r="J469" i="1"/>
  <c r="B470" i="1"/>
  <c r="C470" i="1"/>
  <c r="D470" i="1"/>
  <c r="E470" i="1"/>
  <c r="F470" i="1"/>
  <c r="G470" i="1"/>
  <c r="H470" i="1"/>
  <c r="I470" i="1"/>
  <c r="J470" i="1"/>
  <c r="B471" i="1"/>
  <c r="C471" i="1"/>
  <c r="D471" i="1"/>
  <c r="E471" i="1"/>
  <c r="F471" i="1"/>
  <c r="G471" i="1"/>
  <c r="H471" i="1"/>
  <c r="I471" i="1"/>
  <c r="J471" i="1"/>
  <c r="B472" i="1"/>
  <c r="C472" i="1"/>
  <c r="D472" i="1"/>
  <c r="E472" i="1"/>
  <c r="F472" i="1"/>
  <c r="G472" i="1"/>
  <c r="H472" i="1"/>
  <c r="I472" i="1"/>
  <c r="J472" i="1"/>
  <c r="B473" i="1"/>
  <c r="C473" i="1"/>
  <c r="D473" i="1"/>
  <c r="E473" i="1"/>
  <c r="F473" i="1"/>
  <c r="G473" i="1"/>
  <c r="H473" i="1"/>
  <c r="I473" i="1"/>
  <c r="J473" i="1"/>
  <c r="B474" i="1"/>
  <c r="C474" i="1"/>
  <c r="D474" i="1"/>
  <c r="E474" i="1"/>
  <c r="F474" i="1"/>
  <c r="G474" i="1"/>
  <c r="H474" i="1"/>
  <c r="I474" i="1"/>
  <c r="J474" i="1"/>
  <c r="B475" i="1"/>
  <c r="C475" i="1"/>
  <c r="D475" i="1"/>
  <c r="E475" i="1"/>
  <c r="F475" i="1"/>
  <c r="G475" i="1"/>
  <c r="H475" i="1"/>
  <c r="I475" i="1"/>
  <c r="J475" i="1"/>
  <c r="B476" i="1"/>
  <c r="C476" i="1"/>
  <c r="D476" i="1"/>
  <c r="E476" i="1"/>
  <c r="F476" i="1"/>
  <c r="G476" i="1"/>
  <c r="H476" i="1"/>
  <c r="I476" i="1"/>
  <c r="J476" i="1"/>
  <c r="B477" i="1"/>
  <c r="C477" i="1"/>
  <c r="D477" i="1"/>
  <c r="E477" i="1"/>
  <c r="F477" i="1"/>
  <c r="G477" i="1"/>
  <c r="H477" i="1"/>
  <c r="I477" i="1"/>
  <c r="J477" i="1"/>
  <c r="B478" i="1"/>
  <c r="C478" i="1"/>
  <c r="D478" i="1"/>
  <c r="E478" i="1"/>
  <c r="F478" i="1"/>
  <c r="G478" i="1"/>
  <c r="H478" i="1"/>
  <c r="I478" i="1"/>
  <c r="J478" i="1"/>
  <c r="B479" i="1"/>
  <c r="C479" i="1"/>
  <c r="D479" i="1"/>
  <c r="E479" i="1"/>
  <c r="F479" i="1"/>
  <c r="G479" i="1"/>
  <c r="H479" i="1"/>
  <c r="I479" i="1"/>
  <c r="J479" i="1"/>
  <c r="B480" i="1"/>
  <c r="C480" i="1"/>
  <c r="D480" i="1"/>
  <c r="E480" i="1"/>
  <c r="F480" i="1"/>
  <c r="G480" i="1"/>
  <c r="H480" i="1"/>
  <c r="I480" i="1"/>
  <c r="J480" i="1"/>
  <c r="B481" i="1"/>
  <c r="C481" i="1"/>
  <c r="D481" i="1"/>
  <c r="E481" i="1"/>
  <c r="F481" i="1"/>
  <c r="G481" i="1"/>
  <c r="H481" i="1"/>
  <c r="I481" i="1"/>
  <c r="J481" i="1"/>
  <c r="B482" i="1"/>
  <c r="C482" i="1"/>
  <c r="D482" i="1"/>
  <c r="E482" i="1"/>
  <c r="F482" i="1"/>
  <c r="G482" i="1"/>
  <c r="H482" i="1"/>
  <c r="I482" i="1"/>
  <c r="J482" i="1"/>
  <c r="B483" i="1"/>
  <c r="C483" i="1"/>
  <c r="D483" i="1"/>
  <c r="E483" i="1"/>
  <c r="F483" i="1"/>
  <c r="G483" i="1"/>
  <c r="H483" i="1"/>
  <c r="I483" i="1"/>
  <c r="J483" i="1"/>
  <c r="B484" i="1"/>
  <c r="C484" i="1"/>
  <c r="D484" i="1"/>
  <c r="E484" i="1"/>
  <c r="F484" i="1"/>
  <c r="G484" i="1"/>
  <c r="H484" i="1"/>
  <c r="I484" i="1"/>
  <c r="J484" i="1"/>
  <c r="B485" i="1"/>
  <c r="C485" i="1"/>
  <c r="D485" i="1"/>
  <c r="E485" i="1"/>
  <c r="F485" i="1"/>
  <c r="G485" i="1"/>
  <c r="H485" i="1"/>
  <c r="I485" i="1"/>
  <c r="J485" i="1"/>
  <c r="B486" i="1"/>
  <c r="C486" i="1"/>
  <c r="D486" i="1"/>
  <c r="E486" i="1"/>
  <c r="F486" i="1"/>
  <c r="G486" i="1"/>
  <c r="H486" i="1"/>
  <c r="I486" i="1"/>
  <c r="J486" i="1"/>
  <c r="B487" i="1"/>
  <c r="C487" i="1"/>
  <c r="D487" i="1"/>
  <c r="E487" i="1"/>
  <c r="F487" i="1"/>
  <c r="G487" i="1"/>
  <c r="H487" i="1"/>
  <c r="I487" i="1"/>
  <c r="J487" i="1"/>
  <c r="B488" i="1"/>
  <c r="C488" i="1"/>
  <c r="D488" i="1"/>
  <c r="E488" i="1"/>
  <c r="F488" i="1"/>
  <c r="G488" i="1"/>
  <c r="H488" i="1"/>
  <c r="I488" i="1"/>
  <c r="J488" i="1"/>
  <c r="B489" i="1"/>
  <c r="C489" i="1"/>
  <c r="D489" i="1"/>
  <c r="E489" i="1"/>
  <c r="F489" i="1"/>
  <c r="G489" i="1"/>
  <c r="H489" i="1"/>
  <c r="I489" i="1"/>
  <c r="J489" i="1"/>
  <c r="B490" i="1"/>
  <c r="C490" i="1"/>
  <c r="D490" i="1"/>
  <c r="E490" i="1"/>
  <c r="F490" i="1"/>
  <c r="G490" i="1"/>
  <c r="H490" i="1"/>
  <c r="I490" i="1"/>
  <c r="J490" i="1"/>
  <c r="B491" i="1"/>
  <c r="C491" i="1"/>
  <c r="D491" i="1"/>
  <c r="E491" i="1"/>
  <c r="F491" i="1"/>
  <c r="G491" i="1"/>
  <c r="H491" i="1"/>
  <c r="I491" i="1"/>
  <c r="J491" i="1"/>
  <c r="B492" i="1"/>
  <c r="C492" i="1"/>
  <c r="D492" i="1"/>
  <c r="E492" i="1"/>
  <c r="F492" i="1"/>
  <c r="G492" i="1"/>
  <c r="H492" i="1"/>
  <c r="I492" i="1"/>
  <c r="J492" i="1"/>
  <c r="B493" i="1"/>
  <c r="C493" i="1"/>
  <c r="D493" i="1"/>
  <c r="E493" i="1"/>
  <c r="F493" i="1"/>
  <c r="G493" i="1"/>
  <c r="H493" i="1"/>
  <c r="I493" i="1"/>
  <c r="J493" i="1"/>
  <c r="B494" i="1"/>
  <c r="C494" i="1"/>
  <c r="D494" i="1"/>
  <c r="E494" i="1"/>
  <c r="F494" i="1"/>
  <c r="G494" i="1"/>
  <c r="H494" i="1"/>
  <c r="I494" i="1"/>
  <c r="J494" i="1"/>
  <c r="B495" i="1"/>
  <c r="C495" i="1"/>
  <c r="D495" i="1"/>
  <c r="E495" i="1"/>
  <c r="F495" i="1"/>
  <c r="G495" i="1"/>
  <c r="H495" i="1"/>
  <c r="I495" i="1"/>
  <c r="J495" i="1"/>
  <c r="B496" i="1"/>
  <c r="C496" i="1"/>
  <c r="D496" i="1"/>
  <c r="E496" i="1"/>
  <c r="F496" i="1"/>
  <c r="G496" i="1"/>
  <c r="H496" i="1"/>
  <c r="I496" i="1"/>
  <c r="J496" i="1"/>
  <c r="B497" i="1"/>
  <c r="C497" i="1"/>
  <c r="D497" i="1"/>
  <c r="E497" i="1"/>
  <c r="F497" i="1"/>
  <c r="G497" i="1"/>
  <c r="H497" i="1"/>
  <c r="I497" i="1"/>
  <c r="J497" i="1"/>
  <c r="B498" i="1"/>
  <c r="C498" i="1"/>
  <c r="D498" i="1"/>
  <c r="E498" i="1"/>
  <c r="F498" i="1"/>
  <c r="G498" i="1"/>
  <c r="H498" i="1"/>
  <c r="I498" i="1"/>
  <c r="J498" i="1"/>
  <c r="B499" i="1"/>
  <c r="C499" i="1"/>
  <c r="D499" i="1"/>
  <c r="E499" i="1"/>
  <c r="F499" i="1"/>
  <c r="G499" i="1"/>
  <c r="H499" i="1"/>
  <c r="I499" i="1"/>
  <c r="J499" i="1"/>
  <c r="B500" i="1"/>
  <c r="C500" i="1"/>
  <c r="D500" i="1"/>
  <c r="E500" i="1"/>
  <c r="F500" i="1"/>
  <c r="G500" i="1"/>
  <c r="H500" i="1"/>
  <c r="I500" i="1"/>
  <c r="J500" i="1"/>
  <c r="B501" i="1"/>
  <c r="C501" i="1"/>
  <c r="D501" i="1"/>
  <c r="E501" i="1"/>
  <c r="F501" i="1"/>
  <c r="G501" i="1"/>
  <c r="H501" i="1"/>
  <c r="I501" i="1"/>
  <c r="J501" i="1"/>
  <c r="B502" i="1"/>
  <c r="C502" i="1"/>
  <c r="D502" i="1"/>
  <c r="E502" i="1"/>
  <c r="F502" i="1"/>
  <c r="G502" i="1"/>
  <c r="H502" i="1"/>
  <c r="I502" i="1"/>
  <c r="J502" i="1"/>
  <c r="B503" i="1"/>
  <c r="C503" i="1"/>
  <c r="D503" i="1"/>
  <c r="E503" i="1"/>
  <c r="F503" i="1"/>
  <c r="G503" i="1"/>
  <c r="H503" i="1"/>
  <c r="I503" i="1"/>
  <c r="J503" i="1"/>
  <c r="B504" i="1"/>
  <c r="C504" i="1"/>
  <c r="D504" i="1"/>
  <c r="E504" i="1"/>
  <c r="F504" i="1"/>
  <c r="G504" i="1"/>
  <c r="H504" i="1"/>
  <c r="I504" i="1"/>
  <c r="J504" i="1"/>
  <c r="B505" i="1"/>
  <c r="C505" i="1"/>
  <c r="D505" i="1"/>
  <c r="E505" i="1"/>
  <c r="F505" i="1"/>
  <c r="G505" i="1"/>
  <c r="H505" i="1"/>
  <c r="I505" i="1"/>
  <c r="J505" i="1"/>
  <c r="B506" i="1"/>
  <c r="C506" i="1"/>
  <c r="D506" i="1"/>
  <c r="E506" i="1"/>
  <c r="F506" i="1"/>
  <c r="G506" i="1"/>
  <c r="H506" i="1"/>
  <c r="I506" i="1"/>
  <c r="J506" i="1"/>
  <c r="B507" i="1"/>
  <c r="C507" i="1"/>
  <c r="D507" i="1"/>
  <c r="E507" i="1"/>
  <c r="F507" i="1"/>
  <c r="G507" i="1"/>
  <c r="H507" i="1"/>
  <c r="I507" i="1"/>
  <c r="J507" i="1"/>
  <c r="B508" i="1"/>
  <c r="C508" i="1"/>
  <c r="D508" i="1"/>
  <c r="E508" i="1"/>
  <c r="F508" i="1"/>
  <c r="G508" i="1"/>
  <c r="H508" i="1"/>
  <c r="I508" i="1"/>
  <c r="J508" i="1"/>
  <c r="B509" i="1"/>
  <c r="C509" i="1"/>
  <c r="D509" i="1"/>
  <c r="E509" i="1"/>
  <c r="F509" i="1"/>
  <c r="G509" i="1"/>
  <c r="H509" i="1"/>
  <c r="I509" i="1"/>
  <c r="J509" i="1"/>
  <c r="B510" i="1"/>
  <c r="C510" i="1"/>
  <c r="D510" i="1"/>
  <c r="E510" i="1"/>
  <c r="F510" i="1"/>
  <c r="G510" i="1"/>
  <c r="H510" i="1"/>
  <c r="I510" i="1"/>
  <c r="J510" i="1"/>
  <c r="B511" i="1"/>
  <c r="C511" i="1"/>
  <c r="D511" i="1"/>
  <c r="E511" i="1"/>
  <c r="F511" i="1"/>
  <c r="G511" i="1"/>
  <c r="H511" i="1"/>
  <c r="I511" i="1"/>
  <c r="J511" i="1"/>
  <c r="B512" i="1"/>
  <c r="C512" i="1"/>
  <c r="D512" i="1"/>
  <c r="E512" i="1"/>
  <c r="F512" i="1"/>
  <c r="G512" i="1"/>
  <c r="H512" i="1"/>
  <c r="I512" i="1"/>
  <c r="J512" i="1"/>
  <c r="B513" i="1"/>
  <c r="C513" i="1"/>
  <c r="D513" i="1"/>
  <c r="E513" i="1"/>
  <c r="F513" i="1"/>
  <c r="G513" i="1"/>
  <c r="H513" i="1"/>
  <c r="I513" i="1"/>
  <c r="J513" i="1"/>
  <c r="B514" i="1"/>
  <c r="C514" i="1"/>
  <c r="D514" i="1"/>
  <c r="E514" i="1"/>
  <c r="F514" i="1"/>
  <c r="G514" i="1"/>
  <c r="H514" i="1"/>
  <c r="I514" i="1"/>
  <c r="J514" i="1"/>
  <c r="B515" i="1"/>
  <c r="C515" i="1"/>
  <c r="D515" i="1"/>
  <c r="E515" i="1"/>
  <c r="F515" i="1"/>
  <c r="G515" i="1"/>
  <c r="H515" i="1"/>
  <c r="I515" i="1"/>
  <c r="J515" i="1"/>
  <c r="B516" i="1"/>
  <c r="C516" i="1"/>
  <c r="D516" i="1"/>
  <c r="E516" i="1"/>
  <c r="F516" i="1"/>
  <c r="G516" i="1"/>
  <c r="H516" i="1"/>
  <c r="I516" i="1"/>
  <c r="J516" i="1"/>
  <c r="B517" i="1"/>
  <c r="C517" i="1"/>
  <c r="D517" i="1"/>
  <c r="E517" i="1"/>
  <c r="F517" i="1"/>
  <c r="G517" i="1"/>
  <c r="H517" i="1"/>
  <c r="I517" i="1"/>
  <c r="J517" i="1"/>
  <c r="B518" i="1"/>
  <c r="C518" i="1"/>
  <c r="D518" i="1"/>
  <c r="E518" i="1"/>
  <c r="F518" i="1"/>
  <c r="G518" i="1"/>
  <c r="H518" i="1"/>
  <c r="I518" i="1"/>
  <c r="J518" i="1"/>
  <c r="B519" i="1"/>
  <c r="C519" i="1"/>
  <c r="D519" i="1"/>
  <c r="E519" i="1"/>
  <c r="F519" i="1"/>
  <c r="G519" i="1"/>
  <c r="H519" i="1"/>
  <c r="I519" i="1"/>
  <c r="J519" i="1"/>
  <c r="B520" i="1"/>
  <c r="C520" i="1"/>
  <c r="D520" i="1"/>
  <c r="E520" i="1"/>
  <c r="F520" i="1"/>
  <c r="G520" i="1"/>
  <c r="H520" i="1"/>
  <c r="I520" i="1"/>
  <c r="J520" i="1"/>
  <c r="B521" i="1"/>
  <c r="C521" i="1"/>
  <c r="D521" i="1"/>
  <c r="E521" i="1"/>
  <c r="F521" i="1"/>
  <c r="G521" i="1"/>
  <c r="H521" i="1"/>
  <c r="I521" i="1"/>
  <c r="J521" i="1"/>
  <c r="B522" i="1"/>
  <c r="C522" i="1"/>
  <c r="D522" i="1"/>
  <c r="E522" i="1"/>
  <c r="F522" i="1"/>
  <c r="G522" i="1"/>
  <c r="H522" i="1"/>
  <c r="I522" i="1"/>
  <c r="J522" i="1"/>
  <c r="B523" i="1"/>
  <c r="C523" i="1"/>
  <c r="D523" i="1"/>
  <c r="E523" i="1"/>
  <c r="F523" i="1"/>
  <c r="G523" i="1"/>
  <c r="H523" i="1"/>
  <c r="I523" i="1"/>
  <c r="J523" i="1"/>
  <c r="B524" i="1"/>
  <c r="C524" i="1"/>
  <c r="D524" i="1"/>
  <c r="E524" i="1"/>
  <c r="F524" i="1"/>
  <c r="G524" i="1"/>
  <c r="H524" i="1"/>
  <c r="I524" i="1"/>
  <c r="J524" i="1"/>
  <c r="B525" i="1"/>
  <c r="C525" i="1"/>
  <c r="D525" i="1"/>
  <c r="E525" i="1"/>
  <c r="F525" i="1"/>
  <c r="G525" i="1"/>
  <c r="H525" i="1"/>
  <c r="I525" i="1"/>
  <c r="J525" i="1"/>
  <c r="B526" i="1"/>
  <c r="C526" i="1"/>
  <c r="D526" i="1"/>
  <c r="E526" i="1"/>
  <c r="F526" i="1"/>
  <c r="G526" i="1"/>
  <c r="H526" i="1"/>
  <c r="I526" i="1"/>
  <c r="J526" i="1"/>
  <c r="B527" i="1"/>
  <c r="C527" i="1"/>
  <c r="D527" i="1"/>
  <c r="E527" i="1"/>
  <c r="F527" i="1"/>
  <c r="G527" i="1"/>
  <c r="H527" i="1"/>
  <c r="I527" i="1"/>
  <c r="J527" i="1"/>
  <c r="B528" i="1"/>
  <c r="C528" i="1"/>
  <c r="D528" i="1"/>
  <c r="E528" i="1"/>
  <c r="F528" i="1"/>
  <c r="G528" i="1"/>
  <c r="H528" i="1"/>
  <c r="I528" i="1"/>
  <c r="J528" i="1"/>
  <c r="B529" i="1"/>
  <c r="C529" i="1"/>
  <c r="D529" i="1"/>
  <c r="E529" i="1"/>
  <c r="F529" i="1"/>
  <c r="G529" i="1"/>
  <c r="H529" i="1"/>
  <c r="I529" i="1"/>
  <c r="J529" i="1"/>
  <c r="B530" i="1"/>
  <c r="C530" i="1"/>
  <c r="D530" i="1"/>
  <c r="E530" i="1"/>
  <c r="F530" i="1"/>
  <c r="G530" i="1"/>
  <c r="H530" i="1"/>
  <c r="I530" i="1"/>
  <c r="J530" i="1"/>
  <c r="B531" i="1"/>
  <c r="C531" i="1"/>
  <c r="D531" i="1"/>
  <c r="E531" i="1"/>
  <c r="F531" i="1"/>
  <c r="G531" i="1"/>
  <c r="H531" i="1"/>
  <c r="I531" i="1"/>
  <c r="J531" i="1"/>
  <c r="B532" i="1"/>
  <c r="C532" i="1"/>
  <c r="D532" i="1"/>
  <c r="E532" i="1"/>
  <c r="F532" i="1"/>
  <c r="G532" i="1"/>
  <c r="H532" i="1"/>
  <c r="I532" i="1"/>
  <c r="J532" i="1"/>
  <c r="B533" i="1"/>
  <c r="C533" i="1"/>
  <c r="D533" i="1"/>
  <c r="E533" i="1"/>
  <c r="F533" i="1"/>
  <c r="G533" i="1"/>
  <c r="H533" i="1"/>
  <c r="I533" i="1"/>
  <c r="J533" i="1"/>
  <c r="B534" i="1"/>
  <c r="C534" i="1"/>
  <c r="D534" i="1"/>
  <c r="E534" i="1"/>
  <c r="F534" i="1"/>
  <c r="G534" i="1"/>
  <c r="H534" i="1"/>
  <c r="I534" i="1"/>
  <c r="J534" i="1"/>
  <c r="B535" i="1"/>
  <c r="C535" i="1"/>
  <c r="D535" i="1"/>
  <c r="E535" i="1"/>
  <c r="F535" i="1"/>
  <c r="G535" i="1"/>
  <c r="H535" i="1"/>
  <c r="I535" i="1"/>
  <c r="J535" i="1"/>
  <c r="B536" i="1"/>
  <c r="C536" i="1"/>
  <c r="D536" i="1"/>
  <c r="E536" i="1"/>
  <c r="F536" i="1"/>
  <c r="G536" i="1"/>
  <c r="H536" i="1"/>
  <c r="I536" i="1"/>
  <c r="J536" i="1"/>
  <c r="B537" i="1"/>
  <c r="C537" i="1"/>
  <c r="D537" i="1"/>
  <c r="E537" i="1"/>
  <c r="F537" i="1"/>
  <c r="G537" i="1"/>
  <c r="H537" i="1"/>
  <c r="I537" i="1"/>
  <c r="J537" i="1"/>
  <c r="B538" i="1"/>
  <c r="C538" i="1"/>
  <c r="D538" i="1"/>
  <c r="E538" i="1"/>
  <c r="F538" i="1"/>
  <c r="G538" i="1"/>
  <c r="H538" i="1"/>
  <c r="I538" i="1"/>
  <c r="J538" i="1"/>
  <c r="B539" i="1"/>
  <c r="C539" i="1"/>
  <c r="D539" i="1"/>
  <c r="E539" i="1"/>
  <c r="F539" i="1"/>
  <c r="G539" i="1"/>
  <c r="H539" i="1"/>
  <c r="I539" i="1"/>
  <c r="J539" i="1"/>
  <c r="B540" i="1"/>
  <c r="C540" i="1"/>
  <c r="D540" i="1"/>
  <c r="E540" i="1"/>
  <c r="F540" i="1"/>
  <c r="G540" i="1"/>
  <c r="H540" i="1"/>
  <c r="I540" i="1"/>
  <c r="J540" i="1"/>
  <c r="B541" i="1"/>
  <c r="C541" i="1"/>
  <c r="D541" i="1"/>
  <c r="E541" i="1"/>
  <c r="F541" i="1"/>
  <c r="G541" i="1"/>
  <c r="H541" i="1"/>
  <c r="I541" i="1"/>
  <c r="J541" i="1"/>
  <c r="B542" i="1"/>
  <c r="C542" i="1"/>
  <c r="D542" i="1"/>
  <c r="E542" i="1"/>
  <c r="F542" i="1"/>
  <c r="G542" i="1"/>
  <c r="H542" i="1"/>
  <c r="I542" i="1"/>
  <c r="J542" i="1"/>
  <c r="B543" i="1"/>
  <c r="C543" i="1"/>
  <c r="D543" i="1"/>
  <c r="E543" i="1"/>
  <c r="F543" i="1"/>
  <c r="G543" i="1"/>
  <c r="H543" i="1"/>
  <c r="I543" i="1"/>
  <c r="J543" i="1"/>
  <c r="B544" i="1"/>
  <c r="C544" i="1"/>
  <c r="D544" i="1"/>
  <c r="E544" i="1"/>
  <c r="F544" i="1"/>
  <c r="G544" i="1"/>
  <c r="H544" i="1"/>
  <c r="I544" i="1"/>
  <c r="J544" i="1"/>
  <c r="B545" i="1"/>
  <c r="C545" i="1"/>
  <c r="D545" i="1"/>
  <c r="E545" i="1"/>
  <c r="F545" i="1"/>
  <c r="G545" i="1"/>
  <c r="H545" i="1"/>
  <c r="I545" i="1"/>
  <c r="J545" i="1"/>
  <c r="B546" i="1"/>
  <c r="C546" i="1"/>
  <c r="D546" i="1"/>
  <c r="E546" i="1"/>
  <c r="F546" i="1"/>
  <c r="G546" i="1"/>
  <c r="H546" i="1"/>
  <c r="I546" i="1"/>
  <c r="J546" i="1"/>
  <c r="B547" i="1"/>
  <c r="C547" i="1"/>
  <c r="D547" i="1"/>
  <c r="E547" i="1"/>
  <c r="F547" i="1"/>
  <c r="G547" i="1"/>
  <c r="H547" i="1"/>
  <c r="I547" i="1"/>
  <c r="J547" i="1"/>
  <c r="B548" i="1"/>
  <c r="C548" i="1"/>
  <c r="D548" i="1"/>
  <c r="E548" i="1"/>
  <c r="F548" i="1"/>
  <c r="G548" i="1"/>
  <c r="H548" i="1"/>
  <c r="I548" i="1"/>
  <c r="J548" i="1"/>
  <c r="B549" i="1"/>
  <c r="C549" i="1"/>
  <c r="D549" i="1"/>
  <c r="E549" i="1"/>
  <c r="F549" i="1"/>
  <c r="G549" i="1"/>
  <c r="H549" i="1"/>
  <c r="I549" i="1"/>
  <c r="J549" i="1"/>
  <c r="B550" i="1"/>
  <c r="C550" i="1"/>
  <c r="D550" i="1"/>
  <c r="E550" i="1"/>
  <c r="F550" i="1"/>
  <c r="G550" i="1"/>
  <c r="H550" i="1"/>
  <c r="I550" i="1"/>
  <c r="J550" i="1"/>
  <c r="B551" i="1"/>
  <c r="C551" i="1"/>
  <c r="D551" i="1"/>
  <c r="E551" i="1"/>
  <c r="F551" i="1"/>
  <c r="G551" i="1"/>
  <c r="H551" i="1"/>
  <c r="I551" i="1"/>
  <c r="J551" i="1"/>
  <c r="B552" i="1"/>
  <c r="C552" i="1"/>
  <c r="D552" i="1"/>
  <c r="E552" i="1"/>
  <c r="F552" i="1"/>
  <c r="G552" i="1"/>
  <c r="H552" i="1"/>
  <c r="I552" i="1"/>
  <c r="J552" i="1"/>
  <c r="B553" i="1"/>
  <c r="C553" i="1"/>
  <c r="D553" i="1"/>
  <c r="E553" i="1"/>
  <c r="F553" i="1"/>
  <c r="G553" i="1"/>
  <c r="H553" i="1"/>
  <c r="I553" i="1"/>
  <c r="J553" i="1"/>
  <c r="B554" i="1"/>
  <c r="C554" i="1"/>
  <c r="D554" i="1"/>
  <c r="E554" i="1"/>
  <c r="F554" i="1"/>
  <c r="G554" i="1"/>
  <c r="H554" i="1"/>
  <c r="I554" i="1"/>
  <c r="J554" i="1"/>
  <c r="B555" i="1"/>
  <c r="C555" i="1"/>
  <c r="D555" i="1"/>
  <c r="E555" i="1"/>
  <c r="F555" i="1"/>
  <c r="G555" i="1"/>
  <c r="H555" i="1"/>
  <c r="I555" i="1"/>
  <c r="J555" i="1"/>
  <c r="B556" i="1"/>
  <c r="C556" i="1"/>
  <c r="D556" i="1"/>
  <c r="E556" i="1"/>
  <c r="F556" i="1"/>
  <c r="G556" i="1"/>
  <c r="H556" i="1"/>
  <c r="I556" i="1"/>
  <c r="J556" i="1"/>
  <c r="B557" i="1"/>
  <c r="C557" i="1"/>
  <c r="D557" i="1"/>
  <c r="E557" i="1"/>
  <c r="F557" i="1"/>
  <c r="G557" i="1"/>
  <c r="H557" i="1"/>
  <c r="I557" i="1"/>
  <c r="J557" i="1"/>
  <c r="B558" i="1"/>
  <c r="C558" i="1"/>
  <c r="D558" i="1"/>
  <c r="E558" i="1"/>
  <c r="F558" i="1"/>
  <c r="G558" i="1"/>
  <c r="H558" i="1"/>
  <c r="I558" i="1"/>
  <c r="J558" i="1"/>
  <c r="B559" i="1"/>
  <c r="C559" i="1"/>
  <c r="D559" i="1"/>
  <c r="E559" i="1"/>
  <c r="F559" i="1"/>
  <c r="G559" i="1"/>
  <c r="H559" i="1"/>
  <c r="I559" i="1"/>
  <c r="J559" i="1"/>
  <c r="B560" i="1"/>
  <c r="C560" i="1"/>
  <c r="D560" i="1"/>
  <c r="E560" i="1"/>
  <c r="F560" i="1"/>
  <c r="G560" i="1"/>
  <c r="H560" i="1"/>
  <c r="I560" i="1"/>
  <c r="J560" i="1"/>
  <c r="B561" i="1"/>
  <c r="C561" i="1"/>
  <c r="D561" i="1"/>
  <c r="E561" i="1"/>
  <c r="F561" i="1"/>
  <c r="G561" i="1"/>
  <c r="H561" i="1"/>
  <c r="I561" i="1"/>
  <c r="J561" i="1"/>
  <c r="B562" i="1"/>
  <c r="C562" i="1"/>
  <c r="D562" i="1"/>
  <c r="E562" i="1"/>
  <c r="F562" i="1"/>
  <c r="G562" i="1"/>
  <c r="H562" i="1"/>
  <c r="I562" i="1"/>
  <c r="J562" i="1"/>
  <c r="B563" i="1"/>
  <c r="C563" i="1"/>
  <c r="D563" i="1"/>
  <c r="E563" i="1"/>
  <c r="F563" i="1"/>
  <c r="G563" i="1"/>
  <c r="H563" i="1"/>
  <c r="I563" i="1"/>
  <c r="J563" i="1"/>
  <c r="B564" i="1"/>
  <c r="C564" i="1"/>
  <c r="D564" i="1"/>
  <c r="E564" i="1"/>
  <c r="F564" i="1"/>
  <c r="G564" i="1"/>
  <c r="H564" i="1"/>
  <c r="I564" i="1"/>
  <c r="J564" i="1"/>
  <c r="B565" i="1"/>
  <c r="C565" i="1"/>
  <c r="D565" i="1"/>
  <c r="E565" i="1"/>
  <c r="F565" i="1"/>
  <c r="G565" i="1"/>
  <c r="H565" i="1"/>
  <c r="I565" i="1"/>
  <c r="J565" i="1"/>
  <c r="B566" i="1"/>
  <c r="C566" i="1"/>
  <c r="D566" i="1"/>
  <c r="E566" i="1"/>
  <c r="F566" i="1"/>
  <c r="G566" i="1"/>
  <c r="H566" i="1"/>
  <c r="I566" i="1"/>
  <c r="J566" i="1"/>
  <c r="B567" i="1"/>
  <c r="C567" i="1"/>
  <c r="D567" i="1"/>
  <c r="E567" i="1"/>
  <c r="F567" i="1"/>
  <c r="G567" i="1"/>
  <c r="H567" i="1"/>
  <c r="I567" i="1"/>
  <c r="J567" i="1"/>
  <c r="B568" i="1"/>
  <c r="C568" i="1"/>
  <c r="D568" i="1"/>
  <c r="E568" i="1"/>
  <c r="F568" i="1"/>
  <c r="G568" i="1"/>
  <c r="H568" i="1"/>
  <c r="I568" i="1"/>
  <c r="J568" i="1"/>
  <c r="B569" i="1"/>
  <c r="C569" i="1"/>
  <c r="D569" i="1"/>
  <c r="E569" i="1"/>
  <c r="F569" i="1"/>
  <c r="G569" i="1"/>
  <c r="H569" i="1"/>
  <c r="I569" i="1"/>
  <c r="J569" i="1"/>
  <c r="B570" i="1"/>
  <c r="C570" i="1"/>
  <c r="D570" i="1"/>
  <c r="E570" i="1"/>
  <c r="F570" i="1"/>
  <c r="G570" i="1"/>
  <c r="H570" i="1"/>
  <c r="I570" i="1"/>
  <c r="J570" i="1"/>
  <c r="B571" i="1"/>
  <c r="C571" i="1"/>
  <c r="D571" i="1"/>
  <c r="E571" i="1"/>
  <c r="F571" i="1"/>
  <c r="G571" i="1"/>
  <c r="H571" i="1"/>
  <c r="I571" i="1"/>
  <c r="J571" i="1"/>
  <c r="B572" i="1"/>
  <c r="C572" i="1"/>
  <c r="D572" i="1"/>
  <c r="E572" i="1"/>
  <c r="F572" i="1"/>
  <c r="G572" i="1"/>
  <c r="H572" i="1"/>
  <c r="I572" i="1"/>
  <c r="J572" i="1"/>
  <c r="B573" i="1"/>
  <c r="C573" i="1"/>
  <c r="D573" i="1"/>
  <c r="E573" i="1"/>
  <c r="F573" i="1"/>
  <c r="G573" i="1"/>
  <c r="H573" i="1"/>
  <c r="I573" i="1"/>
  <c r="J573" i="1"/>
  <c r="B574" i="1"/>
  <c r="C574" i="1"/>
  <c r="D574" i="1"/>
  <c r="E574" i="1"/>
  <c r="F574" i="1"/>
  <c r="G574" i="1"/>
  <c r="H574" i="1"/>
  <c r="I574" i="1"/>
  <c r="J574" i="1"/>
  <c r="B575" i="1"/>
  <c r="C575" i="1"/>
  <c r="D575" i="1"/>
  <c r="E575" i="1"/>
  <c r="F575" i="1"/>
  <c r="G575" i="1"/>
  <c r="H575" i="1"/>
  <c r="I575" i="1"/>
  <c r="J575" i="1"/>
  <c r="B576" i="1"/>
  <c r="C576" i="1"/>
  <c r="D576" i="1"/>
  <c r="E576" i="1"/>
  <c r="F576" i="1"/>
  <c r="G576" i="1"/>
  <c r="H576" i="1"/>
  <c r="I576" i="1"/>
  <c r="J576" i="1"/>
  <c r="B577" i="1"/>
  <c r="C577" i="1"/>
  <c r="D577" i="1"/>
  <c r="E577" i="1"/>
  <c r="F577" i="1"/>
  <c r="G577" i="1"/>
  <c r="H577" i="1"/>
  <c r="I577" i="1"/>
  <c r="J577" i="1"/>
  <c r="B578" i="1"/>
  <c r="C578" i="1"/>
  <c r="D578" i="1"/>
  <c r="E578" i="1"/>
  <c r="F578" i="1"/>
  <c r="G578" i="1"/>
  <c r="H578" i="1"/>
  <c r="I578" i="1"/>
  <c r="J578" i="1"/>
  <c r="B579" i="1"/>
  <c r="C579" i="1"/>
  <c r="D579" i="1"/>
  <c r="E579" i="1"/>
  <c r="F579" i="1"/>
  <c r="G579" i="1"/>
  <c r="H579" i="1"/>
  <c r="I579" i="1"/>
  <c r="J579" i="1"/>
  <c r="B580" i="1"/>
  <c r="C580" i="1"/>
  <c r="D580" i="1"/>
  <c r="E580" i="1"/>
  <c r="F580" i="1"/>
  <c r="G580" i="1"/>
  <c r="H580" i="1"/>
  <c r="I580" i="1"/>
  <c r="J580" i="1"/>
  <c r="B581" i="1"/>
  <c r="C581" i="1"/>
  <c r="D581" i="1"/>
  <c r="E581" i="1"/>
  <c r="F581" i="1"/>
  <c r="G581" i="1"/>
  <c r="H581" i="1"/>
  <c r="I581" i="1"/>
  <c r="J581" i="1"/>
  <c r="B582" i="1"/>
  <c r="C582" i="1"/>
  <c r="D582" i="1"/>
  <c r="E582" i="1"/>
  <c r="F582" i="1"/>
  <c r="G582" i="1"/>
  <c r="H582" i="1"/>
  <c r="I582" i="1"/>
  <c r="J582" i="1"/>
  <c r="B583" i="1"/>
  <c r="C583" i="1"/>
  <c r="D583" i="1"/>
  <c r="E583" i="1"/>
  <c r="F583" i="1"/>
  <c r="G583" i="1"/>
  <c r="H583" i="1"/>
  <c r="I583" i="1"/>
  <c r="J583" i="1"/>
  <c r="B584" i="1"/>
  <c r="C584" i="1"/>
  <c r="D584" i="1"/>
  <c r="E584" i="1"/>
  <c r="F584" i="1"/>
  <c r="G584" i="1"/>
  <c r="H584" i="1"/>
  <c r="I584" i="1"/>
  <c r="J584" i="1"/>
  <c r="B585" i="1"/>
  <c r="C585" i="1"/>
  <c r="D585" i="1"/>
  <c r="E585" i="1"/>
  <c r="F585" i="1"/>
  <c r="G585" i="1"/>
  <c r="H585" i="1"/>
  <c r="I585" i="1"/>
  <c r="J585" i="1"/>
  <c r="B586" i="1"/>
  <c r="C586" i="1"/>
  <c r="D586" i="1"/>
  <c r="E586" i="1"/>
  <c r="F586" i="1"/>
  <c r="G586" i="1"/>
  <c r="H586" i="1"/>
  <c r="I586" i="1"/>
  <c r="J586" i="1"/>
  <c r="B587" i="1"/>
  <c r="C587" i="1"/>
  <c r="D587" i="1"/>
  <c r="E587" i="1"/>
  <c r="F587" i="1"/>
  <c r="G587" i="1"/>
  <c r="H587" i="1"/>
  <c r="I587" i="1"/>
  <c r="J587" i="1"/>
  <c r="B588" i="1"/>
  <c r="C588" i="1"/>
  <c r="D588" i="1"/>
  <c r="E588" i="1"/>
  <c r="F588" i="1"/>
  <c r="G588" i="1"/>
  <c r="H588" i="1"/>
  <c r="I588" i="1"/>
  <c r="J588" i="1"/>
  <c r="B589" i="1"/>
  <c r="C589" i="1"/>
  <c r="D589" i="1"/>
  <c r="E589" i="1"/>
  <c r="F589" i="1"/>
  <c r="G589" i="1"/>
  <c r="H589" i="1"/>
  <c r="I589" i="1"/>
  <c r="J589" i="1"/>
  <c r="B590" i="1"/>
  <c r="C590" i="1"/>
  <c r="D590" i="1"/>
  <c r="E590" i="1"/>
  <c r="F590" i="1"/>
  <c r="G590" i="1"/>
  <c r="H590" i="1"/>
  <c r="I590" i="1"/>
  <c r="J590" i="1"/>
  <c r="B591" i="1"/>
  <c r="C591" i="1"/>
  <c r="D591" i="1"/>
  <c r="E591" i="1"/>
  <c r="F591" i="1"/>
  <c r="G591" i="1"/>
  <c r="H591" i="1"/>
  <c r="I591" i="1"/>
  <c r="J591" i="1"/>
  <c r="B592" i="1"/>
  <c r="C592" i="1"/>
  <c r="D592" i="1"/>
  <c r="E592" i="1"/>
  <c r="F592" i="1"/>
  <c r="G592" i="1"/>
  <c r="H592" i="1"/>
  <c r="I592" i="1"/>
  <c r="J592" i="1"/>
  <c r="B593" i="1"/>
  <c r="C593" i="1"/>
  <c r="D593" i="1"/>
  <c r="E593" i="1"/>
  <c r="F593" i="1"/>
  <c r="G593" i="1"/>
  <c r="H593" i="1"/>
  <c r="I593" i="1"/>
  <c r="J593" i="1"/>
  <c r="B594" i="1"/>
  <c r="C594" i="1"/>
  <c r="D594" i="1"/>
  <c r="E594" i="1"/>
  <c r="F594" i="1"/>
  <c r="G594" i="1"/>
  <c r="H594" i="1"/>
  <c r="I594" i="1"/>
  <c r="J594" i="1"/>
  <c r="B595" i="1"/>
  <c r="C595" i="1"/>
  <c r="D595" i="1"/>
  <c r="E595" i="1"/>
  <c r="F595" i="1"/>
  <c r="G595" i="1"/>
  <c r="H595" i="1"/>
  <c r="I595" i="1"/>
  <c r="J595" i="1"/>
  <c r="B596" i="1"/>
  <c r="C596" i="1"/>
  <c r="D596" i="1"/>
  <c r="E596" i="1"/>
  <c r="F596" i="1"/>
  <c r="G596" i="1"/>
  <c r="H596" i="1"/>
  <c r="I596" i="1"/>
  <c r="J596" i="1"/>
  <c r="B597" i="1"/>
  <c r="C597" i="1"/>
  <c r="D597" i="1"/>
  <c r="E597" i="1"/>
  <c r="F597" i="1"/>
  <c r="G597" i="1"/>
  <c r="H597" i="1"/>
  <c r="I597" i="1"/>
  <c r="J597" i="1"/>
  <c r="B598" i="1"/>
  <c r="C598" i="1"/>
  <c r="D598" i="1"/>
  <c r="E598" i="1"/>
  <c r="F598" i="1"/>
  <c r="G598" i="1"/>
  <c r="H598" i="1"/>
  <c r="I598" i="1"/>
  <c r="J598" i="1"/>
  <c r="B599" i="1"/>
  <c r="C599" i="1"/>
  <c r="D599" i="1"/>
  <c r="E599" i="1"/>
  <c r="F599" i="1"/>
  <c r="G599" i="1"/>
  <c r="H599" i="1"/>
  <c r="I599" i="1"/>
  <c r="J599" i="1"/>
  <c r="B600" i="1"/>
  <c r="C600" i="1"/>
  <c r="D600" i="1"/>
  <c r="E600" i="1"/>
  <c r="F600" i="1"/>
  <c r="G600" i="1"/>
  <c r="H600" i="1"/>
  <c r="I600" i="1"/>
  <c r="J600" i="1"/>
  <c r="B601" i="1"/>
  <c r="C601" i="1"/>
  <c r="D601" i="1"/>
  <c r="E601" i="1"/>
  <c r="F601" i="1"/>
  <c r="G601" i="1"/>
  <c r="H601" i="1"/>
  <c r="I601" i="1"/>
  <c r="J601" i="1"/>
  <c r="B602" i="1"/>
  <c r="C602" i="1"/>
  <c r="D602" i="1"/>
  <c r="E602" i="1"/>
  <c r="F602" i="1"/>
  <c r="G602" i="1"/>
  <c r="H602" i="1"/>
  <c r="I602" i="1"/>
  <c r="J602" i="1"/>
  <c r="B603" i="1"/>
  <c r="C603" i="1"/>
  <c r="D603" i="1"/>
  <c r="E603" i="1"/>
  <c r="F603" i="1"/>
  <c r="G603" i="1"/>
  <c r="H603" i="1"/>
  <c r="I603" i="1"/>
  <c r="J603" i="1"/>
  <c r="B604" i="1"/>
  <c r="C604" i="1"/>
  <c r="D604" i="1"/>
  <c r="E604" i="1"/>
  <c r="F604" i="1"/>
  <c r="G604" i="1"/>
  <c r="H604" i="1"/>
  <c r="I604" i="1"/>
  <c r="J604" i="1"/>
  <c r="B605" i="1"/>
  <c r="C605" i="1"/>
  <c r="D605" i="1"/>
  <c r="E605" i="1"/>
  <c r="F605" i="1"/>
  <c r="G605" i="1"/>
  <c r="H605" i="1"/>
  <c r="I605" i="1"/>
  <c r="J605" i="1"/>
  <c r="B606" i="1"/>
  <c r="C606" i="1"/>
  <c r="D606" i="1"/>
  <c r="E606" i="1"/>
  <c r="F606" i="1"/>
  <c r="G606" i="1"/>
  <c r="H606" i="1"/>
  <c r="I606" i="1"/>
  <c r="J606" i="1"/>
  <c r="B607" i="1"/>
  <c r="C607" i="1"/>
  <c r="D607" i="1"/>
  <c r="E607" i="1"/>
  <c r="F607" i="1"/>
  <c r="G607" i="1"/>
  <c r="H607" i="1"/>
  <c r="I607" i="1"/>
  <c r="J607" i="1"/>
  <c r="B608" i="1"/>
  <c r="C608" i="1"/>
  <c r="D608" i="1"/>
  <c r="E608" i="1"/>
  <c r="F608" i="1"/>
  <c r="G608" i="1"/>
  <c r="H608" i="1"/>
  <c r="I608" i="1"/>
  <c r="J608" i="1"/>
  <c r="B609" i="1"/>
  <c r="C609" i="1"/>
  <c r="D609" i="1"/>
  <c r="E609" i="1"/>
  <c r="F609" i="1"/>
  <c r="G609" i="1"/>
  <c r="H609" i="1"/>
  <c r="I609" i="1"/>
  <c r="J609" i="1"/>
  <c r="B610" i="1"/>
  <c r="C610" i="1"/>
  <c r="D610" i="1"/>
  <c r="E610" i="1"/>
  <c r="F610" i="1"/>
  <c r="G610" i="1"/>
  <c r="H610" i="1"/>
  <c r="I610" i="1"/>
  <c r="J610" i="1"/>
  <c r="B611" i="1"/>
  <c r="C611" i="1"/>
  <c r="D611" i="1"/>
  <c r="E611" i="1"/>
  <c r="F611" i="1"/>
  <c r="G611" i="1"/>
  <c r="H611" i="1"/>
  <c r="I611" i="1"/>
  <c r="J611" i="1"/>
  <c r="B612" i="1"/>
  <c r="C612" i="1"/>
  <c r="D612" i="1"/>
  <c r="E612" i="1"/>
  <c r="F612" i="1"/>
  <c r="G612" i="1"/>
  <c r="H612" i="1"/>
  <c r="I612" i="1"/>
  <c r="J612" i="1"/>
  <c r="B613" i="1"/>
  <c r="C613" i="1"/>
  <c r="D613" i="1"/>
  <c r="E613" i="1"/>
  <c r="F613" i="1"/>
  <c r="G613" i="1"/>
  <c r="H613" i="1"/>
  <c r="I613" i="1"/>
  <c r="J613" i="1"/>
  <c r="B614" i="1"/>
  <c r="C614" i="1"/>
  <c r="D614" i="1"/>
  <c r="E614" i="1"/>
  <c r="F614" i="1"/>
  <c r="G614" i="1"/>
  <c r="H614" i="1"/>
  <c r="I614" i="1"/>
  <c r="J614" i="1"/>
  <c r="B615" i="1"/>
  <c r="C615" i="1"/>
  <c r="D615" i="1"/>
  <c r="E615" i="1"/>
  <c r="F615" i="1"/>
  <c r="G615" i="1"/>
  <c r="H615" i="1"/>
  <c r="I615" i="1"/>
  <c r="J615" i="1"/>
  <c r="B616" i="1"/>
  <c r="C616" i="1"/>
  <c r="D616" i="1"/>
  <c r="E616" i="1"/>
  <c r="F616" i="1"/>
  <c r="G616" i="1"/>
  <c r="H616" i="1"/>
  <c r="I616" i="1"/>
  <c r="J616" i="1"/>
  <c r="B617" i="1"/>
  <c r="C617" i="1"/>
  <c r="D617" i="1"/>
  <c r="E617" i="1"/>
  <c r="F617" i="1"/>
  <c r="G617" i="1"/>
  <c r="H617" i="1"/>
  <c r="I617" i="1"/>
  <c r="J617" i="1"/>
  <c r="B618" i="1"/>
  <c r="C618" i="1"/>
  <c r="D618" i="1"/>
  <c r="E618" i="1"/>
  <c r="F618" i="1"/>
  <c r="G618" i="1"/>
  <c r="H618" i="1"/>
  <c r="I618" i="1"/>
  <c r="J618" i="1"/>
  <c r="B619" i="1"/>
  <c r="C619" i="1"/>
  <c r="D619" i="1"/>
  <c r="E619" i="1"/>
  <c r="F619" i="1"/>
  <c r="G619" i="1"/>
  <c r="H619" i="1"/>
  <c r="I619" i="1"/>
  <c r="J619" i="1"/>
  <c r="B620" i="1"/>
  <c r="C620" i="1"/>
  <c r="D620" i="1"/>
  <c r="E620" i="1"/>
  <c r="F620" i="1"/>
  <c r="G620" i="1"/>
  <c r="H620" i="1"/>
  <c r="I620" i="1"/>
  <c r="J620" i="1"/>
  <c r="B621" i="1"/>
  <c r="C621" i="1"/>
  <c r="D621" i="1"/>
  <c r="E621" i="1"/>
  <c r="F621" i="1"/>
  <c r="G621" i="1"/>
  <c r="H621" i="1"/>
  <c r="I621" i="1"/>
  <c r="J621" i="1"/>
  <c r="B622" i="1"/>
  <c r="C622" i="1"/>
  <c r="D622" i="1"/>
  <c r="E622" i="1"/>
  <c r="F622" i="1"/>
  <c r="G622" i="1"/>
  <c r="H622" i="1"/>
  <c r="I622" i="1"/>
  <c r="J622" i="1"/>
  <c r="B623" i="1"/>
  <c r="C623" i="1"/>
  <c r="D623" i="1"/>
  <c r="E623" i="1"/>
  <c r="F623" i="1"/>
  <c r="G623" i="1"/>
  <c r="H623" i="1"/>
  <c r="I623" i="1"/>
  <c r="J623" i="1"/>
  <c r="B624" i="1"/>
  <c r="C624" i="1"/>
  <c r="D624" i="1"/>
  <c r="E624" i="1"/>
  <c r="F624" i="1"/>
  <c r="G624" i="1"/>
  <c r="H624" i="1"/>
  <c r="I624" i="1"/>
  <c r="J624" i="1"/>
  <c r="B625" i="1"/>
  <c r="C625" i="1"/>
  <c r="D625" i="1"/>
  <c r="E625" i="1"/>
  <c r="F625" i="1"/>
  <c r="G625" i="1"/>
  <c r="H625" i="1"/>
  <c r="I625" i="1"/>
  <c r="J625" i="1"/>
  <c r="B626" i="1"/>
  <c r="C626" i="1"/>
  <c r="D626" i="1"/>
  <c r="E626" i="1"/>
  <c r="F626" i="1"/>
  <c r="G626" i="1"/>
  <c r="H626" i="1"/>
  <c r="I626" i="1"/>
  <c r="J626" i="1"/>
  <c r="B627" i="1"/>
  <c r="C627" i="1"/>
  <c r="D627" i="1"/>
  <c r="E627" i="1"/>
  <c r="F627" i="1"/>
  <c r="G627" i="1"/>
  <c r="H627" i="1"/>
  <c r="I627" i="1"/>
  <c r="J627" i="1"/>
  <c r="B628" i="1"/>
  <c r="C628" i="1"/>
  <c r="D628" i="1"/>
  <c r="E628" i="1"/>
  <c r="F628" i="1"/>
  <c r="G628" i="1"/>
  <c r="H628" i="1"/>
  <c r="I628" i="1"/>
  <c r="J628" i="1"/>
  <c r="B629" i="1"/>
  <c r="C629" i="1"/>
  <c r="D629" i="1"/>
  <c r="E629" i="1"/>
  <c r="F629" i="1"/>
  <c r="G629" i="1"/>
  <c r="H629" i="1"/>
  <c r="I629" i="1"/>
  <c r="J629" i="1"/>
  <c r="B630" i="1"/>
  <c r="C630" i="1"/>
  <c r="D630" i="1"/>
  <c r="E630" i="1"/>
  <c r="F630" i="1"/>
  <c r="G630" i="1"/>
  <c r="H630" i="1"/>
  <c r="I630" i="1"/>
  <c r="J630" i="1"/>
  <c r="B631" i="1"/>
  <c r="C631" i="1"/>
  <c r="D631" i="1"/>
  <c r="E631" i="1"/>
  <c r="F631" i="1"/>
  <c r="G631" i="1"/>
  <c r="H631" i="1"/>
  <c r="I631" i="1"/>
  <c r="J631" i="1"/>
  <c r="B632" i="1"/>
  <c r="C632" i="1"/>
  <c r="D632" i="1"/>
  <c r="E632" i="1"/>
  <c r="F632" i="1"/>
  <c r="G632" i="1"/>
  <c r="H632" i="1"/>
  <c r="I632" i="1"/>
  <c r="J632" i="1"/>
  <c r="B633" i="1"/>
  <c r="C633" i="1"/>
  <c r="D633" i="1"/>
  <c r="E633" i="1"/>
  <c r="F633" i="1"/>
  <c r="G633" i="1"/>
  <c r="H633" i="1"/>
  <c r="I633" i="1"/>
  <c r="J633" i="1"/>
  <c r="B634" i="1"/>
  <c r="C634" i="1"/>
  <c r="D634" i="1"/>
  <c r="E634" i="1"/>
  <c r="F634" i="1"/>
  <c r="G634" i="1"/>
  <c r="H634" i="1"/>
  <c r="I634" i="1"/>
  <c r="J634" i="1"/>
  <c r="B635" i="1"/>
  <c r="C635" i="1"/>
  <c r="D635" i="1"/>
  <c r="E635" i="1"/>
  <c r="F635" i="1"/>
  <c r="G635" i="1"/>
  <c r="H635" i="1"/>
  <c r="I635" i="1"/>
  <c r="J635" i="1"/>
  <c r="B636" i="1"/>
  <c r="C636" i="1"/>
  <c r="D636" i="1"/>
  <c r="E636" i="1"/>
  <c r="F636" i="1"/>
  <c r="G636" i="1"/>
  <c r="H636" i="1"/>
  <c r="I636" i="1"/>
  <c r="J636" i="1"/>
  <c r="B637" i="1"/>
  <c r="C637" i="1"/>
  <c r="D637" i="1"/>
  <c r="E637" i="1"/>
  <c r="F637" i="1"/>
  <c r="G637" i="1"/>
  <c r="H637" i="1"/>
  <c r="I637" i="1"/>
  <c r="J637" i="1"/>
  <c r="B638" i="1"/>
  <c r="C638" i="1"/>
  <c r="D638" i="1"/>
  <c r="E638" i="1"/>
  <c r="F638" i="1"/>
  <c r="G638" i="1"/>
  <c r="H638" i="1"/>
  <c r="I638" i="1"/>
  <c r="J638" i="1"/>
  <c r="B639" i="1"/>
  <c r="C639" i="1"/>
  <c r="D639" i="1"/>
  <c r="E639" i="1"/>
  <c r="F639" i="1"/>
  <c r="G639" i="1"/>
  <c r="H639" i="1"/>
  <c r="I639" i="1"/>
  <c r="J639" i="1"/>
  <c r="B640" i="1"/>
  <c r="C640" i="1"/>
  <c r="D640" i="1"/>
  <c r="E640" i="1"/>
  <c r="F640" i="1"/>
  <c r="G640" i="1"/>
  <c r="H640" i="1"/>
  <c r="I640" i="1"/>
  <c r="J640" i="1"/>
  <c r="B641" i="1"/>
  <c r="C641" i="1"/>
  <c r="D641" i="1"/>
  <c r="E641" i="1"/>
  <c r="F641" i="1"/>
  <c r="G641" i="1"/>
  <c r="H641" i="1"/>
  <c r="I641" i="1"/>
  <c r="J641" i="1"/>
  <c r="B642" i="1"/>
  <c r="C642" i="1"/>
  <c r="D642" i="1"/>
  <c r="E642" i="1"/>
  <c r="F642" i="1"/>
  <c r="G642" i="1"/>
  <c r="H642" i="1"/>
  <c r="I642" i="1"/>
  <c r="J642" i="1"/>
  <c r="B643" i="1"/>
  <c r="C643" i="1"/>
  <c r="D643" i="1"/>
  <c r="E643" i="1"/>
  <c r="F643" i="1"/>
  <c r="G643" i="1"/>
  <c r="H643" i="1"/>
  <c r="I643" i="1"/>
  <c r="J643" i="1"/>
  <c r="B644" i="1"/>
  <c r="C644" i="1"/>
  <c r="D644" i="1"/>
  <c r="E644" i="1"/>
  <c r="F644" i="1"/>
  <c r="G644" i="1"/>
  <c r="H644" i="1"/>
  <c r="I644" i="1"/>
  <c r="J644" i="1"/>
  <c r="B645" i="1"/>
  <c r="C645" i="1"/>
  <c r="D645" i="1"/>
  <c r="E645" i="1"/>
  <c r="F645" i="1"/>
  <c r="G645" i="1"/>
  <c r="H645" i="1"/>
  <c r="I645" i="1"/>
  <c r="J645" i="1"/>
  <c r="B646" i="1"/>
  <c r="C646" i="1"/>
  <c r="D646" i="1"/>
  <c r="E646" i="1"/>
  <c r="F646" i="1"/>
  <c r="G646" i="1"/>
  <c r="H646" i="1"/>
  <c r="I646" i="1"/>
  <c r="J646" i="1"/>
  <c r="B647" i="1"/>
  <c r="C647" i="1"/>
  <c r="D647" i="1"/>
  <c r="E647" i="1"/>
  <c r="F647" i="1"/>
  <c r="G647" i="1"/>
  <c r="H647" i="1"/>
  <c r="I647" i="1"/>
  <c r="J647" i="1"/>
  <c r="B648" i="1"/>
  <c r="C648" i="1"/>
  <c r="D648" i="1"/>
  <c r="E648" i="1"/>
  <c r="F648" i="1"/>
  <c r="G648" i="1"/>
  <c r="H648" i="1"/>
  <c r="I648" i="1"/>
  <c r="J648" i="1"/>
  <c r="B649" i="1"/>
  <c r="C649" i="1"/>
  <c r="D649" i="1"/>
  <c r="E649" i="1"/>
  <c r="F649" i="1"/>
  <c r="G649" i="1"/>
  <c r="H649" i="1"/>
  <c r="I649" i="1"/>
  <c r="J649" i="1"/>
  <c r="B650" i="1"/>
  <c r="C650" i="1"/>
  <c r="D650" i="1"/>
  <c r="E650" i="1"/>
  <c r="F650" i="1"/>
  <c r="G650" i="1"/>
  <c r="H650" i="1"/>
  <c r="I650" i="1"/>
  <c r="J650" i="1"/>
  <c r="B651" i="1"/>
  <c r="C651" i="1"/>
  <c r="D651" i="1"/>
  <c r="E651" i="1"/>
  <c r="F651" i="1"/>
  <c r="G651" i="1"/>
  <c r="H651" i="1"/>
  <c r="I651" i="1"/>
  <c r="J651" i="1"/>
  <c r="B652" i="1"/>
  <c r="C652" i="1"/>
  <c r="D652" i="1"/>
  <c r="E652" i="1"/>
  <c r="F652" i="1"/>
  <c r="G652" i="1"/>
  <c r="H652" i="1"/>
  <c r="I652" i="1"/>
  <c r="J652" i="1"/>
  <c r="B653" i="1"/>
  <c r="C653" i="1"/>
  <c r="D653" i="1"/>
  <c r="E653" i="1"/>
  <c r="F653" i="1"/>
  <c r="G653" i="1"/>
  <c r="H653" i="1"/>
  <c r="I653" i="1"/>
  <c r="J653" i="1"/>
  <c r="B654" i="1"/>
  <c r="C654" i="1"/>
  <c r="D654" i="1"/>
  <c r="E654" i="1"/>
  <c r="F654" i="1"/>
  <c r="G654" i="1"/>
  <c r="H654" i="1"/>
  <c r="I654" i="1"/>
  <c r="J654" i="1"/>
  <c r="B655" i="1"/>
  <c r="C655" i="1"/>
  <c r="D655" i="1"/>
  <c r="E655" i="1"/>
  <c r="F655" i="1"/>
  <c r="G655" i="1"/>
  <c r="H655" i="1"/>
  <c r="I655" i="1"/>
  <c r="J655" i="1"/>
  <c r="B656" i="1"/>
  <c r="C656" i="1"/>
  <c r="D656" i="1"/>
  <c r="E656" i="1"/>
  <c r="F656" i="1"/>
  <c r="G656" i="1"/>
  <c r="H656" i="1"/>
  <c r="I656" i="1"/>
  <c r="J656" i="1"/>
  <c r="B657" i="1"/>
  <c r="C657" i="1"/>
  <c r="D657" i="1"/>
  <c r="E657" i="1"/>
  <c r="F657" i="1"/>
  <c r="G657" i="1"/>
  <c r="H657" i="1"/>
  <c r="I657" i="1"/>
  <c r="J657" i="1"/>
  <c r="B658" i="1"/>
  <c r="C658" i="1"/>
  <c r="D658" i="1"/>
  <c r="E658" i="1"/>
  <c r="F658" i="1"/>
  <c r="G658" i="1"/>
  <c r="H658" i="1"/>
  <c r="I658" i="1"/>
  <c r="J658" i="1"/>
  <c r="B659" i="1"/>
  <c r="C659" i="1"/>
  <c r="D659" i="1"/>
  <c r="E659" i="1"/>
  <c r="F659" i="1"/>
  <c r="G659" i="1"/>
  <c r="H659" i="1"/>
  <c r="I659" i="1"/>
  <c r="J659" i="1"/>
  <c r="B660" i="1"/>
  <c r="C660" i="1"/>
  <c r="D660" i="1"/>
  <c r="E660" i="1"/>
  <c r="F660" i="1"/>
  <c r="G660" i="1"/>
  <c r="H660" i="1"/>
  <c r="I660" i="1"/>
  <c r="J660" i="1"/>
  <c r="B661" i="1"/>
  <c r="C661" i="1"/>
  <c r="D661" i="1"/>
  <c r="E661" i="1"/>
  <c r="F661" i="1"/>
  <c r="G661" i="1"/>
  <c r="H661" i="1"/>
  <c r="I661" i="1"/>
  <c r="J661" i="1"/>
  <c r="B662" i="1"/>
  <c r="C662" i="1"/>
  <c r="D662" i="1"/>
  <c r="E662" i="1"/>
  <c r="F662" i="1"/>
  <c r="G662" i="1"/>
  <c r="H662" i="1"/>
  <c r="I662" i="1"/>
  <c r="J662" i="1"/>
  <c r="B663" i="1"/>
  <c r="C663" i="1"/>
  <c r="D663" i="1"/>
  <c r="E663" i="1"/>
  <c r="F663" i="1"/>
  <c r="G663" i="1"/>
  <c r="H663" i="1"/>
  <c r="I663" i="1"/>
  <c r="J663" i="1"/>
  <c r="B664" i="1"/>
  <c r="C664" i="1"/>
  <c r="D664" i="1"/>
  <c r="E664" i="1"/>
  <c r="F664" i="1"/>
  <c r="G664" i="1"/>
  <c r="H664" i="1"/>
  <c r="I664" i="1"/>
  <c r="J664" i="1"/>
  <c r="B665" i="1"/>
  <c r="C665" i="1"/>
  <c r="D665" i="1"/>
  <c r="E665" i="1"/>
  <c r="F665" i="1"/>
  <c r="G665" i="1"/>
  <c r="H665" i="1"/>
  <c r="I665" i="1"/>
  <c r="J665" i="1"/>
  <c r="B666" i="1"/>
  <c r="C666" i="1"/>
  <c r="D666" i="1"/>
  <c r="E666" i="1"/>
  <c r="F666" i="1"/>
  <c r="G666" i="1"/>
  <c r="H666" i="1"/>
  <c r="I666" i="1"/>
  <c r="J666" i="1"/>
  <c r="B667" i="1"/>
  <c r="C667" i="1"/>
  <c r="D667" i="1"/>
  <c r="E667" i="1"/>
  <c r="F667" i="1"/>
  <c r="G667" i="1"/>
  <c r="H667" i="1"/>
  <c r="I667" i="1"/>
  <c r="J667" i="1"/>
  <c r="B668" i="1"/>
  <c r="C668" i="1"/>
  <c r="D668" i="1"/>
  <c r="E668" i="1"/>
  <c r="F668" i="1"/>
  <c r="G668" i="1"/>
  <c r="H668" i="1"/>
  <c r="I668" i="1"/>
  <c r="J668" i="1"/>
  <c r="B669" i="1"/>
  <c r="C669" i="1"/>
  <c r="D669" i="1"/>
  <c r="E669" i="1"/>
  <c r="F669" i="1"/>
  <c r="G669" i="1"/>
  <c r="H669" i="1"/>
  <c r="I669" i="1"/>
  <c r="J669" i="1"/>
  <c r="B670" i="1"/>
  <c r="C670" i="1"/>
  <c r="D670" i="1"/>
  <c r="E670" i="1"/>
  <c r="F670" i="1"/>
  <c r="G670" i="1"/>
  <c r="H670" i="1"/>
  <c r="I670" i="1"/>
  <c r="J670" i="1"/>
  <c r="B671" i="1"/>
  <c r="C671" i="1"/>
  <c r="D671" i="1"/>
  <c r="E671" i="1"/>
  <c r="F671" i="1"/>
  <c r="G671" i="1"/>
  <c r="H671" i="1"/>
  <c r="I671" i="1"/>
  <c r="J671" i="1"/>
  <c r="B672" i="1"/>
  <c r="C672" i="1"/>
  <c r="D672" i="1"/>
  <c r="E672" i="1"/>
  <c r="F672" i="1"/>
  <c r="G672" i="1"/>
  <c r="H672" i="1"/>
  <c r="I672" i="1"/>
  <c r="J672" i="1"/>
  <c r="B673" i="1"/>
  <c r="C673" i="1"/>
  <c r="D673" i="1"/>
  <c r="E673" i="1"/>
  <c r="F673" i="1"/>
  <c r="G673" i="1"/>
  <c r="H673" i="1"/>
  <c r="I673" i="1"/>
  <c r="J673" i="1"/>
  <c r="B674" i="1"/>
  <c r="C674" i="1"/>
  <c r="D674" i="1"/>
  <c r="E674" i="1"/>
  <c r="F674" i="1"/>
  <c r="G674" i="1"/>
  <c r="H674" i="1"/>
  <c r="I674" i="1"/>
  <c r="J674" i="1"/>
  <c r="B675" i="1"/>
  <c r="C675" i="1"/>
  <c r="D675" i="1"/>
  <c r="E675" i="1"/>
  <c r="F675" i="1"/>
  <c r="G675" i="1"/>
  <c r="H675" i="1"/>
  <c r="I675" i="1"/>
  <c r="J675" i="1"/>
  <c r="B676" i="1"/>
  <c r="C676" i="1"/>
  <c r="D676" i="1"/>
  <c r="E676" i="1"/>
  <c r="F676" i="1"/>
  <c r="G676" i="1"/>
  <c r="H676" i="1"/>
  <c r="I676" i="1"/>
  <c r="J676" i="1"/>
  <c r="B677" i="1"/>
  <c r="C677" i="1"/>
  <c r="D677" i="1"/>
  <c r="E677" i="1"/>
  <c r="F677" i="1"/>
  <c r="G677" i="1"/>
  <c r="H677" i="1"/>
  <c r="I677" i="1"/>
  <c r="J677" i="1"/>
  <c r="B678" i="1"/>
  <c r="C678" i="1"/>
  <c r="D678" i="1"/>
  <c r="E678" i="1"/>
  <c r="F678" i="1"/>
  <c r="G678" i="1"/>
  <c r="H678" i="1"/>
  <c r="I678" i="1"/>
  <c r="J678" i="1"/>
  <c r="B679" i="1"/>
  <c r="C679" i="1"/>
  <c r="D679" i="1"/>
  <c r="E679" i="1"/>
  <c r="F679" i="1"/>
  <c r="G679" i="1"/>
  <c r="H679" i="1"/>
  <c r="I679" i="1"/>
  <c r="J679" i="1"/>
  <c r="B680" i="1"/>
  <c r="C680" i="1"/>
  <c r="D680" i="1"/>
  <c r="E680" i="1"/>
  <c r="F680" i="1"/>
  <c r="G680" i="1"/>
  <c r="H680" i="1"/>
  <c r="I680" i="1"/>
  <c r="J680" i="1"/>
  <c r="B681" i="1"/>
  <c r="C681" i="1"/>
  <c r="D681" i="1"/>
  <c r="E681" i="1"/>
  <c r="F681" i="1"/>
  <c r="G681" i="1"/>
  <c r="H681" i="1"/>
  <c r="I681" i="1"/>
  <c r="J681" i="1"/>
  <c r="B682" i="1"/>
  <c r="C682" i="1"/>
  <c r="D682" i="1"/>
  <c r="E682" i="1"/>
  <c r="F682" i="1"/>
  <c r="G682" i="1"/>
  <c r="H682" i="1"/>
  <c r="I682" i="1"/>
  <c r="J682" i="1"/>
  <c r="B683" i="1"/>
  <c r="C683" i="1"/>
  <c r="D683" i="1"/>
  <c r="E683" i="1"/>
  <c r="F683" i="1"/>
  <c r="G683" i="1"/>
  <c r="H683" i="1"/>
  <c r="I683" i="1"/>
  <c r="J683" i="1"/>
  <c r="B684" i="1"/>
  <c r="C684" i="1"/>
  <c r="D684" i="1"/>
  <c r="E684" i="1"/>
  <c r="F684" i="1"/>
  <c r="G684" i="1"/>
  <c r="H684" i="1"/>
  <c r="I684" i="1"/>
  <c r="J684" i="1"/>
  <c r="B685" i="1"/>
  <c r="C685" i="1"/>
  <c r="D685" i="1"/>
  <c r="E685" i="1"/>
  <c r="F685" i="1"/>
  <c r="G685" i="1"/>
  <c r="H685" i="1"/>
  <c r="I685" i="1"/>
  <c r="J685" i="1"/>
  <c r="B686" i="1"/>
  <c r="C686" i="1"/>
  <c r="D686" i="1"/>
  <c r="E686" i="1"/>
  <c r="F686" i="1"/>
  <c r="G686" i="1"/>
  <c r="H686" i="1"/>
  <c r="I686" i="1"/>
  <c r="J686" i="1"/>
  <c r="B687" i="1"/>
  <c r="C687" i="1"/>
  <c r="D687" i="1"/>
  <c r="E687" i="1"/>
  <c r="F687" i="1"/>
  <c r="G687" i="1"/>
  <c r="H687" i="1"/>
  <c r="I687" i="1"/>
  <c r="J687" i="1"/>
  <c r="B688" i="1"/>
  <c r="C688" i="1"/>
  <c r="D688" i="1"/>
  <c r="E688" i="1"/>
  <c r="F688" i="1"/>
  <c r="G688" i="1"/>
  <c r="H688" i="1"/>
  <c r="I688" i="1"/>
  <c r="J688" i="1"/>
  <c r="B689" i="1"/>
  <c r="C689" i="1"/>
  <c r="D689" i="1"/>
  <c r="E689" i="1"/>
  <c r="F689" i="1"/>
  <c r="G689" i="1"/>
  <c r="H689" i="1"/>
  <c r="I689" i="1"/>
  <c r="J689" i="1"/>
  <c r="B690" i="1"/>
  <c r="C690" i="1"/>
  <c r="D690" i="1"/>
  <c r="E690" i="1"/>
  <c r="F690" i="1"/>
  <c r="G690" i="1"/>
  <c r="H690" i="1"/>
  <c r="I690" i="1"/>
  <c r="J690" i="1"/>
  <c r="B691" i="1"/>
  <c r="C691" i="1"/>
  <c r="D691" i="1"/>
  <c r="E691" i="1"/>
  <c r="F691" i="1"/>
  <c r="G691" i="1"/>
  <c r="H691" i="1"/>
  <c r="I691" i="1"/>
  <c r="J691" i="1"/>
  <c r="B692" i="1"/>
  <c r="C692" i="1"/>
  <c r="D692" i="1"/>
  <c r="E692" i="1"/>
  <c r="F692" i="1"/>
  <c r="G692" i="1"/>
  <c r="H692" i="1"/>
  <c r="I692" i="1"/>
  <c r="J692" i="1"/>
  <c r="B693" i="1"/>
  <c r="C693" i="1"/>
  <c r="D693" i="1"/>
  <c r="E693" i="1"/>
  <c r="F693" i="1"/>
  <c r="G693" i="1"/>
  <c r="H693" i="1"/>
  <c r="I693" i="1"/>
  <c r="J693" i="1"/>
  <c r="B694" i="1"/>
  <c r="C694" i="1"/>
  <c r="D694" i="1"/>
  <c r="E694" i="1"/>
  <c r="F694" i="1"/>
  <c r="G694" i="1"/>
  <c r="H694" i="1"/>
  <c r="I694" i="1"/>
  <c r="J694" i="1"/>
  <c r="B695" i="1"/>
  <c r="C695" i="1"/>
  <c r="D695" i="1"/>
  <c r="E695" i="1"/>
  <c r="F695" i="1"/>
  <c r="G695" i="1"/>
  <c r="H695" i="1"/>
  <c r="I695" i="1"/>
  <c r="J695" i="1"/>
  <c r="B696" i="1"/>
  <c r="C696" i="1"/>
  <c r="D696" i="1"/>
  <c r="E696" i="1"/>
  <c r="F696" i="1"/>
  <c r="G696" i="1"/>
  <c r="H696" i="1"/>
  <c r="I696" i="1"/>
  <c r="J696" i="1"/>
  <c r="B697" i="1"/>
  <c r="C697" i="1"/>
  <c r="D697" i="1"/>
  <c r="E697" i="1"/>
  <c r="F697" i="1"/>
  <c r="G697" i="1"/>
  <c r="H697" i="1"/>
  <c r="I697" i="1"/>
  <c r="J697" i="1"/>
  <c r="B698" i="1"/>
  <c r="C698" i="1"/>
  <c r="D698" i="1"/>
  <c r="E698" i="1"/>
  <c r="F698" i="1"/>
  <c r="G698" i="1"/>
  <c r="H698" i="1"/>
  <c r="I698" i="1"/>
  <c r="J698" i="1"/>
  <c r="B699" i="1"/>
  <c r="C699" i="1"/>
  <c r="D699" i="1"/>
  <c r="E699" i="1"/>
  <c r="F699" i="1"/>
  <c r="G699" i="1"/>
  <c r="H699" i="1"/>
  <c r="I699" i="1"/>
  <c r="J699" i="1"/>
  <c r="B700" i="1"/>
  <c r="C700" i="1"/>
  <c r="D700" i="1"/>
  <c r="E700" i="1"/>
  <c r="F700" i="1"/>
  <c r="G700" i="1"/>
  <c r="H700" i="1"/>
  <c r="I700" i="1"/>
  <c r="J700" i="1"/>
  <c r="B701" i="1"/>
  <c r="C701" i="1"/>
  <c r="D701" i="1"/>
  <c r="E701" i="1"/>
  <c r="F701" i="1"/>
  <c r="G701" i="1"/>
  <c r="H701" i="1"/>
  <c r="I701" i="1"/>
  <c r="J701" i="1"/>
  <c r="B702" i="1"/>
  <c r="C702" i="1"/>
  <c r="D702" i="1"/>
  <c r="E702" i="1"/>
  <c r="F702" i="1"/>
  <c r="G702" i="1"/>
  <c r="H702" i="1"/>
  <c r="I702" i="1"/>
  <c r="J702" i="1"/>
  <c r="B703" i="1"/>
  <c r="C703" i="1"/>
  <c r="D703" i="1"/>
  <c r="E703" i="1"/>
  <c r="F703" i="1"/>
  <c r="G703" i="1"/>
  <c r="H703" i="1"/>
  <c r="I703" i="1"/>
  <c r="J703" i="1"/>
  <c r="B704" i="1"/>
  <c r="C704" i="1"/>
  <c r="D704" i="1"/>
  <c r="E704" i="1"/>
  <c r="F704" i="1"/>
  <c r="G704" i="1"/>
  <c r="H704" i="1"/>
  <c r="I704" i="1"/>
  <c r="J704" i="1"/>
  <c r="B705" i="1"/>
  <c r="C705" i="1"/>
  <c r="D705" i="1"/>
  <c r="E705" i="1"/>
  <c r="F705" i="1"/>
  <c r="G705" i="1"/>
  <c r="H705" i="1"/>
  <c r="I705" i="1"/>
  <c r="J705" i="1"/>
  <c r="B706" i="1"/>
  <c r="C706" i="1"/>
  <c r="D706" i="1"/>
  <c r="E706" i="1"/>
  <c r="F706" i="1"/>
  <c r="G706" i="1"/>
  <c r="H706" i="1"/>
  <c r="I706" i="1"/>
  <c r="J706" i="1"/>
  <c r="B707" i="1"/>
  <c r="C707" i="1"/>
  <c r="D707" i="1"/>
  <c r="E707" i="1"/>
  <c r="F707" i="1"/>
  <c r="G707" i="1"/>
  <c r="H707" i="1"/>
  <c r="I707" i="1"/>
  <c r="J707" i="1"/>
  <c r="B708" i="1"/>
  <c r="C708" i="1"/>
  <c r="D708" i="1"/>
  <c r="E708" i="1"/>
  <c r="F708" i="1"/>
  <c r="G708" i="1"/>
  <c r="H708" i="1"/>
  <c r="I708" i="1"/>
  <c r="J708" i="1"/>
  <c r="B709" i="1"/>
  <c r="C709" i="1"/>
  <c r="D709" i="1"/>
  <c r="E709" i="1"/>
  <c r="F709" i="1"/>
  <c r="G709" i="1"/>
  <c r="H709" i="1"/>
  <c r="I709" i="1"/>
  <c r="J709" i="1"/>
  <c r="B710" i="1"/>
  <c r="C710" i="1"/>
  <c r="D710" i="1"/>
  <c r="E710" i="1"/>
  <c r="F710" i="1"/>
  <c r="G710" i="1"/>
  <c r="H710" i="1"/>
  <c r="I710" i="1"/>
  <c r="J710" i="1"/>
  <c r="B711" i="1"/>
  <c r="C711" i="1"/>
  <c r="D711" i="1"/>
  <c r="E711" i="1"/>
  <c r="F711" i="1"/>
  <c r="G711" i="1"/>
  <c r="H711" i="1"/>
  <c r="I711" i="1"/>
  <c r="J711" i="1"/>
  <c r="B712" i="1"/>
  <c r="C712" i="1"/>
  <c r="D712" i="1"/>
  <c r="E712" i="1"/>
  <c r="F712" i="1"/>
  <c r="G712" i="1"/>
  <c r="H712" i="1"/>
  <c r="I712" i="1"/>
  <c r="J712" i="1"/>
  <c r="B713" i="1"/>
  <c r="C713" i="1"/>
  <c r="D713" i="1"/>
  <c r="E713" i="1"/>
  <c r="F713" i="1"/>
  <c r="G713" i="1"/>
  <c r="H713" i="1"/>
  <c r="I713" i="1"/>
  <c r="J713" i="1"/>
  <c r="B714" i="1"/>
  <c r="C714" i="1"/>
  <c r="D714" i="1"/>
  <c r="E714" i="1"/>
  <c r="F714" i="1"/>
  <c r="G714" i="1"/>
  <c r="H714" i="1"/>
  <c r="I714" i="1"/>
  <c r="J714" i="1"/>
  <c r="B715" i="1"/>
  <c r="C715" i="1"/>
  <c r="D715" i="1"/>
  <c r="E715" i="1"/>
  <c r="F715" i="1"/>
  <c r="G715" i="1"/>
  <c r="H715" i="1"/>
  <c r="I715" i="1"/>
  <c r="J715" i="1"/>
  <c r="B716" i="1"/>
  <c r="C716" i="1"/>
  <c r="D716" i="1"/>
  <c r="E716" i="1"/>
  <c r="F716" i="1"/>
  <c r="G716" i="1"/>
  <c r="H716" i="1"/>
  <c r="I716" i="1"/>
  <c r="J716" i="1"/>
  <c r="B717" i="1"/>
  <c r="C717" i="1"/>
  <c r="D717" i="1"/>
  <c r="E717" i="1"/>
  <c r="F717" i="1"/>
  <c r="G717" i="1"/>
  <c r="H717" i="1"/>
  <c r="I717" i="1"/>
  <c r="J717" i="1"/>
  <c r="B718" i="1"/>
  <c r="C718" i="1"/>
  <c r="D718" i="1"/>
  <c r="E718" i="1"/>
  <c r="F718" i="1"/>
  <c r="G718" i="1"/>
  <c r="H718" i="1"/>
  <c r="I718" i="1"/>
  <c r="J718" i="1"/>
  <c r="B719" i="1"/>
  <c r="C719" i="1"/>
  <c r="D719" i="1"/>
  <c r="E719" i="1"/>
  <c r="F719" i="1"/>
  <c r="G719" i="1"/>
  <c r="H719" i="1"/>
  <c r="I719" i="1"/>
  <c r="J719" i="1"/>
  <c r="B720" i="1"/>
  <c r="C720" i="1"/>
  <c r="D720" i="1"/>
  <c r="E720" i="1"/>
  <c r="F720" i="1"/>
  <c r="G720" i="1"/>
  <c r="H720" i="1"/>
  <c r="I720" i="1"/>
  <c r="J720" i="1"/>
  <c r="B721" i="1"/>
  <c r="C721" i="1"/>
  <c r="D721" i="1"/>
  <c r="E721" i="1"/>
  <c r="F721" i="1"/>
  <c r="G721" i="1"/>
  <c r="H721" i="1"/>
  <c r="I721" i="1"/>
  <c r="J721" i="1"/>
  <c r="B722" i="1"/>
  <c r="C722" i="1"/>
  <c r="D722" i="1"/>
  <c r="E722" i="1"/>
  <c r="F722" i="1"/>
  <c r="G722" i="1"/>
  <c r="H722" i="1"/>
  <c r="I722" i="1"/>
  <c r="J722" i="1"/>
  <c r="B723" i="1"/>
  <c r="C723" i="1"/>
  <c r="D723" i="1"/>
  <c r="E723" i="1"/>
  <c r="F723" i="1"/>
  <c r="G723" i="1"/>
  <c r="H723" i="1"/>
  <c r="I723" i="1"/>
  <c r="J723" i="1"/>
  <c r="B724" i="1"/>
  <c r="C724" i="1"/>
  <c r="D724" i="1"/>
  <c r="E724" i="1"/>
  <c r="F724" i="1"/>
  <c r="G724" i="1"/>
  <c r="H724" i="1"/>
  <c r="I724" i="1"/>
  <c r="J724" i="1"/>
  <c r="B725" i="1"/>
  <c r="C725" i="1"/>
  <c r="D725" i="1"/>
  <c r="E725" i="1"/>
  <c r="F725" i="1"/>
  <c r="G725" i="1"/>
  <c r="H725" i="1"/>
  <c r="I725" i="1"/>
  <c r="J725" i="1"/>
  <c r="B726" i="1"/>
  <c r="C726" i="1"/>
  <c r="D726" i="1"/>
  <c r="E726" i="1"/>
  <c r="F726" i="1"/>
  <c r="G726" i="1"/>
  <c r="H726" i="1"/>
  <c r="I726" i="1"/>
  <c r="J726" i="1"/>
  <c r="B727" i="1"/>
  <c r="C727" i="1"/>
  <c r="D727" i="1"/>
  <c r="E727" i="1"/>
  <c r="F727" i="1"/>
  <c r="G727" i="1"/>
  <c r="H727" i="1"/>
  <c r="I727" i="1"/>
  <c r="J727" i="1"/>
  <c r="B728" i="1"/>
  <c r="C728" i="1"/>
  <c r="D728" i="1"/>
  <c r="E728" i="1"/>
  <c r="F728" i="1"/>
  <c r="G728" i="1"/>
  <c r="H728" i="1"/>
  <c r="I728" i="1"/>
  <c r="J728" i="1"/>
  <c r="B729" i="1"/>
  <c r="C729" i="1"/>
  <c r="D729" i="1"/>
  <c r="E729" i="1"/>
  <c r="F729" i="1"/>
  <c r="G729" i="1"/>
  <c r="H729" i="1"/>
  <c r="I729" i="1"/>
  <c r="J729" i="1"/>
  <c r="B730" i="1"/>
  <c r="C730" i="1"/>
  <c r="D730" i="1"/>
  <c r="E730" i="1"/>
  <c r="F730" i="1"/>
  <c r="G730" i="1"/>
  <c r="H730" i="1"/>
  <c r="I730" i="1"/>
  <c r="J730" i="1"/>
  <c r="B731" i="1"/>
  <c r="C731" i="1"/>
  <c r="D731" i="1"/>
  <c r="E731" i="1"/>
  <c r="F731" i="1"/>
  <c r="G731" i="1"/>
  <c r="H731" i="1"/>
  <c r="I731" i="1"/>
  <c r="J731" i="1"/>
  <c r="B732" i="1"/>
  <c r="C732" i="1"/>
  <c r="D732" i="1"/>
  <c r="E732" i="1"/>
  <c r="F732" i="1"/>
  <c r="G732" i="1"/>
  <c r="H732" i="1"/>
  <c r="I732" i="1"/>
  <c r="J732" i="1"/>
  <c r="B733" i="1"/>
  <c r="C733" i="1"/>
  <c r="D733" i="1"/>
  <c r="E733" i="1"/>
  <c r="F733" i="1"/>
  <c r="G733" i="1"/>
  <c r="H733" i="1"/>
  <c r="I733" i="1"/>
  <c r="J733" i="1"/>
  <c r="B734" i="1"/>
  <c r="C734" i="1"/>
  <c r="D734" i="1"/>
  <c r="E734" i="1"/>
  <c r="F734" i="1"/>
  <c r="G734" i="1"/>
  <c r="H734" i="1"/>
  <c r="I734" i="1"/>
  <c r="J734" i="1"/>
  <c r="B735" i="1"/>
  <c r="C735" i="1"/>
  <c r="D735" i="1"/>
  <c r="E735" i="1"/>
  <c r="F735" i="1"/>
  <c r="G735" i="1"/>
  <c r="H735" i="1"/>
  <c r="I735" i="1"/>
  <c r="J735" i="1"/>
  <c r="B736" i="1"/>
  <c r="C736" i="1"/>
  <c r="D736" i="1"/>
  <c r="E736" i="1"/>
  <c r="F736" i="1"/>
  <c r="G736" i="1"/>
  <c r="H736" i="1"/>
  <c r="I736" i="1"/>
  <c r="J736" i="1"/>
  <c r="B737" i="1"/>
  <c r="C737" i="1"/>
  <c r="D737" i="1"/>
  <c r="E737" i="1"/>
  <c r="F737" i="1"/>
  <c r="G737" i="1"/>
  <c r="H737" i="1"/>
  <c r="I737" i="1"/>
  <c r="J737" i="1"/>
  <c r="B738" i="1"/>
  <c r="C738" i="1"/>
  <c r="D738" i="1"/>
  <c r="E738" i="1"/>
  <c r="F738" i="1"/>
  <c r="G738" i="1"/>
  <c r="H738" i="1"/>
  <c r="I738" i="1"/>
  <c r="J738" i="1"/>
  <c r="B739" i="1"/>
  <c r="C739" i="1"/>
  <c r="D739" i="1"/>
  <c r="E739" i="1"/>
  <c r="F739" i="1"/>
  <c r="G739" i="1"/>
  <c r="H739" i="1"/>
  <c r="I739" i="1"/>
  <c r="J739" i="1"/>
  <c r="B740" i="1"/>
  <c r="C740" i="1"/>
  <c r="D740" i="1"/>
  <c r="E740" i="1"/>
  <c r="F740" i="1"/>
  <c r="G740" i="1"/>
  <c r="H740" i="1"/>
  <c r="I740" i="1"/>
  <c r="J740" i="1"/>
  <c r="B741" i="1"/>
  <c r="C741" i="1"/>
  <c r="D741" i="1"/>
  <c r="E741" i="1"/>
  <c r="F741" i="1"/>
  <c r="G741" i="1"/>
  <c r="H741" i="1"/>
  <c r="I741" i="1"/>
  <c r="J741" i="1"/>
  <c r="B742" i="1"/>
  <c r="C742" i="1"/>
  <c r="D742" i="1"/>
  <c r="E742" i="1"/>
  <c r="F742" i="1"/>
  <c r="G742" i="1"/>
  <c r="H742" i="1"/>
  <c r="I742" i="1"/>
  <c r="J742" i="1"/>
  <c r="B743" i="1"/>
  <c r="C743" i="1"/>
  <c r="D743" i="1"/>
  <c r="E743" i="1"/>
  <c r="F743" i="1"/>
  <c r="G743" i="1"/>
  <c r="H743" i="1"/>
  <c r="I743" i="1"/>
  <c r="J743" i="1"/>
  <c r="B744" i="1"/>
  <c r="C744" i="1"/>
  <c r="D744" i="1"/>
  <c r="E744" i="1"/>
  <c r="F744" i="1"/>
  <c r="G744" i="1"/>
  <c r="H744" i="1"/>
  <c r="I744" i="1"/>
  <c r="J744" i="1"/>
  <c r="B745" i="1"/>
  <c r="C745" i="1"/>
  <c r="D745" i="1"/>
  <c r="E745" i="1"/>
  <c r="F745" i="1"/>
  <c r="G745" i="1"/>
  <c r="H745" i="1"/>
  <c r="I745" i="1"/>
  <c r="J745" i="1"/>
  <c r="B746" i="1"/>
  <c r="C746" i="1"/>
  <c r="D746" i="1"/>
  <c r="E746" i="1"/>
  <c r="F746" i="1"/>
  <c r="G746" i="1"/>
  <c r="H746" i="1"/>
  <c r="I746" i="1"/>
  <c r="J746" i="1"/>
  <c r="B747" i="1"/>
  <c r="C747" i="1"/>
  <c r="D747" i="1"/>
  <c r="E747" i="1"/>
  <c r="F747" i="1"/>
  <c r="G747" i="1"/>
  <c r="H747" i="1"/>
  <c r="I747" i="1"/>
  <c r="J747" i="1"/>
  <c r="B748" i="1"/>
  <c r="C748" i="1"/>
  <c r="D748" i="1"/>
  <c r="E748" i="1"/>
  <c r="F748" i="1"/>
  <c r="G748" i="1"/>
  <c r="H748" i="1"/>
  <c r="I748" i="1"/>
  <c r="J748" i="1"/>
  <c r="B749" i="1"/>
  <c r="C749" i="1"/>
  <c r="D749" i="1"/>
  <c r="E749" i="1"/>
  <c r="F749" i="1"/>
  <c r="G749" i="1"/>
  <c r="H749" i="1"/>
  <c r="I749" i="1"/>
  <c r="J749" i="1"/>
  <c r="B750" i="1"/>
  <c r="C750" i="1"/>
  <c r="D750" i="1"/>
  <c r="E750" i="1"/>
  <c r="F750" i="1"/>
  <c r="G750" i="1"/>
  <c r="H750" i="1"/>
  <c r="I750" i="1"/>
  <c r="J750" i="1"/>
  <c r="B751" i="1"/>
  <c r="C751" i="1"/>
  <c r="D751" i="1"/>
  <c r="E751" i="1"/>
  <c r="F751" i="1"/>
  <c r="G751" i="1"/>
  <c r="H751" i="1"/>
  <c r="I751" i="1"/>
  <c r="J751" i="1"/>
  <c r="B752" i="1"/>
  <c r="C752" i="1"/>
  <c r="D752" i="1"/>
  <c r="E752" i="1"/>
  <c r="F752" i="1"/>
  <c r="G752" i="1"/>
  <c r="H752" i="1"/>
  <c r="I752" i="1"/>
  <c r="J752" i="1"/>
  <c r="B753" i="1"/>
  <c r="C753" i="1"/>
  <c r="D753" i="1"/>
  <c r="E753" i="1"/>
  <c r="F753" i="1"/>
  <c r="G753" i="1"/>
  <c r="H753" i="1"/>
  <c r="I753" i="1"/>
  <c r="J753" i="1"/>
  <c r="B754" i="1"/>
  <c r="C754" i="1"/>
  <c r="D754" i="1"/>
  <c r="E754" i="1"/>
  <c r="F754" i="1"/>
  <c r="G754" i="1"/>
  <c r="H754" i="1"/>
  <c r="I754" i="1"/>
  <c r="J754" i="1"/>
  <c r="B755" i="1"/>
  <c r="C755" i="1"/>
  <c r="D755" i="1"/>
  <c r="E755" i="1"/>
  <c r="F755" i="1"/>
  <c r="G755" i="1"/>
  <c r="H755" i="1"/>
  <c r="I755" i="1"/>
  <c r="J755" i="1"/>
  <c r="B756" i="1"/>
  <c r="C756" i="1"/>
  <c r="D756" i="1"/>
  <c r="E756" i="1"/>
  <c r="F756" i="1"/>
  <c r="G756" i="1"/>
  <c r="H756" i="1"/>
  <c r="I756" i="1"/>
  <c r="J756" i="1"/>
  <c r="B757" i="1"/>
  <c r="C757" i="1"/>
  <c r="D757" i="1"/>
  <c r="E757" i="1"/>
  <c r="F757" i="1"/>
  <c r="G757" i="1"/>
  <c r="H757" i="1"/>
  <c r="I757" i="1"/>
  <c r="J757" i="1"/>
  <c r="B758" i="1"/>
  <c r="C758" i="1"/>
  <c r="D758" i="1"/>
  <c r="E758" i="1"/>
  <c r="F758" i="1"/>
  <c r="G758" i="1"/>
  <c r="H758" i="1"/>
  <c r="I758" i="1"/>
  <c r="J758" i="1"/>
  <c r="B759" i="1"/>
  <c r="C759" i="1"/>
  <c r="D759" i="1"/>
  <c r="E759" i="1"/>
  <c r="F759" i="1"/>
  <c r="G759" i="1"/>
  <c r="H759" i="1"/>
  <c r="I759" i="1"/>
  <c r="J759" i="1"/>
  <c r="B760" i="1"/>
  <c r="C760" i="1"/>
  <c r="D760" i="1"/>
  <c r="E760" i="1"/>
  <c r="F760" i="1"/>
  <c r="G760" i="1"/>
  <c r="H760" i="1"/>
  <c r="I760" i="1"/>
  <c r="J760" i="1"/>
  <c r="B761" i="1"/>
  <c r="C761" i="1"/>
  <c r="D761" i="1"/>
  <c r="E761" i="1"/>
  <c r="F761" i="1"/>
  <c r="G761" i="1"/>
  <c r="H761" i="1"/>
  <c r="I761" i="1"/>
  <c r="J761" i="1"/>
  <c r="B762" i="1"/>
  <c r="C762" i="1"/>
  <c r="D762" i="1"/>
  <c r="E762" i="1"/>
  <c r="F762" i="1"/>
  <c r="G762" i="1"/>
  <c r="H762" i="1"/>
  <c r="I762" i="1"/>
  <c r="J762" i="1"/>
  <c r="B763" i="1"/>
  <c r="C763" i="1"/>
  <c r="D763" i="1"/>
  <c r="E763" i="1"/>
  <c r="F763" i="1"/>
  <c r="G763" i="1"/>
  <c r="H763" i="1"/>
  <c r="I763" i="1"/>
  <c r="J763" i="1"/>
  <c r="B764" i="1"/>
  <c r="C764" i="1"/>
  <c r="D764" i="1"/>
  <c r="E764" i="1"/>
  <c r="F764" i="1"/>
  <c r="G764" i="1"/>
  <c r="H764" i="1"/>
  <c r="I764" i="1"/>
  <c r="J764" i="1"/>
  <c r="B765" i="1"/>
  <c r="C765" i="1"/>
  <c r="D765" i="1"/>
  <c r="E765" i="1"/>
  <c r="F765" i="1"/>
  <c r="G765" i="1"/>
  <c r="H765" i="1"/>
  <c r="I765" i="1"/>
  <c r="J765" i="1"/>
  <c r="B766" i="1"/>
  <c r="C766" i="1"/>
  <c r="D766" i="1"/>
  <c r="E766" i="1"/>
  <c r="F766" i="1"/>
  <c r="G766" i="1"/>
  <c r="H766" i="1"/>
  <c r="I766" i="1"/>
  <c r="J766" i="1"/>
  <c r="B767" i="1"/>
  <c r="C767" i="1"/>
  <c r="D767" i="1"/>
  <c r="E767" i="1"/>
  <c r="F767" i="1"/>
  <c r="G767" i="1"/>
  <c r="H767" i="1"/>
  <c r="I767" i="1"/>
  <c r="J767" i="1"/>
  <c r="B768" i="1"/>
  <c r="C768" i="1"/>
  <c r="D768" i="1"/>
  <c r="E768" i="1"/>
  <c r="F768" i="1"/>
  <c r="G768" i="1"/>
  <c r="H768" i="1"/>
  <c r="I768" i="1"/>
  <c r="J768" i="1"/>
  <c r="B769" i="1"/>
  <c r="C769" i="1"/>
  <c r="D769" i="1"/>
  <c r="E769" i="1"/>
  <c r="F769" i="1"/>
  <c r="G769" i="1"/>
  <c r="H769" i="1"/>
  <c r="I769" i="1"/>
  <c r="J769" i="1"/>
  <c r="B770" i="1"/>
  <c r="C770" i="1"/>
  <c r="D770" i="1"/>
  <c r="E770" i="1"/>
  <c r="F770" i="1"/>
  <c r="G770" i="1"/>
  <c r="H770" i="1"/>
  <c r="I770" i="1"/>
  <c r="J770" i="1"/>
  <c r="B771" i="1"/>
  <c r="C771" i="1"/>
  <c r="D771" i="1"/>
  <c r="E771" i="1"/>
  <c r="F771" i="1"/>
  <c r="G771" i="1"/>
  <c r="H771" i="1"/>
  <c r="I771" i="1"/>
  <c r="J771" i="1"/>
  <c r="B772" i="1"/>
  <c r="C772" i="1"/>
  <c r="D772" i="1"/>
  <c r="E772" i="1"/>
  <c r="F772" i="1"/>
  <c r="G772" i="1"/>
  <c r="H772" i="1"/>
  <c r="I772" i="1"/>
  <c r="J772" i="1"/>
  <c r="B773" i="1"/>
  <c r="C773" i="1"/>
  <c r="D773" i="1"/>
  <c r="E773" i="1"/>
  <c r="F773" i="1"/>
  <c r="G773" i="1"/>
  <c r="H773" i="1"/>
  <c r="I773" i="1"/>
  <c r="J773" i="1"/>
  <c r="B774" i="1"/>
  <c r="C774" i="1"/>
  <c r="D774" i="1"/>
  <c r="E774" i="1"/>
  <c r="F774" i="1"/>
  <c r="G774" i="1"/>
  <c r="H774" i="1"/>
  <c r="I774" i="1"/>
  <c r="J774" i="1"/>
  <c r="B775" i="1"/>
  <c r="C775" i="1"/>
  <c r="D775" i="1"/>
  <c r="E775" i="1"/>
  <c r="F775" i="1"/>
  <c r="G775" i="1"/>
  <c r="H775" i="1"/>
  <c r="I775" i="1"/>
  <c r="J775" i="1"/>
  <c r="B776" i="1"/>
  <c r="C776" i="1"/>
  <c r="D776" i="1"/>
  <c r="E776" i="1"/>
  <c r="F776" i="1"/>
  <c r="G776" i="1"/>
  <c r="H776" i="1"/>
  <c r="I776" i="1"/>
  <c r="J776" i="1"/>
  <c r="B777" i="1"/>
  <c r="C777" i="1"/>
  <c r="D777" i="1"/>
  <c r="E777" i="1"/>
  <c r="F777" i="1"/>
  <c r="G777" i="1"/>
  <c r="H777" i="1"/>
  <c r="I777" i="1"/>
  <c r="J777" i="1"/>
  <c r="B778" i="1"/>
  <c r="C778" i="1"/>
  <c r="D778" i="1"/>
  <c r="E778" i="1"/>
  <c r="F778" i="1"/>
  <c r="G778" i="1"/>
  <c r="H778" i="1"/>
  <c r="I778" i="1"/>
  <c r="J778" i="1"/>
  <c r="B779" i="1"/>
  <c r="C779" i="1"/>
  <c r="D779" i="1"/>
  <c r="E779" i="1"/>
  <c r="F779" i="1"/>
  <c r="G779" i="1"/>
  <c r="H779" i="1"/>
  <c r="I779" i="1"/>
  <c r="J779" i="1"/>
  <c r="B780" i="1"/>
  <c r="C780" i="1"/>
  <c r="D780" i="1"/>
  <c r="E780" i="1"/>
  <c r="F780" i="1"/>
  <c r="G780" i="1"/>
  <c r="H780" i="1"/>
  <c r="I780" i="1"/>
  <c r="J780" i="1"/>
  <c r="B781" i="1"/>
  <c r="C781" i="1"/>
  <c r="D781" i="1"/>
  <c r="E781" i="1"/>
  <c r="F781" i="1"/>
  <c r="G781" i="1"/>
  <c r="H781" i="1"/>
  <c r="I781" i="1"/>
  <c r="J781" i="1"/>
  <c r="B782" i="1"/>
  <c r="C782" i="1"/>
  <c r="D782" i="1"/>
  <c r="E782" i="1"/>
  <c r="F782" i="1"/>
  <c r="G782" i="1"/>
  <c r="H782" i="1"/>
  <c r="I782" i="1"/>
  <c r="J782" i="1"/>
  <c r="B783" i="1"/>
  <c r="C783" i="1"/>
  <c r="D783" i="1"/>
  <c r="E783" i="1"/>
  <c r="F783" i="1"/>
  <c r="G783" i="1"/>
  <c r="H783" i="1"/>
  <c r="I783" i="1"/>
  <c r="J783" i="1"/>
  <c r="B784" i="1"/>
  <c r="C784" i="1"/>
  <c r="D784" i="1"/>
  <c r="E784" i="1"/>
  <c r="F784" i="1"/>
  <c r="G784" i="1"/>
  <c r="H784" i="1"/>
  <c r="I784" i="1"/>
  <c r="J784" i="1"/>
  <c r="B785" i="1"/>
  <c r="C785" i="1"/>
  <c r="D785" i="1"/>
  <c r="E785" i="1"/>
  <c r="F785" i="1"/>
  <c r="G785" i="1"/>
  <c r="H785" i="1"/>
  <c r="I785" i="1"/>
  <c r="J785" i="1"/>
  <c r="B786" i="1"/>
  <c r="C786" i="1"/>
  <c r="D786" i="1"/>
  <c r="E786" i="1"/>
  <c r="F786" i="1"/>
  <c r="G786" i="1"/>
  <c r="H786" i="1"/>
  <c r="I786" i="1"/>
  <c r="J786" i="1"/>
  <c r="B787" i="1"/>
  <c r="C787" i="1"/>
  <c r="D787" i="1"/>
  <c r="E787" i="1"/>
  <c r="F787" i="1"/>
  <c r="G787" i="1"/>
  <c r="H787" i="1"/>
  <c r="I787" i="1"/>
  <c r="J787" i="1"/>
  <c r="B788" i="1"/>
  <c r="C788" i="1"/>
  <c r="D788" i="1"/>
  <c r="E788" i="1"/>
  <c r="F788" i="1"/>
  <c r="G788" i="1"/>
  <c r="H788" i="1"/>
  <c r="I788" i="1"/>
  <c r="J788" i="1"/>
  <c r="B789" i="1"/>
  <c r="C789" i="1"/>
  <c r="D789" i="1"/>
  <c r="E789" i="1"/>
  <c r="F789" i="1"/>
  <c r="G789" i="1"/>
  <c r="H789" i="1"/>
  <c r="I789" i="1"/>
  <c r="J789" i="1"/>
  <c r="B790" i="1"/>
  <c r="C790" i="1"/>
  <c r="D790" i="1"/>
  <c r="E790" i="1"/>
  <c r="F790" i="1"/>
  <c r="G790" i="1"/>
  <c r="H790" i="1"/>
  <c r="I790" i="1"/>
  <c r="J790" i="1"/>
  <c r="B791" i="1"/>
  <c r="C791" i="1"/>
  <c r="D791" i="1"/>
  <c r="E791" i="1"/>
  <c r="F791" i="1"/>
  <c r="G791" i="1"/>
  <c r="H791" i="1"/>
  <c r="I791" i="1"/>
  <c r="J791" i="1"/>
  <c r="B792" i="1"/>
  <c r="C792" i="1"/>
  <c r="D792" i="1"/>
  <c r="E792" i="1"/>
  <c r="F792" i="1"/>
  <c r="G792" i="1"/>
  <c r="H792" i="1"/>
  <c r="I792" i="1"/>
  <c r="J792" i="1"/>
  <c r="B793" i="1"/>
  <c r="C793" i="1"/>
  <c r="D793" i="1"/>
  <c r="E793" i="1"/>
  <c r="F793" i="1"/>
  <c r="G793" i="1"/>
  <c r="H793" i="1"/>
  <c r="I793" i="1"/>
  <c r="J793" i="1"/>
  <c r="B794" i="1"/>
  <c r="C794" i="1"/>
  <c r="D794" i="1"/>
  <c r="E794" i="1"/>
  <c r="F794" i="1"/>
  <c r="G794" i="1"/>
  <c r="H794" i="1"/>
  <c r="I794" i="1"/>
  <c r="J794" i="1"/>
  <c r="B795" i="1"/>
  <c r="C795" i="1"/>
  <c r="D795" i="1"/>
  <c r="E795" i="1"/>
  <c r="F795" i="1"/>
  <c r="G795" i="1"/>
  <c r="H795" i="1"/>
  <c r="I795" i="1"/>
  <c r="J795" i="1"/>
  <c r="B796" i="1"/>
  <c r="C796" i="1"/>
  <c r="D796" i="1"/>
  <c r="E796" i="1"/>
  <c r="F796" i="1"/>
  <c r="G796" i="1"/>
  <c r="H796" i="1"/>
  <c r="I796" i="1"/>
  <c r="J796" i="1"/>
  <c r="B797" i="1"/>
  <c r="C797" i="1"/>
  <c r="D797" i="1"/>
  <c r="E797" i="1"/>
  <c r="F797" i="1"/>
  <c r="G797" i="1"/>
  <c r="H797" i="1"/>
  <c r="I797" i="1"/>
  <c r="J797" i="1"/>
  <c r="B798" i="1"/>
  <c r="C798" i="1"/>
  <c r="D798" i="1"/>
  <c r="E798" i="1"/>
  <c r="F798" i="1"/>
  <c r="G798" i="1"/>
  <c r="H798" i="1"/>
  <c r="I798" i="1"/>
  <c r="J798" i="1"/>
  <c r="B799" i="1"/>
  <c r="C799" i="1"/>
  <c r="D799" i="1"/>
  <c r="E799" i="1"/>
  <c r="F799" i="1"/>
  <c r="G799" i="1"/>
  <c r="H799" i="1"/>
  <c r="I799" i="1"/>
  <c r="J799" i="1"/>
  <c r="B800" i="1"/>
  <c r="C800" i="1"/>
  <c r="D800" i="1"/>
  <c r="E800" i="1"/>
  <c r="F800" i="1"/>
  <c r="G800" i="1"/>
  <c r="H800" i="1"/>
  <c r="I800" i="1"/>
  <c r="J800" i="1"/>
  <c r="B801" i="1"/>
  <c r="C801" i="1"/>
  <c r="D801" i="1"/>
  <c r="E801" i="1"/>
  <c r="F801" i="1"/>
  <c r="G801" i="1"/>
  <c r="H801" i="1"/>
  <c r="I801" i="1"/>
  <c r="J801" i="1"/>
  <c r="B802" i="1"/>
  <c r="C802" i="1"/>
  <c r="D802" i="1"/>
  <c r="E802" i="1"/>
  <c r="F802" i="1"/>
  <c r="G802" i="1"/>
  <c r="H802" i="1"/>
  <c r="I802" i="1"/>
  <c r="J802" i="1"/>
  <c r="B803" i="1"/>
  <c r="C803" i="1"/>
  <c r="D803" i="1"/>
  <c r="E803" i="1"/>
  <c r="F803" i="1"/>
  <c r="G803" i="1"/>
  <c r="H803" i="1"/>
  <c r="I803" i="1"/>
  <c r="J803" i="1"/>
  <c r="B804" i="1"/>
  <c r="C804" i="1"/>
  <c r="D804" i="1"/>
  <c r="E804" i="1"/>
  <c r="F804" i="1"/>
  <c r="G804" i="1"/>
  <c r="H804" i="1"/>
  <c r="I804" i="1"/>
  <c r="J804" i="1"/>
  <c r="B805" i="1"/>
  <c r="C805" i="1"/>
  <c r="D805" i="1"/>
  <c r="E805" i="1"/>
  <c r="F805" i="1"/>
  <c r="G805" i="1"/>
  <c r="H805" i="1"/>
  <c r="I805" i="1"/>
  <c r="J805" i="1"/>
  <c r="B806" i="1"/>
  <c r="C806" i="1"/>
  <c r="D806" i="1"/>
  <c r="E806" i="1"/>
  <c r="F806" i="1"/>
  <c r="G806" i="1"/>
  <c r="H806" i="1"/>
  <c r="I806" i="1"/>
  <c r="J806" i="1"/>
  <c r="B807" i="1"/>
  <c r="C807" i="1"/>
  <c r="D807" i="1"/>
  <c r="E807" i="1"/>
  <c r="F807" i="1"/>
  <c r="G807" i="1"/>
  <c r="H807" i="1"/>
  <c r="I807" i="1"/>
  <c r="J807" i="1"/>
  <c r="B808" i="1"/>
  <c r="C808" i="1"/>
  <c r="D808" i="1"/>
  <c r="E808" i="1"/>
  <c r="F808" i="1"/>
  <c r="G808" i="1"/>
  <c r="H808" i="1"/>
  <c r="I808" i="1"/>
  <c r="J808" i="1"/>
  <c r="B809" i="1"/>
  <c r="C809" i="1"/>
  <c r="D809" i="1"/>
  <c r="E809" i="1"/>
  <c r="F809" i="1"/>
  <c r="G809" i="1"/>
  <c r="H809" i="1"/>
  <c r="I809" i="1"/>
  <c r="J809" i="1"/>
  <c r="B810" i="1"/>
  <c r="C810" i="1"/>
  <c r="D810" i="1"/>
  <c r="E810" i="1"/>
  <c r="F810" i="1"/>
  <c r="G810" i="1"/>
  <c r="H810" i="1"/>
  <c r="I810" i="1"/>
  <c r="J810" i="1"/>
  <c r="B811" i="1"/>
  <c r="C811" i="1"/>
  <c r="D811" i="1"/>
  <c r="E811" i="1"/>
  <c r="F811" i="1"/>
  <c r="G811" i="1"/>
  <c r="H811" i="1"/>
  <c r="I811" i="1"/>
  <c r="J811" i="1"/>
  <c r="B812" i="1"/>
  <c r="C812" i="1"/>
  <c r="D812" i="1"/>
  <c r="E812" i="1"/>
  <c r="F812" i="1"/>
  <c r="G812" i="1"/>
  <c r="H812" i="1"/>
  <c r="I812" i="1"/>
  <c r="J812" i="1"/>
  <c r="B813" i="1"/>
  <c r="C813" i="1"/>
  <c r="D813" i="1"/>
  <c r="E813" i="1"/>
  <c r="F813" i="1"/>
  <c r="G813" i="1"/>
  <c r="H813" i="1"/>
  <c r="I813" i="1"/>
  <c r="J813" i="1"/>
  <c r="B814" i="1"/>
  <c r="C814" i="1"/>
  <c r="D814" i="1"/>
  <c r="E814" i="1"/>
  <c r="F814" i="1"/>
  <c r="G814" i="1"/>
  <c r="H814" i="1"/>
  <c r="I814" i="1"/>
  <c r="J814" i="1"/>
  <c r="B815" i="1"/>
  <c r="C815" i="1"/>
  <c r="D815" i="1"/>
  <c r="E815" i="1"/>
  <c r="F815" i="1"/>
  <c r="G815" i="1"/>
  <c r="H815" i="1"/>
  <c r="I815" i="1"/>
  <c r="J815" i="1"/>
  <c r="B816" i="1"/>
  <c r="C816" i="1"/>
  <c r="D816" i="1"/>
  <c r="E816" i="1"/>
  <c r="F816" i="1"/>
  <c r="G816" i="1"/>
  <c r="H816" i="1"/>
  <c r="I816" i="1"/>
  <c r="J816" i="1"/>
  <c r="B817" i="1"/>
  <c r="C817" i="1"/>
  <c r="D817" i="1"/>
  <c r="E817" i="1"/>
  <c r="F817" i="1"/>
  <c r="G817" i="1"/>
  <c r="H817" i="1"/>
  <c r="I817" i="1"/>
  <c r="J817" i="1"/>
  <c r="B818" i="1"/>
  <c r="C818" i="1"/>
  <c r="D818" i="1"/>
  <c r="E818" i="1"/>
  <c r="F818" i="1"/>
  <c r="G818" i="1"/>
  <c r="H818" i="1"/>
  <c r="I818" i="1"/>
  <c r="J818" i="1"/>
  <c r="B819" i="1"/>
  <c r="C819" i="1"/>
  <c r="D819" i="1"/>
  <c r="E819" i="1"/>
  <c r="F819" i="1"/>
  <c r="G819" i="1"/>
  <c r="H819" i="1"/>
  <c r="I819" i="1"/>
  <c r="J819" i="1"/>
  <c r="B820" i="1"/>
  <c r="C820" i="1"/>
  <c r="D820" i="1"/>
  <c r="E820" i="1"/>
  <c r="F820" i="1"/>
  <c r="G820" i="1"/>
  <c r="H820" i="1"/>
  <c r="I820" i="1"/>
  <c r="J820" i="1"/>
  <c r="B821" i="1"/>
  <c r="C821" i="1"/>
  <c r="D821" i="1"/>
  <c r="E821" i="1"/>
  <c r="F821" i="1"/>
  <c r="G821" i="1"/>
  <c r="H821" i="1"/>
  <c r="I821" i="1"/>
  <c r="J821" i="1"/>
  <c r="B822" i="1"/>
  <c r="C822" i="1"/>
  <c r="D822" i="1"/>
  <c r="E822" i="1"/>
  <c r="F822" i="1"/>
  <c r="G822" i="1"/>
  <c r="H822" i="1"/>
  <c r="I822" i="1"/>
  <c r="J822" i="1"/>
  <c r="B823" i="1"/>
  <c r="C823" i="1"/>
  <c r="D823" i="1"/>
  <c r="E823" i="1"/>
  <c r="F823" i="1"/>
  <c r="G823" i="1"/>
  <c r="H823" i="1"/>
  <c r="I823" i="1"/>
  <c r="J823" i="1"/>
  <c r="B824" i="1"/>
  <c r="C824" i="1"/>
  <c r="D824" i="1"/>
  <c r="E824" i="1"/>
  <c r="F824" i="1"/>
  <c r="G824" i="1"/>
  <c r="H824" i="1"/>
  <c r="I824" i="1"/>
  <c r="J824" i="1"/>
  <c r="B825" i="1"/>
  <c r="C825" i="1"/>
  <c r="D825" i="1"/>
  <c r="E825" i="1"/>
  <c r="F825" i="1"/>
  <c r="G825" i="1"/>
  <c r="H825" i="1"/>
  <c r="I825" i="1"/>
  <c r="J825" i="1"/>
  <c r="B826" i="1"/>
  <c r="C826" i="1"/>
  <c r="D826" i="1"/>
  <c r="E826" i="1"/>
  <c r="F826" i="1"/>
  <c r="G826" i="1"/>
  <c r="H826" i="1"/>
  <c r="I826" i="1"/>
  <c r="J826" i="1"/>
  <c r="B827" i="1"/>
  <c r="C827" i="1"/>
  <c r="D827" i="1"/>
  <c r="E827" i="1"/>
  <c r="F827" i="1"/>
  <c r="G827" i="1"/>
  <c r="H827" i="1"/>
  <c r="I827" i="1"/>
  <c r="J827" i="1"/>
  <c r="B828" i="1"/>
  <c r="C828" i="1"/>
  <c r="D828" i="1"/>
  <c r="E828" i="1"/>
  <c r="F828" i="1"/>
  <c r="G828" i="1"/>
  <c r="H828" i="1"/>
  <c r="I828" i="1"/>
  <c r="J828" i="1"/>
  <c r="B829" i="1"/>
  <c r="C829" i="1"/>
  <c r="D829" i="1"/>
  <c r="E829" i="1"/>
  <c r="F829" i="1"/>
  <c r="G829" i="1"/>
  <c r="H829" i="1"/>
  <c r="I829" i="1"/>
  <c r="J829" i="1"/>
  <c r="B830" i="1"/>
  <c r="C830" i="1"/>
  <c r="D830" i="1"/>
  <c r="E830" i="1"/>
  <c r="F830" i="1"/>
  <c r="G830" i="1"/>
  <c r="H830" i="1"/>
  <c r="I830" i="1"/>
  <c r="J830" i="1"/>
  <c r="B831" i="1"/>
  <c r="C831" i="1"/>
  <c r="D831" i="1"/>
  <c r="E831" i="1"/>
  <c r="F831" i="1"/>
  <c r="G831" i="1"/>
  <c r="H831" i="1"/>
  <c r="I831" i="1"/>
  <c r="J831" i="1"/>
  <c r="B832" i="1"/>
  <c r="C832" i="1"/>
  <c r="D832" i="1"/>
  <c r="E832" i="1"/>
  <c r="F832" i="1"/>
  <c r="G832" i="1"/>
  <c r="H832" i="1"/>
  <c r="I832" i="1"/>
  <c r="J832" i="1"/>
  <c r="B833" i="1"/>
  <c r="C833" i="1"/>
  <c r="D833" i="1"/>
  <c r="E833" i="1"/>
  <c r="F833" i="1"/>
  <c r="G833" i="1"/>
  <c r="H833" i="1"/>
  <c r="I833" i="1"/>
  <c r="J833" i="1"/>
  <c r="B834" i="1"/>
  <c r="C834" i="1"/>
  <c r="D834" i="1"/>
  <c r="E834" i="1"/>
  <c r="F834" i="1"/>
  <c r="G834" i="1"/>
  <c r="H834" i="1"/>
  <c r="I834" i="1"/>
  <c r="J834" i="1"/>
  <c r="B835" i="1"/>
  <c r="C835" i="1"/>
  <c r="D835" i="1"/>
  <c r="E835" i="1"/>
  <c r="F835" i="1"/>
  <c r="G835" i="1"/>
  <c r="H835" i="1"/>
  <c r="I835" i="1"/>
  <c r="J835" i="1"/>
  <c r="B836" i="1"/>
  <c r="C836" i="1"/>
  <c r="D836" i="1"/>
  <c r="E836" i="1"/>
  <c r="F836" i="1"/>
  <c r="G836" i="1"/>
  <c r="H836" i="1"/>
  <c r="I836" i="1"/>
  <c r="J836" i="1"/>
  <c r="B837" i="1"/>
  <c r="C837" i="1"/>
  <c r="D837" i="1"/>
  <c r="E837" i="1"/>
  <c r="F837" i="1"/>
  <c r="G837" i="1"/>
  <c r="H837" i="1"/>
  <c r="I837" i="1"/>
  <c r="J837" i="1"/>
  <c r="B838" i="1"/>
  <c r="C838" i="1"/>
  <c r="D838" i="1"/>
  <c r="E838" i="1"/>
  <c r="F838" i="1"/>
  <c r="G838" i="1"/>
  <c r="H838" i="1"/>
  <c r="I838" i="1"/>
  <c r="J838" i="1"/>
  <c r="B839" i="1"/>
  <c r="C839" i="1"/>
  <c r="D839" i="1"/>
  <c r="E839" i="1"/>
  <c r="F839" i="1"/>
  <c r="G839" i="1"/>
  <c r="H839" i="1"/>
  <c r="I839" i="1"/>
  <c r="J839" i="1"/>
  <c r="B840" i="1"/>
  <c r="C840" i="1"/>
  <c r="D840" i="1"/>
  <c r="E840" i="1"/>
  <c r="F840" i="1"/>
  <c r="G840" i="1"/>
  <c r="H840" i="1"/>
  <c r="I840" i="1"/>
  <c r="J840" i="1"/>
  <c r="B841" i="1"/>
  <c r="C841" i="1"/>
  <c r="D841" i="1"/>
  <c r="E841" i="1"/>
  <c r="F841" i="1"/>
  <c r="G841" i="1"/>
  <c r="H841" i="1"/>
  <c r="I841" i="1"/>
  <c r="J841" i="1"/>
  <c r="B842" i="1"/>
  <c r="C842" i="1"/>
  <c r="D842" i="1"/>
  <c r="E842" i="1"/>
  <c r="F842" i="1"/>
  <c r="G842" i="1"/>
  <c r="H842" i="1"/>
  <c r="I842" i="1"/>
  <c r="J842" i="1"/>
  <c r="B843" i="1"/>
  <c r="C843" i="1"/>
  <c r="D843" i="1"/>
  <c r="E843" i="1"/>
  <c r="F843" i="1"/>
  <c r="G843" i="1"/>
  <c r="H843" i="1"/>
  <c r="I843" i="1"/>
  <c r="J843" i="1"/>
  <c r="B844" i="1"/>
  <c r="C844" i="1"/>
  <c r="D844" i="1"/>
  <c r="E844" i="1"/>
  <c r="F844" i="1"/>
  <c r="G844" i="1"/>
  <c r="H844" i="1"/>
  <c r="I844" i="1"/>
  <c r="J844" i="1"/>
  <c r="B845" i="1"/>
  <c r="C845" i="1"/>
  <c r="D845" i="1"/>
  <c r="E845" i="1"/>
  <c r="F845" i="1"/>
  <c r="G845" i="1"/>
  <c r="H845" i="1"/>
  <c r="I845" i="1"/>
  <c r="J845" i="1"/>
  <c r="B846" i="1"/>
  <c r="C846" i="1"/>
  <c r="D846" i="1"/>
  <c r="E846" i="1"/>
  <c r="F846" i="1"/>
  <c r="G846" i="1"/>
  <c r="H846" i="1"/>
  <c r="I846" i="1"/>
  <c r="J846" i="1"/>
  <c r="B847" i="1"/>
  <c r="C847" i="1"/>
  <c r="D847" i="1"/>
  <c r="E847" i="1"/>
  <c r="F847" i="1"/>
  <c r="G847" i="1"/>
  <c r="H847" i="1"/>
  <c r="I847" i="1"/>
  <c r="J847" i="1"/>
  <c r="B848" i="1"/>
  <c r="C848" i="1"/>
  <c r="D848" i="1"/>
  <c r="E848" i="1"/>
  <c r="F848" i="1"/>
  <c r="G848" i="1"/>
  <c r="H848" i="1"/>
  <c r="I848" i="1"/>
  <c r="J848" i="1"/>
  <c r="B849" i="1"/>
  <c r="C849" i="1"/>
  <c r="D849" i="1"/>
  <c r="E849" i="1"/>
  <c r="F849" i="1"/>
  <c r="G849" i="1"/>
  <c r="H849" i="1"/>
  <c r="I849" i="1"/>
  <c r="J849" i="1"/>
  <c r="B850" i="1"/>
  <c r="C850" i="1"/>
  <c r="D850" i="1"/>
  <c r="E850" i="1"/>
  <c r="F850" i="1"/>
  <c r="G850" i="1"/>
  <c r="H850" i="1"/>
  <c r="I850" i="1"/>
  <c r="J850" i="1"/>
  <c r="B851" i="1"/>
  <c r="C851" i="1"/>
  <c r="D851" i="1"/>
  <c r="E851" i="1"/>
  <c r="F851" i="1"/>
  <c r="G851" i="1"/>
  <c r="H851" i="1"/>
  <c r="I851" i="1"/>
  <c r="J851" i="1"/>
  <c r="B852" i="1"/>
  <c r="C852" i="1"/>
  <c r="D852" i="1"/>
  <c r="E852" i="1"/>
  <c r="F852" i="1"/>
  <c r="G852" i="1"/>
  <c r="H852" i="1"/>
  <c r="I852" i="1"/>
  <c r="J852" i="1"/>
  <c r="B853" i="1"/>
  <c r="C853" i="1"/>
  <c r="D853" i="1"/>
  <c r="E853" i="1"/>
  <c r="F853" i="1"/>
  <c r="G853" i="1"/>
  <c r="H853" i="1"/>
  <c r="I853" i="1"/>
  <c r="J853" i="1"/>
  <c r="B854" i="1"/>
  <c r="C854" i="1"/>
  <c r="D854" i="1"/>
  <c r="E854" i="1"/>
  <c r="F854" i="1"/>
  <c r="G854" i="1"/>
  <c r="H854" i="1"/>
  <c r="I854" i="1"/>
  <c r="J854" i="1"/>
  <c r="B855" i="1"/>
  <c r="C855" i="1"/>
  <c r="D855" i="1"/>
  <c r="E855" i="1"/>
  <c r="F855" i="1"/>
  <c r="G855" i="1"/>
  <c r="H855" i="1"/>
  <c r="I855" i="1"/>
  <c r="J855" i="1"/>
  <c r="B856" i="1"/>
  <c r="C856" i="1"/>
  <c r="D856" i="1"/>
  <c r="E856" i="1"/>
  <c r="F856" i="1"/>
  <c r="G856" i="1"/>
  <c r="H856" i="1"/>
  <c r="I856" i="1"/>
  <c r="J856" i="1"/>
  <c r="B857" i="1"/>
  <c r="C857" i="1"/>
  <c r="D857" i="1"/>
  <c r="E857" i="1"/>
  <c r="F857" i="1"/>
  <c r="G857" i="1"/>
  <c r="H857" i="1"/>
  <c r="I857" i="1"/>
  <c r="J857" i="1"/>
  <c r="B858" i="1"/>
  <c r="C858" i="1"/>
  <c r="D858" i="1"/>
  <c r="E858" i="1"/>
  <c r="F858" i="1"/>
  <c r="G858" i="1"/>
  <c r="H858" i="1"/>
  <c r="I858" i="1"/>
  <c r="J858" i="1"/>
  <c r="B859" i="1"/>
  <c r="C859" i="1"/>
  <c r="D859" i="1"/>
  <c r="E859" i="1"/>
  <c r="F859" i="1"/>
  <c r="G859" i="1"/>
  <c r="H859" i="1"/>
  <c r="I859" i="1"/>
  <c r="J859" i="1"/>
  <c r="B860" i="1"/>
  <c r="C860" i="1"/>
  <c r="D860" i="1"/>
  <c r="E860" i="1"/>
  <c r="F860" i="1"/>
  <c r="G860" i="1"/>
  <c r="H860" i="1"/>
  <c r="I860" i="1"/>
  <c r="J860" i="1"/>
  <c r="B861" i="1"/>
  <c r="C861" i="1"/>
  <c r="D861" i="1"/>
  <c r="E861" i="1"/>
  <c r="F861" i="1"/>
  <c r="G861" i="1"/>
  <c r="H861" i="1"/>
  <c r="I861" i="1"/>
  <c r="J861" i="1"/>
  <c r="B862" i="1"/>
  <c r="C862" i="1"/>
  <c r="D862" i="1"/>
  <c r="E862" i="1"/>
  <c r="F862" i="1"/>
  <c r="G862" i="1"/>
  <c r="H862" i="1"/>
  <c r="I862" i="1"/>
  <c r="J862" i="1"/>
  <c r="B863" i="1"/>
  <c r="C863" i="1"/>
  <c r="D863" i="1"/>
  <c r="E863" i="1"/>
  <c r="F863" i="1"/>
  <c r="G863" i="1"/>
  <c r="H863" i="1"/>
  <c r="I863" i="1"/>
  <c r="J863" i="1"/>
  <c r="B864" i="1"/>
  <c r="C864" i="1"/>
  <c r="D864" i="1"/>
  <c r="E864" i="1"/>
  <c r="F864" i="1"/>
  <c r="G864" i="1"/>
  <c r="H864" i="1"/>
  <c r="I864" i="1"/>
  <c r="J864" i="1"/>
  <c r="B865" i="1"/>
  <c r="C865" i="1"/>
  <c r="D865" i="1"/>
  <c r="E865" i="1"/>
  <c r="F865" i="1"/>
  <c r="G865" i="1"/>
  <c r="H865" i="1"/>
  <c r="I865" i="1"/>
  <c r="J865" i="1"/>
  <c r="B866" i="1"/>
  <c r="C866" i="1"/>
  <c r="D866" i="1"/>
  <c r="E866" i="1"/>
  <c r="F866" i="1"/>
  <c r="G866" i="1"/>
  <c r="H866" i="1"/>
  <c r="I866" i="1"/>
  <c r="J866" i="1"/>
  <c r="B867" i="1"/>
  <c r="C867" i="1"/>
  <c r="D867" i="1"/>
  <c r="E867" i="1"/>
  <c r="F867" i="1"/>
  <c r="G867" i="1"/>
  <c r="H867" i="1"/>
  <c r="I867" i="1"/>
  <c r="J867" i="1"/>
  <c r="B868" i="1"/>
  <c r="C868" i="1"/>
  <c r="D868" i="1"/>
  <c r="E868" i="1"/>
  <c r="F868" i="1"/>
  <c r="G868" i="1"/>
  <c r="H868" i="1"/>
  <c r="I868" i="1"/>
  <c r="J868" i="1"/>
  <c r="B869" i="1"/>
  <c r="C869" i="1"/>
  <c r="D869" i="1"/>
  <c r="E869" i="1"/>
  <c r="F869" i="1"/>
  <c r="G869" i="1"/>
  <c r="H869" i="1"/>
  <c r="I869" i="1"/>
  <c r="J869" i="1"/>
  <c r="B870" i="1"/>
  <c r="C870" i="1"/>
  <c r="D870" i="1"/>
  <c r="E870" i="1"/>
  <c r="F870" i="1"/>
  <c r="G870" i="1"/>
  <c r="H870" i="1"/>
  <c r="I870" i="1"/>
  <c r="J870" i="1"/>
  <c r="B871" i="1"/>
  <c r="C871" i="1"/>
  <c r="D871" i="1"/>
  <c r="E871" i="1"/>
  <c r="F871" i="1"/>
  <c r="G871" i="1"/>
  <c r="H871" i="1"/>
  <c r="I871" i="1"/>
  <c r="J871" i="1"/>
  <c r="B872" i="1"/>
  <c r="C872" i="1"/>
  <c r="D872" i="1"/>
  <c r="E872" i="1"/>
  <c r="F872" i="1"/>
  <c r="G872" i="1"/>
  <c r="H872" i="1"/>
  <c r="I872" i="1"/>
  <c r="J872" i="1"/>
  <c r="B873" i="1"/>
  <c r="C873" i="1"/>
  <c r="D873" i="1"/>
  <c r="E873" i="1"/>
  <c r="F873" i="1"/>
  <c r="G873" i="1"/>
  <c r="H873" i="1"/>
  <c r="I873" i="1"/>
  <c r="J873" i="1"/>
  <c r="B874" i="1"/>
  <c r="C874" i="1"/>
  <c r="D874" i="1"/>
  <c r="E874" i="1"/>
  <c r="F874" i="1"/>
  <c r="G874" i="1"/>
  <c r="H874" i="1"/>
  <c r="I874" i="1"/>
  <c r="J874" i="1"/>
  <c r="B875" i="1"/>
  <c r="C875" i="1"/>
  <c r="D875" i="1"/>
  <c r="E875" i="1"/>
  <c r="F875" i="1"/>
  <c r="G875" i="1"/>
  <c r="H875" i="1"/>
  <c r="I875" i="1"/>
  <c r="J875" i="1"/>
  <c r="B876" i="1"/>
  <c r="C876" i="1"/>
  <c r="D876" i="1"/>
  <c r="E876" i="1"/>
  <c r="F876" i="1"/>
  <c r="G876" i="1"/>
  <c r="H876" i="1"/>
  <c r="I876" i="1"/>
  <c r="J876" i="1"/>
  <c r="B877" i="1"/>
  <c r="C877" i="1"/>
  <c r="D877" i="1"/>
  <c r="E877" i="1"/>
  <c r="F877" i="1"/>
  <c r="G877" i="1"/>
  <c r="H877" i="1"/>
  <c r="I877" i="1"/>
  <c r="J877" i="1"/>
  <c r="B878" i="1"/>
  <c r="C878" i="1"/>
  <c r="D878" i="1"/>
  <c r="E878" i="1"/>
  <c r="F878" i="1"/>
  <c r="G878" i="1"/>
  <c r="H878" i="1"/>
  <c r="I878" i="1"/>
  <c r="J878" i="1"/>
  <c r="B879" i="1"/>
  <c r="C879" i="1"/>
  <c r="D879" i="1"/>
  <c r="E879" i="1"/>
  <c r="F879" i="1"/>
  <c r="G879" i="1"/>
  <c r="H879" i="1"/>
  <c r="I879" i="1"/>
  <c r="J879" i="1"/>
  <c r="B880" i="1"/>
  <c r="C880" i="1"/>
  <c r="D880" i="1"/>
  <c r="E880" i="1"/>
  <c r="F880" i="1"/>
  <c r="G880" i="1"/>
  <c r="H880" i="1"/>
  <c r="I880" i="1"/>
  <c r="J880" i="1"/>
  <c r="B881" i="1"/>
  <c r="C881" i="1"/>
  <c r="D881" i="1"/>
  <c r="E881" i="1"/>
  <c r="F881" i="1"/>
  <c r="G881" i="1"/>
  <c r="H881" i="1"/>
  <c r="I881" i="1"/>
  <c r="J881" i="1"/>
  <c r="B882" i="1"/>
  <c r="C882" i="1"/>
  <c r="D882" i="1"/>
  <c r="E882" i="1"/>
  <c r="F882" i="1"/>
  <c r="G882" i="1"/>
  <c r="H882" i="1"/>
  <c r="I882" i="1"/>
  <c r="J882" i="1"/>
  <c r="B883" i="1"/>
  <c r="C883" i="1"/>
  <c r="D883" i="1"/>
  <c r="E883" i="1"/>
  <c r="F883" i="1"/>
  <c r="G883" i="1"/>
  <c r="H883" i="1"/>
  <c r="I883" i="1"/>
  <c r="J883" i="1"/>
  <c r="B884" i="1"/>
  <c r="C884" i="1"/>
  <c r="D884" i="1"/>
  <c r="E884" i="1"/>
  <c r="F884" i="1"/>
  <c r="G884" i="1"/>
  <c r="H884" i="1"/>
  <c r="I884" i="1"/>
  <c r="J884" i="1"/>
  <c r="B885" i="1"/>
  <c r="C885" i="1"/>
  <c r="D885" i="1"/>
  <c r="E885" i="1"/>
  <c r="F885" i="1"/>
  <c r="G885" i="1"/>
  <c r="H885" i="1"/>
  <c r="I885" i="1"/>
  <c r="J885" i="1"/>
  <c r="B886" i="1"/>
  <c r="C886" i="1"/>
  <c r="D886" i="1"/>
  <c r="E886" i="1"/>
  <c r="F886" i="1"/>
  <c r="G886" i="1"/>
  <c r="H886" i="1"/>
  <c r="I886" i="1"/>
  <c r="J886" i="1"/>
  <c r="B887" i="1"/>
  <c r="C887" i="1"/>
  <c r="D887" i="1"/>
  <c r="E887" i="1"/>
  <c r="F887" i="1"/>
  <c r="G887" i="1"/>
  <c r="H887" i="1"/>
  <c r="I887" i="1"/>
  <c r="J887" i="1"/>
  <c r="B888" i="1"/>
  <c r="C888" i="1"/>
  <c r="D888" i="1"/>
  <c r="E888" i="1"/>
  <c r="F888" i="1"/>
  <c r="G888" i="1"/>
  <c r="H888" i="1"/>
  <c r="I888" i="1"/>
  <c r="J888" i="1"/>
  <c r="B889" i="1"/>
  <c r="C889" i="1"/>
  <c r="D889" i="1"/>
  <c r="E889" i="1"/>
  <c r="F889" i="1"/>
  <c r="G889" i="1"/>
  <c r="H889" i="1"/>
  <c r="I889" i="1"/>
  <c r="J889" i="1"/>
  <c r="B890" i="1"/>
  <c r="C890" i="1"/>
  <c r="D890" i="1"/>
  <c r="E890" i="1"/>
  <c r="F890" i="1"/>
  <c r="G890" i="1"/>
  <c r="H890" i="1"/>
  <c r="I890" i="1"/>
  <c r="J890" i="1"/>
  <c r="B891" i="1"/>
  <c r="C891" i="1"/>
  <c r="D891" i="1"/>
  <c r="E891" i="1"/>
  <c r="F891" i="1"/>
  <c r="G891" i="1"/>
  <c r="H891" i="1"/>
  <c r="I891" i="1"/>
  <c r="J891" i="1"/>
  <c r="B892" i="1"/>
  <c r="C892" i="1"/>
  <c r="D892" i="1"/>
  <c r="E892" i="1"/>
  <c r="F892" i="1"/>
  <c r="G892" i="1"/>
  <c r="H892" i="1"/>
  <c r="I892" i="1"/>
  <c r="J892" i="1"/>
  <c r="B893" i="1"/>
  <c r="C893" i="1"/>
  <c r="D893" i="1"/>
  <c r="E893" i="1"/>
  <c r="F893" i="1"/>
  <c r="G893" i="1"/>
  <c r="H893" i="1"/>
  <c r="I893" i="1"/>
  <c r="J893" i="1"/>
  <c r="B894" i="1"/>
  <c r="C894" i="1"/>
  <c r="D894" i="1"/>
  <c r="E894" i="1"/>
  <c r="F894" i="1"/>
  <c r="G894" i="1"/>
  <c r="H894" i="1"/>
  <c r="I894" i="1"/>
  <c r="J894" i="1"/>
  <c r="B895" i="1"/>
  <c r="C895" i="1"/>
  <c r="D895" i="1"/>
  <c r="E895" i="1"/>
  <c r="F895" i="1"/>
  <c r="G895" i="1"/>
  <c r="H895" i="1"/>
  <c r="I895" i="1"/>
  <c r="J895" i="1"/>
  <c r="B896" i="1"/>
  <c r="C896" i="1"/>
  <c r="D896" i="1"/>
  <c r="E896" i="1"/>
  <c r="F896" i="1"/>
  <c r="G896" i="1"/>
  <c r="H896" i="1"/>
  <c r="I896" i="1"/>
  <c r="J896" i="1"/>
  <c r="B897" i="1"/>
  <c r="C897" i="1"/>
  <c r="D897" i="1"/>
  <c r="E897" i="1"/>
  <c r="F897" i="1"/>
  <c r="G897" i="1"/>
  <c r="H897" i="1"/>
  <c r="I897" i="1"/>
  <c r="J897" i="1"/>
  <c r="B898" i="1"/>
  <c r="C898" i="1"/>
  <c r="D898" i="1"/>
  <c r="E898" i="1"/>
  <c r="F898" i="1"/>
  <c r="G898" i="1"/>
  <c r="H898" i="1"/>
  <c r="I898" i="1"/>
  <c r="J898" i="1"/>
  <c r="B899" i="1"/>
  <c r="C899" i="1"/>
  <c r="D899" i="1"/>
  <c r="E899" i="1"/>
  <c r="F899" i="1"/>
  <c r="G899" i="1"/>
  <c r="H899" i="1"/>
  <c r="I899" i="1"/>
  <c r="J899" i="1"/>
  <c r="B900" i="1"/>
  <c r="C900" i="1"/>
  <c r="D900" i="1"/>
  <c r="E900" i="1"/>
  <c r="F900" i="1"/>
  <c r="G900" i="1"/>
  <c r="H900" i="1"/>
  <c r="I900" i="1"/>
  <c r="J900" i="1"/>
  <c r="B901" i="1"/>
  <c r="C901" i="1"/>
  <c r="D901" i="1"/>
  <c r="E901" i="1"/>
  <c r="F901" i="1"/>
  <c r="G901" i="1"/>
  <c r="H901" i="1"/>
  <c r="I901" i="1"/>
  <c r="J901" i="1"/>
  <c r="B902" i="1"/>
  <c r="C902" i="1"/>
  <c r="D902" i="1"/>
  <c r="E902" i="1"/>
  <c r="F902" i="1"/>
  <c r="G902" i="1"/>
  <c r="H902" i="1"/>
  <c r="I902" i="1"/>
  <c r="J902" i="1"/>
  <c r="B903" i="1"/>
  <c r="C903" i="1"/>
  <c r="D903" i="1"/>
  <c r="E903" i="1"/>
  <c r="F903" i="1"/>
  <c r="G903" i="1"/>
  <c r="H903" i="1"/>
  <c r="I903" i="1"/>
  <c r="J903" i="1"/>
  <c r="B904" i="1"/>
  <c r="C904" i="1"/>
  <c r="D904" i="1"/>
  <c r="E904" i="1"/>
  <c r="F904" i="1"/>
  <c r="G904" i="1"/>
  <c r="H904" i="1"/>
  <c r="I904" i="1"/>
  <c r="J904" i="1"/>
  <c r="B905" i="1"/>
  <c r="C905" i="1"/>
  <c r="D905" i="1"/>
  <c r="E905" i="1"/>
  <c r="F905" i="1"/>
  <c r="G905" i="1"/>
  <c r="H905" i="1"/>
  <c r="I905" i="1"/>
  <c r="J905" i="1"/>
  <c r="B906" i="1"/>
  <c r="C906" i="1"/>
  <c r="D906" i="1"/>
  <c r="E906" i="1"/>
  <c r="F906" i="1"/>
  <c r="G906" i="1"/>
  <c r="H906" i="1"/>
  <c r="I906" i="1"/>
  <c r="J906" i="1"/>
  <c r="B907" i="1"/>
  <c r="C907" i="1"/>
  <c r="D907" i="1"/>
  <c r="E907" i="1"/>
  <c r="F907" i="1"/>
  <c r="G907" i="1"/>
  <c r="H907" i="1"/>
  <c r="I907" i="1"/>
  <c r="J907" i="1"/>
  <c r="B908" i="1"/>
  <c r="C908" i="1"/>
  <c r="D908" i="1"/>
  <c r="E908" i="1"/>
  <c r="F908" i="1"/>
  <c r="G908" i="1"/>
  <c r="H908" i="1"/>
  <c r="I908" i="1"/>
  <c r="J908" i="1"/>
  <c r="B909" i="1"/>
  <c r="C909" i="1"/>
  <c r="D909" i="1"/>
  <c r="E909" i="1"/>
  <c r="F909" i="1"/>
  <c r="G909" i="1"/>
  <c r="H909" i="1"/>
  <c r="I909" i="1"/>
  <c r="J909" i="1"/>
  <c r="B910" i="1"/>
  <c r="C910" i="1"/>
  <c r="D910" i="1"/>
  <c r="E910" i="1"/>
  <c r="F910" i="1"/>
  <c r="G910" i="1"/>
  <c r="H910" i="1"/>
  <c r="I910" i="1"/>
  <c r="J910" i="1"/>
  <c r="B911" i="1"/>
  <c r="C911" i="1"/>
  <c r="D911" i="1"/>
  <c r="E911" i="1"/>
  <c r="F911" i="1"/>
  <c r="G911" i="1"/>
  <c r="H911" i="1"/>
  <c r="I911" i="1"/>
  <c r="J911" i="1"/>
  <c r="B912" i="1"/>
  <c r="C912" i="1"/>
  <c r="D912" i="1"/>
  <c r="E912" i="1"/>
  <c r="F912" i="1"/>
  <c r="G912" i="1"/>
  <c r="H912" i="1"/>
  <c r="I912" i="1"/>
  <c r="J912" i="1"/>
  <c r="B913" i="1"/>
  <c r="C913" i="1"/>
  <c r="D913" i="1"/>
  <c r="E913" i="1"/>
  <c r="F913" i="1"/>
  <c r="G913" i="1"/>
  <c r="H913" i="1"/>
  <c r="I913" i="1"/>
  <c r="J913" i="1"/>
  <c r="B914" i="1"/>
  <c r="C914" i="1"/>
  <c r="D914" i="1"/>
  <c r="E914" i="1"/>
  <c r="F914" i="1"/>
  <c r="G914" i="1"/>
  <c r="H914" i="1"/>
  <c r="I914" i="1"/>
  <c r="J914" i="1"/>
  <c r="B915" i="1"/>
  <c r="C915" i="1"/>
  <c r="D915" i="1"/>
  <c r="E915" i="1"/>
  <c r="F915" i="1"/>
  <c r="G915" i="1"/>
  <c r="H915" i="1"/>
  <c r="I915" i="1"/>
  <c r="J915" i="1"/>
  <c r="B916" i="1"/>
  <c r="C916" i="1"/>
  <c r="D916" i="1"/>
  <c r="E916" i="1"/>
  <c r="F916" i="1"/>
  <c r="G916" i="1"/>
  <c r="H916" i="1"/>
  <c r="I916" i="1"/>
  <c r="J916" i="1"/>
  <c r="B917" i="1"/>
  <c r="C917" i="1"/>
  <c r="D917" i="1"/>
  <c r="E917" i="1"/>
  <c r="F917" i="1"/>
  <c r="G917" i="1"/>
  <c r="H917" i="1"/>
  <c r="I917" i="1"/>
  <c r="J917" i="1"/>
  <c r="B918" i="1"/>
  <c r="C918" i="1"/>
  <c r="D918" i="1"/>
  <c r="E918" i="1"/>
  <c r="F918" i="1"/>
  <c r="G918" i="1"/>
  <c r="H918" i="1"/>
  <c r="I918" i="1"/>
  <c r="J918" i="1"/>
  <c r="B919" i="1"/>
  <c r="C919" i="1"/>
  <c r="D919" i="1"/>
  <c r="E919" i="1"/>
  <c r="F919" i="1"/>
  <c r="G919" i="1"/>
  <c r="H919" i="1"/>
  <c r="I919" i="1"/>
  <c r="J919" i="1"/>
  <c r="B920" i="1"/>
  <c r="C920" i="1"/>
  <c r="D920" i="1"/>
  <c r="E920" i="1"/>
  <c r="F920" i="1"/>
  <c r="G920" i="1"/>
  <c r="H920" i="1"/>
  <c r="I920" i="1"/>
  <c r="J920" i="1"/>
  <c r="B921" i="1"/>
  <c r="C921" i="1"/>
  <c r="D921" i="1"/>
  <c r="E921" i="1"/>
  <c r="F921" i="1"/>
  <c r="G921" i="1"/>
  <c r="H921" i="1"/>
  <c r="I921" i="1"/>
  <c r="J921" i="1"/>
  <c r="B922" i="1"/>
  <c r="C922" i="1"/>
  <c r="D922" i="1"/>
  <c r="E922" i="1"/>
  <c r="F922" i="1"/>
  <c r="G922" i="1"/>
  <c r="H922" i="1"/>
  <c r="I922" i="1"/>
  <c r="J922" i="1"/>
  <c r="B923" i="1"/>
  <c r="C923" i="1"/>
  <c r="D923" i="1"/>
  <c r="E923" i="1"/>
  <c r="F923" i="1"/>
  <c r="G923" i="1"/>
  <c r="H923" i="1"/>
  <c r="I923" i="1"/>
  <c r="J923" i="1"/>
  <c r="B924" i="1"/>
  <c r="C924" i="1"/>
  <c r="D924" i="1"/>
  <c r="E924" i="1"/>
  <c r="F924" i="1"/>
  <c r="G924" i="1"/>
  <c r="H924" i="1"/>
  <c r="I924" i="1"/>
  <c r="J924" i="1"/>
  <c r="B925" i="1"/>
  <c r="C925" i="1"/>
  <c r="D925" i="1"/>
  <c r="E925" i="1"/>
  <c r="F925" i="1"/>
  <c r="G925" i="1"/>
  <c r="H925" i="1"/>
  <c r="I925" i="1"/>
  <c r="J925" i="1"/>
  <c r="B926" i="1"/>
  <c r="C926" i="1"/>
  <c r="D926" i="1"/>
  <c r="E926" i="1"/>
  <c r="F926" i="1"/>
  <c r="G926" i="1"/>
  <c r="H926" i="1"/>
  <c r="I926" i="1"/>
  <c r="J926" i="1"/>
  <c r="B927" i="1"/>
  <c r="C927" i="1"/>
  <c r="D927" i="1"/>
  <c r="E927" i="1"/>
  <c r="F927" i="1"/>
  <c r="G927" i="1"/>
  <c r="H927" i="1"/>
  <c r="I927" i="1"/>
  <c r="J927" i="1"/>
  <c r="B928" i="1"/>
  <c r="C928" i="1"/>
  <c r="D928" i="1"/>
  <c r="E928" i="1"/>
  <c r="F928" i="1"/>
  <c r="G928" i="1"/>
  <c r="H928" i="1"/>
  <c r="I928" i="1"/>
  <c r="J928" i="1"/>
  <c r="B929" i="1"/>
  <c r="C929" i="1"/>
  <c r="D929" i="1"/>
  <c r="E929" i="1"/>
  <c r="F929" i="1"/>
  <c r="G929" i="1"/>
  <c r="H929" i="1"/>
  <c r="I929" i="1"/>
  <c r="J929" i="1"/>
  <c r="B930" i="1"/>
  <c r="C930" i="1"/>
  <c r="D930" i="1"/>
  <c r="E930" i="1"/>
  <c r="F930" i="1"/>
  <c r="G930" i="1"/>
  <c r="H930" i="1"/>
  <c r="I930" i="1"/>
  <c r="J930" i="1"/>
  <c r="B931" i="1"/>
  <c r="C931" i="1"/>
  <c r="D931" i="1"/>
  <c r="E931" i="1"/>
  <c r="F931" i="1"/>
  <c r="G931" i="1"/>
  <c r="H931" i="1"/>
  <c r="I931" i="1"/>
  <c r="J931" i="1"/>
  <c r="B932" i="1"/>
  <c r="C932" i="1"/>
  <c r="D932" i="1"/>
  <c r="E932" i="1"/>
  <c r="F932" i="1"/>
  <c r="G932" i="1"/>
  <c r="H932" i="1"/>
  <c r="I932" i="1"/>
  <c r="J932" i="1"/>
  <c r="B933" i="1"/>
  <c r="C933" i="1"/>
  <c r="D933" i="1"/>
  <c r="E933" i="1"/>
  <c r="F933" i="1"/>
  <c r="G933" i="1"/>
  <c r="H933" i="1"/>
  <c r="I933" i="1"/>
  <c r="J933" i="1"/>
  <c r="B934" i="1"/>
  <c r="C934" i="1"/>
  <c r="D934" i="1"/>
  <c r="E934" i="1"/>
  <c r="F934" i="1"/>
  <c r="G934" i="1"/>
  <c r="H934" i="1"/>
  <c r="I934" i="1"/>
  <c r="J934" i="1"/>
  <c r="B935" i="1"/>
  <c r="C935" i="1"/>
  <c r="D935" i="1"/>
  <c r="E935" i="1"/>
  <c r="F935" i="1"/>
  <c r="G935" i="1"/>
  <c r="H935" i="1"/>
  <c r="I935" i="1"/>
  <c r="J935" i="1"/>
  <c r="B936" i="1"/>
  <c r="C936" i="1"/>
  <c r="D936" i="1"/>
  <c r="E936" i="1"/>
  <c r="F936" i="1"/>
  <c r="G936" i="1"/>
  <c r="H936" i="1"/>
  <c r="I936" i="1"/>
  <c r="J936" i="1"/>
  <c r="B937" i="1"/>
  <c r="C937" i="1"/>
  <c r="D937" i="1"/>
  <c r="E937" i="1"/>
  <c r="F937" i="1"/>
  <c r="G937" i="1"/>
  <c r="H937" i="1"/>
  <c r="I937" i="1"/>
  <c r="J937" i="1"/>
  <c r="B938" i="1"/>
  <c r="C938" i="1"/>
  <c r="D938" i="1"/>
  <c r="E938" i="1"/>
  <c r="F938" i="1"/>
  <c r="G938" i="1"/>
  <c r="H938" i="1"/>
  <c r="I938" i="1"/>
  <c r="J938" i="1"/>
  <c r="B939" i="1"/>
  <c r="C939" i="1"/>
  <c r="D939" i="1"/>
  <c r="E939" i="1"/>
  <c r="F939" i="1"/>
  <c r="G939" i="1"/>
  <c r="H939" i="1"/>
  <c r="I939" i="1"/>
  <c r="J939" i="1"/>
  <c r="B940" i="1"/>
  <c r="C940" i="1"/>
  <c r="D940" i="1"/>
  <c r="E940" i="1"/>
  <c r="F940" i="1"/>
  <c r="G940" i="1"/>
  <c r="H940" i="1"/>
  <c r="I940" i="1"/>
  <c r="J940" i="1"/>
  <c r="B941" i="1"/>
  <c r="C941" i="1"/>
  <c r="D941" i="1"/>
  <c r="E941" i="1"/>
  <c r="F941" i="1"/>
  <c r="G941" i="1"/>
  <c r="H941" i="1"/>
  <c r="I941" i="1"/>
  <c r="J941" i="1"/>
  <c r="B942" i="1"/>
  <c r="C942" i="1"/>
  <c r="D942" i="1"/>
  <c r="E942" i="1"/>
  <c r="F942" i="1"/>
  <c r="G942" i="1"/>
  <c r="H942" i="1"/>
  <c r="I942" i="1"/>
  <c r="J942" i="1"/>
  <c r="B943" i="1"/>
  <c r="C943" i="1"/>
  <c r="D943" i="1"/>
  <c r="E943" i="1"/>
  <c r="F943" i="1"/>
  <c r="G943" i="1"/>
  <c r="H943" i="1"/>
  <c r="I943" i="1"/>
  <c r="J943" i="1"/>
  <c r="B944" i="1"/>
  <c r="C944" i="1"/>
  <c r="D944" i="1"/>
  <c r="E944" i="1"/>
  <c r="F944" i="1"/>
  <c r="G944" i="1"/>
  <c r="H944" i="1"/>
  <c r="I944" i="1"/>
  <c r="J944" i="1"/>
  <c r="B945" i="1"/>
  <c r="C945" i="1"/>
  <c r="D945" i="1"/>
  <c r="E945" i="1"/>
  <c r="F945" i="1"/>
  <c r="G945" i="1"/>
  <c r="H945" i="1"/>
  <c r="I945" i="1"/>
  <c r="J945" i="1"/>
  <c r="B946" i="1"/>
  <c r="C946" i="1"/>
  <c r="D946" i="1"/>
  <c r="E946" i="1"/>
  <c r="F946" i="1"/>
  <c r="G946" i="1"/>
  <c r="H946" i="1"/>
  <c r="I946" i="1"/>
  <c r="J946" i="1"/>
  <c r="B947" i="1"/>
  <c r="C947" i="1"/>
  <c r="D947" i="1"/>
  <c r="E947" i="1"/>
  <c r="F947" i="1"/>
  <c r="G947" i="1"/>
  <c r="H947" i="1"/>
  <c r="I947" i="1"/>
  <c r="J947" i="1"/>
  <c r="B948" i="1"/>
  <c r="C948" i="1"/>
  <c r="D948" i="1"/>
  <c r="E948" i="1"/>
  <c r="F948" i="1"/>
  <c r="G948" i="1"/>
  <c r="H948" i="1"/>
  <c r="I948" i="1"/>
  <c r="J948" i="1"/>
  <c r="B949" i="1"/>
  <c r="C949" i="1"/>
  <c r="D949" i="1"/>
  <c r="E949" i="1"/>
  <c r="F949" i="1"/>
  <c r="G949" i="1"/>
  <c r="H949" i="1"/>
  <c r="I949" i="1"/>
  <c r="J949" i="1"/>
  <c r="B950" i="1"/>
  <c r="C950" i="1"/>
  <c r="D950" i="1"/>
  <c r="E950" i="1"/>
  <c r="F950" i="1"/>
  <c r="G950" i="1"/>
  <c r="H950" i="1"/>
  <c r="I950" i="1"/>
  <c r="J950" i="1"/>
  <c r="B951" i="1"/>
  <c r="C951" i="1"/>
  <c r="D951" i="1"/>
  <c r="E951" i="1"/>
  <c r="F951" i="1"/>
  <c r="G951" i="1"/>
  <c r="H951" i="1"/>
  <c r="I951" i="1"/>
  <c r="J951" i="1"/>
  <c r="B952" i="1"/>
  <c r="C952" i="1"/>
  <c r="D952" i="1"/>
  <c r="E952" i="1"/>
  <c r="F952" i="1"/>
  <c r="G952" i="1"/>
  <c r="H952" i="1"/>
  <c r="I952" i="1"/>
  <c r="J952" i="1"/>
  <c r="B953" i="1"/>
  <c r="C953" i="1"/>
  <c r="D953" i="1"/>
  <c r="E953" i="1"/>
  <c r="F953" i="1"/>
  <c r="G953" i="1"/>
  <c r="H953" i="1"/>
  <c r="I953" i="1"/>
  <c r="J953" i="1"/>
  <c r="B954" i="1"/>
  <c r="C954" i="1"/>
  <c r="D954" i="1"/>
  <c r="E954" i="1"/>
  <c r="F954" i="1"/>
  <c r="G954" i="1"/>
  <c r="H954" i="1"/>
  <c r="I954" i="1"/>
  <c r="J954" i="1"/>
  <c r="B955" i="1"/>
  <c r="C955" i="1"/>
  <c r="D955" i="1"/>
  <c r="E955" i="1"/>
  <c r="F955" i="1"/>
  <c r="G955" i="1"/>
  <c r="H955" i="1"/>
  <c r="I955" i="1"/>
  <c r="J955" i="1"/>
  <c r="B956" i="1"/>
  <c r="C956" i="1"/>
  <c r="D956" i="1"/>
  <c r="E956" i="1"/>
  <c r="F956" i="1"/>
  <c r="G956" i="1"/>
  <c r="H956" i="1"/>
  <c r="I956" i="1"/>
  <c r="J956" i="1"/>
  <c r="B957" i="1"/>
  <c r="C957" i="1"/>
  <c r="D957" i="1"/>
  <c r="E957" i="1"/>
  <c r="F957" i="1"/>
  <c r="G957" i="1"/>
  <c r="H957" i="1"/>
  <c r="I957" i="1"/>
  <c r="J957" i="1"/>
  <c r="B958" i="1"/>
  <c r="C958" i="1"/>
  <c r="D958" i="1"/>
  <c r="E958" i="1"/>
  <c r="F958" i="1"/>
  <c r="G958" i="1"/>
  <c r="H958" i="1"/>
  <c r="I958" i="1"/>
  <c r="J958" i="1"/>
  <c r="B959" i="1"/>
  <c r="C959" i="1"/>
  <c r="D959" i="1"/>
  <c r="E959" i="1"/>
  <c r="F959" i="1"/>
  <c r="G959" i="1"/>
  <c r="H959" i="1"/>
  <c r="I959" i="1"/>
  <c r="J959" i="1"/>
  <c r="B960" i="1"/>
  <c r="C960" i="1"/>
  <c r="D960" i="1"/>
  <c r="E960" i="1"/>
  <c r="F960" i="1"/>
  <c r="G960" i="1"/>
  <c r="H960" i="1"/>
  <c r="I960" i="1"/>
  <c r="J960" i="1"/>
  <c r="B961" i="1"/>
  <c r="C961" i="1"/>
  <c r="D961" i="1"/>
  <c r="E961" i="1"/>
  <c r="F961" i="1"/>
  <c r="G961" i="1"/>
  <c r="H961" i="1"/>
  <c r="I961" i="1"/>
  <c r="J961" i="1"/>
  <c r="B962" i="1"/>
  <c r="C962" i="1"/>
  <c r="D962" i="1"/>
  <c r="E962" i="1"/>
  <c r="F962" i="1"/>
  <c r="G962" i="1"/>
  <c r="H962" i="1"/>
  <c r="I962" i="1"/>
  <c r="J962" i="1"/>
  <c r="B963" i="1"/>
  <c r="C963" i="1"/>
  <c r="D963" i="1"/>
  <c r="E963" i="1"/>
  <c r="F963" i="1"/>
  <c r="G963" i="1"/>
  <c r="H963" i="1"/>
  <c r="I963" i="1"/>
  <c r="J963" i="1"/>
  <c r="B964" i="1"/>
  <c r="C964" i="1"/>
  <c r="D964" i="1"/>
  <c r="E964" i="1"/>
  <c r="F964" i="1"/>
  <c r="G964" i="1"/>
  <c r="H964" i="1"/>
  <c r="I964" i="1"/>
  <c r="J964" i="1"/>
  <c r="B965" i="1"/>
  <c r="C965" i="1"/>
  <c r="D965" i="1"/>
  <c r="E965" i="1"/>
  <c r="F965" i="1"/>
  <c r="G965" i="1"/>
  <c r="H965" i="1"/>
  <c r="I965" i="1"/>
  <c r="J965" i="1"/>
  <c r="B966" i="1"/>
  <c r="C966" i="1"/>
  <c r="D966" i="1"/>
  <c r="E966" i="1"/>
  <c r="F966" i="1"/>
  <c r="G966" i="1"/>
  <c r="H966" i="1"/>
  <c r="I966" i="1"/>
  <c r="J966" i="1"/>
  <c r="B967" i="1"/>
  <c r="C967" i="1"/>
  <c r="D967" i="1"/>
  <c r="E967" i="1"/>
  <c r="F967" i="1"/>
  <c r="G967" i="1"/>
  <c r="H967" i="1"/>
  <c r="I967" i="1"/>
  <c r="J967" i="1"/>
  <c r="B968" i="1"/>
  <c r="C968" i="1"/>
  <c r="D968" i="1"/>
  <c r="E968" i="1"/>
  <c r="F968" i="1"/>
  <c r="G968" i="1"/>
  <c r="H968" i="1"/>
  <c r="I968" i="1"/>
  <c r="J968" i="1"/>
  <c r="B969" i="1"/>
  <c r="C969" i="1"/>
  <c r="D969" i="1"/>
  <c r="E969" i="1"/>
  <c r="F969" i="1"/>
  <c r="G969" i="1"/>
  <c r="H969" i="1"/>
  <c r="I969" i="1"/>
  <c r="J969" i="1"/>
  <c r="B970" i="1"/>
  <c r="C970" i="1"/>
  <c r="D970" i="1"/>
  <c r="E970" i="1"/>
  <c r="F970" i="1"/>
  <c r="G970" i="1"/>
  <c r="H970" i="1"/>
  <c r="I970" i="1"/>
  <c r="J970" i="1"/>
  <c r="B971" i="1"/>
  <c r="C971" i="1"/>
  <c r="D971" i="1"/>
  <c r="E971" i="1"/>
  <c r="F971" i="1"/>
  <c r="G971" i="1"/>
  <c r="H971" i="1"/>
  <c r="I971" i="1"/>
  <c r="J971" i="1"/>
  <c r="B972" i="1"/>
  <c r="C972" i="1"/>
  <c r="D972" i="1"/>
  <c r="E972" i="1"/>
  <c r="F972" i="1"/>
  <c r="G972" i="1"/>
  <c r="H972" i="1"/>
  <c r="I972" i="1"/>
  <c r="J972" i="1"/>
  <c r="B973" i="1"/>
  <c r="C973" i="1"/>
  <c r="D973" i="1"/>
  <c r="E973" i="1"/>
  <c r="F973" i="1"/>
  <c r="G973" i="1"/>
  <c r="H973" i="1"/>
  <c r="I973" i="1"/>
  <c r="J973" i="1"/>
  <c r="B974" i="1"/>
  <c r="C974" i="1"/>
  <c r="D974" i="1"/>
  <c r="E974" i="1"/>
  <c r="F974" i="1"/>
  <c r="G974" i="1"/>
  <c r="H974" i="1"/>
  <c r="I974" i="1"/>
  <c r="J974" i="1"/>
  <c r="B975" i="1"/>
  <c r="C975" i="1"/>
  <c r="D975" i="1"/>
  <c r="E975" i="1"/>
  <c r="F975" i="1"/>
  <c r="G975" i="1"/>
  <c r="H975" i="1"/>
  <c r="I975" i="1"/>
  <c r="J975" i="1"/>
  <c r="B976" i="1"/>
  <c r="C976" i="1"/>
  <c r="D976" i="1"/>
  <c r="E976" i="1"/>
  <c r="F976" i="1"/>
  <c r="G976" i="1"/>
  <c r="H976" i="1"/>
  <c r="I976" i="1"/>
  <c r="J976" i="1"/>
  <c r="B977" i="1"/>
  <c r="C977" i="1"/>
  <c r="D977" i="1"/>
  <c r="E977" i="1"/>
  <c r="F977" i="1"/>
  <c r="G977" i="1"/>
  <c r="H977" i="1"/>
  <c r="I977" i="1"/>
  <c r="J977" i="1"/>
  <c r="B978" i="1"/>
  <c r="C978" i="1"/>
  <c r="D978" i="1"/>
  <c r="E978" i="1"/>
  <c r="F978" i="1"/>
  <c r="G978" i="1"/>
  <c r="H978" i="1"/>
  <c r="I978" i="1"/>
  <c r="J978" i="1"/>
  <c r="B979" i="1"/>
  <c r="C979" i="1"/>
  <c r="D979" i="1"/>
  <c r="E979" i="1"/>
  <c r="F979" i="1"/>
  <c r="G979" i="1"/>
  <c r="H979" i="1"/>
  <c r="I979" i="1"/>
  <c r="J979" i="1"/>
  <c r="B980" i="1"/>
  <c r="C980" i="1"/>
  <c r="D980" i="1"/>
  <c r="E980" i="1"/>
  <c r="F980" i="1"/>
  <c r="G980" i="1"/>
  <c r="H980" i="1"/>
  <c r="I980" i="1"/>
  <c r="J980" i="1"/>
  <c r="B981" i="1"/>
  <c r="C981" i="1"/>
  <c r="D981" i="1"/>
  <c r="E981" i="1"/>
  <c r="F981" i="1"/>
  <c r="G981" i="1"/>
  <c r="H981" i="1"/>
  <c r="I981" i="1"/>
  <c r="J981" i="1"/>
  <c r="B982" i="1"/>
  <c r="C982" i="1"/>
  <c r="D982" i="1"/>
  <c r="E982" i="1"/>
  <c r="F982" i="1"/>
  <c r="G982" i="1"/>
  <c r="H982" i="1"/>
  <c r="I982" i="1"/>
  <c r="J982" i="1"/>
  <c r="B983" i="1"/>
  <c r="C983" i="1"/>
  <c r="D983" i="1"/>
  <c r="E983" i="1"/>
  <c r="F983" i="1"/>
  <c r="G983" i="1"/>
  <c r="H983" i="1"/>
  <c r="I983" i="1"/>
  <c r="J983" i="1"/>
  <c r="B984" i="1"/>
  <c r="C984" i="1"/>
  <c r="D984" i="1"/>
  <c r="E984" i="1"/>
  <c r="F984" i="1"/>
  <c r="G984" i="1"/>
  <c r="H984" i="1"/>
  <c r="I984" i="1"/>
  <c r="J984" i="1"/>
  <c r="B985" i="1"/>
  <c r="C985" i="1"/>
  <c r="D985" i="1"/>
  <c r="E985" i="1"/>
  <c r="F985" i="1"/>
  <c r="G985" i="1"/>
  <c r="H985" i="1"/>
  <c r="I985" i="1"/>
  <c r="J985" i="1"/>
  <c r="B986" i="1"/>
  <c r="C986" i="1"/>
  <c r="D986" i="1"/>
  <c r="E986" i="1"/>
  <c r="F986" i="1"/>
  <c r="G986" i="1"/>
  <c r="H986" i="1"/>
  <c r="I986" i="1"/>
  <c r="J986" i="1"/>
  <c r="B987" i="1"/>
  <c r="C987" i="1"/>
  <c r="D987" i="1"/>
  <c r="E987" i="1"/>
  <c r="F987" i="1"/>
  <c r="G987" i="1"/>
  <c r="H987" i="1"/>
  <c r="I987" i="1"/>
  <c r="J987" i="1"/>
  <c r="B988" i="1"/>
  <c r="C988" i="1"/>
  <c r="D988" i="1"/>
  <c r="E988" i="1"/>
  <c r="F988" i="1"/>
  <c r="G988" i="1"/>
  <c r="H988" i="1"/>
  <c r="I988" i="1"/>
  <c r="J988" i="1"/>
  <c r="B989" i="1"/>
  <c r="C989" i="1"/>
  <c r="D989" i="1"/>
  <c r="E989" i="1"/>
  <c r="F989" i="1"/>
  <c r="G989" i="1"/>
  <c r="H989" i="1"/>
  <c r="I989" i="1"/>
  <c r="J989" i="1"/>
  <c r="B990" i="1"/>
  <c r="C990" i="1"/>
  <c r="D990" i="1"/>
  <c r="E990" i="1"/>
  <c r="F990" i="1"/>
  <c r="G990" i="1"/>
  <c r="H990" i="1"/>
  <c r="I990" i="1"/>
  <c r="J990" i="1"/>
  <c r="B991" i="1"/>
  <c r="C991" i="1"/>
  <c r="D991" i="1"/>
  <c r="E991" i="1"/>
  <c r="F991" i="1"/>
  <c r="G991" i="1"/>
  <c r="H991" i="1"/>
  <c r="I991" i="1"/>
  <c r="J991" i="1"/>
  <c r="B992" i="1"/>
  <c r="C992" i="1"/>
  <c r="D992" i="1"/>
  <c r="E992" i="1"/>
  <c r="F992" i="1"/>
  <c r="G992" i="1"/>
  <c r="H992" i="1"/>
  <c r="I992" i="1"/>
  <c r="J992" i="1"/>
  <c r="B993" i="1"/>
  <c r="C993" i="1"/>
  <c r="D993" i="1"/>
  <c r="E993" i="1"/>
  <c r="F993" i="1"/>
  <c r="G993" i="1"/>
  <c r="H993" i="1"/>
  <c r="I993" i="1"/>
  <c r="J993" i="1"/>
  <c r="B994" i="1"/>
  <c r="C994" i="1"/>
  <c r="D994" i="1"/>
  <c r="E994" i="1"/>
  <c r="F994" i="1"/>
  <c r="G994" i="1"/>
  <c r="H994" i="1"/>
  <c r="I994" i="1"/>
  <c r="J994" i="1"/>
  <c r="B995" i="1"/>
  <c r="C995" i="1"/>
  <c r="D995" i="1"/>
  <c r="E995" i="1"/>
  <c r="F995" i="1"/>
  <c r="G995" i="1"/>
  <c r="H995" i="1"/>
  <c r="I995" i="1"/>
  <c r="J995" i="1"/>
  <c r="B996" i="1"/>
  <c r="C996" i="1"/>
  <c r="D996" i="1"/>
  <c r="E996" i="1"/>
  <c r="F996" i="1"/>
  <c r="G996" i="1"/>
  <c r="H996" i="1"/>
  <c r="I996" i="1"/>
  <c r="J996" i="1"/>
  <c r="B997" i="1"/>
  <c r="C997" i="1"/>
  <c r="D997" i="1"/>
  <c r="E997" i="1"/>
  <c r="F997" i="1"/>
  <c r="G997" i="1"/>
  <c r="H997" i="1"/>
  <c r="I997" i="1"/>
  <c r="J997" i="1"/>
  <c r="B998" i="1"/>
  <c r="C998" i="1"/>
  <c r="D998" i="1"/>
  <c r="E998" i="1"/>
  <c r="F998" i="1"/>
  <c r="G998" i="1"/>
  <c r="H998" i="1"/>
  <c r="I998" i="1"/>
  <c r="J998" i="1"/>
  <c r="B999" i="1"/>
  <c r="C999" i="1"/>
  <c r="D999" i="1"/>
  <c r="E999" i="1"/>
  <c r="F999" i="1"/>
  <c r="G999" i="1"/>
  <c r="H999" i="1"/>
  <c r="I999" i="1"/>
  <c r="J999" i="1"/>
  <c r="B1000" i="1"/>
  <c r="C1000" i="1"/>
  <c r="D1000" i="1"/>
  <c r="E1000" i="1"/>
  <c r="F1000" i="1"/>
  <c r="G1000" i="1"/>
  <c r="H1000" i="1"/>
  <c r="I1000" i="1"/>
  <c r="J1000" i="1"/>
  <c r="B1001" i="1"/>
  <c r="C1001" i="1"/>
  <c r="D1001" i="1"/>
  <c r="E1001" i="1"/>
  <c r="F1001" i="1"/>
  <c r="G1001" i="1"/>
  <c r="H1001" i="1"/>
  <c r="I1001" i="1"/>
  <c r="J1001" i="1"/>
  <c r="B1002" i="1"/>
  <c r="C1002" i="1"/>
  <c r="D1002" i="1"/>
  <c r="E1002" i="1"/>
  <c r="F1002" i="1"/>
  <c r="G1002" i="1"/>
  <c r="H1002" i="1"/>
  <c r="I1002" i="1"/>
  <c r="J1002" i="1"/>
  <c r="B1003" i="1"/>
  <c r="C1003" i="1"/>
  <c r="D1003" i="1"/>
  <c r="E1003" i="1"/>
  <c r="F1003" i="1"/>
  <c r="G1003" i="1"/>
  <c r="H1003" i="1"/>
  <c r="I1003" i="1"/>
  <c r="J1003" i="1"/>
  <c r="B1004" i="1"/>
  <c r="C1004" i="1"/>
  <c r="D1004" i="1"/>
  <c r="E1004" i="1"/>
  <c r="F1004" i="1"/>
  <c r="G1004" i="1"/>
  <c r="H1004" i="1"/>
  <c r="I1004" i="1"/>
  <c r="J1004" i="1"/>
  <c r="B1005" i="1"/>
  <c r="C1005" i="1"/>
  <c r="D1005" i="1"/>
  <c r="E1005" i="1"/>
  <c r="F1005" i="1"/>
  <c r="G1005" i="1"/>
  <c r="H1005" i="1"/>
  <c r="I1005" i="1"/>
  <c r="J1005" i="1"/>
  <c r="B1006" i="1"/>
  <c r="C1006" i="1"/>
  <c r="D1006" i="1"/>
  <c r="E1006" i="1"/>
  <c r="F1006" i="1"/>
  <c r="G1006" i="1"/>
  <c r="H1006" i="1"/>
  <c r="I1006" i="1"/>
  <c r="J1006" i="1"/>
  <c r="B1007" i="1"/>
  <c r="C1007" i="1"/>
  <c r="D1007" i="1"/>
  <c r="E1007" i="1"/>
  <c r="F1007" i="1"/>
  <c r="G1007" i="1"/>
  <c r="H1007" i="1"/>
  <c r="I1007" i="1"/>
  <c r="J1007" i="1"/>
  <c r="B1008" i="1"/>
  <c r="C1008" i="1"/>
  <c r="D1008" i="1"/>
  <c r="E1008" i="1"/>
  <c r="F1008" i="1"/>
  <c r="G1008" i="1"/>
  <c r="H1008" i="1"/>
  <c r="I1008" i="1"/>
  <c r="J1008" i="1"/>
  <c r="B1009" i="1"/>
  <c r="C1009" i="1"/>
  <c r="D1009" i="1"/>
  <c r="E1009" i="1"/>
  <c r="F1009" i="1"/>
  <c r="G1009" i="1"/>
  <c r="H1009" i="1"/>
  <c r="I1009" i="1"/>
  <c r="J1009" i="1"/>
  <c r="B1010" i="1"/>
  <c r="C1010" i="1"/>
  <c r="D1010" i="1"/>
  <c r="E1010" i="1"/>
  <c r="F1010" i="1"/>
  <c r="G1010" i="1"/>
  <c r="H1010" i="1"/>
  <c r="I1010" i="1"/>
  <c r="J1010" i="1"/>
  <c r="B1011" i="1"/>
  <c r="C1011" i="1"/>
  <c r="D1011" i="1"/>
  <c r="E1011" i="1"/>
  <c r="F1011" i="1"/>
  <c r="G1011" i="1"/>
  <c r="H1011" i="1"/>
  <c r="I1011" i="1"/>
  <c r="J1011" i="1"/>
  <c r="B1012" i="1"/>
  <c r="C1012" i="1"/>
  <c r="D1012" i="1"/>
  <c r="E1012" i="1"/>
  <c r="F1012" i="1"/>
  <c r="G1012" i="1"/>
  <c r="H1012" i="1"/>
  <c r="I1012" i="1"/>
  <c r="J1012" i="1"/>
  <c r="B1013" i="1"/>
  <c r="C1013" i="1"/>
  <c r="D1013" i="1"/>
  <c r="E1013" i="1"/>
  <c r="F1013" i="1"/>
  <c r="G1013" i="1"/>
  <c r="H1013" i="1"/>
  <c r="I1013" i="1"/>
  <c r="J1013" i="1"/>
  <c r="B1014" i="1"/>
  <c r="C1014" i="1"/>
  <c r="D1014" i="1"/>
  <c r="E1014" i="1"/>
  <c r="F1014" i="1"/>
  <c r="G1014" i="1"/>
  <c r="H1014" i="1"/>
  <c r="I1014" i="1"/>
  <c r="J1014" i="1"/>
  <c r="B1015" i="1"/>
  <c r="C1015" i="1"/>
  <c r="D1015" i="1"/>
  <c r="E1015" i="1"/>
  <c r="F1015" i="1"/>
  <c r="G1015" i="1"/>
  <c r="H1015" i="1"/>
  <c r="I1015" i="1"/>
  <c r="J1015" i="1"/>
  <c r="B1016" i="1"/>
  <c r="C1016" i="1"/>
  <c r="D1016" i="1"/>
  <c r="E1016" i="1"/>
  <c r="F1016" i="1"/>
  <c r="G1016" i="1"/>
  <c r="H1016" i="1"/>
  <c r="I1016" i="1"/>
  <c r="J1016" i="1"/>
  <c r="B1017" i="1"/>
  <c r="C1017" i="1"/>
  <c r="D1017" i="1"/>
  <c r="E1017" i="1"/>
  <c r="F1017" i="1"/>
  <c r="G1017" i="1"/>
  <c r="H1017" i="1"/>
  <c r="I1017" i="1"/>
  <c r="J1017" i="1"/>
  <c r="B1018" i="1"/>
  <c r="C1018" i="1"/>
  <c r="D1018" i="1"/>
  <c r="E1018" i="1"/>
  <c r="F1018" i="1"/>
  <c r="G1018" i="1"/>
  <c r="H1018" i="1"/>
  <c r="I1018" i="1"/>
  <c r="J1018" i="1"/>
  <c r="B1019" i="1"/>
  <c r="C1019" i="1"/>
  <c r="D1019" i="1"/>
  <c r="E1019" i="1"/>
  <c r="F1019" i="1"/>
  <c r="G1019" i="1"/>
  <c r="H1019" i="1"/>
  <c r="I1019" i="1"/>
  <c r="J1019" i="1"/>
  <c r="B1020" i="1"/>
  <c r="C1020" i="1"/>
  <c r="D1020" i="1"/>
  <c r="E1020" i="1"/>
  <c r="F1020" i="1"/>
  <c r="G1020" i="1"/>
  <c r="H1020" i="1"/>
  <c r="I1020" i="1"/>
  <c r="J1020" i="1"/>
  <c r="B1021" i="1"/>
  <c r="C1021" i="1"/>
  <c r="D1021" i="1"/>
  <c r="E1021" i="1"/>
  <c r="F1021" i="1"/>
  <c r="G1021" i="1"/>
  <c r="H1021" i="1"/>
  <c r="I1021" i="1"/>
  <c r="J1021" i="1"/>
  <c r="B1022" i="1"/>
  <c r="C1022" i="1"/>
  <c r="D1022" i="1"/>
  <c r="E1022" i="1"/>
  <c r="F1022" i="1"/>
  <c r="G1022" i="1"/>
  <c r="H1022" i="1"/>
  <c r="I1022" i="1"/>
  <c r="J1022" i="1"/>
  <c r="B1023" i="1"/>
  <c r="C1023" i="1"/>
  <c r="D1023" i="1"/>
  <c r="E1023" i="1"/>
  <c r="F1023" i="1"/>
  <c r="G1023" i="1"/>
  <c r="H1023" i="1"/>
  <c r="I1023" i="1"/>
  <c r="J1023" i="1"/>
  <c r="B1024" i="1"/>
  <c r="C1024" i="1"/>
  <c r="D1024" i="1"/>
  <c r="E1024" i="1"/>
  <c r="F1024" i="1"/>
  <c r="G1024" i="1"/>
  <c r="H1024" i="1"/>
  <c r="I1024" i="1"/>
  <c r="J1024" i="1"/>
  <c r="B1025" i="1"/>
  <c r="C1025" i="1"/>
  <c r="D1025" i="1"/>
  <c r="E1025" i="1"/>
  <c r="F1025" i="1"/>
  <c r="G1025" i="1"/>
  <c r="H1025" i="1"/>
  <c r="I1025" i="1"/>
  <c r="J1025" i="1"/>
  <c r="B1026" i="1"/>
  <c r="C1026" i="1"/>
  <c r="D1026" i="1"/>
  <c r="E1026" i="1"/>
  <c r="F1026" i="1"/>
  <c r="G1026" i="1"/>
  <c r="H1026" i="1"/>
  <c r="I1026" i="1"/>
  <c r="J1026" i="1"/>
  <c r="B1027" i="1"/>
  <c r="C1027" i="1"/>
  <c r="D1027" i="1"/>
  <c r="E1027" i="1"/>
  <c r="F1027" i="1"/>
  <c r="G1027" i="1"/>
  <c r="H1027" i="1"/>
  <c r="I1027" i="1"/>
  <c r="J1027" i="1"/>
  <c r="B1028" i="1"/>
  <c r="C1028" i="1"/>
  <c r="D1028" i="1"/>
  <c r="E1028" i="1"/>
  <c r="F1028" i="1"/>
  <c r="G1028" i="1"/>
  <c r="H1028" i="1"/>
  <c r="I1028" i="1"/>
  <c r="J1028" i="1"/>
  <c r="B1029" i="1"/>
  <c r="C1029" i="1"/>
  <c r="D1029" i="1"/>
  <c r="E1029" i="1"/>
  <c r="F1029" i="1"/>
  <c r="G1029" i="1"/>
  <c r="H1029" i="1"/>
  <c r="I1029" i="1"/>
  <c r="J1029" i="1"/>
  <c r="B1030" i="1"/>
  <c r="C1030" i="1"/>
  <c r="D1030" i="1"/>
  <c r="E1030" i="1"/>
  <c r="F1030" i="1"/>
  <c r="G1030" i="1"/>
  <c r="H1030" i="1"/>
  <c r="I1030" i="1"/>
  <c r="J1030" i="1"/>
  <c r="B1031" i="1"/>
  <c r="C1031" i="1"/>
  <c r="D1031" i="1"/>
  <c r="E1031" i="1"/>
  <c r="F1031" i="1"/>
  <c r="G1031" i="1"/>
  <c r="H1031" i="1"/>
  <c r="I1031" i="1"/>
  <c r="J1031" i="1"/>
  <c r="B1032" i="1"/>
  <c r="C1032" i="1"/>
  <c r="D1032" i="1"/>
  <c r="E1032" i="1"/>
  <c r="F1032" i="1"/>
  <c r="G1032" i="1"/>
  <c r="H1032" i="1"/>
  <c r="I1032" i="1"/>
  <c r="J1032" i="1"/>
  <c r="B1033" i="1"/>
  <c r="C1033" i="1"/>
  <c r="D1033" i="1"/>
  <c r="E1033" i="1"/>
  <c r="F1033" i="1"/>
  <c r="G1033" i="1"/>
  <c r="H1033" i="1"/>
  <c r="I1033" i="1"/>
  <c r="J1033" i="1"/>
  <c r="B1034" i="1"/>
  <c r="C1034" i="1"/>
  <c r="D1034" i="1"/>
  <c r="E1034" i="1"/>
  <c r="F1034" i="1"/>
  <c r="G1034" i="1"/>
  <c r="H1034" i="1"/>
  <c r="I1034" i="1"/>
  <c r="J1034" i="1"/>
  <c r="B1035" i="1"/>
  <c r="C1035" i="1"/>
  <c r="D1035" i="1"/>
  <c r="E1035" i="1"/>
  <c r="F1035" i="1"/>
  <c r="G1035" i="1"/>
  <c r="H1035" i="1"/>
  <c r="I1035" i="1"/>
  <c r="J1035" i="1"/>
  <c r="B1036" i="1"/>
  <c r="C1036" i="1"/>
  <c r="D1036" i="1"/>
  <c r="E1036" i="1"/>
  <c r="F1036" i="1"/>
  <c r="G1036" i="1"/>
  <c r="H1036" i="1"/>
  <c r="I1036" i="1"/>
  <c r="J1036" i="1"/>
  <c r="B1037" i="1"/>
  <c r="C1037" i="1"/>
  <c r="D1037" i="1"/>
  <c r="E1037" i="1"/>
  <c r="F1037" i="1"/>
  <c r="G1037" i="1"/>
  <c r="H1037" i="1"/>
  <c r="I1037" i="1"/>
  <c r="J1037" i="1"/>
  <c r="B1038" i="1"/>
  <c r="C1038" i="1"/>
  <c r="D1038" i="1"/>
  <c r="E1038" i="1"/>
  <c r="F1038" i="1"/>
  <c r="G1038" i="1"/>
  <c r="H1038" i="1"/>
  <c r="I1038" i="1"/>
  <c r="J1038" i="1"/>
  <c r="B1039" i="1"/>
  <c r="C1039" i="1"/>
  <c r="D1039" i="1"/>
  <c r="E1039" i="1"/>
  <c r="F1039" i="1"/>
  <c r="G1039" i="1"/>
  <c r="H1039" i="1"/>
  <c r="I1039" i="1"/>
  <c r="J1039" i="1"/>
  <c r="B1040" i="1"/>
  <c r="C1040" i="1"/>
  <c r="D1040" i="1"/>
  <c r="E1040" i="1"/>
  <c r="F1040" i="1"/>
  <c r="G1040" i="1"/>
  <c r="H1040" i="1"/>
  <c r="I1040" i="1"/>
  <c r="J1040" i="1"/>
  <c r="B1041" i="1"/>
  <c r="C1041" i="1"/>
  <c r="D1041" i="1"/>
  <c r="E1041" i="1"/>
  <c r="F1041" i="1"/>
  <c r="G1041" i="1"/>
  <c r="H1041" i="1"/>
  <c r="I1041" i="1"/>
  <c r="J1041" i="1"/>
  <c r="B1042" i="1"/>
  <c r="C1042" i="1"/>
  <c r="D1042" i="1"/>
  <c r="E1042" i="1"/>
  <c r="F1042" i="1"/>
  <c r="G1042" i="1"/>
  <c r="H1042" i="1"/>
  <c r="I1042" i="1"/>
  <c r="J1042" i="1"/>
  <c r="B1043" i="1"/>
  <c r="C1043" i="1"/>
  <c r="D1043" i="1"/>
  <c r="E1043" i="1"/>
  <c r="F1043" i="1"/>
  <c r="G1043" i="1"/>
  <c r="H1043" i="1"/>
  <c r="I1043" i="1"/>
  <c r="J1043" i="1"/>
  <c r="B1044" i="1"/>
  <c r="C1044" i="1"/>
  <c r="D1044" i="1"/>
  <c r="E1044" i="1"/>
  <c r="F1044" i="1"/>
  <c r="G1044" i="1"/>
  <c r="H1044" i="1"/>
  <c r="I1044" i="1"/>
  <c r="J1044" i="1"/>
  <c r="B1045" i="1"/>
  <c r="C1045" i="1"/>
  <c r="D1045" i="1"/>
  <c r="E1045" i="1"/>
  <c r="F1045" i="1"/>
  <c r="G1045" i="1"/>
  <c r="H1045" i="1"/>
  <c r="I1045" i="1"/>
  <c r="J1045" i="1"/>
  <c r="B1046" i="1"/>
  <c r="C1046" i="1"/>
  <c r="D1046" i="1"/>
  <c r="E1046" i="1"/>
  <c r="F1046" i="1"/>
  <c r="G1046" i="1"/>
  <c r="H1046" i="1"/>
  <c r="I1046" i="1"/>
  <c r="J1046" i="1"/>
  <c r="B1047" i="1"/>
  <c r="C1047" i="1"/>
  <c r="D1047" i="1"/>
  <c r="E1047" i="1"/>
  <c r="F1047" i="1"/>
  <c r="G1047" i="1"/>
  <c r="H1047" i="1"/>
  <c r="I1047" i="1"/>
  <c r="J1047" i="1"/>
  <c r="B1048" i="1"/>
  <c r="C1048" i="1"/>
  <c r="D1048" i="1"/>
  <c r="E1048" i="1"/>
  <c r="F1048" i="1"/>
  <c r="G1048" i="1"/>
  <c r="H1048" i="1"/>
  <c r="I1048" i="1"/>
  <c r="J1048" i="1"/>
  <c r="D1050" i="1"/>
  <c r="F1050" i="1"/>
  <c r="G1050" i="1"/>
  <c r="J1050" i="1"/>
  <c r="K1050" i="1"/>
  <c r="L1050" i="1"/>
  <c r="M1050" i="1"/>
  <c r="N1050" i="1"/>
  <c r="O1050" i="1"/>
  <c r="P1050" i="1"/>
  <c r="S1050" i="1"/>
  <c r="B1051" i="1"/>
  <c r="C1051" i="1"/>
  <c r="F1051" i="1"/>
  <c r="G1051" i="1"/>
  <c r="J1051" i="1"/>
  <c r="L1051" i="1"/>
  <c r="M1051" i="1"/>
  <c r="N1051" i="1"/>
  <c r="O1051" i="1"/>
  <c r="P1051" i="1"/>
  <c r="R1051" i="1"/>
  <c r="C1052" i="1"/>
  <c r="D1052" i="1"/>
  <c r="F1052" i="1"/>
  <c r="G1052" i="1"/>
  <c r="L1052" i="1"/>
  <c r="M1052" i="1"/>
  <c r="N1052" i="1"/>
  <c r="O1052" i="1"/>
  <c r="P1052" i="1"/>
  <c r="Q1052" i="1"/>
  <c r="E1053" i="1"/>
  <c r="F1053" i="1"/>
  <c r="G1053" i="1"/>
  <c r="I1053" i="1"/>
  <c r="J1053" i="1"/>
  <c r="L1053" i="1"/>
  <c r="M1053" i="1"/>
  <c r="N1053" i="1"/>
  <c r="O1053" i="1"/>
  <c r="P1053" i="1"/>
  <c r="Q1053" i="1"/>
  <c r="B1054" i="1"/>
  <c r="C1054" i="1"/>
  <c r="G1054" i="1"/>
  <c r="I1054" i="1"/>
  <c r="L1054" i="1"/>
  <c r="M1054" i="1"/>
  <c r="N1054" i="1"/>
  <c r="O1054" i="1"/>
  <c r="P1054" i="1"/>
  <c r="Q1054" i="1"/>
  <c r="B1055" i="1"/>
  <c r="D1055" i="1"/>
  <c r="J1055" i="1"/>
  <c r="L1055" i="1"/>
  <c r="M1055" i="1"/>
  <c r="N1055" i="1"/>
  <c r="O1055" i="1"/>
  <c r="P1055" i="1"/>
  <c r="Q1055" i="1"/>
  <c r="C1056" i="1"/>
  <c r="D1056" i="1"/>
  <c r="G1056" i="1"/>
  <c r="H1056" i="1"/>
  <c r="L1056" i="1"/>
  <c r="M1056" i="1"/>
  <c r="N1056" i="1"/>
  <c r="O1056" i="1"/>
  <c r="P1056" i="1"/>
  <c r="Q1056" i="1"/>
  <c r="D1057" i="1"/>
  <c r="E1057" i="1"/>
  <c r="F1057" i="1"/>
  <c r="J1057" i="1"/>
  <c r="L1057" i="1"/>
  <c r="M1057" i="1"/>
  <c r="N1057" i="1"/>
  <c r="O1057" i="1"/>
  <c r="P1057" i="1"/>
  <c r="Q1057" i="1"/>
  <c r="C1058" i="1"/>
  <c r="J1058" i="1"/>
  <c r="L1058" i="1"/>
  <c r="M1058" i="1"/>
  <c r="N1058" i="1"/>
  <c r="O1058" i="1"/>
  <c r="P1058" i="1"/>
  <c r="Q1058" i="1"/>
  <c r="C1059" i="1"/>
  <c r="D1059" i="1"/>
  <c r="H1059" i="1"/>
  <c r="J1059" i="1"/>
  <c r="L1059" i="1"/>
  <c r="M1059" i="1"/>
  <c r="N1059" i="1"/>
  <c r="O1059" i="1"/>
  <c r="P1059" i="1"/>
  <c r="Q1059" i="1"/>
  <c r="C1060" i="1"/>
  <c r="D1060" i="1"/>
  <c r="G1060" i="1"/>
  <c r="L1060" i="1"/>
  <c r="M1060" i="1"/>
  <c r="N1060" i="1"/>
  <c r="O1060" i="1"/>
  <c r="P1060" i="1"/>
  <c r="Q1060" i="1"/>
  <c r="B1061" i="1"/>
  <c r="H1061" i="1"/>
  <c r="I1061" i="1"/>
  <c r="J1061" i="1"/>
  <c r="L1061" i="1"/>
  <c r="M1061" i="1"/>
  <c r="N1061" i="1"/>
  <c r="O1061" i="1"/>
  <c r="P1061" i="1"/>
  <c r="Q1061" i="1"/>
  <c r="B1062" i="1"/>
  <c r="C1062" i="1"/>
  <c r="D1062" i="1"/>
  <c r="I1062" i="1"/>
  <c r="L1062" i="1"/>
  <c r="M1062" i="1"/>
  <c r="N1062" i="1"/>
  <c r="O1062" i="1"/>
  <c r="P1062" i="1"/>
  <c r="Q1062" i="1"/>
  <c r="B1063" i="1"/>
  <c r="E1063" i="1"/>
  <c r="H1063" i="1"/>
  <c r="I1063" i="1"/>
  <c r="L1063" i="1"/>
  <c r="M1063" i="1"/>
  <c r="N1063" i="1"/>
  <c r="O1063" i="1"/>
  <c r="P1063" i="1"/>
  <c r="Q1063" i="1"/>
  <c r="B1064" i="1"/>
  <c r="D1064" i="1"/>
  <c r="E1064" i="1"/>
  <c r="I1064" i="1"/>
  <c r="L1064" i="1"/>
  <c r="M1064" i="1"/>
  <c r="N1064" i="1"/>
  <c r="O1064" i="1"/>
  <c r="P1064" i="1"/>
  <c r="Q1064" i="1"/>
  <c r="B1065" i="1"/>
  <c r="E1065" i="1"/>
  <c r="G1065" i="1"/>
  <c r="I1065" i="1"/>
  <c r="J1065" i="1"/>
  <c r="L1065" i="1"/>
  <c r="M1065" i="1"/>
  <c r="N1065" i="1"/>
  <c r="O1065" i="1"/>
  <c r="P1065" i="1"/>
  <c r="Q1065" i="1"/>
  <c r="B1066" i="1"/>
  <c r="C1066" i="1"/>
  <c r="E1066" i="1"/>
  <c r="J1066" i="1"/>
  <c r="L1066" i="1"/>
  <c r="M1066" i="1"/>
  <c r="N1066" i="1"/>
  <c r="O1066" i="1"/>
  <c r="P1066" i="1"/>
  <c r="Q1066" i="1"/>
  <c r="E1067" i="1"/>
  <c r="F1067" i="1"/>
  <c r="G1067" i="1"/>
  <c r="H1067" i="1"/>
  <c r="L1067" i="1"/>
  <c r="M1067" i="1"/>
  <c r="N1067" i="1"/>
  <c r="O1067" i="1"/>
  <c r="P1067" i="1"/>
  <c r="Q1067" i="1"/>
  <c r="B1068" i="1"/>
  <c r="E1068" i="1"/>
  <c r="I1068" i="1"/>
  <c r="J1068" i="1"/>
  <c r="L1068" i="1"/>
  <c r="M1068" i="1"/>
  <c r="N1068" i="1"/>
  <c r="O1068" i="1"/>
  <c r="P1068" i="1"/>
  <c r="Q1068" i="1"/>
  <c r="B1069" i="1"/>
  <c r="C1069" i="1"/>
  <c r="E1069" i="1"/>
  <c r="F1069" i="1"/>
  <c r="I1069" i="1"/>
  <c r="L1069" i="1"/>
  <c r="M1069" i="1"/>
  <c r="N1069" i="1"/>
  <c r="O1069" i="1"/>
  <c r="P1069" i="1"/>
  <c r="Q1069" i="1"/>
  <c r="B1070" i="1"/>
  <c r="F1070" i="1"/>
  <c r="G1070" i="1"/>
  <c r="H1070" i="1"/>
  <c r="I1070" i="1"/>
  <c r="L1070" i="1"/>
  <c r="M1070" i="1"/>
  <c r="N1070" i="1"/>
  <c r="O1070" i="1"/>
  <c r="P1070" i="1"/>
  <c r="Q1070" i="1"/>
  <c r="B1071" i="1"/>
  <c r="D1071" i="1"/>
  <c r="G1071" i="1"/>
  <c r="J1071" i="1"/>
  <c r="L1071" i="1"/>
  <c r="M1071" i="1"/>
  <c r="N1071" i="1"/>
  <c r="O1071" i="1"/>
  <c r="P1071" i="1"/>
  <c r="Q1071" i="1"/>
  <c r="C1072" i="1"/>
  <c r="D1072" i="1"/>
  <c r="F1072" i="1"/>
  <c r="H1072" i="1"/>
  <c r="J1072" i="1"/>
  <c r="L1072" i="1"/>
  <c r="M1072" i="1"/>
  <c r="N1072" i="1"/>
  <c r="O1072" i="1"/>
  <c r="P1072" i="1"/>
  <c r="Q1072" i="1"/>
  <c r="A1073" i="1"/>
  <c r="B1073" i="1"/>
  <c r="E1073" i="1"/>
  <c r="H1073" i="1"/>
  <c r="I1073" i="1"/>
  <c r="J1073" i="1"/>
  <c r="L1073" i="1"/>
  <c r="M1073" i="1"/>
  <c r="N1073" i="1"/>
  <c r="O1073" i="1"/>
  <c r="P1073" i="1"/>
  <c r="Q1073" i="1"/>
  <c r="A1074" i="1"/>
  <c r="A1075" i="1" s="1"/>
  <c r="A1076" i="1" s="1"/>
  <c r="B1074" i="1"/>
  <c r="D1074" i="1"/>
  <c r="I1074" i="1"/>
  <c r="J1074" i="1"/>
  <c r="L1074" i="1"/>
  <c r="M1074" i="1"/>
  <c r="N1074" i="1"/>
  <c r="O1074" i="1"/>
  <c r="P1074" i="1"/>
  <c r="Q1074" i="1"/>
  <c r="B1075" i="1"/>
  <c r="C1075" i="1"/>
  <c r="D1075" i="1"/>
  <c r="F1075" i="1"/>
  <c r="L1075" i="1"/>
  <c r="M1075" i="1"/>
  <c r="N1075" i="1"/>
  <c r="O1075" i="1"/>
  <c r="P1075" i="1"/>
  <c r="Q1075" i="1"/>
  <c r="D1076" i="1"/>
  <c r="E1076" i="1"/>
  <c r="F1076" i="1"/>
  <c r="H1076" i="1"/>
  <c r="L1076" i="1"/>
  <c r="M1076" i="1"/>
  <c r="N1076" i="1"/>
  <c r="O1076" i="1"/>
  <c r="P1076" i="1"/>
  <c r="Q1076" i="1"/>
  <c r="A1077" i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D1077" i="1"/>
  <c r="H1077" i="1"/>
  <c r="I1077" i="1"/>
  <c r="J1077" i="1"/>
  <c r="L1077" i="1"/>
  <c r="M1077" i="1"/>
  <c r="N1077" i="1"/>
  <c r="O1077" i="1"/>
  <c r="P1077" i="1"/>
  <c r="Q1077" i="1"/>
  <c r="B1078" i="1"/>
  <c r="D1078" i="1"/>
  <c r="F1078" i="1"/>
  <c r="J1078" i="1"/>
  <c r="L1078" i="1"/>
  <c r="M1078" i="1"/>
  <c r="N1078" i="1"/>
  <c r="O1078" i="1"/>
  <c r="P1078" i="1"/>
  <c r="Q1078" i="1"/>
  <c r="B1079" i="1"/>
  <c r="C1079" i="1"/>
  <c r="E1079" i="1"/>
  <c r="F1079" i="1"/>
  <c r="I1079" i="1"/>
  <c r="L1079" i="1"/>
  <c r="M1079" i="1"/>
  <c r="N1079" i="1"/>
  <c r="O1079" i="1"/>
  <c r="P1079" i="1"/>
  <c r="Q1079" i="1"/>
  <c r="D1080" i="1"/>
  <c r="F1080" i="1"/>
  <c r="H1080" i="1"/>
  <c r="I1080" i="1"/>
  <c r="L1080" i="1"/>
  <c r="M1080" i="1"/>
  <c r="N1080" i="1"/>
  <c r="O1080" i="1"/>
  <c r="P1080" i="1"/>
  <c r="Q1080" i="1"/>
  <c r="C1081" i="1"/>
  <c r="F1081" i="1"/>
  <c r="H1081" i="1"/>
  <c r="I1081" i="1"/>
  <c r="J1081" i="1"/>
  <c r="L1081" i="1"/>
  <c r="M1081" i="1"/>
  <c r="N1081" i="1"/>
  <c r="O1081" i="1"/>
  <c r="P1081" i="1"/>
  <c r="Q1081" i="1"/>
  <c r="B1082" i="1"/>
  <c r="D1082" i="1"/>
  <c r="H1082" i="1"/>
  <c r="I1082" i="1"/>
  <c r="J1082" i="1"/>
  <c r="L1082" i="1"/>
  <c r="M1082" i="1"/>
  <c r="N1082" i="1"/>
  <c r="O1082" i="1"/>
  <c r="P1082" i="1"/>
  <c r="Q1082" i="1"/>
  <c r="B1083" i="1"/>
  <c r="C1083" i="1"/>
  <c r="E1083" i="1"/>
  <c r="I1083" i="1"/>
  <c r="J1083" i="1"/>
  <c r="L1083" i="1"/>
  <c r="M1083" i="1"/>
  <c r="N1083" i="1"/>
  <c r="O1083" i="1"/>
  <c r="P1083" i="1"/>
  <c r="Q1083" i="1"/>
  <c r="B1084" i="1"/>
  <c r="C1084" i="1"/>
  <c r="D1084" i="1"/>
  <c r="F1084" i="1"/>
  <c r="J1084" i="1"/>
  <c r="L1084" i="1"/>
  <c r="M1084" i="1"/>
  <c r="N1084" i="1"/>
  <c r="O1084" i="1"/>
  <c r="P1084" i="1"/>
  <c r="Q1084" i="1"/>
  <c r="B1085" i="1"/>
  <c r="C1085" i="1"/>
  <c r="D1085" i="1"/>
  <c r="E1085" i="1"/>
  <c r="H1085" i="1"/>
  <c r="L1085" i="1"/>
  <c r="M1085" i="1"/>
  <c r="N1085" i="1"/>
  <c r="O1085" i="1"/>
  <c r="P1085" i="1"/>
  <c r="Q1085" i="1"/>
  <c r="C1086" i="1"/>
  <c r="D1086" i="1"/>
  <c r="E1086" i="1"/>
  <c r="F1086" i="1"/>
  <c r="I1086" i="1"/>
  <c r="L1086" i="1"/>
  <c r="M1086" i="1"/>
  <c r="N1086" i="1"/>
  <c r="O1086" i="1"/>
  <c r="P1086" i="1"/>
  <c r="Q1086" i="1"/>
  <c r="D1087" i="1"/>
  <c r="E1087" i="1"/>
  <c r="F1087" i="1"/>
  <c r="H1087" i="1"/>
  <c r="J1087" i="1"/>
  <c r="L1087" i="1"/>
  <c r="M1087" i="1"/>
  <c r="N1087" i="1"/>
  <c r="O1087" i="1"/>
  <c r="P1087" i="1"/>
  <c r="Q1087" i="1"/>
  <c r="B1088" i="1"/>
  <c r="E1088" i="1"/>
  <c r="F1088" i="1"/>
  <c r="H1088" i="1"/>
  <c r="I1088" i="1"/>
  <c r="L1088" i="1"/>
  <c r="M1088" i="1"/>
  <c r="N1088" i="1"/>
  <c r="O1088" i="1"/>
  <c r="P1088" i="1"/>
  <c r="Q1088" i="1"/>
  <c r="C1089" i="1"/>
  <c r="F1089" i="1"/>
  <c r="H1089" i="1"/>
  <c r="I1089" i="1"/>
  <c r="J1089" i="1"/>
  <c r="L1089" i="1"/>
  <c r="M1089" i="1"/>
  <c r="N1089" i="1"/>
  <c r="O1089" i="1"/>
  <c r="P1089" i="1"/>
  <c r="Q1089" i="1"/>
  <c r="B1090" i="1"/>
  <c r="D1090" i="1"/>
  <c r="H1090" i="1"/>
  <c r="I1090" i="1"/>
  <c r="J1090" i="1"/>
  <c r="L1090" i="1"/>
  <c r="M1090" i="1"/>
  <c r="N1090" i="1"/>
  <c r="O1090" i="1"/>
  <c r="P1090" i="1"/>
  <c r="Q1090" i="1"/>
  <c r="B1091" i="1"/>
  <c r="C1091" i="1"/>
  <c r="E1091" i="1"/>
  <c r="I1091" i="1"/>
  <c r="J1091" i="1"/>
  <c r="L1091" i="1"/>
  <c r="M1091" i="1"/>
  <c r="N1091" i="1"/>
  <c r="O1091" i="1"/>
  <c r="P1091" i="1"/>
  <c r="Q1091" i="1"/>
  <c r="B1092" i="1"/>
  <c r="C1092" i="1"/>
  <c r="D1092" i="1"/>
  <c r="F1092" i="1"/>
  <c r="J1092" i="1"/>
  <c r="L1092" i="1"/>
  <c r="M1092" i="1"/>
  <c r="N1092" i="1"/>
  <c r="O1092" i="1"/>
  <c r="P1092" i="1"/>
  <c r="Q1092" i="1"/>
  <c r="B1093" i="1"/>
  <c r="C1093" i="1"/>
  <c r="D1093" i="1"/>
  <c r="E1093" i="1"/>
  <c r="H1093" i="1"/>
  <c r="L1093" i="1"/>
  <c r="M1093" i="1"/>
  <c r="N1093" i="1"/>
  <c r="O1093" i="1"/>
  <c r="P1093" i="1"/>
  <c r="Q1093" i="1"/>
  <c r="C1094" i="1"/>
  <c r="D1094" i="1"/>
  <c r="E1094" i="1"/>
  <c r="F1094" i="1"/>
  <c r="I1094" i="1"/>
  <c r="L1094" i="1"/>
  <c r="M1094" i="1"/>
  <c r="N1094" i="1"/>
  <c r="O1094" i="1"/>
  <c r="P1094" i="1"/>
  <c r="Q1094" i="1"/>
  <c r="D1095" i="1"/>
  <c r="E1095" i="1"/>
  <c r="F1095" i="1"/>
  <c r="H1095" i="1"/>
  <c r="J1095" i="1"/>
  <c r="L1095" i="1"/>
  <c r="M1095" i="1"/>
  <c r="N1095" i="1"/>
  <c r="O1095" i="1"/>
  <c r="P1095" i="1"/>
  <c r="Q1095" i="1"/>
  <c r="B1096" i="1"/>
  <c r="E1096" i="1"/>
  <c r="F1096" i="1"/>
  <c r="H1096" i="1"/>
  <c r="I1096" i="1"/>
  <c r="L1096" i="1"/>
  <c r="M1096" i="1"/>
  <c r="N1096" i="1"/>
  <c r="O1096" i="1"/>
  <c r="P1096" i="1"/>
  <c r="Q1096" i="1"/>
  <c r="G1096" i="1" l="1"/>
  <c r="J1096" i="1"/>
  <c r="C1096" i="1"/>
  <c r="D1096" i="1"/>
  <c r="B1095" i="1"/>
  <c r="C1095" i="1"/>
  <c r="I1095" i="1"/>
  <c r="G1094" i="1"/>
  <c r="H1094" i="1"/>
  <c r="J1094" i="1"/>
  <c r="B1094" i="1"/>
  <c r="J1093" i="1"/>
  <c r="F1093" i="1"/>
  <c r="I1093" i="1"/>
  <c r="G1092" i="1"/>
  <c r="H1092" i="1"/>
  <c r="I1092" i="1"/>
  <c r="E1092" i="1"/>
  <c r="D1091" i="1"/>
  <c r="F1091" i="1"/>
  <c r="H1091" i="1"/>
  <c r="F1090" i="1"/>
  <c r="G1090" i="1"/>
  <c r="C1090" i="1"/>
  <c r="E1090" i="1"/>
  <c r="B1089" i="1"/>
  <c r="D1089" i="1"/>
  <c r="E1089" i="1"/>
  <c r="G1088" i="1"/>
  <c r="J1088" i="1"/>
  <c r="C1088" i="1"/>
  <c r="D1088" i="1"/>
  <c r="B1087" i="1"/>
  <c r="C1087" i="1"/>
  <c r="I1087" i="1"/>
  <c r="G1086" i="1"/>
  <c r="H1086" i="1"/>
  <c r="J1086" i="1"/>
  <c r="B1086" i="1"/>
  <c r="J1085" i="1"/>
  <c r="F1085" i="1"/>
  <c r="I1085" i="1"/>
  <c r="G1084" i="1"/>
  <c r="H1084" i="1"/>
  <c r="I1084" i="1"/>
  <c r="E1084" i="1"/>
  <c r="D1083" i="1"/>
  <c r="F1083" i="1"/>
  <c r="H1083" i="1"/>
  <c r="F1082" i="1"/>
  <c r="G1082" i="1"/>
  <c r="C1082" i="1"/>
  <c r="E1082" i="1"/>
  <c r="B1081" i="1"/>
  <c r="D1081" i="1"/>
  <c r="E1081" i="1"/>
  <c r="G1080" i="1"/>
  <c r="J1080" i="1"/>
  <c r="B1080" i="1"/>
  <c r="C1080" i="1"/>
  <c r="J1079" i="1"/>
  <c r="D1079" i="1"/>
  <c r="H1079" i="1"/>
  <c r="G1078" i="1"/>
  <c r="C1078" i="3"/>
  <c r="B1066" i="3"/>
  <c r="E1079" i="3"/>
  <c r="E1069" i="3"/>
  <c r="E1061" i="3"/>
  <c r="E1053" i="3"/>
  <c r="H1078" i="1"/>
  <c r="I1078" i="1"/>
  <c r="E1078" i="1"/>
  <c r="B1077" i="1"/>
  <c r="C1077" i="1"/>
  <c r="E1077" i="1"/>
  <c r="F1077" i="1"/>
  <c r="G1076" i="1"/>
  <c r="I1076" i="1"/>
  <c r="B1076" i="1"/>
  <c r="C1076" i="1"/>
  <c r="J1075" i="1"/>
  <c r="E1075" i="1"/>
  <c r="H1075" i="1"/>
  <c r="F1074" i="1"/>
  <c r="G1074" i="1"/>
  <c r="H1074" i="1"/>
  <c r="C1074" i="1"/>
  <c r="E1074" i="1"/>
  <c r="C1073" i="1"/>
  <c r="D1073" i="1"/>
  <c r="G1072" i="1"/>
  <c r="I1072" i="1"/>
  <c r="B1072" i="1"/>
  <c r="C1071" i="1"/>
  <c r="E1071" i="1"/>
  <c r="H1071" i="1"/>
  <c r="I1071" i="1"/>
  <c r="C1070" i="1"/>
  <c r="D1070" i="1"/>
  <c r="J1069" i="1"/>
  <c r="D1069" i="1"/>
  <c r="G1069" i="1"/>
  <c r="F1068" i="1"/>
  <c r="G1068" i="1"/>
  <c r="H1068" i="1"/>
  <c r="D1068" i="1"/>
  <c r="C1067" i="1"/>
  <c r="D1067" i="1"/>
  <c r="I1067" i="1"/>
  <c r="F1066" i="1"/>
  <c r="G1066" i="1"/>
  <c r="H1066" i="1"/>
  <c r="I1066" i="1"/>
  <c r="D1066" i="1"/>
  <c r="C1065" i="1"/>
  <c r="D1065" i="1"/>
  <c r="F1064" i="1"/>
  <c r="G1064" i="1"/>
  <c r="H1064" i="1"/>
  <c r="J1064" i="1"/>
  <c r="J1063" i="1"/>
  <c r="C1063" i="1"/>
  <c r="D1063" i="1"/>
  <c r="G1062" i="1"/>
  <c r="H1062" i="1"/>
  <c r="J1062" i="1"/>
  <c r="D1061" i="1"/>
  <c r="E1061" i="1"/>
  <c r="F1061" i="1"/>
  <c r="G1061" i="1"/>
  <c r="F1060" i="1"/>
  <c r="H1060" i="1"/>
  <c r="I1060" i="1"/>
  <c r="E1060" i="1"/>
  <c r="B1059" i="1"/>
  <c r="E1059" i="1"/>
  <c r="F1058" i="1"/>
  <c r="G1058" i="1"/>
  <c r="I1058" i="1"/>
  <c r="B1058" i="1"/>
  <c r="C1057" i="1"/>
  <c r="I1057" i="1"/>
  <c r="I1056" i="1"/>
  <c r="B1056" i="1"/>
  <c r="C1055" i="1"/>
  <c r="I1055" i="1"/>
  <c r="H1054" i="1"/>
  <c r="J1054" i="1"/>
  <c r="H1053" i="1"/>
  <c r="D1053" i="1"/>
  <c r="E1052" i="1"/>
  <c r="E1050" i="1"/>
  <c r="D1095" i="3"/>
  <c r="D1094" i="3"/>
  <c r="G1097" i="1"/>
  <c r="P1097" i="1"/>
  <c r="D1097" i="1"/>
  <c r="N1097" i="1"/>
  <c r="O1097" i="1"/>
  <c r="F1097" i="1"/>
  <c r="E1097" i="1"/>
  <c r="Q1097" i="1"/>
  <c r="B1097" i="1"/>
  <c r="L1097" i="1"/>
  <c r="M1097" i="1"/>
  <c r="A1098" i="1"/>
  <c r="C1097" i="1"/>
  <c r="I1097" i="1"/>
  <c r="J1097" i="1"/>
  <c r="H1097" i="1"/>
  <c r="A1098" i="3"/>
  <c r="B1097" i="3"/>
  <c r="C1097" i="3"/>
  <c r="D1097" i="3"/>
  <c r="E1097" i="3"/>
  <c r="G1095" i="1"/>
  <c r="G1089" i="1"/>
  <c r="G1087" i="1"/>
  <c r="G1085" i="1"/>
  <c r="E1080" i="1"/>
  <c r="I1075" i="1"/>
  <c r="F1073" i="1"/>
  <c r="F1071" i="1"/>
  <c r="J1070" i="1"/>
  <c r="E1070" i="1"/>
  <c r="H1069" i="1"/>
  <c r="C1068" i="1"/>
  <c r="F1065" i="1"/>
  <c r="H1065" i="1"/>
  <c r="C1064" i="1"/>
  <c r="F1063" i="1"/>
  <c r="G1063" i="1"/>
  <c r="E1062" i="1"/>
  <c r="F1059" i="1"/>
  <c r="G1059" i="1"/>
  <c r="I1059" i="1"/>
  <c r="D1058" i="1"/>
  <c r="E1058" i="1"/>
  <c r="H1057" i="1"/>
  <c r="J1056" i="1"/>
  <c r="E1056" i="1"/>
  <c r="F1055" i="1"/>
  <c r="G1055" i="1"/>
  <c r="H1055" i="1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7" i="3"/>
  <c r="C1075" i="3"/>
  <c r="C1074" i="3"/>
  <c r="C1073" i="3"/>
  <c r="C1072" i="3"/>
  <c r="C1071" i="3"/>
  <c r="C1070" i="3"/>
  <c r="C1069" i="3"/>
  <c r="C1068" i="3"/>
  <c r="C1067" i="3"/>
  <c r="C1066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G1091" i="1"/>
  <c r="G1077" i="1"/>
  <c r="J1076" i="1"/>
  <c r="G1075" i="1"/>
  <c r="G1073" i="1"/>
  <c r="A1074" i="2"/>
  <c r="B1073" i="2"/>
  <c r="G1093" i="1"/>
  <c r="G1083" i="1"/>
  <c r="G1081" i="1"/>
  <c r="G1079" i="1"/>
  <c r="C1078" i="1"/>
  <c r="E1072" i="1"/>
  <c r="D1096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7" i="3"/>
  <c r="D1075" i="3"/>
  <c r="D1074" i="3"/>
  <c r="D1072" i="3"/>
  <c r="D1071" i="3"/>
  <c r="D1070" i="3"/>
  <c r="D1069" i="3"/>
  <c r="D1068" i="3"/>
  <c r="D1067" i="3"/>
  <c r="D1066" i="3"/>
  <c r="D1064" i="3"/>
  <c r="D1063" i="3"/>
  <c r="D1062" i="3"/>
  <c r="D1061" i="3"/>
  <c r="D1060" i="3"/>
  <c r="D1059" i="3"/>
  <c r="D1058" i="3"/>
  <c r="D1056" i="3"/>
  <c r="D1055" i="3"/>
  <c r="D1054" i="3"/>
  <c r="D1053" i="3"/>
  <c r="D1052" i="3"/>
  <c r="D1051" i="3"/>
  <c r="D1050" i="3"/>
  <c r="J1067" i="1"/>
  <c r="B1067" i="1"/>
  <c r="F1062" i="1"/>
  <c r="B1057" i="1"/>
  <c r="F1056" i="1"/>
  <c r="F1054" i="1"/>
  <c r="B1053" i="1"/>
  <c r="H1052" i="1"/>
  <c r="J1052" i="1"/>
  <c r="B1052" i="1"/>
  <c r="D1051" i="1"/>
  <c r="C1050" i="1"/>
  <c r="E1054" i="1"/>
  <c r="I1052" i="1"/>
  <c r="E1051" i="1"/>
  <c r="B1050" i="1"/>
  <c r="B1096" i="3"/>
  <c r="B1095" i="3"/>
  <c r="B1094" i="3"/>
  <c r="B1093" i="3"/>
  <c r="B1092" i="3"/>
  <c r="B1090" i="3"/>
  <c r="B1087" i="3"/>
  <c r="B1086" i="3"/>
  <c r="B1085" i="3"/>
  <c r="B1084" i="3"/>
  <c r="B1083" i="3"/>
  <c r="B1082" i="3"/>
  <c r="B1081" i="3"/>
  <c r="B1080" i="3"/>
  <c r="B1079" i="3"/>
  <c r="B1078" i="3"/>
  <c r="B1077" i="3"/>
  <c r="B1076" i="3"/>
  <c r="B1075" i="3"/>
  <c r="B1074" i="3"/>
  <c r="B1072" i="3"/>
  <c r="B1071" i="3"/>
  <c r="B1069" i="3"/>
  <c r="B1068" i="3"/>
  <c r="B1067" i="3"/>
  <c r="B1065" i="3"/>
  <c r="B1064" i="3"/>
  <c r="B1063" i="3"/>
  <c r="B1061" i="3"/>
  <c r="B1060" i="3"/>
  <c r="B1059" i="3"/>
  <c r="B1057" i="3"/>
  <c r="B1056" i="3"/>
  <c r="B1055" i="3"/>
  <c r="B1053" i="3"/>
  <c r="B1052" i="3"/>
  <c r="B1051" i="3"/>
  <c r="E1096" i="3"/>
  <c r="E1094" i="3"/>
  <c r="E1093" i="3"/>
  <c r="E1092" i="3"/>
  <c r="E1091" i="3"/>
  <c r="E1090" i="3"/>
  <c r="E1089" i="3"/>
  <c r="E1088" i="3"/>
  <c r="E1087" i="3"/>
  <c r="E1086" i="3"/>
  <c r="E1085" i="3"/>
  <c r="E1083" i="3"/>
  <c r="E1080" i="3"/>
  <c r="E1078" i="3"/>
  <c r="E1077" i="3"/>
  <c r="E1076" i="3"/>
  <c r="E1075" i="3"/>
  <c r="E1074" i="3"/>
  <c r="E1073" i="3"/>
  <c r="E1072" i="3"/>
  <c r="E1071" i="3"/>
  <c r="E1070" i="3"/>
  <c r="E1068" i="3"/>
  <c r="E1067" i="3"/>
  <c r="E1066" i="3"/>
  <c r="E1064" i="3"/>
  <c r="E1063" i="3"/>
  <c r="E1062" i="3"/>
  <c r="E1060" i="3"/>
  <c r="E1059" i="3"/>
  <c r="E1058" i="3"/>
  <c r="E1056" i="3"/>
  <c r="E1055" i="3"/>
  <c r="E1054" i="3"/>
  <c r="E1052" i="3"/>
  <c r="E1051" i="3"/>
  <c r="E1050" i="3"/>
  <c r="D1054" i="1"/>
  <c r="H1051" i="1"/>
  <c r="R1050" i="1"/>
  <c r="C1061" i="1"/>
  <c r="J1060" i="1"/>
  <c r="B1060" i="1"/>
  <c r="H1058" i="1"/>
  <c r="G1057" i="1"/>
  <c r="E1055" i="1"/>
  <c r="C1053" i="1"/>
  <c r="H1050" i="1"/>
  <c r="B1074" i="2" l="1"/>
  <c r="A1075" i="2"/>
  <c r="B1098" i="3"/>
  <c r="C1098" i="3"/>
  <c r="D1098" i="3"/>
  <c r="E1098" i="3"/>
  <c r="A1099" i="3"/>
  <c r="G1098" i="1"/>
  <c r="P1098" i="1"/>
  <c r="F1098" i="1"/>
  <c r="Q1098" i="1"/>
  <c r="A1099" i="1"/>
  <c r="H1098" i="1"/>
  <c r="I1098" i="1"/>
  <c r="D1098" i="1"/>
  <c r="N1098" i="1"/>
  <c r="O1098" i="1"/>
  <c r="E1098" i="1"/>
  <c r="C1098" i="1"/>
  <c r="J1098" i="1"/>
  <c r="B1098" i="1"/>
  <c r="L1098" i="1"/>
  <c r="M1098" i="1"/>
  <c r="E1099" i="3" l="1"/>
  <c r="A1100" i="3"/>
  <c r="D1099" i="3"/>
  <c r="B1099" i="3"/>
  <c r="C1099" i="3"/>
  <c r="G1099" i="1"/>
  <c r="P1099" i="1"/>
  <c r="I1099" i="1"/>
  <c r="B1099" i="1"/>
  <c r="J1099" i="1"/>
  <c r="F1099" i="1"/>
  <c r="Q1099" i="1"/>
  <c r="O1099" i="1"/>
  <c r="E1099" i="1"/>
  <c r="L1099" i="1"/>
  <c r="C1099" i="1"/>
  <c r="A1100" i="1"/>
  <c r="D1099" i="1"/>
  <c r="M1099" i="1"/>
  <c r="N1099" i="1"/>
  <c r="H1099" i="1"/>
  <c r="B1075" i="2"/>
  <c r="A1076" i="2"/>
  <c r="B1100" i="3" l="1"/>
  <c r="C1100" i="3"/>
  <c r="D1100" i="3"/>
  <c r="E1100" i="3"/>
  <c r="A1101" i="3"/>
  <c r="G1100" i="1"/>
  <c r="P1100" i="1"/>
  <c r="B1100" i="1"/>
  <c r="L1100" i="1"/>
  <c r="C1100" i="1"/>
  <c r="M1100" i="1"/>
  <c r="I1100" i="1"/>
  <c r="O1100" i="1"/>
  <c r="Q1100" i="1"/>
  <c r="F1100" i="1"/>
  <c r="D1100" i="1"/>
  <c r="A1101" i="1"/>
  <c r="E1100" i="1"/>
  <c r="J1100" i="1"/>
  <c r="N1100" i="1"/>
  <c r="H1100" i="1"/>
  <c r="B1076" i="2"/>
  <c r="A1077" i="2"/>
  <c r="C1101" i="3" l="1"/>
  <c r="D1101" i="3"/>
  <c r="E1101" i="3"/>
  <c r="B1101" i="3"/>
  <c r="A1102" i="3"/>
  <c r="A1078" i="2"/>
  <c r="B1077" i="2"/>
  <c r="G1101" i="1"/>
  <c r="P1101" i="1"/>
  <c r="D1101" i="1"/>
  <c r="N1101" i="1"/>
  <c r="O1101" i="1"/>
  <c r="E1101" i="1"/>
  <c r="B1101" i="1"/>
  <c r="L1101" i="1"/>
  <c r="M1101" i="1"/>
  <c r="C1101" i="1"/>
  <c r="Q1101" i="1"/>
  <c r="F1101" i="1"/>
  <c r="A1102" i="1"/>
  <c r="H1101" i="1"/>
  <c r="I1101" i="1"/>
  <c r="J1101" i="1"/>
  <c r="A1103" i="3" l="1"/>
  <c r="E1102" i="3"/>
  <c r="C1102" i="3"/>
  <c r="D1102" i="3"/>
  <c r="B1102" i="3"/>
  <c r="G1102" i="1"/>
  <c r="P1102" i="1"/>
  <c r="F1102" i="1"/>
  <c r="Q1102" i="1"/>
  <c r="A1103" i="1"/>
  <c r="H1102" i="1"/>
  <c r="D1102" i="1"/>
  <c r="N1102" i="1"/>
  <c r="L1102" i="1"/>
  <c r="M1102" i="1"/>
  <c r="E1102" i="1"/>
  <c r="O1102" i="1"/>
  <c r="B1102" i="1"/>
  <c r="I1102" i="1"/>
  <c r="J1102" i="1"/>
  <c r="C1102" i="1"/>
  <c r="B1078" i="2"/>
  <c r="A1079" i="2"/>
  <c r="B1079" i="2" l="1"/>
  <c r="A1080" i="2"/>
  <c r="G1103" i="1"/>
  <c r="P1103" i="1"/>
  <c r="I1103" i="1"/>
  <c r="J1103" i="1"/>
  <c r="F1103" i="1"/>
  <c r="Q1103" i="1"/>
  <c r="L1103" i="1"/>
  <c r="C1103" i="1"/>
  <c r="M1103" i="1"/>
  <c r="B1103" i="1"/>
  <c r="N1103" i="1"/>
  <c r="O1103" i="1"/>
  <c r="A1104" i="1"/>
  <c r="E1103" i="1"/>
  <c r="H1103" i="1"/>
  <c r="D1103" i="1"/>
  <c r="B1103" i="3"/>
  <c r="C1103" i="3"/>
  <c r="D1103" i="3"/>
  <c r="E1103" i="3"/>
  <c r="A1104" i="3"/>
  <c r="D1104" i="3" l="1"/>
  <c r="E1104" i="3"/>
  <c r="A1105" i="3"/>
  <c r="C1104" i="3"/>
  <c r="B1104" i="3"/>
  <c r="G1104" i="1"/>
  <c r="P1104" i="1"/>
  <c r="B1104" i="1"/>
  <c r="L1104" i="1"/>
  <c r="C1104" i="1"/>
  <c r="M1104" i="1"/>
  <c r="I1104" i="1"/>
  <c r="H1104" i="1"/>
  <c r="O1104" i="1"/>
  <c r="D1104" i="1"/>
  <c r="J1104" i="1"/>
  <c r="Q1104" i="1"/>
  <c r="A1105" i="1"/>
  <c r="N1104" i="1"/>
  <c r="E1104" i="1"/>
  <c r="F1104" i="1"/>
  <c r="B1080" i="2"/>
  <c r="A1081" i="2"/>
  <c r="A1082" i="2" l="1"/>
  <c r="B1081" i="2"/>
  <c r="A1106" i="3"/>
  <c r="D1105" i="3"/>
  <c r="E1105" i="3"/>
  <c r="B1105" i="3"/>
  <c r="C1105" i="3"/>
  <c r="G1105" i="1"/>
  <c r="P1105" i="1"/>
  <c r="D1105" i="1"/>
  <c r="N1105" i="1"/>
  <c r="O1105" i="1"/>
  <c r="E1105" i="1"/>
  <c r="B1105" i="1"/>
  <c r="L1105" i="1"/>
  <c r="H1105" i="1"/>
  <c r="I1105" i="1"/>
  <c r="J1105" i="1"/>
  <c r="M1105" i="1"/>
  <c r="C1105" i="1"/>
  <c r="F1105" i="1"/>
  <c r="Q1105" i="1"/>
  <c r="A1106" i="1"/>
  <c r="G1106" i="1" l="1"/>
  <c r="P1106" i="1"/>
  <c r="F1106" i="1"/>
  <c r="Q1106" i="1"/>
  <c r="A1107" i="1"/>
  <c r="H1106" i="1"/>
  <c r="D1106" i="1"/>
  <c r="N1106" i="1"/>
  <c r="E1106" i="1"/>
  <c r="M1106" i="1"/>
  <c r="I1106" i="1"/>
  <c r="L1106" i="1"/>
  <c r="J1106" i="1"/>
  <c r="O1106" i="1"/>
  <c r="B1106" i="1"/>
  <c r="C1106" i="1"/>
  <c r="B1106" i="3"/>
  <c r="C1106" i="3"/>
  <c r="D1106" i="3"/>
  <c r="E1106" i="3"/>
  <c r="A1107" i="3"/>
  <c r="B1082" i="2"/>
  <c r="A1083" i="2"/>
  <c r="E1107" i="3" l="1"/>
  <c r="A1108" i="3"/>
  <c r="D1107" i="3"/>
  <c r="B1107" i="3"/>
  <c r="C1107" i="3"/>
  <c r="G1107" i="1"/>
  <c r="P1107" i="1"/>
  <c r="I1107" i="1"/>
  <c r="J1107" i="1"/>
  <c r="F1107" i="1"/>
  <c r="Q1107" i="1"/>
  <c r="D1107" i="1"/>
  <c r="L1107" i="1"/>
  <c r="N1107" i="1"/>
  <c r="E1107" i="1"/>
  <c r="M1107" i="1"/>
  <c r="H1107" i="1"/>
  <c r="B1107" i="1"/>
  <c r="O1107" i="1"/>
  <c r="C1107" i="1"/>
  <c r="A1108" i="1"/>
  <c r="A1084" i="2"/>
  <c r="B1083" i="2"/>
  <c r="B1084" i="2" l="1"/>
  <c r="A1085" i="2"/>
  <c r="G1108" i="1"/>
  <c r="P1108" i="1"/>
  <c r="B1108" i="1"/>
  <c r="L1108" i="1"/>
  <c r="C1108" i="1"/>
  <c r="M1108" i="1"/>
  <c r="I1108" i="1"/>
  <c r="D1108" i="1"/>
  <c r="A1109" i="1"/>
  <c r="E1108" i="1"/>
  <c r="F1108" i="1"/>
  <c r="H1108" i="1"/>
  <c r="O1108" i="1"/>
  <c r="Q1108" i="1"/>
  <c r="J1108" i="1"/>
  <c r="N1108" i="1"/>
  <c r="B1108" i="3"/>
  <c r="E1108" i="3"/>
  <c r="A1109" i="3"/>
  <c r="D1108" i="3"/>
  <c r="C1108" i="3"/>
  <c r="G1109" i="1" l="1"/>
  <c r="P1109" i="1"/>
  <c r="D1109" i="1"/>
  <c r="N1109" i="1"/>
  <c r="E1109" i="1"/>
  <c r="O1109" i="1"/>
  <c r="B1109" i="1"/>
  <c r="L1109" i="1"/>
  <c r="A1110" i="1"/>
  <c r="I1109" i="1"/>
  <c r="C1109" i="1"/>
  <c r="H1109" i="1"/>
  <c r="J1109" i="1"/>
  <c r="F1109" i="1"/>
  <c r="M1109" i="1"/>
  <c r="Q1109" i="1"/>
  <c r="C1109" i="3"/>
  <c r="D1109" i="3"/>
  <c r="E1109" i="3"/>
  <c r="B1109" i="3"/>
  <c r="A1110" i="3"/>
  <c r="A1086" i="2"/>
  <c r="B1085" i="2"/>
  <c r="G1110" i="1" l="1"/>
  <c r="P1110" i="1"/>
  <c r="F1110" i="1"/>
  <c r="Q1110" i="1"/>
  <c r="H1110" i="1"/>
  <c r="A1111" i="1"/>
  <c r="D1110" i="1"/>
  <c r="N1110" i="1"/>
  <c r="O1110" i="1"/>
  <c r="E1110" i="1"/>
  <c r="B1110" i="1"/>
  <c r="I1110" i="1"/>
  <c r="C1110" i="1"/>
  <c r="J1110" i="1"/>
  <c r="L1110" i="1"/>
  <c r="M1110" i="1"/>
  <c r="B1086" i="2"/>
  <c r="A1087" i="2"/>
  <c r="A1111" i="3"/>
  <c r="E1110" i="3"/>
  <c r="B1110" i="3"/>
  <c r="C1110" i="3"/>
  <c r="D1110" i="3"/>
  <c r="G1111" i="1" l="1"/>
  <c r="P1111" i="1"/>
  <c r="I1111" i="1"/>
  <c r="J1111" i="1"/>
  <c r="F1111" i="1"/>
  <c r="Q1111" i="1"/>
  <c r="N1111" i="1"/>
  <c r="H1111" i="1"/>
  <c r="B1111" i="1"/>
  <c r="O1111" i="1"/>
  <c r="C1111" i="1"/>
  <c r="A1112" i="1"/>
  <c r="D1111" i="1"/>
  <c r="E1111" i="1"/>
  <c r="L1111" i="1"/>
  <c r="M1111" i="1"/>
  <c r="B1111" i="3"/>
  <c r="C1111" i="3"/>
  <c r="A1112" i="3"/>
  <c r="D1111" i="3"/>
  <c r="E1111" i="3"/>
  <c r="B1087" i="2"/>
  <c r="A1088" i="2"/>
  <c r="A1089" i="2" l="1"/>
  <c r="B1088" i="2"/>
  <c r="G1112" i="1"/>
  <c r="P1112" i="1"/>
  <c r="B1112" i="1"/>
  <c r="L1112" i="1"/>
  <c r="M1112" i="1"/>
  <c r="C1112" i="1"/>
  <c r="I1112" i="1"/>
  <c r="N1112" i="1"/>
  <c r="D1112" i="1"/>
  <c r="O1112" i="1"/>
  <c r="A1113" i="1"/>
  <c r="Q1112" i="1"/>
  <c r="H1112" i="1"/>
  <c r="J1112" i="1"/>
  <c r="E1112" i="1"/>
  <c r="F1112" i="1"/>
  <c r="D1112" i="3"/>
  <c r="E1112" i="3"/>
  <c r="A1113" i="3"/>
  <c r="C1112" i="3"/>
  <c r="B1112" i="3"/>
  <c r="A1090" i="2" l="1"/>
  <c r="B1089" i="2"/>
  <c r="A1114" i="3"/>
  <c r="B1113" i="3"/>
  <c r="C1113" i="3"/>
  <c r="D1113" i="3"/>
  <c r="E1113" i="3"/>
  <c r="G1113" i="1"/>
  <c r="P1113" i="1"/>
  <c r="D1113" i="1"/>
  <c r="N1113" i="1"/>
  <c r="O1113" i="1"/>
  <c r="E1113" i="1"/>
  <c r="B1113" i="1"/>
  <c r="L1113" i="1"/>
  <c r="J1113" i="1"/>
  <c r="C1113" i="1"/>
  <c r="M1113" i="1"/>
  <c r="F1113" i="1"/>
  <c r="Q1113" i="1"/>
  <c r="A1114" i="1"/>
  <c r="H1113" i="1"/>
  <c r="I1113" i="1"/>
  <c r="G1114" i="1" l="1"/>
  <c r="P1114" i="1"/>
  <c r="F1114" i="1"/>
  <c r="Q1114" i="1"/>
  <c r="A1115" i="1"/>
  <c r="H1114" i="1"/>
  <c r="D1114" i="1"/>
  <c r="N1114" i="1"/>
  <c r="J1114" i="1"/>
  <c r="O1114" i="1"/>
  <c r="L1114" i="1"/>
  <c r="B1114" i="1"/>
  <c r="M1114" i="1"/>
  <c r="C1114" i="1"/>
  <c r="E1114" i="1"/>
  <c r="I1114" i="1"/>
  <c r="B1114" i="3"/>
  <c r="C1114" i="3"/>
  <c r="D1114" i="3"/>
  <c r="E1114" i="3"/>
  <c r="A1115" i="3"/>
  <c r="B1090" i="2"/>
  <c r="A1091" i="2"/>
  <c r="B1091" i="2" l="1"/>
  <c r="A1092" i="2"/>
  <c r="E1115" i="3"/>
  <c r="A1116" i="3"/>
  <c r="D1115" i="3"/>
  <c r="B1115" i="3"/>
  <c r="C1115" i="3"/>
  <c r="G1115" i="1"/>
  <c r="P1115" i="1"/>
  <c r="I1115" i="1"/>
  <c r="J1115" i="1"/>
  <c r="F1115" i="1"/>
  <c r="Q1115" i="1"/>
  <c r="H1115" i="1"/>
  <c r="C1115" i="1"/>
  <c r="L1115" i="1"/>
  <c r="N1115" i="1"/>
  <c r="M1115" i="1"/>
  <c r="O1115" i="1"/>
  <c r="D1115" i="1"/>
  <c r="E1115" i="1"/>
  <c r="B1115" i="1"/>
  <c r="A1116" i="1"/>
  <c r="G1116" i="1" l="1"/>
  <c r="P1116" i="1"/>
  <c r="B1116" i="1"/>
  <c r="L1116" i="1"/>
  <c r="M1116" i="1"/>
  <c r="C1116" i="1"/>
  <c r="I1116" i="1"/>
  <c r="F1116" i="1"/>
  <c r="H1116" i="1"/>
  <c r="O1116" i="1"/>
  <c r="Q1116" i="1"/>
  <c r="J1116" i="1"/>
  <c r="N1116" i="1"/>
  <c r="D1116" i="1"/>
  <c r="A1117" i="1"/>
  <c r="E1116" i="1"/>
  <c r="B1116" i="3"/>
  <c r="C1116" i="3"/>
  <c r="D1116" i="3"/>
  <c r="E1116" i="3"/>
  <c r="A1117" i="3"/>
  <c r="B1092" i="2"/>
  <c r="A1093" i="2"/>
  <c r="A1094" i="2" l="1"/>
  <c r="B1093" i="2"/>
  <c r="C1117" i="3"/>
  <c r="D1117" i="3"/>
  <c r="E1117" i="3"/>
  <c r="B1117" i="3"/>
  <c r="A1118" i="3"/>
  <c r="G1117" i="1"/>
  <c r="P1117" i="1"/>
  <c r="D1117" i="1"/>
  <c r="N1117" i="1"/>
  <c r="O1117" i="1"/>
  <c r="E1117" i="1"/>
  <c r="B1117" i="1"/>
  <c r="L1117" i="1"/>
  <c r="F1117" i="1"/>
  <c r="J1117" i="1"/>
  <c r="M1117" i="1"/>
  <c r="H1117" i="1"/>
  <c r="I1117" i="1"/>
  <c r="Q1117" i="1"/>
  <c r="A1118" i="1"/>
  <c r="C1117" i="1"/>
  <c r="B1094" i="2" l="1"/>
  <c r="A1095" i="2"/>
  <c r="A1119" i="3"/>
  <c r="E1118" i="3"/>
  <c r="C1118" i="3"/>
  <c r="D1118" i="3"/>
  <c r="B1118" i="3"/>
  <c r="G1118" i="1"/>
  <c r="P1118" i="1"/>
  <c r="F1118" i="1"/>
  <c r="Q1118" i="1"/>
  <c r="A1119" i="1"/>
  <c r="H1118" i="1"/>
  <c r="D1118" i="1"/>
  <c r="N1118" i="1"/>
  <c r="C1118" i="1"/>
  <c r="M1118" i="1"/>
  <c r="E1118" i="1"/>
  <c r="J1118" i="1"/>
  <c r="I1118" i="1"/>
  <c r="O1118" i="1"/>
  <c r="B1118" i="1"/>
  <c r="L1118" i="1"/>
  <c r="B1095" i="2" l="1"/>
  <c r="A1096" i="2"/>
  <c r="B1119" i="3"/>
  <c r="C1119" i="3"/>
  <c r="D1119" i="3"/>
  <c r="E1119" i="3"/>
  <c r="A1120" i="3"/>
  <c r="G1119" i="1"/>
  <c r="P1119" i="1"/>
  <c r="I1119" i="1"/>
  <c r="J1119" i="1"/>
  <c r="F1119" i="1"/>
  <c r="Q1119" i="1"/>
  <c r="C1119" i="1"/>
  <c r="A1120" i="1"/>
  <c r="D1119" i="1"/>
  <c r="L1119" i="1"/>
  <c r="E1119" i="1"/>
  <c r="H1119" i="1"/>
  <c r="N1119" i="1"/>
  <c r="B1119" i="1"/>
  <c r="O1119" i="1"/>
  <c r="M1119" i="1"/>
  <c r="G1120" i="1" l="1"/>
  <c r="P1120" i="1"/>
  <c r="B1120" i="1"/>
  <c r="L1120" i="1"/>
  <c r="M1120" i="1"/>
  <c r="C1120" i="1"/>
  <c r="I1120" i="1"/>
  <c r="Q1120" i="1"/>
  <c r="F1120" i="1"/>
  <c r="D1120" i="1"/>
  <c r="A1121" i="1"/>
  <c r="E1120" i="1"/>
  <c r="H1120" i="1"/>
  <c r="J1120" i="1"/>
  <c r="N1120" i="1"/>
  <c r="O1120" i="1"/>
  <c r="D1120" i="3"/>
  <c r="E1120" i="3"/>
  <c r="A1121" i="3"/>
  <c r="C1120" i="3"/>
  <c r="B1120" i="3"/>
  <c r="B1096" i="2"/>
  <c r="A1097" i="2"/>
  <c r="A1122" i="3" l="1"/>
  <c r="D1121" i="3"/>
  <c r="E1121" i="3"/>
  <c r="B1121" i="3"/>
  <c r="C1121" i="3"/>
  <c r="G1121" i="1"/>
  <c r="P1121" i="1"/>
  <c r="D1121" i="1"/>
  <c r="N1121" i="1"/>
  <c r="O1121" i="1"/>
  <c r="E1121" i="1"/>
  <c r="B1121" i="1"/>
  <c r="L1121" i="1"/>
  <c r="Q1121" i="1"/>
  <c r="H1121" i="1"/>
  <c r="A1122" i="1"/>
  <c r="I1121" i="1"/>
  <c r="C1121" i="1"/>
  <c r="F1121" i="1"/>
  <c r="J1121" i="1"/>
  <c r="M1121" i="1"/>
  <c r="C1097" i="2"/>
  <c r="A1098" i="2"/>
  <c r="D1097" i="2"/>
  <c r="E1097" i="2"/>
  <c r="B1097" i="2"/>
  <c r="J1097" i="2"/>
  <c r="H1097" i="2"/>
  <c r="I1097" i="2"/>
  <c r="F1097" i="2"/>
  <c r="G1097" i="2"/>
  <c r="G1122" i="1" l="1"/>
  <c r="P1122" i="1"/>
  <c r="F1122" i="1"/>
  <c r="Q1122" i="1"/>
  <c r="A1123" i="1"/>
  <c r="H1122" i="1"/>
  <c r="D1122" i="1"/>
  <c r="N1122" i="1"/>
  <c r="M1122" i="1"/>
  <c r="I1122" i="1"/>
  <c r="O1122" i="1"/>
  <c r="C1122" i="1"/>
  <c r="B1122" i="1"/>
  <c r="J1122" i="1"/>
  <c r="L1122" i="1"/>
  <c r="E1122" i="1"/>
  <c r="I1098" i="2"/>
  <c r="B1098" i="2"/>
  <c r="J1098" i="2"/>
  <c r="C1098" i="2"/>
  <c r="A1099" i="2"/>
  <c r="H1098" i="2"/>
  <c r="D1098" i="2"/>
  <c r="E1098" i="2"/>
  <c r="F1098" i="2"/>
  <c r="G1098" i="2"/>
  <c r="B1122" i="3"/>
  <c r="C1122" i="3"/>
  <c r="D1122" i="3"/>
  <c r="E1122" i="3"/>
  <c r="A1123" i="3"/>
  <c r="G1123" i="1" l="1"/>
  <c r="P1123" i="1"/>
  <c r="I1123" i="1"/>
  <c r="J1123" i="1"/>
  <c r="F1123" i="1"/>
  <c r="Q1123" i="1"/>
  <c r="M1123" i="1"/>
  <c r="C1123" i="1"/>
  <c r="N1123" i="1"/>
  <c r="D1123" i="1"/>
  <c r="B1123" i="1"/>
  <c r="O1123" i="1"/>
  <c r="A1124" i="1"/>
  <c r="H1123" i="1"/>
  <c r="L1123" i="1"/>
  <c r="E1123" i="1"/>
  <c r="E1123" i="3"/>
  <c r="A1124" i="3"/>
  <c r="D1123" i="3"/>
  <c r="B1123" i="3"/>
  <c r="C1123" i="3"/>
  <c r="G1099" i="2"/>
  <c r="H1099" i="2"/>
  <c r="I1099" i="2"/>
  <c r="F1099" i="2"/>
  <c r="D1099" i="2"/>
  <c r="E1099" i="2"/>
  <c r="J1099" i="2"/>
  <c r="A1100" i="2"/>
  <c r="B1099" i="2"/>
  <c r="C1099" i="2"/>
  <c r="E1100" i="2" l="1"/>
  <c r="F1100" i="2"/>
  <c r="G1100" i="2"/>
  <c r="D1100" i="2"/>
  <c r="J1100" i="2"/>
  <c r="A1101" i="2"/>
  <c r="B1100" i="2"/>
  <c r="I1100" i="2"/>
  <c r="C1100" i="2"/>
  <c r="H1100" i="2"/>
  <c r="G1124" i="1"/>
  <c r="P1124" i="1"/>
  <c r="B1124" i="1"/>
  <c r="L1124" i="1"/>
  <c r="C1124" i="1"/>
  <c r="M1124" i="1"/>
  <c r="I1124" i="1"/>
  <c r="J1124" i="1"/>
  <c r="Q1124" i="1"/>
  <c r="A1125" i="1"/>
  <c r="N1124" i="1"/>
  <c r="O1124" i="1"/>
  <c r="D1124" i="1"/>
  <c r="E1124" i="1"/>
  <c r="F1124" i="1"/>
  <c r="H1124" i="1"/>
  <c r="B1124" i="3"/>
  <c r="E1124" i="3"/>
  <c r="A1125" i="3"/>
  <c r="C1124" i="3"/>
  <c r="D1124" i="3"/>
  <c r="C1101" i="2" l="1"/>
  <c r="A1102" i="2"/>
  <c r="D1101" i="2"/>
  <c r="E1101" i="2"/>
  <c r="B1101" i="2"/>
  <c r="J1101" i="2"/>
  <c r="F1101" i="2"/>
  <c r="G1101" i="2"/>
  <c r="H1101" i="2"/>
  <c r="I1101" i="2"/>
  <c r="G1125" i="1"/>
  <c r="P1125" i="1"/>
  <c r="D1125" i="1"/>
  <c r="N1125" i="1"/>
  <c r="E1125" i="1"/>
  <c r="O1125" i="1"/>
  <c r="B1125" i="1"/>
  <c r="L1125" i="1"/>
  <c r="I1125" i="1"/>
  <c r="C1125" i="1"/>
  <c r="J1125" i="1"/>
  <c r="Q1125" i="1"/>
  <c r="M1125" i="1"/>
  <c r="F1125" i="1"/>
  <c r="H1125" i="1"/>
  <c r="A1126" i="1"/>
  <c r="C1125" i="3"/>
  <c r="D1125" i="3"/>
  <c r="E1125" i="3"/>
  <c r="B1125" i="3"/>
  <c r="A1126" i="3"/>
  <c r="A1127" i="3" l="1"/>
  <c r="E1126" i="3"/>
  <c r="B1126" i="3"/>
  <c r="C1126" i="3"/>
  <c r="D1126" i="3"/>
  <c r="G1126" i="1"/>
  <c r="P1126" i="1"/>
  <c r="F1126" i="1"/>
  <c r="Q1126" i="1"/>
  <c r="H1126" i="1"/>
  <c r="A1127" i="1"/>
  <c r="D1126" i="1"/>
  <c r="N1126" i="1"/>
  <c r="I1126" i="1"/>
  <c r="J1126" i="1"/>
  <c r="O1126" i="1"/>
  <c r="B1126" i="1"/>
  <c r="L1126" i="1"/>
  <c r="M1126" i="1"/>
  <c r="C1126" i="1"/>
  <c r="E1126" i="1"/>
  <c r="I1102" i="2"/>
  <c r="B1102" i="2"/>
  <c r="J1102" i="2"/>
  <c r="C1102" i="2"/>
  <c r="A1103" i="2"/>
  <c r="H1102" i="2"/>
  <c r="F1102" i="2"/>
  <c r="G1102" i="2"/>
  <c r="D1102" i="2"/>
  <c r="E1102" i="2"/>
  <c r="B1127" i="3" l="1"/>
  <c r="C1127" i="3"/>
  <c r="A1128" i="3"/>
  <c r="D1127" i="3"/>
  <c r="E1127" i="3"/>
  <c r="G1127" i="1"/>
  <c r="P1127" i="1"/>
  <c r="I1127" i="1"/>
  <c r="J1127" i="1"/>
  <c r="F1127" i="1"/>
  <c r="Q1127" i="1"/>
  <c r="E1127" i="1"/>
  <c r="M1127" i="1"/>
  <c r="N1127" i="1"/>
  <c r="O1127" i="1"/>
  <c r="H1127" i="1"/>
  <c r="L1127" i="1"/>
  <c r="C1127" i="1"/>
  <c r="A1128" i="1"/>
  <c r="D1127" i="1"/>
  <c r="B1127" i="1"/>
  <c r="G1103" i="2"/>
  <c r="H1103" i="2"/>
  <c r="I1103" i="2"/>
  <c r="F1103" i="2"/>
  <c r="B1103" i="2"/>
  <c r="C1103" i="2"/>
  <c r="D1103" i="2"/>
  <c r="E1103" i="2"/>
  <c r="J1103" i="2"/>
  <c r="A1104" i="2"/>
  <c r="E1104" i="2" l="1"/>
  <c r="F1104" i="2"/>
  <c r="G1104" i="2"/>
  <c r="D1104" i="2"/>
  <c r="B1104" i="2"/>
  <c r="C1104" i="2"/>
  <c r="H1104" i="2"/>
  <c r="I1104" i="2"/>
  <c r="J1104" i="2"/>
  <c r="A1105" i="2"/>
  <c r="G1128" i="1"/>
  <c r="P1128" i="1"/>
  <c r="B1128" i="1"/>
  <c r="L1128" i="1"/>
  <c r="M1128" i="1"/>
  <c r="C1128" i="1"/>
  <c r="I1128" i="1"/>
  <c r="E1128" i="1"/>
  <c r="F1128" i="1"/>
  <c r="J1128" i="1"/>
  <c r="H1128" i="1"/>
  <c r="N1128" i="1"/>
  <c r="O1128" i="1"/>
  <c r="Q1128" i="1"/>
  <c r="D1128" i="1"/>
  <c r="A1129" i="1"/>
  <c r="D1128" i="3"/>
  <c r="E1128" i="3"/>
  <c r="A1129" i="3"/>
  <c r="C1128" i="3"/>
  <c r="B1128" i="3"/>
  <c r="A1130" i="3" l="1"/>
  <c r="B1129" i="3"/>
  <c r="C1129" i="3"/>
  <c r="E1129" i="3"/>
  <c r="D1129" i="3"/>
  <c r="G1129" i="1"/>
  <c r="P1129" i="1"/>
  <c r="D1129" i="1"/>
  <c r="N1129" i="1"/>
  <c r="O1129" i="1"/>
  <c r="E1129" i="1"/>
  <c r="B1129" i="1"/>
  <c r="L1129" i="1"/>
  <c r="C1129" i="1"/>
  <c r="F1129" i="1"/>
  <c r="M1129" i="1"/>
  <c r="H1129" i="1"/>
  <c r="I1129" i="1"/>
  <c r="Q1129" i="1"/>
  <c r="A1130" i="1"/>
  <c r="J1129" i="1"/>
  <c r="C1105" i="2"/>
  <c r="A1106" i="2"/>
  <c r="D1105" i="2"/>
  <c r="E1105" i="2"/>
  <c r="B1105" i="2"/>
  <c r="J1105" i="2"/>
  <c r="H1105" i="2"/>
  <c r="I1105" i="2"/>
  <c r="F1105" i="2"/>
  <c r="G1105" i="2"/>
  <c r="I1106" i="2" l="1"/>
  <c r="B1106" i="2"/>
  <c r="J1106" i="2"/>
  <c r="C1106" i="2"/>
  <c r="A1107" i="2"/>
  <c r="H1106" i="2"/>
  <c r="D1106" i="2"/>
  <c r="E1106" i="2"/>
  <c r="F1106" i="2"/>
  <c r="G1106" i="2"/>
  <c r="G1130" i="1"/>
  <c r="P1130" i="1"/>
  <c r="F1130" i="1"/>
  <c r="Q1130" i="1"/>
  <c r="A1131" i="1"/>
  <c r="H1130" i="1"/>
  <c r="D1130" i="1"/>
  <c r="N1130" i="1"/>
  <c r="B1130" i="1"/>
  <c r="C1130" i="1"/>
  <c r="I1130" i="1"/>
  <c r="J1130" i="1"/>
  <c r="E1130" i="1"/>
  <c r="M1130" i="1"/>
  <c r="O1130" i="1"/>
  <c r="L1130" i="1"/>
  <c r="B1130" i="3"/>
  <c r="C1130" i="3"/>
  <c r="D1130" i="3"/>
  <c r="E1130" i="3"/>
  <c r="A1131" i="3"/>
  <c r="E1131" i="3" l="1"/>
  <c r="A1132" i="3"/>
  <c r="D1131" i="3"/>
  <c r="B1131" i="3"/>
  <c r="C1131" i="3"/>
  <c r="G1131" i="1"/>
  <c r="P1131" i="1"/>
  <c r="I1131" i="1"/>
  <c r="J1131" i="1"/>
  <c r="F1131" i="1"/>
  <c r="Q1131" i="1"/>
  <c r="B1131" i="1"/>
  <c r="O1131" i="1"/>
  <c r="L1131" i="1"/>
  <c r="C1131" i="1"/>
  <c r="A1132" i="1"/>
  <c r="D1131" i="1"/>
  <c r="E1131" i="1"/>
  <c r="M1131" i="1"/>
  <c r="N1131" i="1"/>
  <c r="H1131" i="1"/>
  <c r="G1107" i="2"/>
  <c r="H1107" i="2"/>
  <c r="I1107" i="2"/>
  <c r="F1107" i="2"/>
  <c r="D1107" i="2"/>
  <c r="E1107" i="2"/>
  <c r="J1107" i="2"/>
  <c r="A1108" i="2"/>
  <c r="B1107" i="2"/>
  <c r="C1107" i="2"/>
  <c r="E1108" i="2" l="1"/>
  <c r="F1108" i="2"/>
  <c r="G1108" i="2"/>
  <c r="D1108" i="2"/>
  <c r="J1108" i="2"/>
  <c r="A1109" i="2"/>
  <c r="H1108" i="2"/>
  <c r="I1108" i="2"/>
  <c r="C1108" i="2"/>
  <c r="B1108" i="2"/>
  <c r="B1132" i="3"/>
  <c r="C1132" i="3"/>
  <c r="D1132" i="3"/>
  <c r="E1132" i="3"/>
  <c r="A1133" i="3"/>
  <c r="G1132" i="1"/>
  <c r="P1132" i="1"/>
  <c r="B1132" i="1"/>
  <c r="L1132" i="1"/>
  <c r="C1132" i="1"/>
  <c r="M1132" i="1"/>
  <c r="I1132" i="1"/>
  <c r="O1132" i="1"/>
  <c r="F1132" i="1"/>
  <c r="Q1132" i="1"/>
  <c r="E1132" i="1"/>
  <c r="D1132" i="1"/>
  <c r="A1133" i="1"/>
  <c r="H1132" i="1"/>
  <c r="J1132" i="1"/>
  <c r="N1132" i="1"/>
  <c r="G1133" i="1" l="1"/>
  <c r="P1133" i="1"/>
  <c r="D1133" i="1"/>
  <c r="N1133" i="1"/>
  <c r="E1133" i="1"/>
  <c r="O1133" i="1"/>
  <c r="B1133" i="1"/>
  <c r="L1133" i="1"/>
  <c r="M1133" i="1"/>
  <c r="Q1133" i="1"/>
  <c r="H1133" i="1"/>
  <c r="A1134" i="1"/>
  <c r="C1133" i="1"/>
  <c r="F1133" i="1"/>
  <c r="I1133" i="1"/>
  <c r="J1133" i="1"/>
  <c r="C1133" i="3"/>
  <c r="D1133" i="3"/>
  <c r="E1133" i="3"/>
  <c r="B1133" i="3"/>
  <c r="A1134" i="3"/>
  <c r="C1109" i="2"/>
  <c r="A1110" i="2"/>
  <c r="D1109" i="2"/>
  <c r="E1109" i="2"/>
  <c r="B1109" i="2"/>
  <c r="J1109" i="2"/>
  <c r="F1109" i="2"/>
  <c r="G1109" i="2"/>
  <c r="H1109" i="2"/>
  <c r="I1109" i="2"/>
  <c r="A1135" i="3" l="1"/>
  <c r="E1134" i="3"/>
  <c r="C1134" i="3"/>
  <c r="D1134" i="3"/>
  <c r="B1134" i="3"/>
  <c r="I1110" i="2"/>
  <c r="B1110" i="2"/>
  <c r="J1110" i="2"/>
  <c r="C1110" i="2"/>
  <c r="A1111" i="2"/>
  <c r="H1110" i="2"/>
  <c r="F1110" i="2"/>
  <c r="G1110" i="2"/>
  <c r="D1110" i="2"/>
  <c r="E1110" i="2"/>
  <c r="G1134" i="1"/>
  <c r="P1134" i="1"/>
  <c r="F1134" i="1"/>
  <c r="Q1134" i="1"/>
  <c r="H1134" i="1"/>
  <c r="A1135" i="1"/>
  <c r="D1134" i="1"/>
  <c r="N1134" i="1"/>
  <c r="L1134" i="1"/>
  <c r="M1134" i="1"/>
  <c r="B1134" i="1"/>
  <c r="C1134" i="1"/>
  <c r="O1134" i="1"/>
  <c r="I1134" i="1"/>
  <c r="J1134" i="1"/>
  <c r="E1134" i="1"/>
  <c r="G1135" i="1" l="1"/>
  <c r="P1135" i="1"/>
  <c r="I1135" i="1"/>
  <c r="J1135" i="1"/>
  <c r="F1135" i="1"/>
  <c r="Q1135" i="1"/>
  <c r="L1135" i="1"/>
  <c r="O1135" i="1"/>
  <c r="D1135" i="1"/>
  <c r="M1135" i="1"/>
  <c r="N1135" i="1"/>
  <c r="B1135" i="1"/>
  <c r="E1135" i="1"/>
  <c r="H1135" i="1"/>
  <c r="C1135" i="1"/>
  <c r="G1111" i="2"/>
  <c r="H1111" i="2"/>
  <c r="I1111" i="2"/>
  <c r="F1111" i="2"/>
  <c r="B1111" i="2"/>
  <c r="C1111" i="2"/>
  <c r="J1111" i="2"/>
  <c r="A1112" i="2"/>
  <c r="D1111" i="2"/>
  <c r="E1111" i="2"/>
  <c r="B1135" i="3"/>
  <c r="C1135" i="3"/>
  <c r="D1135" i="3"/>
  <c r="E1135" i="3"/>
  <c r="E1112" i="2" l="1"/>
  <c r="F1112" i="2"/>
  <c r="G1112" i="2"/>
  <c r="D1112" i="2"/>
  <c r="B1112" i="2"/>
  <c r="C1112" i="2"/>
  <c r="H1112" i="2"/>
  <c r="I1112" i="2"/>
  <c r="J1112" i="2"/>
  <c r="A1113" i="2"/>
  <c r="E1113" i="2" l="1"/>
  <c r="B1113" i="2"/>
  <c r="F1113" i="2"/>
  <c r="G1113" i="2"/>
  <c r="H1113" i="2"/>
  <c r="I1113" i="2"/>
  <c r="A1114" i="2"/>
  <c r="C1113" i="2"/>
  <c r="D1113" i="2"/>
  <c r="J1113" i="2"/>
  <c r="D1114" i="2" l="1"/>
  <c r="E1114" i="2"/>
  <c r="F1114" i="2"/>
  <c r="G1114" i="2"/>
  <c r="B1114" i="2"/>
  <c r="C1114" i="2"/>
  <c r="H1114" i="2"/>
  <c r="J1114" i="2"/>
  <c r="A1115" i="2"/>
  <c r="I1114" i="2"/>
  <c r="B1115" i="2" l="1"/>
  <c r="J1115" i="2"/>
  <c r="C1115" i="2"/>
  <c r="A1116" i="2"/>
  <c r="D1115" i="2"/>
  <c r="E1115" i="2"/>
  <c r="H1115" i="2"/>
  <c r="I1115" i="2"/>
  <c r="F1115" i="2"/>
  <c r="G1115" i="2"/>
  <c r="H1116" i="2" l="1"/>
  <c r="I1116" i="2"/>
  <c r="B1116" i="2"/>
  <c r="J1116" i="2"/>
  <c r="C1116" i="2"/>
  <c r="A1117" i="2"/>
  <c r="D1116" i="2"/>
  <c r="G1116" i="2"/>
  <c r="E1116" i="2"/>
  <c r="F1116" i="2"/>
  <c r="F1117" i="2" l="1"/>
  <c r="G1117" i="2"/>
  <c r="H1117" i="2"/>
  <c r="I1117" i="2"/>
  <c r="D1117" i="2"/>
  <c r="E1117" i="2"/>
  <c r="J1117" i="2"/>
  <c r="C1117" i="2"/>
  <c r="A1118" i="2"/>
  <c r="B1117" i="2"/>
  <c r="D1118" i="2" l="1"/>
  <c r="E1118" i="2"/>
  <c r="F1118" i="2"/>
  <c r="G1118" i="2"/>
  <c r="J1118" i="2"/>
  <c r="A1119" i="2"/>
  <c r="B1118" i="2"/>
  <c r="C1118" i="2"/>
  <c r="H1118" i="2"/>
  <c r="I1118" i="2"/>
  <c r="B1119" i="2" l="1"/>
  <c r="J1119" i="2"/>
  <c r="C1119" i="2"/>
  <c r="A1120" i="2"/>
  <c r="D1119" i="2"/>
  <c r="E1119" i="2"/>
  <c r="F1119" i="2"/>
  <c r="I1119" i="2"/>
  <c r="G1119" i="2"/>
  <c r="H1119" i="2"/>
  <c r="H1120" i="2" l="1"/>
  <c r="I1120" i="2"/>
  <c r="B1120" i="2"/>
  <c r="J1120" i="2"/>
  <c r="C1120" i="2"/>
  <c r="A1121" i="2"/>
  <c r="F1120" i="2"/>
  <c r="G1120" i="2"/>
  <c r="D1120" i="2"/>
  <c r="E1120" i="2"/>
  <c r="F1121" i="2" l="1"/>
  <c r="G1121" i="2"/>
  <c r="H1121" i="2"/>
  <c r="I1121" i="2"/>
  <c r="B1121" i="2"/>
  <c r="J1121" i="2"/>
  <c r="A1122" i="2"/>
  <c r="D1121" i="2"/>
  <c r="E1121" i="2"/>
  <c r="C1121" i="2"/>
  <c r="D1122" i="2" l="1"/>
  <c r="E1122" i="2"/>
  <c r="F1122" i="2"/>
  <c r="G1122" i="2"/>
  <c r="B1122" i="2"/>
  <c r="C1122" i="2"/>
  <c r="H1122" i="2"/>
  <c r="I1122" i="2"/>
  <c r="J1122" i="2"/>
  <c r="A1123" i="2"/>
  <c r="B1123" i="2" l="1"/>
  <c r="J1123" i="2"/>
  <c r="C1123" i="2"/>
  <c r="A1124" i="2"/>
  <c r="D1123" i="2"/>
  <c r="E1123" i="2"/>
  <c r="H1123" i="2"/>
  <c r="I1123" i="2"/>
  <c r="F1123" i="2"/>
  <c r="G1123" i="2"/>
  <c r="H1124" i="2" l="1"/>
  <c r="I1124" i="2"/>
  <c r="B1124" i="2"/>
  <c r="J1124" i="2"/>
  <c r="C1124" i="2"/>
  <c r="A1125" i="2"/>
  <c r="D1124" i="2"/>
  <c r="F1124" i="2"/>
  <c r="E1124" i="2"/>
  <c r="G1124" i="2"/>
  <c r="F1125" i="2" l="1"/>
  <c r="G1125" i="2"/>
  <c r="H1125" i="2"/>
  <c r="I1125" i="2"/>
  <c r="D1125" i="2"/>
  <c r="E1125" i="2"/>
  <c r="J1125" i="2"/>
  <c r="B1125" i="2"/>
  <c r="C1125" i="2"/>
  <c r="A1126" i="2"/>
  <c r="D1126" i="2" l="1"/>
  <c r="E1126" i="2"/>
  <c r="F1126" i="2"/>
  <c r="G1126" i="2"/>
  <c r="J1126" i="2"/>
  <c r="A1127" i="2"/>
  <c r="I1126" i="2"/>
  <c r="C1126" i="2"/>
  <c r="H1126" i="2"/>
  <c r="B1126" i="2"/>
  <c r="B1127" i="2" l="1"/>
  <c r="J1127" i="2"/>
  <c r="C1127" i="2"/>
  <c r="A1128" i="2"/>
  <c r="D1127" i="2"/>
  <c r="E1127" i="2"/>
  <c r="F1127" i="2"/>
  <c r="H1127" i="2"/>
  <c r="I1127" i="2"/>
  <c r="G1127" i="2"/>
  <c r="H1128" i="2" l="1"/>
  <c r="I1128" i="2"/>
  <c r="B1128" i="2"/>
  <c r="J1128" i="2"/>
  <c r="C1128" i="2"/>
  <c r="A1129" i="2"/>
  <c r="F1128" i="2"/>
  <c r="G1128" i="2"/>
  <c r="D1128" i="2"/>
  <c r="E1128" i="2"/>
  <c r="F1129" i="2" l="1"/>
  <c r="G1129" i="2"/>
  <c r="H1129" i="2"/>
  <c r="I1129" i="2"/>
  <c r="B1129" i="2"/>
  <c r="A1130" i="2"/>
  <c r="E1129" i="2"/>
  <c r="C1129" i="2"/>
  <c r="J1129" i="2"/>
  <c r="D1129" i="2"/>
  <c r="D1130" i="2" l="1"/>
  <c r="E1130" i="2"/>
  <c r="F1130" i="2"/>
  <c r="G1130" i="2"/>
  <c r="B1130" i="2"/>
  <c r="C1130" i="2"/>
  <c r="H1130" i="2"/>
  <c r="I1130" i="2"/>
  <c r="J1130" i="2"/>
  <c r="A1131" i="2"/>
  <c r="B1131" i="2" l="1"/>
  <c r="J1131" i="2"/>
  <c r="C1131" i="2"/>
  <c r="A1132" i="2"/>
  <c r="D1131" i="2"/>
  <c r="E1131" i="2"/>
  <c r="H1131" i="2"/>
  <c r="I1131" i="2"/>
  <c r="F1131" i="2"/>
  <c r="G1131" i="2"/>
  <c r="H1132" i="2" l="1"/>
  <c r="I1132" i="2"/>
  <c r="B1132" i="2"/>
  <c r="J1132" i="2"/>
  <c r="C1132" i="2"/>
  <c r="A1133" i="2"/>
  <c r="D1132" i="2"/>
  <c r="G1132" i="2"/>
  <c r="E1132" i="2"/>
  <c r="F1132" i="2"/>
  <c r="F1133" i="2" l="1"/>
  <c r="G1133" i="2"/>
  <c r="H1133" i="2"/>
  <c r="I1133" i="2"/>
  <c r="D1133" i="2"/>
  <c r="E1133" i="2"/>
  <c r="J1133" i="2"/>
  <c r="B1133" i="2"/>
  <c r="C1133" i="2"/>
  <c r="A1134" i="2"/>
  <c r="D1134" i="2" l="1"/>
  <c r="E1134" i="2"/>
  <c r="F1134" i="2"/>
  <c r="G1134" i="2"/>
  <c r="J1134" i="2"/>
  <c r="A1135" i="2"/>
  <c r="H1134" i="2"/>
  <c r="B1134" i="2"/>
  <c r="I1134" i="2"/>
  <c r="C1134" i="2"/>
  <c r="B1135" i="2" l="1"/>
  <c r="J1135" i="2"/>
  <c r="C1135" i="2"/>
  <c r="D1135" i="2"/>
  <c r="E1135" i="2"/>
  <c r="F1135" i="2"/>
  <c r="G1135" i="2"/>
  <c r="H1135" i="2"/>
  <c r="I1135" i="2"/>
</calcChain>
</file>

<file path=xl/sharedStrings.xml><?xml version="1.0" encoding="utf-8"?>
<sst xmlns="http://schemas.openxmlformats.org/spreadsheetml/2006/main" count="161" uniqueCount="74">
  <si>
    <t>MM$</t>
  </si>
  <si>
    <t>$/MMBTU</t>
  </si>
  <si>
    <t>MONTH</t>
  </si>
  <si>
    <t>UPS REPLACEMENT SUNK DEMAND CHARGE</t>
  </si>
  <si>
    <t>BAY GAS STORAGE DEMAND CHARGE</t>
  </si>
  <si>
    <t>SABAL TRAIL &amp; FSC</t>
  </si>
  <si>
    <t>GULF SOUTH</t>
  </si>
  <si>
    <t>TRANSCO 4A</t>
  </si>
  <si>
    <t>SESH</t>
  </si>
  <si>
    <t>GULFSTREAM</t>
  </si>
  <si>
    <t>FGT</t>
  </si>
  <si>
    <t>UPS REPLACEMENT DISPATCH PRICE</t>
  </si>
  <si>
    <t>HENRY HUB</t>
  </si>
  <si>
    <r>
      <t xml:space="preserve">FSC FIRM     FROM                          </t>
    </r>
    <r>
      <rPr>
        <b/>
        <sz val="12"/>
        <color theme="5" tint="-0.249977111117893"/>
        <rFont val="Arial"/>
        <family val="2"/>
      </rPr>
      <t>SABAL TRAIL</t>
    </r>
  </si>
  <si>
    <t>GULFSTREAM NON-FIRM</t>
  </si>
  <si>
    <t>WEIGHTED AVERAGE GULFSTREAM FIRM</t>
  </si>
  <si>
    <t>FGT NON-FIRM</t>
  </si>
  <si>
    <t>WEIGHTED AVERAGE FGT FIRM</t>
  </si>
  <si>
    <t>WEIGHTED AVERAGE Z3 FGT FIRM</t>
  </si>
  <si>
    <t>ZONE 2 FGT FIRM</t>
  </si>
  <si>
    <t>ZONE 1 FGT FIRM</t>
  </si>
  <si>
    <t>FIRM TRANSPORT AND STORAGE CONTRACTS THROUGH FGT PHASE VIII</t>
  </si>
  <si>
    <t>SUNK DEMAND CHARGE FOR ALL CURRENT</t>
  </si>
  <si>
    <t>HIGH</t>
  </si>
  <si>
    <t>LOW</t>
  </si>
  <si>
    <t>June 01, 2015 - LYSTRA LOUTAN</t>
  </si>
  <si>
    <t>LONG-TERM FORECAST METHODOLOGY - GAS PRICE</t>
  </si>
  <si>
    <t>MMCF/DAY</t>
  </si>
  <si>
    <t>DAYS</t>
  </si>
  <si>
    <t>GULFSTREAM NON-FIRM &amp; NON-FIRM BACKHAUL</t>
  </si>
  <si>
    <t>TOTAL GULFSTREAM FIRM</t>
  </si>
  <si>
    <t>SABAL TRAIL PIPELINE</t>
  </si>
  <si>
    <t>TOTAL FGT FIRM</t>
  </si>
  <si>
    <t>ZONE 3 FGT FIRM</t>
  </si>
  <si>
    <t>FGT FIRM BY ZONE</t>
  </si>
  <si>
    <t>LONG-TERM FORECAST METHODOLOGY - CAPACITY</t>
  </si>
  <si>
    <t>$/BBL.</t>
  </si>
  <si>
    <t>WTI</t>
  </si>
  <si>
    <t>ALL PLANTS DISTILLATE</t>
  </si>
  <si>
    <t>MANATEE / TURKEY POINT RESIDUAL</t>
  </si>
  <si>
    <t>MARTIN RESIDUAL</t>
  </si>
  <si>
    <t>DISTILLATE</t>
  </si>
  <si>
    <t>RESIDUAL</t>
  </si>
  <si>
    <t>LONG-TERM FORECAST METHODOLOGY - OIL PRICE</t>
  </si>
  <si>
    <t>DISPATCH PRICE WITH SO2 &amp; NOx</t>
  </si>
  <si>
    <t>DISPATCH PRICE WITHOUT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</si>
  <si>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</si>
  <si>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</si>
  <si>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</si>
  <si>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</si>
  <si>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</si>
  <si>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</si>
  <si>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WITHOUT NOx</t>
  </si>
  <si>
    <t>WITH NOx</t>
  </si>
  <si>
    <t>Selection</t>
  </si>
  <si>
    <t>Natural Gas</t>
  </si>
  <si>
    <t>WITHOUT SO2 &amp; NOx</t>
  </si>
  <si>
    <t>WITH SO2 &amp; NOx</t>
  </si>
  <si>
    <t>Oil SO2</t>
  </si>
  <si>
    <t>HIGH PRICES</t>
  </si>
  <si>
    <t>MEDIUM PRICES</t>
  </si>
  <si>
    <t>LOW PRICES</t>
  </si>
  <si>
    <t>Coal</t>
  </si>
  <si>
    <t>Heavy &amp; Light Oil</t>
  </si>
  <si>
    <t>Florida Power &amp; Light Company</t>
  </si>
  <si>
    <t>Docket No. 160154-EI</t>
  </si>
  <si>
    <t>Staff's First Set of Interrogatories</t>
  </si>
  <si>
    <t>Interrogatory No. 2</t>
  </si>
  <si>
    <t>Tab 1 of 5</t>
  </si>
  <si>
    <t>Attachment No. 41</t>
  </si>
  <si>
    <t>Tab 5 of 5</t>
  </si>
  <si>
    <t>Tab 4 of 5</t>
  </si>
  <si>
    <t>Tab 3 of 5</t>
  </si>
  <si>
    <t>Tab 2 of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</si>
</sst>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_)"/>
    <numFmt numFmtId="166" formatCode="&quot;$&quot;#,##0.00"/>
    <numFmt numFmtId="167" formatCode="&quot;$&quot;#,##0.0"/>
    <numFmt numFmtId="168" formatCode="&quot;$&quot;#,##0.0_);[Red]\(&quot;$&quot;#,##0.0\)"/>
    <numFmt numFmtId="169" formatCode="[$-409]mmm\-yy;@"/>
    <numFmt numFmtId="170" formatCode="0.0000"/>
    <numFmt numFmtId="171" formatCode="0.0"/>
    <numFmt numFmtId="172" formatCode="_(* #,##0_);_(* \(#,##0\);_(* &quot;-&quot;??_);_(@_)"/>
  </numFmts>
  <fonts count="20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00B0F0"/>
      <name val="Arial"/>
      <family val="2"/>
    </font>
    <font>
      <b/>
      <u/>
      <sz val="16"/>
      <name val="Arial"/>
      <family val="2"/>
    </font>
    <font>
      <sz val="9"/>
      <name val="Geneva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7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12"/>
      <name val="Helv"/>
    </font>
    <font>
      <b/>
      <sz val="12"/>
      <name val="Helv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164" fontId="0" fillId="0" borderId="0">
      <alignment horizontal="left" wrapText="1"/>
    </xf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wrapText="1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>
      <alignment wrapText="1"/>
    </xf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" fillId="0" borderId="0"/>
    <xf numFmtId="0" fontId="1" fillId="0" borderId="0"/>
  </cellStyleXfs>
  <cellXfs count="97">
    <xf numFmtId="164" fontId="0" fillId="0" borderId="0" xfId="0">
      <alignment horizontal="left" wrapText="1"/>
    </xf>
    <xf numFmtId="0" fontId="3" fillId="0" borderId="0" xfId="4" applyFont="1"/>
    <xf numFmtId="0" fontId="3" fillId="0" borderId="0" xfId="4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4" applyNumberFormat="1" applyFont="1" applyAlignment="1">
      <alignment horizontal="center"/>
    </xf>
    <xf numFmtId="167" fontId="3" fillId="0" borderId="0" xfId="4" applyNumberFormat="1" applyFont="1" applyAlignment="1">
      <alignment horizontal="center"/>
    </xf>
    <xf numFmtId="167" fontId="3" fillId="0" borderId="0" xfId="4" applyNumberFormat="1" applyFont="1"/>
    <xf numFmtId="166" fontId="3" fillId="0" borderId="0" xfId="4" applyNumberFormat="1" applyFont="1"/>
    <xf numFmtId="166" fontId="3" fillId="2" borderId="0" xfId="4" applyNumberFormat="1" applyFont="1" applyFill="1" applyAlignment="1">
      <alignment horizontal="center"/>
    </xf>
    <xf numFmtId="168" fontId="3" fillId="0" borderId="0" xfId="4" applyNumberFormat="1" applyFont="1" applyAlignment="1">
      <alignment horizontal="center"/>
    </xf>
    <xf numFmtId="165" fontId="3" fillId="0" borderId="0" xfId="0" applyNumberFormat="1" applyFont="1" applyAlignment="1"/>
    <xf numFmtId="167" fontId="5" fillId="0" borderId="0" xfId="4" applyNumberFormat="1" applyFont="1" applyAlignment="1">
      <alignment horizontal="center"/>
    </xf>
    <xf numFmtId="166" fontId="6" fillId="2" borderId="0" xfId="4" applyNumberFormat="1" applyFont="1" applyFill="1" applyAlignment="1">
      <alignment horizontal="center"/>
    </xf>
    <xf numFmtId="17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167" fontId="5" fillId="3" borderId="0" xfId="4" applyNumberFormat="1" applyFont="1" applyFill="1" applyAlignment="1">
      <alignment horizontal="center"/>
    </xf>
    <xf numFmtId="167" fontId="5" fillId="4" borderId="0" xfId="4" applyNumberFormat="1" applyFont="1" applyFill="1" applyAlignment="1">
      <alignment horizontal="center"/>
    </xf>
    <xf numFmtId="167" fontId="5" fillId="5" borderId="0" xfId="4" applyNumberFormat="1" applyFont="1" applyFill="1" applyAlignment="1">
      <alignment horizontal="center"/>
    </xf>
    <xf numFmtId="0" fontId="3" fillId="0" borderId="0" xfId="4" applyFont="1" applyAlignment="1">
      <alignment horizontal="center" wrapText="1"/>
    </xf>
    <xf numFmtId="0" fontId="6" fillId="6" borderId="0" xfId="4" applyFont="1" applyFill="1" applyAlignment="1">
      <alignment horizontal="center" wrapText="1"/>
    </xf>
    <xf numFmtId="0" fontId="6" fillId="0" borderId="0" xfId="4" applyFont="1" applyAlignment="1">
      <alignment horizontal="center" wrapText="1"/>
    </xf>
    <xf numFmtId="0" fontId="6" fillId="2" borderId="0" xfId="4" applyFont="1" applyFill="1" applyAlignment="1">
      <alignment horizontal="center" wrapText="1"/>
    </xf>
    <xf numFmtId="0" fontId="6" fillId="6" borderId="0" xfId="4" quotePrefix="1" applyFont="1" applyFill="1" applyAlignment="1">
      <alignment horizontal="center" wrapText="1"/>
    </xf>
    <xf numFmtId="0" fontId="6" fillId="0" borderId="0" xfId="4" quotePrefix="1" applyFont="1" applyAlignment="1">
      <alignment horizontal="center" wrapText="1"/>
    </xf>
    <xf numFmtId="0" fontId="6" fillId="0" borderId="0" xfId="4" applyFont="1" applyAlignment="1">
      <alignment horizontal="center"/>
    </xf>
    <xf numFmtId="0" fontId="6" fillId="0" borderId="0" xfId="4" applyFont="1" applyAlignment="1"/>
    <xf numFmtId="10" fontId="8" fillId="7" borderId="0" xfId="4" applyNumberFormat="1" applyFont="1" applyFill="1" applyAlignment="1">
      <alignment horizontal="center"/>
    </xf>
    <xf numFmtId="0" fontId="6" fillId="7" borderId="0" xfId="4" applyFont="1" applyFill="1" applyAlignment="1">
      <alignment horizontal="center"/>
    </xf>
    <xf numFmtId="170" fontId="3" fillId="0" borderId="0" xfId="4" applyNumberFormat="1" applyFont="1"/>
    <xf numFmtId="1" fontId="3" fillId="0" borderId="0" xfId="4" applyNumberFormat="1" applyFont="1"/>
    <xf numFmtId="15" fontId="6" fillId="0" borderId="0" xfId="4" applyNumberFormat="1" applyFont="1" applyAlignment="1">
      <alignment horizontal="left"/>
    </xf>
    <xf numFmtId="165" fontId="9" fillId="0" borderId="0" xfId="0" quotePrefix="1" applyNumberFormat="1" applyFont="1" applyAlignment="1">
      <alignment horizontal="left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0" xfId="4"/>
    <xf numFmtId="1" fontId="3" fillId="0" borderId="0" xfId="4" applyNumberFormat="1" applyFont="1" applyAlignment="1">
      <alignment horizontal="center"/>
    </xf>
    <xf numFmtId="1" fontId="2" fillId="0" borderId="0" xfId="4" applyNumberFormat="1" applyFont="1" applyAlignment="1">
      <alignment horizontal="center"/>
    </xf>
    <xf numFmtId="1" fontId="3" fillId="8" borderId="0" xfId="4" applyNumberFormat="1" applyFont="1" applyFill="1" applyAlignment="1">
      <alignment horizontal="center"/>
    </xf>
    <xf numFmtId="3" fontId="3" fillId="0" borderId="0" xfId="4" applyNumberFormat="1" applyFont="1" applyAlignment="1">
      <alignment horizontal="center"/>
    </xf>
    <xf numFmtId="3" fontId="3" fillId="8" borderId="0" xfId="4" applyNumberFormat="1" applyFont="1" applyFill="1" applyAlignment="1">
      <alignment horizontal="center"/>
    </xf>
    <xf numFmtId="171" fontId="6" fillId="9" borderId="0" xfId="4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/>
    <xf numFmtId="1" fontId="6" fillId="0" borderId="0" xfId="4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72" fontId="3" fillId="0" borderId="0" xfId="0" applyNumberFormat="1" applyFont="1" applyAlignment="1"/>
    <xf numFmtId="0" fontId="6" fillId="0" borderId="0" xfId="4" applyFont="1" applyFill="1" applyAlignment="1">
      <alignment horizontal="center" wrapText="1"/>
    </xf>
    <xf numFmtId="0" fontId="6" fillId="9" borderId="0" xfId="4" applyFont="1" applyFill="1" applyAlignment="1">
      <alignment horizontal="center" wrapText="1"/>
    </xf>
    <xf numFmtId="0" fontId="6" fillId="2" borderId="0" xfId="4" quotePrefix="1" applyFont="1" applyFill="1" applyAlignment="1">
      <alignment horizontal="center" wrapText="1"/>
    </xf>
    <xf numFmtId="0" fontId="6" fillId="0" borderId="0" xfId="4" quotePrefix="1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4" applyFont="1" applyFill="1" applyAlignment="1"/>
    <xf numFmtId="0" fontId="6" fillId="10" borderId="0" xfId="4" applyFont="1" applyFill="1" applyAlignment="1">
      <alignment horizontal="center"/>
    </xf>
    <xf numFmtId="0" fontId="6" fillId="0" borderId="0" xfId="4" applyFont="1"/>
    <xf numFmtId="0" fontId="2" fillId="0" borderId="0" xfId="4" applyFont="1" applyAlignment="1">
      <alignment horizontal="center" wrapText="1"/>
    </xf>
    <xf numFmtId="0" fontId="6" fillId="0" borderId="0" xfId="4" quotePrefix="1" applyFont="1" applyFill="1" applyAlignment="1">
      <alignment horizontal="center" wrapText="1"/>
    </xf>
    <xf numFmtId="0" fontId="6" fillId="8" borderId="0" xfId="4" applyFont="1" applyFill="1" applyAlignment="1"/>
    <xf numFmtId="15" fontId="6" fillId="0" borderId="0" xfId="4" applyNumberFormat="1" applyFont="1" applyFill="1" applyAlignment="1">
      <alignment horizontal="left"/>
    </xf>
    <xf numFmtId="9" fontId="11" fillId="13" borderId="0" xfId="3" applyFont="1" applyFill="1" applyAlignment="1">
      <alignment horizontal="center"/>
    </xf>
    <xf numFmtId="0" fontId="12" fillId="13" borderId="0" xfId="4" applyFont="1" applyFill="1" applyAlignment="1">
      <alignment horizontal="center"/>
    </xf>
    <xf numFmtId="0" fontId="2" fillId="0" borderId="0" xfId="4" applyFont="1" applyFill="1"/>
    <xf numFmtId="0" fontId="13" fillId="0" borderId="0" xfId="4" applyFont="1" applyFill="1"/>
    <xf numFmtId="0" fontId="14" fillId="0" borderId="0" xfId="4" quotePrefix="1" applyFont="1" applyFill="1" applyAlignment="1">
      <alignment horizontal="left"/>
    </xf>
    <xf numFmtId="166" fontId="3" fillId="0" borderId="0" xfId="0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44" fontId="15" fillId="0" borderId="0" xfId="2" applyFont="1" applyAlignment="1">
      <alignment horizontal="center"/>
    </xf>
    <xf numFmtId="44" fontId="6" fillId="0" borderId="0" xfId="2" applyFont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6" fillId="14" borderId="0" xfId="0" quotePrefix="1" applyNumberFormat="1" applyFont="1" applyFill="1" applyAlignment="1">
      <alignment horizontal="center" vertical="center" wrapText="1"/>
    </xf>
    <xf numFmtId="165" fontId="6" fillId="2" borderId="0" xfId="0" quotePrefix="1" applyNumberFormat="1" applyFont="1" applyFill="1" applyAlignment="1">
      <alignment horizontal="center" vertical="center" wrapText="1"/>
    </xf>
    <xf numFmtId="165" fontId="6" fillId="10" borderId="0" xfId="0" quotePrefix="1" applyNumberFormat="1" applyFont="1" applyFill="1" applyAlignment="1">
      <alignment horizontal="center" vertical="center" wrapText="1"/>
    </xf>
    <xf numFmtId="0" fontId="6" fillId="0" borderId="0" xfId="4" applyFont="1" applyAlignment="1">
      <alignment horizontal="center"/>
    </xf>
    <xf numFmtId="0" fontId="16" fillId="0" borderId="0" xfId="4" applyFont="1"/>
    <xf numFmtId="10" fontId="8" fillId="7" borderId="0" xfId="4" quotePrefix="1" applyNumberFormat="1" applyFont="1" applyFill="1" applyAlignment="1">
      <alignment horizontal="center"/>
    </xf>
    <xf numFmtId="15" fontId="6" fillId="7" borderId="0" xfId="4" applyNumberFormat="1" applyFont="1" applyFill="1" applyAlignment="1">
      <alignment horizontal="left"/>
    </xf>
    <xf numFmtId="15" fontId="6" fillId="0" borderId="0" xfId="4" quotePrefix="1" applyNumberFormat="1" applyFont="1" applyAlignment="1">
      <alignment horizontal="left"/>
    </xf>
    <xf numFmtId="0" fontId="17" fillId="0" borderId="0" xfId="4" applyFont="1"/>
    <xf numFmtId="165" fontId="0" fillId="0" borderId="0" xfId="0" applyNumberFormat="1" applyAlignment="1"/>
    <xf numFmtId="43" fontId="0" fillId="0" borderId="0" xfId="1" applyFont="1" applyAlignment="1"/>
    <xf numFmtId="165" fontId="0" fillId="0" borderId="0" xfId="0" quotePrefix="1" applyNumberFormat="1" applyAlignment="1"/>
    <xf numFmtId="165" fontId="18" fillId="0" borderId="1" xfId="0" quotePrefix="1" applyNumberFormat="1" applyFont="1" applyBorder="1" applyAlignment="1">
      <alignment horizontal="left"/>
    </xf>
    <xf numFmtId="165" fontId="18" fillId="0" borderId="3" xfId="0" quotePrefix="1" applyNumberFormat="1" applyFont="1" applyBorder="1" applyAlignment="1">
      <alignment horizontal="left"/>
    </xf>
    <xf numFmtId="165" fontId="19" fillId="0" borderId="4" xfId="0" applyNumberFormat="1" applyFont="1" applyBorder="1" applyAlignment="1"/>
    <xf numFmtId="165" fontId="18" fillId="0" borderId="1" xfId="0" applyNumberFormat="1" applyFont="1" applyBorder="1" applyAlignment="1"/>
    <xf numFmtId="165" fontId="18" fillId="0" borderId="3" xfId="0" applyNumberFormat="1" applyFont="1" applyBorder="1" applyAlignment="1"/>
    <xf numFmtId="165" fontId="19" fillId="0" borderId="0" xfId="0" applyNumberFormat="1" applyFont="1" applyAlignment="1">
      <alignment horizontal="left"/>
    </xf>
    <xf numFmtId="0" fontId="6" fillId="6" borderId="0" xfId="4" quotePrefix="1" applyFont="1" applyFill="1" applyAlignment="1">
      <alignment horizontal="center"/>
    </xf>
    <xf numFmtId="0" fontId="6" fillId="11" borderId="0" xfId="4" quotePrefix="1" applyFont="1" applyFill="1" applyAlignment="1">
      <alignment horizontal="center"/>
    </xf>
    <xf numFmtId="0" fontId="6" fillId="12" borderId="0" xfId="4" applyFont="1" applyFill="1" applyAlignment="1">
      <alignment horizontal="center"/>
    </xf>
    <xf numFmtId="0" fontId="6" fillId="0" borderId="0" xfId="4" applyFont="1" applyAlignment="1">
      <alignment horizontal="center"/>
    </xf>
    <xf numFmtId="165" fontId="6" fillId="11" borderId="0" xfId="0" quotePrefix="1" applyNumberFormat="1" applyFont="1" applyFill="1" applyAlignment="1">
      <alignment horizontal="center"/>
    </xf>
    <xf numFmtId="0" fontId="6" fillId="9" borderId="0" xfId="4" quotePrefix="1" applyFont="1" applyFill="1" applyAlignment="1">
      <alignment horizontal="center"/>
    </xf>
    <xf numFmtId="0" fontId="6" fillId="9" borderId="0" xfId="4" applyFont="1" applyFill="1" applyAlignment="1">
      <alignment horizontal="center"/>
    </xf>
    <xf numFmtId="0" fontId="6" fillId="11" borderId="0" xfId="4" applyFont="1" applyFill="1" applyAlignment="1">
      <alignment horizontal="center"/>
    </xf>
    <xf numFmtId="165" fontId="18" fillId="0" borderId="2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</cellXfs>
  <cellStyles count="52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Comma" xfId="1" builtinId="3"/>
    <cellStyle name="Comma 2" xfId="25"/>
    <cellStyle name="Comma 3" xfId="26"/>
    <cellStyle name="Comma 3 2" xfId="27"/>
    <cellStyle name="Comma 4" xfId="28"/>
    <cellStyle name="Comma 5" xfId="29"/>
    <cellStyle name="Currency" xfId="2" builtinId="4"/>
    <cellStyle name="Normal" xfId="0" builtinId="0"/>
    <cellStyle name="Normal 10" xfId="30"/>
    <cellStyle name="Normal 10 2" xfId="31"/>
    <cellStyle name="Normal 2" xfId="32"/>
    <cellStyle name="Normal 2 2" xfId="33"/>
    <cellStyle name="Normal 2 2 2" xfId="34"/>
    <cellStyle name="Normal 2 3" xfId="35"/>
    <cellStyle name="Normal 2 3 2" xfId="36"/>
    <cellStyle name="Normal 2 4" xfId="37"/>
    <cellStyle name="Normal 2 4 2" xfId="38"/>
    <cellStyle name="Normal 2 5" xfId="39"/>
    <cellStyle name="Normal 2 6" xfId="40"/>
    <cellStyle name="Normal 2 7" xfId="41"/>
    <cellStyle name="Normal 3" xfId="42"/>
    <cellStyle name="Normal 4" xfId="43"/>
    <cellStyle name="Normal 5" xfId="44"/>
    <cellStyle name="Normal 5 2" xfId="45"/>
    <cellStyle name="Normal 6" xfId="46"/>
    <cellStyle name="Normal 6 2" xfId="47"/>
    <cellStyle name="Normal 7" xfId="48"/>
    <cellStyle name="Normal 7 2" xfId="49"/>
    <cellStyle name="Normal 8" xfId="50"/>
    <cellStyle name="Normal 9" xfId="51"/>
    <cellStyle name="Normal_060415 RAP Fuel Price Forecast Template - Case 1 (Historical Spread)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8" fmlaLink="CONTROL!$C$15" fmlaRange="CONTROL!$B$15:$B$17" sel="2" val="0"/>
</file>

<file path=xl/ctrlProps/ctrlProp2.xml><?xml version="1.0" encoding="utf-8"?>
<formControlPr xmlns="http://schemas.microsoft.com/office/spreadsheetml/2009/9/main" objectType="Drop" dropLines="2" dropStyle="combo" dx="18" fmlaLink="CONTROL!$C$32" fmlaRange="CONTROL!$B$32:$B$33" val="0"/>
</file>

<file path=xl/ctrlProps/ctrlProp3.xml><?xml version="1.0" encoding="utf-8"?>
<formControlPr xmlns="http://schemas.microsoft.com/office/spreadsheetml/2009/9/main" objectType="Drop" dropLines="3" dropStyle="combo" dx="18" fmlaLink="CONTROL!$C$9" fmlaRange="CONTROL!$B$9:$B$11" sel="2" val="0"/>
</file>

<file path=xl/ctrlProps/ctrlProp4.xml><?xml version="1.0" encoding="utf-8"?>
<formControlPr xmlns="http://schemas.microsoft.com/office/spreadsheetml/2009/9/main" objectType="Drop" dropLines="2" dropStyle="combo" dx="18" fmlaLink="CONTROL!$C$28" fmlaRange="CONTROL!$B$28:$B$29" val="0"/>
</file>

<file path=xl/ctrlProps/ctrlProp5.xml><?xml version="1.0" encoding="utf-8"?>
<formControlPr xmlns="http://schemas.microsoft.com/office/spreadsheetml/2009/9/main" objectType="Drop" dropLines="3" dropStyle="combo" dx="18" fmlaRange="[4]CONTROL!$B$19:$B$2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171450</xdr:rowOff>
        </xdr:from>
        <xdr:to>
          <xdr:col>4</xdr:col>
          <xdr:colOff>533400</xdr:colOff>
          <xdr:row>13</xdr:row>
          <xdr:rowOff>104775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171450</xdr:rowOff>
        </xdr:from>
        <xdr:to>
          <xdr:col>6</xdr:col>
          <xdr:colOff>257175</xdr:colOff>
          <xdr:row>13</xdr:row>
          <xdr:rowOff>95250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9</xdr:row>
          <xdr:rowOff>171450</xdr:rowOff>
        </xdr:from>
        <xdr:to>
          <xdr:col>2</xdr:col>
          <xdr:colOff>666750</xdr:colOff>
          <xdr:row>11</xdr:row>
          <xdr:rowOff>104775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171450</xdr:rowOff>
        </xdr:from>
        <xdr:to>
          <xdr:col>4</xdr:col>
          <xdr:colOff>371475</xdr:colOff>
          <xdr:row>11</xdr:row>
          <xdr:rowOff>95250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371475</xdr:colOff>
          <xdr:row>12</xdr:row>
          <xdr:rowOff>142875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hab0ptk\0600911%20-%20SJRPP%20Solid%20Fuel%20Historic%20Prices%20-%20Commodity%20&amp;%20Ra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XD0FJ7\AppData\Local\Temp\Temp1_2015.zip\2015\6.%20June\150601%202015%20-%202100%20LONG-TERM%20FORECAST%20FPL%20METHODOLOGY%20-%20To%20Dele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XD0FJ7\AppData\Local\Temp\Temp1_2015.zip\2015\6.%20June\150601%202015%20-%202100%20LONG-TERM%20FORECAST%20FPL%20METHODOLOGY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 - $ Per Ton - Q"/>
      <sheetName val="Chart 2 - $ Per MMBtu - Q"/>
      <sheetName val="Chart 3 - $ Per Ton - A"/>
      <sheetName val="Chart 4 - $ Per MMBtu - A"/>
      <sheetName val="History Delivered"/>
      <sheetName val="History Mine Mouth"/>
      <sheetName val="HIS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Pub Index"/>
      <sheetName val="_Setup_"/>
      <sheetName val="GAS BASIS"/>
      <sheetName val="FPL LONG TERM GAS &amp; OIL INDEX"/>
      <sheetName val="OIL &amp; GAS SEASONALITY"/>
      <sheetName val="TRANSPORT"/>
      <sheetName val="DEMAND CHARGE"/>
      <sheetName val="CAPACITY"/>
      <sheetName val="GAS AVAILABILITY WORKSHEET"/>
      <sheetName val="NATURAL GAS PRICES WORKSHEET"/>
      <sheetName val="FGT PRIMARY FIRM ZONE 1"/>
      <sheetName val="FGT PRIMARY FIRM ZONE 2"/>
      <sheetName val="FGT PRIMARY FIRM ZONE 3"/>
      <sheetName val="FGT NON-FIRM"/>
      <sheetName val="SESH TO FTS 3"/>
      <sheetName val="TRANSCO 4A  FTS 3"/>
      <sheetName val="GULF SOUTH TO FTS 1&amp;2"/>
      <sheetName val="INCREMENTAL Z3"/>
      <sheetName val="SESH TO GULFSTREAM"/>
      <sheetName val="TRANSCO 4A TO GULFSTREAM"/>
      <sheetName val="GULF SOUTH TO GULFSTREAM"/>
      <sheetName val="GULFSTREAM FIRM "/>
      <sheetName val="GULFSTREAM NON-FIRM"/>
      <sheetName val="FSC DLVD"/>
      <sheetName val="UPS REPLACEMENT"/>
      <sheetName val="Upload"/>
      <sheetName val="DISTILLATE &amp; RESIDUAL FUEL OIL"/>
      <sheetName val="COAL &amp; PET COKE FORECAST"/>
      <sheetName val="COAL - Monthly"/>
      <sheetName val="COAL SO2 &amp; NOX Calculations"/>
      <sheetName val="COAL - Monthly OLD"/>
      <sheetName val="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Pub Index"/>
      <sheetName val="_Setup_"/>
      <sheetName val="GAS BASIS"/>
      <sheetName val="FPL LONG TERM GAS &amp; OIL INDEX"/>
      <sheetName val="OIL &amp; GAS SEASONALITY"/>
      <sheetName val="TRANSPORT"/>
      <sheetName val="DEMAND CHARGE"/>
      <sheetName val="CAPACITY"/>
      <sheetName val="GAS AVAILABILITY WORKSHEET"/>
      <sheetName val="NATURAL GAS PRICES WORKSHEET"/>
      <sheetName val="FGT PRIMARY FIRM ZONE 1"/>
      <sheetName val="FGT PRIMARY FIRM ZONE 2"/>
      <sheetName val="FGT PRIMARY FIRM ZONE 3"/>
      <sheetName val="FGT NON-FIRM"/>
      <sheetName val="SESH TO FTS 3"/>
      <sheetName val="TRANSCO 4A  FTS 3"/>
      <sheetName val="GULF SOUTH TO FTS 1&amp;2"/>
      <sheetName val="INCREMENTAL Z3"/>
      <sheetName val="SESH TO GULFSTREAM"/>
      <sheetName val="TRANSCO 4A TO GULFSTREAM"/>
      <sheetName val="GULF SOUTH TO GULFSTREAM"/>
      <sheetName val="GULFSTREAM FIRM "/>
      <sheetName val="GULFSTREAM NON-FIRM"/>
      <sheetName val="FSC DLVD"/>
      <sheetName val="UPS REPLACEMENT"/>
      <sheetName val="Upload"/>
      <sheetName val="DISTILLATE &amp; RESIDUAL FUEL OIL"/>
      <sheetName val="RAP-NATURAL GAS PRICES"/>
      <sheetName val="RAP TEMPLATE-GAS AVAILABILITY"/>
      <sheetName val="RAP-HEAVY &amp; LIGHT OIL &amp; WTI"/>
      <sheetName val="RAP-SOLID FUEL PRICES"/>
      <sheetName val="COAL &amp; PET COKE FORECAST"/>
      <sheetName val="COAL - Monthly"/>
      <sheetName val="COAL SO2 &amp; NOX Calculations"/>
      <sheetName val="COAL - Monthly OLD"/>
      <sheetName val="CONTROL"/>
      <sheetName val="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S1150"/>
  <sheetViews>
    <sheetView tabSelected="1"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5"/>
  <cols>
    <col min="1" max="1" width="7.5546875" style="2" bestFit="1" customWidth="1"/>
    <col min="2" max="5" width="10" style="1" customWidth="1"/>
    <col min="6" max="6" width="9.33203125" style="2" customWidth="1"/>
    <col min="7" max="7" width="13.33203125" style="1" customWidth="1"/>
    <col min="8" max="8" width="12.6640625" style="2" customWidth="1"/>
    <col min="9" max="9" width="10" style="1" customWidth="1"/>
    <col min="10" max="10" width="9.6640625" style="1" customWidth="1"/>
    <col min="11" max="11" width="13.33203125" style="1" customWidth="1"/>
    <col min="12" max="12" width="7.21875" style="1" bestFit="1" customWidth="1"/>
    <col min="13" max="13" width="13.6640625" style="1" bestFit="1" customWidth="1"/>
    <col min="14" max="14" width="6.109375" style="1" bestFit="1" customWidth="1"/>
    <col min="15" max="15" width="10.21875" style="1" customWidth="1"/>
    <col min="16" max="16" width="9.21875" style="1" customWidth="1"/>
    <col min="17" max="17" width="9.88671875" style="1" customWidth="1"/>
    <col min="18" max="18" width="9.33203125" style="1" customWidth="1"/>
    <col min="19" max="19" width="9.21875" style="1" customWidth="1"/>
    <col min="20" max="20" width="10.21875" style="1" customWidth="1"/>
    <col min="21" max="21" width="11.77734375" style="1" customWidth="1"/>
    <col min="22" max="22" width="7.109375" style="1" customWidth="1"/>
    <col min="23" max="23" width="8.77734375" style="1" customWidth="1"/>
    <col min="24" max="24" width="9.21875" style="1" customWidth="1"/>
    <col min="25" max="25" width="11.77734375" style="1" customWidth="1"/>
    <col min="26" max="26" width="7.109375" style="1" customWidth="1"/>
    <col min="27" max="27" width="9.21875" style="1" customWidth="1"/>
    <col min="28" max="28" width="9.33203125" style="1" customWidth="1"/>
    <col min="29" max="29" width="8.21875" style="1" customWidth="1"/>
    <col min="30" max="30" width="9" style="1" customWidth="1"/>
    <col min="31" max="16384" width="7.109375" style="1"/>
  </cols>
  <sheetData>
    <row r="1" spans="1:19" ht="15.75">
      <c r="A1" s="85" t="s">
        <v>64</v>
      </c>
    </row>
    <row r="2" spans="1:19" ht="15.75">
      <c r="A2" s="85" t="s">
        <v>65</v>
      </c>
    </row>
    <row r="3" spans="1:19" ht="15.75">
      <c r="A3" s="85" t="s">
        <v>66</v>
      </c>
    </row>
    <row r="4" spans="1:19" ht="15.75">
      <c r="A4" s="85" t="s">
        <v>67</v>
      </c>
    </row>
    <row r="5" spans="1:19" ht="15.75">
      <c r="A5" s="85" t="s">
        <v>69</v>
      </c>
    </row>
    <row r="6" spans="1:19" ht="15.75">
      <c r="A6" s="85" t="s">
        <v>68</v>
      </c>
    </row>
    <row r="8" spans="1:19" ht="24.75" customHeight="1">
      <c r="A8" s="31" t="s">
        <v>26</v>
      </c>
    </row>
    <row r="9" spans="1:19" ht="15" customHeight="1">
      <c r="A9" s="30" t="s">
        <v>25</v>
      </c>
    </row>
    <row r="10" spans="1:19" ht="15" customHeight="1">
      <c r="A10" s="1"/>
      <c r="G10" s="29"/>
      <c r="N10" s="28"/>
    </row>
    <row r="11" spans="1:19" ht="15" customHeight="1">
      <c r="C11" s="27" t="s">
        <v>24</v>
      </c>
      <c r="D11" s="26">
        <f>1-0.198</f>
        <v>0.80200000000000005</v>
      </c>
      <c r="E11" s="27" t="s">
        <v>23</v>
      </c>
      <c r="F11" s="26">
        <f>1+0.198</f>
        <v>1.198</v>
      </c>
    </row>
    <row r="12" spans="1:19" ht="15" customHeight="1">
      <c r="A12" s="1"/>
    </row>
    <row r="13" spans="1:19" ht="15" customHeight="1">
      <c r="D13" s="10"/>
      <c r="E13" s="10"/>
      <c r="F13" s="10"/>
      <c r="G13" s="10"/>
      <c r="I13" s="10"/>
      <c r="K13" s="25"/>
      <c r="L13" s="86" t="s">
        <v>22</v>
      </c>
      <c r="M13" s="86"/>
      <c r="N13" s="86"/>
      <c r="O13" s="86"/>
      <c r="P13" s="86"/>
      <c r="Q13" s="86"/>
      <c r="R13" s="86"/>
      <c r="S13" s="86"/>
    </row>
    <row r="14" spans="1:19" ht="15" customHeight="1">
      <c r="B14" s="10"/>
      <c r="C14" s="10"/>
      <c r="D14" s="10"/>
      <c r="E14" s="10"/>
      <c r="F14" s="10"/>
      <c r="G14" s="10"/>
      <c r="I14" s="10"/>
      <c r="K14" s="24"/>
      <c r="L14" s="86" t="s">
        <v>21</v>
      </c>
      <c r="M14" s="86"/>
      <c r="N14" s="86"/>
      <c r="O14" s="86"/>
      <c r="P14" s="86"/>
      <c r="Q14" s="86"/>
      <c r="R14" s="86"/>
      <c r="S14" s="86"/>
    </row>
    <row r="15" spans="1:19" s="18" customFormat="1" ht="112.5" customHeight="1">
      <c r="B15" s="21" t="s">
        <v>20</v>
      </c>
      <c r="C15" s="21" t="s">
        <v>19</v>
      </c>
      <c r="D15" s="21" t="s">
        <v>18</v>
      </c>
      <c r="E15" s="21" t="s">
        <v>17</v>
      </c>
      <c r="F15" s="20" t="s">
        <v>16</v>
      </c>
      <c r="G15" s="21" t="s">
        <v>15</v>
      </c>
      <c r="H15" s="20" t="s">
        <v>14</v>
      </c>
      <c r="I15" s="21" t="s">
        <v>13</v>
      </c>
      <c r="J15" s="20" t="s">
        <v>12</v>
      </c>
      <c r="K15" s="23" t="s">
        <v>11</v>
      </c>
      <c r="L15" s="19" t="s">
        <v>10</v>
      </c>
      <c r="M15" s="19" t="s">
        <v>9</v>
      </c>
      <c r="N15" s="19" t="s">
        <v>8</v>
      </c>
      <c r="O15" s="19" t="s">
        <v>7</v>
      </c>
      <c r="P15" s="19" t="s">
        <v>6</v>
      </c>
      <c r="Q15" s="19" t="s">
        <v>5</v>
      </c>
      <c r="R15" s="19" t="s">
        <v>4</v>
      </c>
      <c r="S15" s="22" t="s">
        <v>3</v>
      </c>
    </row>
    <row r="16" spans="1:19" s="18" customFormat="1" ht="15" customHeight="1">
      <c r="A16" s="20" t="s">
        <v>2</v>
      </c>
      <c r="B16" s="21" t="s">
        <v>1</v>
      </c>
      <c r="C16" s="21" t="s">
        <v>1</v>
      </c>
      <c r="D16" s="21" t="s">
        <v>1</v>
      </c>
      <c r="E16" s="21" t="s">
        <v>1</v>
      </c>
      <c r="F16" s="20" t="s">
        <v>1</v>
      </c>
      <c r="G16" s="21" t="s">
        <v>1</v>
      </c>
      <c r="H16" s="20" t="s">
        <v>1</v>
      </c>
      <c r="I16" s="21" t="s">
        <v>1</v>
      </c>
      <c r="J16" s="20" t="s">
        <v>1</v>
      </c>
      <c r="K16" s="20" t="s">
        <v>1</v>
      </c>
      <c r="L16" s="19" t="s">
        <v>0</v>
      </c>
      <c r="M16" s="19" t="s">
        <v>0</v>
      </c>
      <c r="N16" s="19" t="s">
        <v>0</v>
      </c>
      <c r="O16" s="19" t="s">
        <v>0</v>
      </c>
      <c r="P16" s="19" t="s">
        <v>0</v>
      </c>
      <c r="Q16" s="19" t="s">
        <v>0</v>
      </c>
      <c r="R16" s="19" t="s">
        <v>0</v>
      </c>
      <c r="S16" s="19" t="s">
        <v>0</v>
      </c>
    </row>
    <row r="17" spans="1:19" ht="15" customHeight="1">
      <c r="A17" s="13">
        <v>42005</v>
      </c>
      <c r="B17" s="8">
        <f>3.3498 * CHOOSE(CONTROL!$C$15, $D$11, 100%, $F$11)</f>
        <v>3.3498000000000001</v>
      </c>
      <c r="C17" s="8">
        <f>3.355 * CHOOSE(CONTROL!$C$15, $D$11, 100%, $F$11)</f>
        <v>3.355</v>
      </c>
      <c r="D17" s="8">
        <f>3.3504 * CHOOSE( CONTROL!$C$15, $D$11, 100%, $F$11)</f>
        <v>3.3504</v>
      </c>
      <c r="E17" s="12">
        <f>3.3515 * CHOOSE( CONTROL!$C$15, $D$11, 100%, $F$11)</f>
        <v>3.3515000000000001</v>
      </c>
      <c r="F17" s="4">
        <f>3.9925 * CHOOSE(CONTROL!$C$15, $D$11, 100%, $F$11)</f>
        <v>3.9925000000000002</v>
      </c>
      <c r="G17" s="8">
        <f>3.2635 * CHOOSE( CONTROL!$C$15, $D$11, 100%, $F$11)</f>
        <v>3.2635000000000001</v>
      </c>
      <c r="H17" s="4">
        <f>4.1342 * CHOOSE(CONTROL!$C$15, $D$11, 100%, $F$11)</f>
        <v>4.1341999999999999</v>
      </c>
      <c r="I17" s="8">
        <f>3.3042 * CHOOSE(CONTROL!$C$15, $D$11, 100%, $F$11)</f>
        <v>3.3041999999999998</v>
      </c>
      <c r="J17" s="4">
        <f>3.189 * CHOOSE(CONTROL!$C$15, $D$11, 100%, $F$11)</f>
        <v>3.1890000000000001</v>
      </c>
      <c r="K17" s="4">
        <f>3.2683 * CHOOSE(CONTROL!$C$15, $D$11, 100%, $F$11)</f>
        <v>3.2683</v>
      </c>
      <c r="L17" s="9">
        <v>28.872</v>
      </c>
      <c r="M17" s="9">
        <v>12.063700000000001</v>
      </c>
      <c r="N17" s="9">
        <v>4.9444999999999997</v>
      </c>
      <c r="O17" s="9">
        <v>0.61570000000000003</v>
      </c>
      <c r="P17" s="9">
        <v>0</v>
      </c>
      <c r="Q17" s="9"/>
      <c r="R17" s="9">
        <f t="shared" ref="R17:R44" si="0">(0.12*2500000)/1000000</f>
        <v>0.3</v>
      </c>
      <c r="S17" s="17">
        <v>1.0592999999999999</v>
      </c>
    </row>
    <row r="18" spans="1:19" ht="15" customHeight="1">
      <c r="A18" s="13">
        <v>42036</v>
      </c>
      <c r="B18" s="8">
        <f>3.0134 * CHOOSE(CONTROL!$C$15, $D$11, 100%, $F$11)</f>
        <v>3.0133999999999999</v>
      </c>
      <c r="C18" s="8">
        <f>3.0186 * CHOOSE(CONTROL!$C$15, $D$11, 100%, $F$11)</f>
        <v>3.0186000000000002</v>
      </c>
      <c r="D18" s="8">
        <f>3.016 * CHOOSE( CONTROL!$C$15, $D$11, 100%, $F$11)</f>
        <v>3.016</v>
      </c>
      <c r="E18" s="12">
        <f>3.0164 * CHOOSE( CONTROL!$C$15, $D$11, 100%, $F$11)</f>
        <v>3.0164</v>
      </c>
      <c r="F18" s="4">
        <f>3.6639 * CHOOSE(CONTROL!$C$15, $D$11, 100%, $F$11)</f>
        <v>3.6638999999999999</v>
      </c>
      <c r="G18" s="8">
        <f>2.937 * CHOOSE( CONTROL!$C$15, $D$11, 100%, $F$11)</f>
        <v>2.9369999999999998</v>
      </c>
      <c r="H18" s="4">
        <f>3.8133 * CHOOSE(CONTROL!$C$15, $D$11, 100%, $F$11)</f>
        <v>3.8132999999999999</v>
      </c>
      <c r="I18" s="8">
        <f>2.982 * CHOOSE(CONTROL!$C$15, $D$11, 100%, $F$11)</f>
        <v>2.9820000000000002</v>
      </c>
      <c r="J18" s="4">
        <f>2.866 * CHOOSE(CONTROL!$C$15, $D$11, 100%, $F$11)</f>
        <v>2.8660000000000001</v>
      </c>
      <c r="K18" s="4">
        <f>2.9392 * CHOOSE(CONTROL!$C$15, $D$11, 100%, $F$11)</f>
        <v>2.9392</v>
      </c>
      <c r="L18" s="9">
        <v>26.0779</v>
      </c>
      <c r="M18" s="9">
        <v>10.8962</v>
      </c>
      <c r="N18" s="9">
        <v>4.4660000000000002</v>
      </c>
      <c r="O18" s="9">
        <v>0.55610000000000004</v>
      </c>
      <c r="P18" s="9">
        <v>0</v>
      </c>
      <c r="Q18" s="9"/>
      <c r="R18" s="9">
        <f t="shared" si="0"/>
        <v>0.3</v>
      </c>
      <c r="S18" s="17">
        <v>1.0592999999999999</v>
      </c>
    </row>
    <row r="19" spans="1:19" ht="15" customHeight="1">
      <c r="A19" s="13">
        <v>42064</v>
      </c>
      <c r="B19" s="8">
        <f>3.0426 * CHOOSE(CONTROL!$C$15, $D$11, 100%, $F$11)</f>
        <v>3.0426000000000002</v>
      </c>
      <c r="C19" s="8">
        <f>3.0478 * CHOOSE(CONTROL!$C$15, $D$11, 100%, $F$11)</f>
        <v>3.0478000000000001</v>
      </c>
      <c r="D19" s="8">
        <f>3.0558 * CHOOSE( CONTROL!$C$15, $D$11, 100%, $F$11)</f>
        <v>3.0558000000000001</v>
      </c>
      <c r="E19" s="12">
        <f>3.0523 * CHOOSE( CONTROL!$C$15, $D$11, 100%, $F$11)</f>
        <v>3.0522999999999998</v>
      </c>
      <c r="F19" s="4">
        <f>3.7035 * CHOOSE(CONTROL!$C$15, $D$11, 100%, $F$11)</f>
        <v>3.7035</v>
      </c>
      <c r="G19" s="8">
        <f>2.9756 * CHOOSE( CONTROL!$C$15, $D$11, 100%, $F$11)</f>
        <v>2.9756</v>
      </c>
      <c r="H19" s="4">
        <f>3.8519 * CHOOSE(CONTROL!$C$15, $D$11, 100%, $F$11)</f>
        <v>3.8519000000000001</v>
      </c>
      <c r="I19" s="8">
        <f>2.9903 * CHOOSE(CONTROL!$C$15, $D$11, 100%, $F$11)</f>
        <v>2.9903</v>
      </c>
      <c r="J19" s="4">
        <f>2.894 * CHOOSE(CONTROL!$C$15, $D$11, 100%, $F$11)</f>
        <v>2.8940000000000001</v>
      </c>
      <c r="K19" s="4">
        <f>2.974 * CHOOSE(CONTROL!$C$15, $D$11, 100%, $F$11)</f>
        <v>2.9740000000000002</v>
      </c>
      <c r="L19" s="9">
        <v>28.872</v>
      </c>
      <c r="M19" s="9">
        <v>12.063700000000001</v>
      </c>
      <c r="N19" s="9">
        <v>4.9444999999999997</v>
      </c>
      <c r="O19" s="9">
        <v>0.61570000000000003</v>
      </c>
      <c r="P19" s="9">
        <v>0</v>
      </c>
      <c r="Q19" s="9"/>
      <c r="R19" s="9">
        <f t="shared" si="0"/>
        <v>0.3</v>
      </c>
      <c r="S19" s="17">
        <v>1.0592999999999999</v>
      </c>
    </row>
    <row r="20" spans="1:19" ht="15" customHeight="1">
      <c r="A20" s="13">
        <v>42095</v>
      </c>
      <c r="B20" s="8">
        <f>2.7267 * CHOOSE(CONTROL!$C$15, $D$11, 100%, $F$11)</f>
        <v>2.7267000000000001</v>
      </c>
      <c r="C20" s="8">
        <f>2.7313 * CHOOSE(CONTROL!$C$15, $D$11, 100%, $F$11)</f>
        <v>2.7313000000000001</v>
      </c>
      <c r="D20" s="8">
        <f>2.7099 * CHOOSE( CONTROL!$C$15, $D$11, 100%, $F$11)</f>
        <v>2.7099000000000002</v>
      </c>
      <c r="E20" s="12">
        <f>2.7164 * CHOOSE( CONTROL!$C$15, $D$11, 100%, $F$11)</f>
        <v>2.7164000000000001</v>
      </c>
      <c r="F20" s="4">
        <f>3.3868 * CHOOSE(CONTROL!$C$15, $D$11, 100%, $F$11)</f>
        <v>3.3868</v>
      </c>
      <c r="G20" s="8">
        <f>2.6312 * CHOOSE( CONTROL!$C$15, $D$11, 100%, $F$11)</f>
        <v>2.6312000000000002</v>
      </c>
      <c r="H20" s="4">
        <f>3.5427 * CHOOSE(CONTROL!$C$15, $D$11, 100%, $F$11)</f>
        <v>3.5427</v>
      </c>
      <c r="I20" s="8">
        <f>2.6501 * CHOOSE(CONTROL!$C$15, $D$11, 100%, $F$11)</f>
        <v>2.6501000000000001</v>
      </c>
      <c r="J20" s="4">
        <f>2.59 * CHOOSE(CONTROL!$C$15, $D$11, 100%, $F$11)</f>
        <v>2.59</v>
      </c>
      <c r="K20" s="4">
        <f>2.6424 * CHOOSE(CONTROL!$C$15, $D$11, 100%, $F$11)</f>
        <v>2.6423999999999999</v>
      </c>
      <c r="L20" s="9">
        <v>30.092199999999998</v>
      </c>
      <c r="M20" s="9">
        <v>11.6745</v>
      </c>
      <c r="N20" s="9">
        <v>4.7850000000000001</v>
      </c>
      <c r="O20" s="9">
        <v>0.59589999999999999</v>
      </c>
      <c r="P20" s="9">
        <v>2.0339999999999998</v>
      </c>
      <c r="Q20" s="9"/>
      <c r="R20" s="9">
        <f t="shared" si="0"/>
        <v>0.3</v>
      </c>
      <c r="S20" s="17">
        <v>1.0592999999999999</v>
      </c>
    </row>
    <row r="21" spans="1:19" ht="15" customHeight="1">
      <c r="A21" s="13">
        <v>42125</v>
      </c>
      <c r="B21" s="8">
        <f>CHOOSE( CONTROL!$C$32, 2.6544, 2.652) * CHOOSE(CONTROL!$C$15, $D$11, 100%, $F$11)</f>
        <v>2.6543999999999999</v>
      </c>
      <c r="C21" s="8">
        <f>CHOOSE( CONTROL!$C$32, 2.6625, 2.6601) * CHOOSE(CONTROL!$C$15, $D$11, 100%, $F$11)</f>
        <v>2.6625000000000001</v>
      </c>
      <c r="D21" s="8">
        <f>CHOOSE( CONTROL!$C$32, 2.6444, 2.642) * CHOOSE( CONTROL!$C$15, $D$11, 100%, $F$11)</f>
        <v>2.6444000000000001</v>
      </c>
      <c r="E21" s="12">
        <f>CHOOSE( CONTROL!$C$32, 2.6493, 2.6469) * CHOOSE( CONTROL!$C$15, $D$11, 100%, $F$11)</f>
        <v>2.6493000000000002</v>
      </c>
      <c r="F21" s="4">
        <f>CHOOSE( CONTROL!$C$32, 3.321, 3.3186) * CHOOSE(CONTROL!$C$15, $D$11, 100%, $F$11)</f>
        <v>3.3210000000000002</v>
      </c>
      <c r="G21" s="8">
        <f>CHOOSE( CONTROL!$C$32, 2.5633, 2.561) * CHOOSE( CONTROL!$C$15, $D$11, 100%, $F$11)</f>
        <v>2.5632999999999999</v>
      </c>
      <c r="H21" s="4">
        <f>CHOOSE( CONTROL!$C$32, 3.4783, 3.4761) * CHOOSE(CONTROL!$C$15, $D$11, 100%, $F$11)</f>
        <v>3.4782999999999999</v>
      </c>
      <c r="I21" s="8">
        <f>CHOOSE( CONTROL!$C$32, 2.5875, 2.5852) * CHOOSE(CONTROL!$C$15, $D$11, 100%, $F$11)</f>
        <v>2.5874999999999999</v>
      </c>
      <c r="J21" s="4">
        <f>CHOOSE( CONTROL!$C$32, 2.5193, 2.517) * CHOOSE(CONTROL!$C$15, $D$11, 100%, $F$11)</f>
        <v>2.5192999999999999</v>
      </c>
      <c r="K21" s="4">
        <f>CHOOSE( CONTROL!$C$32, 2.5725, 2.5702) * CHOOSE(CONTROL!$C$15, $D$11, 100%, $F$11)</f>
        <v>2.5724999999999998</v>
      </c>
      <c r="L21" s="9">
        <v>33.7545</v>
      </c>
      <c r="M21" s="9">
        <v>12.063700000000001</v>
      </c>
      <c r="N21" s="9">
        <v>4.9444999999999997</v>
      </c>
      <c r="O21" s="9">
        <v>0.61570000000000003</v>
      </c>
      <c r="P21" s="9">
        <v>1.4925999999999999</v>
      </c>
      <c r="Q21" s="9"/>
      <c r="R21" s="9">
        <f t="shared" si="0"/>
        <v>0.3</v>
      </c>
      <c r="S21" s="17">
        <v>1.0592999999999999</v>
      </c>
    </row>
    <row r="22" spans="1:19" ht="15" customHeight="1">
      <c r="A22" s="13">
        <v>42156</v>
      </c>
      <c r="B22" s="8">
        <f>CHOOSE( CONTROL!$C$32, 2.9648, 2.9624) * CHOOSE(CONTROL!$C$15, $D$11, 100%, $F$11)</f>
        <v>2.9647999999999999</v>
      </c>
      <c r="C22" s="8">
        <f>CHOOSE( CONTROL!$C$32, 2.9729, 2.9705) * CHOOSE(CONTROL!$C$15, $D$11, 100%, $F$11)</f>
        <v>2.9729000000000001</v>
      </c>
      <c r="D22" s="8">
        <f>CHOOSE( CONTROL!$C$32, 2.9695, 2.9671) * CHOOSE( CONTROL!$C$15, $D$11, 100%, $F$11)</f>
        <v>2.9695</v>
      </c>
      <c r="E22" s="12">
        <f>CHOOSE( CONTROL!$C$32, 2.9695, 2.9671) * CHOOSE( CONTROL!$C$15, $D$11, 100%, $F$11)</f>
        <v>2.9695</v>
      </c>
      <c r="F22" s="4">
        <f>CHOOSE( CONTROL!$C$32, 3.6522, 3.6498) * CHOOSE(CONTROL!$C$15, $D$11, 100%, $F$11)</f>
        <v>3.6522000000000001</v>
      </c>
      <c r="G22" s="8">
        <f>CHOOSE( CONTROL!$C$32, 2.8801, 2.8778) * CHOOSE( CONTROL!$C$15, $D$11, 100%, $F$11)</f>
        <v>2.8801000000000001</v>
      </c>
      <c r="H22" s="4">
        <f>CHOOSE( CONTROL!$C$32, 3.8018, 3.7996) * CHOOSE(CONTROL!$C$15, $D$11, 100%, $F$11)</f>
        <v>3.8018000000000001</v>
      </c>
      <c r="I22" s="8">
        <f>CHOOSE( CONTROL!$C$32, 2.9102, 2.9079) * CHOOSE(CONTROL!$C$15, $D$11, 100%, $F$11)</f>
        <v>2.9102000000000001</v>
      </c>
      <c r="J22" s="4">
        <f>CHOOSE( CONTROL!$C$32, 2.8173, 2.815) * CHOOSE(CONTROL!$C$15, $D$11, 100%, $F$11)</f>
        <v>2.8172999999999999</v>
      </c>
      <c r="K22" s="4">
        <f>CHOOSE( CONTROL!$C$32, 2.8837, 2.8814) * CHOOSE(CONTROL!$C$15, $D$11, 100%, $F$11)</f>
        <v>2.8837000000000002</v>
      </c>
      <c r="L22" s="9">
        <v>32.665700000000001</v>
      </c>
      <c r="M22" s="9">
        <v>11.6745</v>
      </c>
      <c r="N22" s="9">
        <v>4.7850000000000001</v>
      </c>
      <c r="O22" s="9">
        <v>0.59589999999999999</v>
      </c>
      <c r="P22" s="9">
        <v>1.4443999999999999</v>
      </c>
      <c r="Q22" s="9"/>
      <c r="R22" s="9">
        <f t="shared" si="0"/>
        <v>0.3</v>
      </c>
      <c r="S22" s="16">
        <v>1.0722</v>
      </c>
    </row>
    <row r="23" spans="1:19" ht="15" customHeight="1">
      <c r="A23" s="13">
        <v>42186</v>
      </c>
      <c r="B23" s="8">
        <f>CHOOSE( CONTROL!$C$32, 2.7919, 2.7895) * CHOOSE(CONTROL!$C$15, $D$11, 100%, $F$11)</f>
        <v>2.7919</v>
      </c>
      <c r="C23" s="8">
        <f>CHOOSE( CONTROL!$C$32, 2.8, 2.7976) * CHOOSE(CONTROL!$C$15, $D$11, 100%, $F$11)</f>
        <v>2.8</v>
      </c>
      <c r="D23" s="8">
        <f>CHOOSE( CONTROL!$C$32, 2.7949, 2.7926) * CHOOSE( CONTROL!$C$15, $D$11, 100%, $F$11)</f>
        <v>2.7949000000000002</v>
      </c>
      <c r="E23" s="12">
        <f>CHOOSE( CONTROL!$C$32, 2.7955, 2.7931) * CHOOSE( CONTROL!$C$15, $D$11, 100%, $F$11)</f>
        <v>2.7955000000000001</v>
      </c>
      <c r="F23" s="4">
        <f>CHOOSE( CONTROL!$C$32, 3.5027, 3.5004) * CHOOSE(CONTROL!$C$15, $D$11, 100%, $F$11)</f>
        <v>3.5026999999999999</v>
      </c>
      <c r="G23" s="8">
        <f>CHOOSE( CONTROL!$C$32, 2.7062, 2.7039) * CHOOSE( CONTROL!$C$15, $D$11, 100%, $F$11)</f>
        <v>2.7061999999999999</v>
      </c>
      <c r="H23" s="4">
        <f>CHOOSE( CONTROL!$C$32, 3.6559, 3.6536) * CHOOSE(CONTROL!$C$15, $D$11, 100%, $F$11)</f>
        <v>3.6558999999999999</v>
      </c>
      <c r="I23" s="8">
        <f>CHOOSE( CONTROL!$C$32, 2.7367, 2.7345) * CHOOSE(CONTROL!$C$15, $D$11, 100%, $F$11)</f>
        <v>2.7366999999999999</v>
      </c>
      <c r="J23" s="4">
        <f>CHOOSE( CONTROL!$C$32, 2.6513, 2.649) * CHOOSE(CONTROL!$C$15, $D$11, 100%, $F$11)</f>
        <v>2.6513</v>
      </c>
      <c r="K23" s="4">
        <f>CHOOSE( CONTROL!$C$32, 2.7127, 2.7104) * CHOOSE(CONTROL!$C$15, $D$11, 100%, $F$11)</f>
        <v>2.7126999999999999</v>
      </c>
      <c r="L23" s="9">
        <v>33.7545</v>
      </c>
      <c r="M23" s="9">
        <v>12.063700000000001</v>
      </c>
      <c r="N23" s="9">
        <v>4.9444999999999997</v>
      </c>
      <c r="O23" s="9">
        <v>0.61570000000000003</v>
      </c>
      <c r="P23" s="9">
        <v>1.4925999999999999</v>
      </c>
      <c r="Q23" s="9"/>
      <c r="R23" s="9">
        <f t="shared" si="0"/>
        <v>0.3</v>
      </c>
      <c r="S23" s="15">
        <v>1.0738000000000001</v>
      </c>
    </row>
    <row r="24" spans="1:19" ht="15" customHeight="1">
      <c r="A24" s="13">
        <v>42217</v>
      </c>
      <c r="B24" s="8">
        <f>CHOOSE( CONTROL!$C$32, 2.821, 2.8187) * CHOOSE(CONTROL!$C$15, $D$11, 100%, $F$11)</f>
        <v>2.8210000000000002</v>
      </c>
      <c r="C24" s="8">
        <f>CHOOSE( CONTROL!$C$32, 2.8291, 2.8268) * CHOOSE(CONTROL!$C$15, $D$11, 100%, $F$11)</f>
        <v>2.8290999999999999</v>
      </c>
      <c r="D24" s="8">
        <f>CHOOSE( CONTROL!$C$32, 2.8151, 2.8128) * CHOOSE( CONTROL!$C$15, $D$11, 100%, $F$11)</f>
        <v>2.8151000000000002</v>
      </c>
      <c r="E24" s="12">
        <f>CHOOSE( CONTROL!$C$32, 2.8187, 2.8164) * CHOOSE( CONTROL!$C$15, $D$11, 100%, $F$11)</f>
        <v>2.8187000000000002</v>
      </c>
      <c r="F24" s="4">
        <f>CHOOSE( CONTROL!$C$32, 3.5215, 3.5191) * CHOOSE(CONTROL!$C$15, $D$11, 100%, $F$11)</f>
        <v>3.5215000000000001</v>
      </c>
      <c r="G24" s="8">
        <f>CHOOSE( CONTROL!$C$32, 2.7261, 2.7238) * CHOOSE( CONTROL!$C$15, $D$11, 100%, $F$11)</f>
        <v>2.7261000000000002</v>
      </c>
      <c r="H24" s="4">
        <f>CHOOSE( CONTROL!$C$32, 3.6742, 3.6719) * CHOOSE(CONTROL!$C$15, $D$11, 100%, $F$11)</f>
        <v>3.6741999999999999</v>
      </c>
      <c r="I24" s="8">
        <f>CHOOSE( CONTROL!$C$32, 2.7566, 2.7544) * CHOOSE(CONTROL!$C$15, $D$11, 100%, $F$11)</f>
        <v>2.7566000000000002</v>
      </c>
      <c r="J24" s="4">
        <f>CHOOSE( CONTROL!$C$32, 2.6793, 2.677) * CHOOSE(CONTROL!$C$15, $D$11, 100%, $F$11)</f>
        <v>2.6793</v>
      </c>
      <c r="K24" s="4">
        <f>CHOOSE( CONTROL!$C$32, 2.7315, 2.7292) * CHOOSE(CONTROL!$C$15, $D$11, 100%, $F$11)</f>
        <v>2.7315</v>
      </c>
      <c r="L24" s="9">
        <v>33.7545</v>
      </c>
      <c r="M24" s="9">
        <v>12.063700000000001</v>
      </c>
      <c r="N24" s="9">
        <v>4.9444999999999997</v>
      </c>
      <c r="O24" s="9">
        <v>0.61570000000000003</v>
      </c>
      <c r="P24" s="9">
        <v>1.4925999999999999</v>
      </c>
      <c r="Q24" s="9"/>
      <c r="R24" s="9">
        <f t="shared" si="0"/>
        <v>0.3</v>
      </c>
      <c r="S24" s="15">
        <v>1.0738000000000001</v>
      </c>
    </row>
    <row r="25" spans="1:19" ht="15" customHeight="1">
      <c r="A25" s="13">
        <v>42248</v>
      </c>
      <c r="B25" s="8">
        <f>CHOOSE( CONTROL!$C$32, 2.8335, 2.8312) * CHOOSE(CONTROL!$C$15, $D$11, 100%, $F$11)</f>
        <v>2.8334999999999999</v>
      </c>
      <c r="C25" s="8">
        <f>CHOOSE( CONTROL!$C$32, 2.8416, 2.8393) * CHOOSE(CONTROL!$C$15, $D$11, 100%, $F$11)</f>
        <v>2.8416000000000001</v>
      </c>
      <c r="D25" s="8">
        <f>CHOOSE( CONTROL!$C$32, 2.8277, 2.8254) * CHOOSE( CONTROL!$C$15, $D$11, 100%, $F$11)</f>
        <v>2.8277000000000001</v>
      </c>
      <c r="E25" s="12">
        <f>CHOOSE( CONTROL!$C$32, 2.8312, 2.8289) * CHOOSE( CONTROL!$C$15, $D$11, 100%, $F$11)</f>
        <v>2.8311999999999999</v>
      </c>
      <c r="F25" s="4">
        <f>CHOOSE( CONTROL!$C$32, 3.5339, 3.5316) * CHOOSE(CONTROL!$C$15, $D$11, 100%, $F$11)</f>
        <v>3.5339</v>
      </c>
      <c r="G25" s="8">
        <f>CHOOSE( CONTROL!$C$32, 2.7384, 2.7361) * CHOOSE( CONTROL!$C$15, $D$11, 100%, $F$11)</f>
        <v>2.7383999999999999</v>
      </c>
      <c r="H25" s="4">
        <f>CHOOSE( CONTROL!$C$32, 3.6864, 3.6841) * CHOOSE(CONTROL!$C$15, $D$11, 100%, $F$11)</f>
        <v>3.6863999999999999</v>
      </c>
      <c r="I25" s="8">
        <f>CHOOSE( CONTROL!$C$32, 2.769, 2.7667) * CHOOSE(CONTROL!$C$15, $D$11, 100%, $F$11)</f>
        <v>2.7690000000000001</v>
      </c>
      <c r="J25" s="4">
        <f>CHOOSE( CONTROL!$C$32, 2.6913, 2.689) * CHOOSE(CONTROL!$C$15, $D$11, 100%, $F$11)</f>
        <v>2.6913</v>
      </c>
      <c r="K25" s="4">
        <f>CHOOSE( CONTROL!$C$32, 2.7438, 2.7415) * CHOOSE(CONTROL!$C$15, $D$11, 100%, $F$11)</f>
        <v>2.7437999999999998</v>
      </c>
      <c r="L25" s="9">
        <v>32.665700000000001</v>
      </c>
      <c r="M25" s="9">
        <v>11.6745</v>
      </c>
      <c r="N25" s="9">
        <v>4.7850000000000001</v>
      </c>
      <c r="O25" s="9">
        <v>0.59589999999999999</v>
      </c>
      <c r="P25" s="9">
        <v>1.4443999999999999</v>
      </c>
      <c r="Q25" s="9"/>
      <c r="R25" s="9">
        <f t="shared" si="0"/>
        <v>0.3</v>
      </c>
      <c r="S25" s="15">
        <v>1.0738000000000001</v>
      </c>
    </row>
    <row r="26" spans="1:19" ht="15" customHeight="1">
      <c r="A26" s="13">
        <v>42278</v>
      </c>
      <c r="B26" s="8">
        <f>2.8701 * CHOOSE(CONTROL!$C$15, $D$11, 100%, $F$11)</f>
        <v>2.8700999999999999</v>
      </c>
      <c r="C26" s="8">
        <f>2.8755 * CHOOSE(CONTROL!$C$15, $D$11, 100%, $F$11)</f>
        <v>2.8755000000000002</v>
      </c>
      <c r="D26" s="8">
        <f>2.859 * CHOOSE( CONTROL!$C$15, $D$11, 100%, $F$11)</f>
        <v>2.859</v>
      </c>
      <c r="E26" s="12">
        <f>2.8639 * CHOOSE( CONTROL!$C$15, $D$11, 100%, $F$11)</f>
        <v>2.8639000000000001</v>
      </c>
      <c r="F26" s="4">
        <f>3.5722 * CHOOSE(CONTROL!$C$15, $D$11, 100%, $F$11)</f>
        <v>3.5722</v>
      </c>
      <c r="G26" s="8">
        <f>2.7757 * CHOOSE( CONTROL!$C$15, $D$11, 100%, $F$11)</f>
        <v>2.7757000000000001</v>
      </c>
      <c r="H26" s="4">
        <f>3.7238 * CHOOSE(CONTROL!$C$15, $D$11, 100%, $F$11)</f>
        <v>3.7238000000000002</v>
      </c>
      <c r="I26" s="8">
        <f>2.8069 * CHOOSE(CONTROL!$C$15, $D$11, 100%, $F$11)</f>
        <v>2.8069000000000002</v>
      </c>
      <c r="J26" s="4">
        <f>2.728 * CHOOSE(CONTROL!$C$15, $D$11, 100%, $F$11)</f>
        <v>2.7280000000000002</v>
      </c>
      <c r="K26" s="4">
        <f>2.7814 * CHOOSE(CONTROL!$C$15, $D$11, 100%, $F$11)</f>
        <v>2.7814000000000001</v>
      </c>
      <c r="L26" s="9">
        <v>31.095300000000002</v>
      </c>
      <c r="M26" s="9">
        <v>12.063700000000001</v>
      </c>
      <c r="N26" s="9">
        <v>4.9444999999999997</v>
      </c>
      <c r="O26" s="9">
        <v>0.61570000000000003</v>
      </c>
      <c r="P26" s="9">
        <v>2.1017999999999999</v>
      </c>
      <c r="Q26" s="9"/>
      <c r="R26" s="9">
        <f t="shared" si="0"/>
        <v>0.3</v>
      </c>
      <c r="S26" s="15">
        <v>1.0738000000000001</v>
      </c>
    </row>
    <row r="27" spans="1:19" ht="15" customHeight="1">
      <c r="A27" s="13">
        <v>42309</v>
      </c>
      <c r="B27" s="8">
        <f>2.9926 * CHOOSE(CONTROL!$C$15, $D$11, 100%, $F$11)</f>
        <v>2.9925999999999999</v>
      </c>
      <c r="C27" s="8">
        <f>2.9978 * CHOOSE(CONTROL!$C$15, $D$11, 100%, $F$11)</f>
        <v>2.9977999999999998</v>
      </c>
      <c r="D27" s="8">
        <f>2.974 * CHOOSE( CONTROL!$C$15, $D$11, 100%, $F$11)</f>
        <v>2.9740000000000002</v>
      </c>
      <c r="E27" s="12">
        <f>2.9821 * CHOOSE( CONTROL!$C$15, $D$11, 100%, $F$11)</f>
        <v>2.9821</v>
      </c>
      <c r="F27" s="4">
        <f>3.643 * CHOOSE(CONTROL!$C$15, $D$11, 100%, $F$11)</f>
        <v>3.6429999999999998</v>
      </c>
      <c r="G27" s="8">
        <f>2.9056 * CHOOSE( CONTROL!$C$15, $D$11, 100%, $F$11)</f>
        <v>2.9056000000000002</v>
      </c>
      <c r="H27" s="4">
        <f>3.7929 * CHOOSE(CONTROL!$C$15, $D$11, 100%, $F$11)</f>
        <v>3.7928999999999999</v>
      </c>
      <c r="I27" s="8">
        <f>2.9578 * CHOOSE(CONTROL!$C$15, $D$11, 100%, $F$11)</f>
        <v>2.9578000000000002</v>
      </c>
      <c r="J27" s="4">
        <f>2.846 * CHOOSE(CONTROL!$C$15, $D$11, 100%, $F$11)</f>
        <v>2.8460000000000001</v>
      </c>
      <c r="K27" s="4">
        <f>2.9162 * CHOOSE(CONTROL!$C$15, $D$11, 100%, $F$11)</f>
        <v>2.9161999999999999</v>
      </c>
      <c r="L27" s="9">
        <v>28.360600000000002</v>
      </c>
      <c r="M27" s="9">
        <v>11.6745</v>
      </c>
      <c r="N27" s="9">
        <v>4.7850000000000001</v>
      </c>
      <c r="O27" s="9">
        <v>0.59589999999999999</v>
      </c>
      <c r="P27" s="9">
        <v>1.2509999999999999</v>
      </c>
      <c r="Q27" s="9"/>
      <c r="R27" s="9">
        <f t="shared" si="0"/>
        <v>0.3</v>
      </c>
      <c r="S27" s="15">
        <v>1.0738000000000001</v>
      </c>
    </row>
    <row r="28" spans="1:19" ht="15" customHeight="1">
      <c r="A28" s="13">
        <v>42339</v>
      </c>
      <c r="B28" s="8">
        <f>3.1821 * CHOOSE(CONTROL!$C$15, $D$11, 100%, $F$11)</f>
        <v>3.1821000000000002</v>
      </c>
      <c r="C28" s="8">
        <f>3.1873 * CHOOSE(CONTROL!$C$15, $D$11, 100%, $F$11)</f>
        <v>3.1873</v>
      </c>
      <c r="D28" s="8">
        <f>3.1653 * CHOOSE( CONTROL!$C$15, $D$11, 100%, $F$11)</f>
        <v>3.1652999999999998</v>
      </c>
      <c r="E28" s="12">
        <f>3.1728 * CHOOSE( CONTROL!$C$15, $D$11, 100%, $F$11)</f>
        <v>3.1728000000000001</v>
      </c>
      <c r="F28" s="4">
        <f>3.8326 * CHOOSE(CONTROL!$C$15, $D$11, 100%, $F$11)</f>
        <v>3.8325999999999998</v>
      </c>
      <c r="G28" s="8">
        <f>3.0919 * CHOOSE( CONTROL!$C$15, $D$11, 100%, $F$11)</f>
        <v>3.0918999999999999</v>
      </c>
      <c r="H28" s="4">
        <f>3.9781 * CHOOSE(CONTROL!$C$15, $D$11, 100%, $F$11)</f>
        <v>3.9781</v>
      </c>
      <c r="I28" s="8">
        <f>3.1452 * CHOOSE(CONTROL!$C$15, $D$11, 100%, $F$11)</f>
        <v>3.1452</v>
      </c>
      <c r="J28" s="4">
        <f>3.028 * CHOOSE(CONTROL!$C$15, $D$11, 100%, $F$11)</f>
        <v>3.028</v>
      </c>
      <c r="K28" s="4">
        <f>3.1024 * CHOOSE(CONTROL!$C$15, $D$11, 100%, $F$11)</f>
        <v>3.1023999999999998</v>
      </c>
      <c r="L28" s="9">
        <v>29.306000000000001</v>
      </c>
      <c r="M28" s="9">
        <v>12.063700000000001</v>
      </c>
      <c r="N28" s="9">
        <v>4.9444999999999997</v>
      </c>
      <c r="O28" s="9">
        <v>0.61570000000000003</v>
      </c>
      <c r="P28" s="9">
        <v>1.2927</v>
      </c>
      <c r="Q28" s="9"/>
      <c r="R28" s="9">
        <f t="shared" si="0"/>
        <v>0.3</v>
      </c>
      <c r="S28" s="15">
        <v>1.0738000000000001</v>
      </c>
    </row>
    <row r="29" spans="1:19" ht="15" customHeight="1">
      <c r="A29" s="13">
        <v>42370</v>
      </c>
      <c r="B29" s="8">
        <f>3.2915 * CHOOSE(CONTROL!$C$15, $D$11, 100%, $F$11)</f>
        <v>3.2915000000000001</v>
      </c>
      <c r="C29" s="8">
        <f>3.2967 * CHOOSE(CONTROL!$C$15, $D$11, 100%, $F$11)</f>
        <v>3.2967</v>
      </c>
      <c r="D29" s="8">
        <f>3.2756 * CHOOSE( CONTROL!$C$15, $D$11, 100%, $F$11)</f>
        <v>3.2755999999999998</v>
      </c>
      <c r="E29" s="12">
        <f>3.2828 * CHOOSE( CONTROL!$C$15, $D$11, 100%, $F$11)</f>
        <v>3.2827999999999999</v>
      </c>
      <c r="F29" s="4">
        <f>3.942 * CHOOSE(CONTROL!$C$15, $D$11, 100%, $F$11)</f>
        <v>3.9420000000000002</v>
      </c>
      <c r="G29" s="8">
        <f>3.1994 * CHOOSE( CONTROL!$C$15, $D$11, 100%, $F$11)</f>
        <v>3.1993999999999998</v>
      </c>
      <c r="H29" s="4">
        <f>4.0849 * CHOOSE(CONTROL!$C$15, $D$11, 100%, $F$11)</f>
        <v>4.0849000000000002</v>
      </c>
      <c r="I29" s="8">
        <f>3.2532 * CHOOSE(CONTROL!$C$15, $D$11, 100%, $F$11)</f>
        <v>3.2532000000000001</v>
      </c>
      <c r="J29" s="4">
        <f>3.133 * CHOOSE(CONTROL!$C$15, $D$11, 100%, $F$11)</f>
        <v>3.133</v>
      </c>
      <c r="K29" s="4"/>
      <c r="L29" s="9">
        <v>29.306000000000001</v>
      </c>
      <c r="M29" s="9">
        <v>12.063700000000001</v>
      </c>
      <c r="N29" s="9">
        <v>4.9444999999999997</v>
      </c>
      <c r="O29" s="9">
        <v>0.61570000000000003</v>
      </c>
      <c r="P29" s="9">
        <v>1.2927</v>
      </c>
      <c r="Q29" s="9"/>
      <c r="R29" s="9">
        <f t="shared" si="0"/>
        <v>0.3</v>
      </c>
      <c r="S29" s="11"/>
    </row>
    <row r="30" spans="1:19" ht="15" customHeight="1">
      <c r="A30" s="13">
        <v>42401</v>
      </c>
      <c r="B30" s="8">
        <f>3.2873 * CHOOSE(CONTROL!$C$15, $D$11, 100%, $F$11)</f>
        <v>3.2873000000000001</v>
      </c>
      <c r="C30" s="8">
        <f>3.2925 * CHOOSE(CONTROL!$C$15, $D$11, 100%, $F$11)</f>
        <v>3.2925</v>
      </c>
      <c r="D30" s="8">
        <f>3.2714 * CHOOSE( CONTROL!$C$15, $D$11, 100%, $F$11)</f>
        <v>3.2713999999999999</v>
      </c>
      <c r="E30" s="12">
        <f>3.2786 * CHOOSE( CONTROL!$C$15, $D$11, 100%, $F$11)</f>
        <v>3.2786</v>
      </c>
      <c r="F30" s="4">
        <f>3.9378 * CHOOSE(CONTROL!$C$15, $D$11, 100%, $F$11)</f>
        <v>3.9378000000000002</v>
      </c>
      <c r="G30" s="8">
        <f>3.1953 * CHOOSE( CONTROL!$C$15, $D$11, 100%, $F$11)</f>
        <v>3.1953</v>
      </c>
      <c r="H30" s="4">
        <f>4.0808 * CHOOSE(CONTROL!$C$15, $D$11, 100%, $F$11)</f>
        <v>4.0808</v>
      </c>
      <c r="I30" s="8">
        <f>3.2491 * CHOOSE(CONTROL!$C$15, $D$11, 100%, $F$11)</f>
        <v>3.2490999999999999</v>
      </c>
      <c r="J30" s="4">
        <f>3.129 * CHOOSE(CONTROL!$C$15, $D$11, 100%, $F$11)</f>
        <v>3.129</v>
      </c>
      <c r="K30" s="4"/>
      <c r="L30" s="9">
        <v>27.415299999999998</v>
      </c>
      <c r="M30" s="9">
        <v>11.285299999999999</v>
      </c>
      <c r="N30" s="9">
        <v>4.6254999999999997</v>
      </c>
      <c r="O30" s="9">
        <v>0.57599999999999996</v>
      </c>
      <c r="P30" s="9">
        <v>1.2093</v>
      </c>
      <c r="Q30" s="9"/>
      <c r="R30" s="9">
        <f t="shared" si="0"/>
        <v>0.3</v>
      </c>
      <c r="S30" s="11"/>
    </row>
    <row r="31" spans="1:19" ht="15" customHeight="1">
      <c r="A31" s="13">
        <v>42430</v>
      </c>
      <c r="B31" s="8">
        <f>3.2478 * CHOOSE(CONTROL!$C$15, $D$11, 100%, $F$11)</f>
        <v>3.2477999999999998</v>
      </c>
      <c r="C31" s="8">
        <f>3.253 * CHOOSE(CONTROL!$C$15, $D$11, 100%, $F$11)</f>
        <v>3.2530000000000001</v>
      </c>
      <c r="D31" s="8">
        <f>3.2315 * CHOOSE( CONTROL!$C$15, $D$11, 100%, $F$11)</f>
        <v>3.2315</v>
      </c>
      <c r="E31" s="12">
        <f>3.2388 * CHOOSE( CONTROL!$C$15, $D$11, 100%, $F$11)</f>
        <v>3.2387999999999999</v>
      </c>
      <c r="F31" s="4">
        <f>3.8982 * CHOOSE(CONTROL!$C$15, $D$11, 100%, $F$11)</f>
        <v>3.8982000000000001</v>
      </c>
      <c r="G31" s="8">
        <f>3.1564 * CHOOSE( CONTROL!$C$15, $D$11, 100%, $F$11)</f>
        <v>3.1564000000000001</v>
      </c>
      <c r="H31" s="4">
        <f>4.0422 * CHOOSE(CONTROL!$C$15, $D$11, 100%, $F$11)</f>
        <v>4.0422000000000002</v>
      </c>
      <c r="I31" s="8">
        <f>3.21 * CHOOSE(CONTROL!$C$15, $D$11, 100%, $F$11)</f>
        <v>3.21</v>
      </c>
      <c r="J31" s="4">
        <f>3.091 * CHOOSE(CONTROL!$C$15, $D$11, 100%, $F$11)</f>
        <v>3.0910000000000002</v>
      </c>
      <c r="K31" s="4"/>
      <c r="L31" s="9">
        <v>29.306000000000001</v>
      </c>
      <c r="M31" s="9">
        <v>12.063700000000001</v>
      </c>
      <c r="N31" s="9">
        <v>4.9444999999999997</v>
      </c>
      <c r="O31" s="9">
        <v>0.61570000000000003</v>
      </c>
      <c r="P31" s="9">
        <v>1.2927</v>
      </c>
      <c r="Q31" s="9"/>
      <c r="R31" s="9">
        <f t="shared" si="0"/>
        <v>0.3</v>
      </c>
      <c r="S31" s="11"/>
    </row>
    <row r="32" spans="1:19" ht="15" customHeight="1">
      <c r="A32" s="13">
        <v>42461</v>
      </c>
      <c r="B32" s="8">
        <f>3.1079 * CHOOSE(CONTROL!$C$15, $D$11, 100%, $F$11)</f>
        <v>3.1078999999999999</v>
      </c>
      <c r="C32" s="8">
        <f>3.1125 * CHOOSE(CONTROL!$C$15, $D$11, 100%, $F$11)</f>
        <v>3.1124999999999998</v>
      </c>
      <c r="D32" s="8">
        <f>3.1113 * CHOOSE( CONTROL!$C$15, $D$11, 100%, $F$11)</f>
        <v>3.1113</v>
      </c>
      <c r="E32" s="12">
        <f>3.1112 * CHOOSE( CONTROL!$C$15, $D$11, 100%, $F$11)</f>
        <v>3.1112000000000002</v>
      </c>
      <c r="F32" s="4">
        <f>3.8227 * CHOOSE(CONTROL!$C$15, $D$11, 100%, $F$11)</f>
        <v>3.8227000000000002</v>
      </c>
      <c r="G32" s="8">
        <f>3.0224 * CHOOSE( CONTROL!$C$15, $D$11, 100%, $F$11)</f>
        <v>3.0224000000000002</v>
      </c>
      <c r="H32" s="4">
        <f>3.9684 * CHOOSE(CONTROL!$C$15, $D$11, 100%, $F$11)</f>
        <v>3.9683999999999999</v>
      </c>
      <c r="I32" s="8">
        <f>3.0669 * CHOOSE(CONTROL!$C$15, $D$11, 100%, $F$11)</f>
        <v>3.0669</v>
      </c>
      <c r="J32" s="4">
        <f>2.956 * CHOOSE(CONTROL!$C$15, $D$11, 100%, $F$11)</f>
        <v>2.956</v>
      </c>
      <c r="K32" s="4"/>
      <c r="L32" s="9">
        <v>30.092199999999998</v>
      </c>
      <c r="M32" s="9">
        <v>11.6745</v>
      </c>
      <c r="N32" s="9">
        <v>4.7850000000000001</v>
      </c>
      <c r="O32" s="9">
        <v>0.59589999999999999</v>
      </c>
      <c r="P32" s="9">
        <v>2.0339999999999998</v>
      </c>
      <c r="Q32" s="9"/>
      <c r="R32" s="9">
        <f t="shared" si="0"/>
        <v>0.3</v>
      </c>
      <c r="S32" s="11"/>
    </row>
    <row r="33" spans="1:19" ht="15" customHeight="1">
      <c r="A33" s="13">
        <v>42491</v>
      </c>
      <c r="B33" s="8">
        <f>CHOOSE( CONTROL!$C$32, 3.122, 3.1197) * CHOOSE(CONTROL!$C$15, $D$11, 100%, $F$11)</f>
        <v>3.1219999999999999</v>
      </c>
      <c r="C33" s="8">
        <f>CHOOSE( CONTROL!$C$32, 3.1301, 3.1278) * CHOOSE(CONTROL!$C$15, $D$11, 100%, $F$11)</f>
        <v>3.1301000000000001</v>
      </c>
      <c r="D33" s="8">
        <f>CHOOSE( CONTROL!$C$32, 3.1398, 3.1374) * CHOOSE( CONTROL!$C$15, $D$11, 100%, $F$11)</f>
        <v>3.1398000000000001</v>
      </c>
      <c r="E33" s="12">
        <f>CHOOSE( CONTROL!$C$32, 3.1354, 3.133) * CHOOSE( CONTROL!$C$15, $D$11, 100%, $F$11)</f>
        <v>3.1354000000000002</v>
      </c>
      <c r="F33" s="4">
        <f>CHOOSE( CONTROL!$C$32, 3.8355, 3.8331) * CHOOSE(CONTROL!$C$15, $D$11, 100%, $F$11)</f>
        <v>3.8355000000000001</v>
      </c>
      <c r="G33" s="8">
        <f>CHOOSE( CONTROL!$C$32, 3.0326, 3.0303) * CHOOSE( CONTROL!$C$15, $D$11, 100%, $F$11)</f>
        <v>3.0326</v>
      </c>
      <c r="H33" s="4">
        <f>CHOOSE( CONTROL!$C$32, 3.9809, 3.9786) * CHOOSE(CONTROL!$C$15, $D$11, 100%, $F$11)</f>
        <v>3.9809000000000001</v>
      </c>
      <c r="I33" s="8">
        <f>CHOOSE( CONTROL!$C$32, 3.0795, 3.0772) * CHOOSE(CONTROL!$C$15, $D$11, 100%, $F$11)</f>
        <v>3.0794999999999999</v>
      </c>
      <c r="J33" s="4">
        <f>CHOOSE( CONTROL!$C$32, 2.9683, 2.966) * CHOOSE(CONTROL!$C$15, $D$11, 100%, $F$11)</f>
        <v>2.9683000000000002</v>
      </c>
      <c r="K33" s="4"/>
      <c r="L33" s="9">
        <v>33.7545</v>
      </c>
      <c r="M33" s="9">
        <v>12.063700000000001</v>
      </c>
      <c r="N33" s="9">
        <v>4.9444999999999997</v>
      </c>
      <c r="O33" s="9">
        <v>0.37409999999999999</v>
      </c>
      <c r="P33" s="9">
        <v>1.4925999999999999</v>
      </c>
      <c r="Q33" s="9"/>
      <c r="R33" s="9">
        <f t="shared" si="0"/>
        <v>0.3</v>
      </c>
      <c r="S33" s="11"/>
    </row>
    <row r="34" spans="1:19" ht="15" customHeight="1">
      <c r="A34" s="13">
        <v>42522</v>
      </c>
      <c r="B34" s="8">
        <f>CHOOSE( CONTROL!$C$32, 3.1575, 3.1551) * CHOOSE(CONTROL!$C$15, $D$11, 100%, $F$11)</f>
        <v>3.1575000000000002</v>
      </c>
      <c r="C34" s="8">
        <f>CHOOSE( CONTROL!$C$32, 3.1655, 3.1632) * CHOOSE(CONTROL!$C$15, $D$11, 100%, $F$11)</f>
        <v>3.1655000000000002</v>
      </c>
      <c r="D34" s="8">
        <f>CHOOSE( CONTROL!$C$32, 3.1755, 3.1731) * CHOOSE( CONTROL!$C$15, $D$11, 100%, $F$11)</f>
        <v>3.1755</v>
      </c>
      <c r="E34" s="12">
        <f>CHOOSE( CONTROL!$C$32, 3.171, 3.1686) * CHOOSE( CONTROL!$C$15, $D$11, 100%, $F$11)</f>
        <v>3.1709999999999998</v>
      </c>
      <c r="F34" s="4">
        <f>CHOOSE( CONTROL!$C$32, 3.8709, 3.8685) * CHOOSE(CONTROL!$C$15, $D$11, 100%, $F$11)</f>
        <v>3.8708999999999998</v>
      </c>
      <c r="G34" s="8">
        <f>CHOOSE( CONTROL!$C$32, 3.0675, 3.0652) * CHOOSE( CONTROL!$C$15, $D$11, 100%, $F$11)</f>
        <v>3.0674999999999999</v>
      </c>
      <c r="H34" s="4">
        <f>CHOOSE( CONTROL!$C$32, 4.0155, 4.0132) * CHOOSE(CONTROL!$C$15, $D$11, 100%, $F$11)</f>
        <v>4.0155000000000003</v>
      </c>
      <c r="I34" s="8">
        <f>CHOOSE( CONTROL!$C$32, 3.1145, 3.1122) * CHOOSE(CONTROL!$C$15, $D$11, 100%, $F$11)</f>
        <v>3.1145</v>
      </c>
      <c r="J34" s="4">
        <f>CHOOSE( CONTROL!$C$32, 3.0023, 3) * CHOOSE(CONTROL!$C$15, $D$11, 100%, $F$11)</f>
        <v>3.0023</v>
      </c>
      <c r="K34" s="4"/>
      <c r="L34" s="9">
        <v>32.665700000000001</v>
      </c>
      <c r="M34" s="9">
        <v>11.6745</v>
      </c>
      <c r="N34" s="9">
        <v>4.7850000000000001</v>
      </c>
      <c r="O34" s="9">
        <v>0.36199999999999999</v>
      </c>
      <c r="P34" s="9">
        <v>1.4443999999999999</v>
      </c>
      <c r="Q34" s="9"/>
      <c r="R34" s="9">
        <f t="shared" si="0"/>
        <v>0.3</v>
      </c>
      <c r="S34" s="11"/>
    </row>
    <row r="35" spans="1:19" ht="15" customHeight="1">
      <c r="A35" s="13">
        <v>42552</v>
      </c>
      <c r="B35" s="8">
        <f>CHOOSE( CONTROL!$C$32, 3.2012, 3.1989) * CHOOSE(CONTROL!$C$15, $D$11, 100%, $F$11)</f>
        <v>3.2012</v>
      </c>
      <c r="C35" s="8">
        <f>CHOOSE( CONTROL!$C$32, 3.2093, 3.2069) * CHOOSE(CONTROL!$C$15, $D$11, 100%, $F$11)</f>
        <v>3.2092999999999998</v>
      </c>
      <c r="D35" s="8">
        <f>CHOOSE( CONTROL!$C$32, 3.2195, 3.2172) * CHOOSE( CONTROL!$C$15, $D$11, 100%, $F$11)</f>
        <v>3.2195</v>
      </c>
      <c r="E35" s="12">
        <f>CHOOSE( CONTROL!$C$32, 3.2149, 3.2126) * CHOOSE( CONTROL!$C$15, $D$11, 100%, $F$11)</f>
        <v>3.2149000000000001</v>
      </c>
      <c r="F35" s="4">
        <f>CHOOSE( CONTROL!$C$32, 3.9146, 3.9123) * CHOOSE(CONTROL!$C$15, $D$11, 100%, $F$11)</f>
        <v>3.9146000000000001</v>
      </c>
      <c r="G35" s="8">
        <f>CHOOSE( CONTROL!$C$32, 3.1106, 3.1083) * CHOOSE( CONTROL!$C$15, $D$11, 100%, $F$11)</f>
        <v>3.1105999999999998</v>
      </c>
      <c r="H35" s="4">
        <f>CHOOSE( CONTROL!$C$32, 4.0582, 4.0559) * CHOOSE(CONTROL!$C$15, $D$11, 100%, $F$11)</f>
        <v>4.0582000000000003</v>
      </c>
      <c r="I35" s="8">
        <f>CHOOSE( CONTROL!$C$32, 3.1577, 3.1555) * CHOOSE(CONTROL!$C$15, $D$11, 100%, $F$11)</f>
        <v>3.1577000000000002</v>
      </c>
      <c r="J35" s="4">
        <f>CHOOSE( CONTROL!$C$32, 3.0443, 3.042) * CHOOSE(CONTROL!$C$15, $D$11, 100%, $F$11)</f>
        <v>3.0442999999999998</v>
      </c>
      <c r="K35" s="4"/>
      <c r="L35" s="9">
        <v>33.7545</v>
      </c>
      <c r="M35" s="9">
        <v>12.063700000000001</v>
      </c>
      <c r="N35" s="9">
        <v>4.9444999999999997</v>
      </c>
      <c r="O35" s="9">
        <v>0.37409999999999999</v>
      </c>
      <c r="P35" s="9">
        <v>1.4925999999999999</v>
      </c>
      <c r="Q35" s="9"/>
      <c r="R35" s="9">
        <f t="shared" si="0"/>
        <v>0.3</v>
      </c>
      <c r="S35" s="11"/>
    </row>
    <row r="36" spans="1:19" ht="15" customHeight="1">
      <c r="A36" s="13">
        <v>42583</v>
      </c>
      <c r="B36" s="8">
        <f>CHOOSE( CONTROL!$C$32, 3.2147, 3.2124) * CHOOSE(CONTROL!$C$15, $D$11, 100%, $F$11)</f>
        <v>3.2147000000000001</v>
      </c>
      <c r="C36" s="8">
        <f>CHOOSE( CONTROL!$C$32, 3.2228, 3.2205) * CHOOSE(CONTROL!$C$15, $D$11, 100%, $F$11)</f>
        <v>3.2227999999999999</v>
      </c>
      <c r="D36" s="8">
        <f>CHOOSE( CONTROL!$C$32, 3.2332, 3.2308) * CHOOSE( CONTROL!$C$15, $D$11, 100%, $F$11)</f>
        <v>3.2332000000000001</v>
      </c>
      <c r="E36" s="12">
        <f>CHOOSE( CONTROL!$C$32, 3.2286, 3.2262) * CHOOSE( CONTROL!$C$15, $D$11, 100%, $F$11)</f>
        <v>3.2286000000000001</v>
      </c>
      <c r="F36" s="4">
        <f>CHOOSE( CONTROL!$C$32, 3.9282, 3.9258) * CHOOSE(CONTROL!$C$15, $D$11, 100%, $F$11)</f>
        <v>3.9281999999999999</v>
      </c>
      <c r="G36" s="8">
        <f>CHOOSE( CONTROL!$C$32, 3.1239, 3.1216) * CHOOSE( CONTROL!$C$15, $D$11, 100%, $F$11)</f>
        <v>3.1238999999999999</v>
      </c>
      <c r="H36" s="4">
        <f>CHOOSE( CONTROL!$C$32, 4.0714, 4.0691) * CHOOSE(CONTROL!$C$15, $D$11, 100%, $F$11)</f>
        <v>4.0713999999999997</v>
      </c>
      <c r="I36" s="8">
        <f>CHOOSE( CONTROL!$C$32, 3.1711, 3.1688) * CHOOSE(CONTROL!$C$15, $D$11, 100%, $F$11)</f>
        <v>3.1711</v>
      </c>
      <c r="J36" s="4">
        <f>CHOOSE( CONTROL!$C$32, 3.0573, 3.055) * CHOOSE(CONTROL!$C$15, $D$11, 100%, $F$11)</f>
        <v>3.0573000000000001</v>
      </c>
      <c r="K36" s="4"/>
      <c r="L36" s="9">
        <v>33.7545</v>
      </c>
      <c r="M36" s="9">
        <v>12.063700000000001</v>
      </c>
      <c r="N36" s="9">
        <v>4.9444999999999997</v>
      </c>
      <c r="O36" s="9">
        <v>0.37409999999999999</v>
      </c>
      <c r="P36" s="9">
        <v>1.4925999999999999</v>
      </c>
      <c r="Q36" s="9"/>
      <c r="R36" s="9">
        <f t="shared" si="0"/>
        <v>0.3</v>
      </c>
      <c r="S36" s="11"/>
    </row>
    <row r="37" spans="1:19" ht="15" customHeight="1">
      <c r="A37" s="13">
        <v>42614</v>
      </c>
      <c r="B37" s="8">
        <f>CHOOSE( CONTROL!$C$32, 3.2106, 3.2082) * CHOOSE(CONTROL!$C$15, $D$11, 100%, $F$11)</f>
        <v>3.2105999999999999</v>
      </c>
      <c r="C37" s="8">
        <f>CHOOSE( CONTROL!$C$32, 3.2187, 3.2163) * CHOOSE(CONTROL!$C$15, $D$11, 100%, $F$11)</f>
        <v>3.2187000000000001</v>
      </c>
      <c r="D37" s="8">
        <f>CHOOSE( CONTROL!$C$32, 3.229, 3.2266) * CHOOSE( CONTROL!$C$15, $D$11, 100%, $F$11)</f>
        <v>3.2290000000000001</v>
      </c>
      <c r="E37" s="12">
        <f>CHOOSE( CONTROL!$C$32, 3.2244, 3.222) * CHOOSE( CONTROL!$C$15, $D$11, 100%, $F$11)</f>
        <v>3.2244000000000002</v>
      </c>
      <c r="F37" s="4">
        <f>CHOOSE( CONTROL!$C$32, 3.924, 3.9217) * CHOOSE(CONTROL!$C$15, $D$11, 100%, $F$11)</f>
        <v>3.9239999999999999</v>
      </c>
      <c r="G37" s="8">
        <f>CHOOSE( CONTROL!$C$32, 3.1198, 3.1175) * CHOOSE( CONTROL!$C$15, $D$11, 100%, $F$11)</f>
        <v>3.1198000000000001</v>
      </c>
      <c r="H37" s="4">
        <f>CHOOSE( CONTROL!$C$32, 4.0674, 4.0651) * CHOOSE(CONTROL!$C$15, $D$11, 100%, $F$11)</f>
        <v>4.0674000000000001</v>
      </c>
      <c r="I37" s="8">
        <f>CHOOSE( CONTROL!$C$32, 3.167, 3.1647) * CHOOSE(CONTROL!$C$15, $D$11, 100%, $F$11)</f>
        <v>3.1669999999999998</v>
      </c>
      <c r="J37" s="4">
        <f>CHOOSE( CONTROL!$C$32, 3.0533, 3.051) * CHOOSE(CONTROL!$C$15, $D$11, 100%, $F$11)</f>
        <v>3.0533000000000001</v>
      </c>
      <c r="K37" s="4"/>
      <c r="L37" s="9">
        <v>32.665700000000001</v>
      </c>
      <c r="M37" s="9">
        <v>11.6745</v>
      </c>
      <c r="N37" s="9">
        <v>4.7850000000000001</v>
      </c>
      <c r="O37" s="9">
        <v>0.36199999999999999</v>
      </c>
      <c r="P37" s="9">
        <v>1.4443999999999999</v>
      </c>
      <c r="Q37" s="9"/>
      <c r="R37" s="9">
        <f t="shared" si="0"/>
        <v>0.3</v>
      </c>
      <c r="S37" s="11"/>
    </row>
    <row r="38" spans="1:19" ht="15" customHeight="1">
      <c r="A38" s="13">
        <v>42644</v>
      </c>
      <c r="B38" s="8">
        <f>3.2367 * CHOOSE(CONTROL!$C$15, $D$11, 100%, $F$11)</f>
        <v>3.2366999999999999</v>
      </c>
      <c r="C38" s="8">
        <f>3.2422 * CHOOSE(CONTROL!$C$15, $D$11, 100%, $F$11)</f>
        <v>3.2422</v>
      </c>
      <c r="D38" s="8">
        <f>3.251 * CHOOSE( CONTROL!$C$15, $D$11, 100%, $F$11)</f>
        <v>3.2509999999999999</v>
      </c>
      <c r="E38" s="12">
        <f>3.2475 * CHOOSE( CONTROL!$C$15, $D$11, 100%, $F$11)</f>
        <v>3.2475000000000001</v>
      </c>
      <c r="F38" s="4">
        <f>3.9519 * CHOOSE(CONTROL!$C$15, $D$11, 100%, $F$11)</f>
        <v>3.9519000000000002</v>
      </c>
      <c r="G38" s="8">
        <f>3.1468 * CHOOSE( CONTROL!$C$15, $D$11, 100%, $F$11)</f>
        <v>3.1467999999999998</v>
      </c>
      <c r="H38" s="4">
        <f>4.0946 * CHOOSE(CONTROL!$C$15, $D$11, 100%, $F$11)</f>
        <v>4.0945999999999998</v>
      </c>
      <c r="I38" s="8">
        <f>3.1946 * CHOOSE(CONTROL!$C$15, $D$11, 100%, $F$11)</f>
        <v>3.1945999999999999</v>
      </c>
      <c r="J38" s="4">
        <f>3.08 * CHOOSE(CONTROL!$C$15, $D$11, 100%, $F$11)</f>
        <v>3.08</v>
      </c>
      <c r="K38" s="4"/>
      <c r="L38" s="9">
        <v>31.095300000000002</v>
      </c>
      <c r="M38" s="9">
        <v>12.063700000000001</v>
      </c>
      <c r="N38" s="9">
        <v>4.9444999999999997</v>
      </c>
      <c r="O38" s="9">
        <v>0.37409999999999999</v>
      </c>
      <c r="P38" s="9">
        <v>2.1017999999999999</v>
      </c>
      <c r="Q38" s="9"/>
      <c r="R38" s="9">
        <f t="shared" si="0"/>
        <v>0.3</v>
      </c>
      <c r="S38" s="11"/>
    </row>
    <row r="39" spans="1:19" ht="15" customHeight="1">
      <c r="A39" s="13">
        <v>42675</v>
      </c>
      <c r="B39" s="8">
        <f>3.3155 * CHOOSE(CONTROL!$C$15, $D$11, 100%, $F$11)</f>
        <v>3.3155000000000001</v>
      </c>
      <c r="C39" s="8">
        <f>3.3207 * CHOOSE(CONTROL!$C$15, $D$11, 100%, $F$11)</f>
        <v>3.3207</v>
      </c>
      <c r="D39" s="8">
        <f>3.3037 * CHOOSE( CONTROL!$C$15, $D$11, 100%, $F$11)</f>
        <v>3.3037000000000001</v>
      </c>
      <c r="E39" s="12">
        <f>3.3094 * CHOOSE( CONTROL!$C$15, $D$11, 100%, $F$11)</f>
        <v>3.3094000000000001</v>
      </c>
      <c r="F39" s="4">
        <f>3.9659 * CHOOSE(CONTROL!$C$15, $D$11, 100%, $F$11)</f>
        <v>3.9659</v>
      </c>
      <c r="G39" s="8">
        <f>3.2303 * CHOOSE( CONTROL!$C$15, $D$11, 100%, $F$11)</f>
        <v>3.2303000000000002</v>
      </c>
      <c r="H39" s="4">
        <f>4.1083 * CHOOSE(CONTROL!$C$15, $D$11, 100%, $F$11)</f>
        <v>4.1082999999999998</v>
      </c>
      <c r="I39" s="8">
        <f>3.3124 * CHOOSE(CONTROL!$C$15, $D$11, 100%, $F$11)</f>
        <v>3.3123999999999998</v>
      </c>
      <c r="J39" s="4">
        <f>3.156 * CHOOSE(CONTROL!$C$15, $D$11, 100%, $F$11)</f>
        <v>3.1560000000000001</v>
      </c>
      <c r="K39" s="4"/>
      <c r="L39" s="9">
        <v>28.360600000000002</v>
      </c>
      <c r="M39" s="9">
        <v>11.6745</v>
      </c>
      <c r="N39" s="9">
        <v>4.7850000000000001</v>
      </c>
      <c r="O39" s="9">
        <v>0.36199999999999999</v>
      </c>
      <c r="P39" s="9">
        <v>1.2509999999999999</v>
      </c>
      <c r="Q39" s="9"/>
      <c r="R39" s="9">
        <f t="shared" si="0"/>
        <v>0.3</v>
      </c>
      <c r="S39" s="11"/>
    </row>
    <row r="40" spans="1:19" ht="15" customHeight="1">
      <c r="A40" s="13">
        <v>42705</v>
      </c>
      <c r="B40" s="8">
        <f>3.4863 * CHOOSE(CONTROL!$C$15, $D$11, 100%, $F$11)</f>
        <v>3.4863</v>
      </c>
      <c r="C40" s="8">
        <f>3.4915 * CHOOSE(CONTROL!$C$15, $D$11, 100%, $F$11)</f>
        <v>3.4914999999999998</v>
      </c>
      <c r="D40" s="8">
        <f>3.476 * CHOOSE( CONTROL!$C$15, $D$11, 100%, $F$11)</f>
        <v>3.476</v>
      </c>
      <c r="E40" s="12">
        <f>3.4811 * CHOOSE( CONTROL!$C$15, $D$11, 100%, $F$11)</f>
        <v>3.4811000000000001</v>
      </c>
      <c r="F40" s="4">
        <f>4.1367 * CHOOSE(CONTROL!$C$15, $D$11, 100%, $F$11)</f>
        <v>4.1367000000000003</v>
      </c>
      <c r="G40" s="8">
        <f>3.3982 * CHOOSE( CONTROL!$C$15, $D$11, 100%, $F$11)</f>
        <v>3.3982000000000001</v>
      </c>
      <c r="H40" s="4">
        <f>4.2751 * CHOOSE(CONTROL!$C$15, $D$11, 100%, $F$11)</f>
        <v>4.2751000000000001</v>
      </c>
      <c r="I40" s="8">
        <f>3.4812 * CHOOSE(CONTROL!$C$15, $D$11, 100%, $F$11)</f>
        <v>3.4811999999999999</v>
      </c>
      <c r="J40" s="4">
        <f>3.32 * CHOOSE(CONTROL!$C$15, $D$11, 100%, $F$11)</f>
        <v>3.32</v>
      </c>
      <c r="K40" s="4"/>
      <c r="L40" s="9">
        <v>29.306000000000001</v>
      </c>
      <c r="M40" s="9">
        <v>12.063700000000001</v>
      </c>
      <c r="N40" s="9">
        <v>4.9444999999999997</v>
      </c>
      <c r="O40" s="9">
        <v>0.37409999999999999</v>
      </c>
      <c r="P40" s="9">
        <v>1.2927</v>
      </c>
      <c r="Q40" s="9"/>
      <c r="R40" s="9">
        <f t="shared" si="0"/>
        <v>0.3</v>
      </c>
      <c r="S40" s="11"/>
    </row>
    <row r="41" spans="1:19" ht="15" customHeight="1">
      <c r="A41" s="13">
        <v>42736</v>
      </c>
      <c r="B41" s="8">
        <f>3.6217 * CHOOSE(CONTROL!$C$15, $D$11, 100%, $F$11)</f>
        <v>3.6217000000000001</v>
      </c>
      <c r="C41" s="8">
        <f>3.6269 * CHOOSE(CONTROL!$C$15, $D$11, 100%, $F$11)</f>
        <v>3.6269</v>
      </c>
      <c r="D41" s="8">
        <f>3.607 * CHOOSE( CONTROL!$C$15, $D$11, 100%, $F$11)</f>
        <v>3.6070000000000002</v>
      </c>
      <c r="E41" s="12">
        <f>3.6137 * CHOOSE( CONTROL!$C$15, $D$11, 100%, $F$11)</f>
        <v>3.6137000000000001</v>
      </c>
      <c r="F41" s="4">
        <f>4.2721 * CHOOSE(CONTROL!$C$15, $D$11, 100%, $F$11)</f>
        <v>4.2721</v>
      </c>
      <c r="G41" s="8">
        <f>3.5212 * CHOOSE( CONTROL!$C$15, $D$11, 100%, $F$11)</f>
        <v>3.5211999999999999</v>
      </c>
      <c r="H41" s="4">
        <f>4.4074 * CHOOSE(CONTROL!$C$15, $D$11, 100%, $F$11)</f>
        <v>4.4074</v>
      </c>
      <c r="I41" s="8">
        <f>3.5704 * CHOOSE(CONTROL!$C$15, $D$11, 100%, $F$11)</f>
        <v>3.5703999999999998</v>
      </c>
      <c r="J41" s="4">
        <f>3.45 * CHOOSE(CONTROL!$C$15, $D$11, 100%, $F$11)</f>
        <v>3.45</v>
      </c>
      <c r="K41" s="4"/>
      <c r="L41" s="9">
        <v>29.306000000000001</v>
      </c>
      <c r="M41" s="9">
        <v>12.063700000000001</v>
      </c>
      <c r="N41" s="9">
        <v>4.9444999999999997</v>
      </c>
      <c r="O41" s="9">
        <v>0.37409999999999999</v>
      </c>
      <c r="P41" s="9">
        <v>1.2927</v>
      </c>
      <c r="Q41" s="9"/>
      <c r="R41" s="9">
        <f t="shared" si="0"/>
        <v>0.3</v>
      </c>
      <c r="S41" s="11"/>
    </row>
    <row r="42" spans="1:19" ht="15" customHeight="1">
      <c r="A42" s="13">
        <v>42767</v>
      </c>
      <c r="B42" s="8">
        <f>3.6144 * CHOOSE(CONTROL!$C$15, $D$11, 100%, $F$11)</f>
        <v>3.6143999999999998</v>
      </c>
      <c r="C42" s="8">
        <f>3.6196 * CHOOSE(CONTROL!$C$15, $D$11, 100%, $F$11)</f>
        <v>3.6196000000000002</v>
      </c>
      <c r="D42" s="8">
        <f>3.5997 * CHOOSE( CONTROL!$C$15, $D$11, 100%, $F$11)</f>
        <v>3.5996999999999999</v>
      </c>
      <c r="E42" s="12">
        <f>3.6064 * CHOOSE( CONTROL!$C$15, $D$11, 100%, $F$11)</f>
        <v>3.6063999999999998</v>
      </c>
      <c r="F42" s="4">
        <f>4.2649 * CHOOSE(CONTROL!$C$15, $D$11, 100%, $F$11)</f>
        <v>4.2648999999999999</v>
      </c>
      <c r="G42" s="8">
        <f>3.514 * CHOOSE( CONTROL!$C$15, $D$11, 100%, $F$11)</f>
        <v>3.5139999999999998</v>
      </c>
      <c r="H42" s="4">
        <f>4.4003 * CHOOSE(CONTROL!$C$15, $D$11, 100%, $F$11)</f>
        <v>4.4002999999999997</v>
      </c>
      <c r="I42" s="8">
        <f>3.5633 * CHOOSE(CONTROL!$C$15, $D$11, 100%, $F$11)</f>
        <v>3.5632999999999999</v>
      </c>
      <c r="J42" s="4">
        <f>3.443 * CHOOSE(CONTROL!$C$15, $D$11, 100%, $F$11)</f>
        <v>3.4430000000000001</v>
      </c>
      <c r="K42" s="4"/>
      <c r="L42" s="9">
        <v>26.469899999999999</v>
      </c>
      <c r="M42" s="9">
        <v>10.8962</v>
      </c>
      <c r="N42" s="9">
        <v>4.4660000000000002</v>
      </c>
      <c r="O42" s="9">
        <v>0.33789999999999998</v>
      </c>
      <c r="P42" s="9">
        <v>1.1676</v>
      </c>
      <c r="Q42" s="9"/>
      <c r="R42" s="9">
        <f t="shared" si="0"/>
        <v>0.3</v>
      </c>
      <c r="S42" s="11"/>
    </row>
    <row r="43" spans="1:19" ht="15" customHeight="1">
      <c r="A43" s="13">
        <v>42795</v>
      </c>
      <c r="B43" s="8">
        <f>3.5623 * CHOOSE(CONTROL!$C$15, $D$11, 100%, $F$11)</f>
        <v>3.5623</v>
      </c>
      <c r="C43" s="8">
        <f>3.5675 * CHOOSE(CONTROL!$C$15, $D$11, 100%, $F$11)</f>
        <v>3.5674999999999999</v>
      </c>
      <c r="D43" s="8">
        <f>3.5473 * CHOOSE( CONTROL!$C$15, $D$11, 100%, $F$11)</f>
        <v>3.5472999999999999</v>
      </c>
      <c r="E43" s="12">
        <f>3.5541 * CHOOSE( CONTROL!$C$15, $D$11, 100%, $F$11)</f>
        <v>3.5541</v>
      </c>
      <c r="F43" s="4">
        <f>4.2128 * CHOOSE(CONTROL!$C$15, $D$11, 100%, $F$11)</f>
        <v>4.2127999999999997</v>
      </c>
      <c r="G43" s="8">
        <f>3.4629 * CHOOSE( CONTROL!$C$15, $D$11, 100%, $F$11)</f>
        <v>3.4628999999999999</v>
      </c>
      <c r="H43" s="4">
        <f>4.3494 * CHOOSE(CONTROL!$C$15, $D$11, 100%, $F$11)</f>
        <v>4.3494000000000002</v>
      </c>
      <c r="I43" s="8">
        <f>3.5122 * CHOOSE(CONTROL!$C$15, $D$11, 100%, $F$11)</f>
        <v>3.5122</v>
      </c>
      <c r="J43" s="4">
        <f>3.393 * CHOOSE(CONTROL!$C$15, $D$11, 100%, $F$11)</f>
        <v>3.3929999999999998</v>
      </c>
      <c r="K43" s="4"/>
      <c r="L43" s="9">
        <v>29.306000000000001</v>
      </c>
      <c r="M43" s="9">
        <v>12.063700000000001</v>
      </c>
      <c r="N43" s="9">
        <v>4.9444999999999997</v>
      </c>
      <c r="O43" s="9">
        <v>0.37409999999999999</v>
      </c>
      <c r="P43" s="9">
        <v>1.2927</v>
      </c>
      <c r="Q43" s="9"/>
      <c r="R43" s="9">
        <f t="shared" si="0"/>
        <v>0.3</v>
      </c>
      <c r="S43" s="11"/>
    </row>
    <row r="44" spans="1:19" ht="15" customHeight="1">
      <c r="A44" s="13">
        <v>42826</v>
      </c>
      <c r="B44" s="8">
        <f>3.3246 * CHOOSE(CONTROL!$C$15, $D$11, 100%, $F$11)</f>
        <v>3.3246000000000002</v>
      </c>
      <c r="C44" s="8">
        <f>3.3292 * CHOOSE(CONTROL!$C$15, $D$11, 100%, $F$11)</f>
        <v>3.3292000000000002</v>
      </c>
      <c r="D44" s="8">
        <f>3.3374 * CHOOSE( CONTROL!$C$15, $D$11, 100%, $F$11)</f>
        <v>3.3374000000000001</v>
      </c>
      <c r="E44" s="12">
        <f>3.3342 * CHOOSE( CONTROL!$C$15, $D$11, 100%, $F$11)</f>
        <v>3.3342000000000001</v>
      </c>
      <c r="F44" s="4">
        <f>4.0394 * CHOOSE(CONTROL!$C$15, $D$11, 100%, $F$11)</f>
        <v>4.0393999999999997</v>
      </c>
      <c r="G44" s="8">
        <f>3.2311 * CHOOSE( CONTROL!$C$15, $D$11, 100%, $F$11)</f>
        <v>3.2311000000000001</v>
      </c>
      <c r="H44" s="4">
        <f>4.18 * CHOOSE(CONTROL!$C$15, $D$11, 100%, $F$11)</f>
        <v>4.18</v>
      </c>
      <c r="I44" s="8">
        <f>3.275 * CHOOSE(CONTROL!$C$15, $D$11, 100%, $F$11)</f>
        <v>3.2749999999999999</v>
      </c>
      <c r="J44" s="4">
        <f>3.164 * CHOOSE(CONTROL!$C$15, $D$11, 100%, $F$11)</f>
        <v>3.1640000000000001</v>
      </c>
      <c r="K44" s="4"/>
      <c r="L44" s="9">
        <v>30.092199999999998</v>
      </c>
      <c r="M44" s="9">
        <v>11.6745</v>
      </c>
      <c r="N44" s="9">
        <v>4.7850000000000001</v>
      </c>
      <c r="O44" s="9">
        <v>0.36199999999999999</v>
      </c>
      <c r="P44" s="9">
        <v>2.0339999999999998</v>
      </c>
      <c r="Q44" s="9"/>
      <c r="R44" s="9">
        <f t="shared" si="0"/>
        <v>0.3</v>
      </c>
      <c r="S44" s="11"/>
    </row>
    <row r="45" spans="1:19" ht="15" customHeight="1">
      <c r="A45" s="13">
        <v>42856</v>
      </c>
      <c r="B45" s="8">
        <f>CHOOSE( CONTROL!$C$32, 3.3314, 3.3291) * CHOOSE(CONTROL!$C$15, $D$11, 100%, $F$11)</f>
        <v>3.3313999999999999</v>
      </c>
      <c r="C45" s="8">
        <f>CHOOSE( CONTROL!$C$32, 3.3395, 3.3371) * CHOOSE(CONTROL!$C$15, $D$11, 100%, $F$11)</f>
        <v>3.3395000000000001</v>
      </c>
      <c r="D45" s="8">
        <f>CHOOSE( CONTROL!$C$32, 3.3424, 3.34) * CHOOSE( CONTROL!$C$15, $D$11, 100%, $F$11)</f>
        <v>3.3424</v>
      </c>
      <c r="E45" s="12">
        <f>CHOOSE( CONTROL!$C$32, 3.3401, 3.3377) * CHOOSE( CONTROL!$C$15, $D$11, 100%, $F$11)</f>
        <v>3.3401000000000001</v>
      </c>
      <c r="F45" s="4">
        <f>CHOOSE( CONTROL!$C$32, 4.0448, 4.0425) * CHOOSE(CONTROL!$C$15, $D$11, 100%, $F$11)</f>
        <v>4.0448000000000004</v>
      </c>
      <c r="G45" s="8">
        <f>CHOOSE( CONTROL!$C$32, 3.237, 3.2347) * CHOOSE( CONTROL!$C$15, $D$11, 100%, $F$11)</f>
        <v>3.2370000000000001</v>
      </c>
      <c r="H45" s="4">
        <f>CHOOSE( CONTROL!$C$32, 4.1854, 4.1831) * CHOOSE(CONTROL!$C$15, $D$11, 100%, $F$11)</f>
        <v>4.1853999999999996</v>
      </c>
      <c r="I45" s="8">
        <f>CHOOSE( CONTROL!$C$32, 3.2806, 3.2783) * CHOOSE(CONTROL!$C$15, $D$11, 100%, $F$11)</f>
        <v>3.2806000000000002</v>
      </c>
      <c r="J45" s="4">
        <f>CHOOSE( CONTROL!$C$32, 3.1693, 3.167) * CHOOSE(CONTROL!$C$15, $D$11, 100%, $F$11)</f>
        <v>3.1692999999999998</v>
      </c>
      <c r="K45" s="4"/>
      <c r="L45" s="9">
        <v>30.7165</v>
      </c>
      <c r="M45" s="9">
        <v>12.063700000000001</v>
      </c>
      <c r="N45" s="9">
        <v>4.9444999999999997</v>
      </c>
      <c r="O45" s="9">
        <v>0.37409999999999999</v>
      </c>
      <c r="P45" s="9">
        <v>2.1017999999999999</v>
      </c>
      <c r="Q45" s="9">
        <v>25.076499999999999</v>
      </c>
      <c r="R45" s="9"/>
      <c r="S45" s="11"/>
    </row>
    <row r="46" spans="1:19" ht="15" customHeight="1">
      <c r="A46" s="13">
        <v>42887</v>
      </c>
      <c r="B46" s="8">
        <f>CHOOSE( CONTROL!$C$32, 3.3679, 3.3655) * CHOOSE(CONTROL!$C$15, $D$11, 100%, $F$11)</f>
        <v>3.3679000000000001</v>
      </c>
      <c r="C46" s="8">
        <f>CHOOSE( CONTROL!$C$32, 3.3759, 3.3736) * CHOOSE(CONTROL!$C$15, $D$11, 100%, $F$11)</f>
        <v>3.3759000000000001</v>
      </c>
      <c r="D46" s="8">
        <f>CHOOSE( CONTROL!$C$32, 3.3791, 3.3768) * CHOOSE( CONTROL!$C$15, $D$11, 100%, $F$11)</f>
        <v>3.3791000000000002</v>
      </c>
      <c r="E46" s="12">
        <f>CHOOSE( CONTROL!$C$32, 3.3767, 3.3744) * CHOOSE( CONTROL!$C$15, $D$11, 100%, $F$11)</f>
        <v>3.3767</v>
      </c>
      <c r="F46" s="4">
        <f>CHOOSE( CONTROL!$C$32, 4.0813, 4.0789) * CHOOSE(CONTROL!$C$15, $D$11, 100%, $F$11)</f>
        <v>4.0812999999999997</v>
      </c>
      <c r="G46" s="8">
        <f>CHOOSE( CONTROL!$C$32, 3.273, 3.2707) * CHOOSE( CONTROL!$C$15, $D$11, 100%, $F$11)</f>
        <v>3.2730000000000001</v>
      </c>
      <c r="H46" s="4">
        <f>CHOOSE( CONTROL!$C$32, 4.221, 4.2187) * CHOOSE(CONTROL!$C$15, $D$11, 100%, $F$11)</f>
        <v>4.2210000000000001</v>
      </c>
      <c r="I46" s="8">
        <f>CHOOSE( CONTROL!$C$32, 3.3166, 3.3143) * CHOOSE(CONTROL!$C$15, $D$11, 100%, $F$11)</f>
        <v>3.3166000000000002</v>
      </c>
      <c r="J46" s="4">
        <f>CHOOSE( CONTROL!$C$32, 3.2043, 3.202) * CHOOSE(CONTROL!$C$15, $D$11, 100%, $F$11)</f>
        <v>3.2042999999999999</v>
      </c>
      <c r="K46" s="4"/>
      <c r="L46" s="9">
        <v>29.7257</v>
      </c>
      <c r="M46" s="9">
        <v>11.6745</v>
      </c>
      <c r="N46" s="9">
        <v>4.7850000000000001</v>
      </c>
      <c r="O46" s="9">
        <v>0.36199999999999999</v>
      </c>
      <c r="P46" s="9">
        <v>2.0339999999999998</v>
      </c>
      <c r="Q46" s="9">
        <v>24.267600000000002</v>
      </c>
      <c r="R46" s="9"/>
      <c r="S46" s="11"/>
    </row>
    <row r="47" spans="1:19" ht="15" customHeight="1">
      <c r="A47" s="13">
        <v>42917</v>
      </c>
      <c r="B47" s="8">
        <f>CHOOSE( CONTROL!$C$32, 3.4095, 3.4072) * CHOOSE(CONTROL!$C$15, $D$11, 100%, $F$11)</f>
        <v>3.4095</v>
      </c>
      <c r="C47" s="8">
        <f>CHOOSE( CONTROL!$C$32, 3.4176, 3.4153) * CHOOSE(CONTROL!$C$15, $D$11, 100%, $F$11)</f>
        <v>3.4176000000000002</v>
      </c>
      <c r="D47" s="8">
        <f>CHOOSE( CONTROL!$C$32, 3.4212, 3.4188) * CHOOSE( CONTROL!$C$15, $D$11, 100%, $F$11)</f>
        <v>3.4211999999999998</v>
      </c>
      <c r="E47" s="12">
        <f>CHOOSE( CONTROL!$C$32, 3.4187, 3.4163) * CHOOSE( CONTROL!$C$15, $D$11, 100%, $F$11)</f>
        <v>3.4186999999999999</v>
      </c>
      <c r="F47" s="4">
        <f>CHOOSE( CONTROL!$C$32, 4.123, 4.1206) * CHOOSE(CONTROL!$C$15, $D$11, 100%, $F$11)</f>
        <v>4.1230000000000002</v>
      </c>
      <c r="G47" s="8">
        <f>CHOOSE( CONTROL!$C$32, 3.314, 3.3117) * CHOOSE( CONTROL!$C$15, $D$11, 100%, $F$11)</f>
        <v>3.3140000000000001</v>
      </c>
      <c r="H47" s="4">
        <f>CHOOSE( CONTROL!$C$32, 4.2617, 4.2594) * CHOOSE(CONTROL!$C$15, $D$11, 100%, $F$11)</f>
        <v>4.2617000000000003</v>
      </c>
      <c r="I47" s="8">
        <f>CHOOSE( CONTROL!$C$32, 3.3578, 3.3556) * CHOOSE(CONTROL!$C$15, $D$11, 100%, $F$11)</f>
        <v>3.3578000000000001</v>
      </c>
      <c r="J47" s="4">
        <f>CHOOSE( CONTROL!$C$32, 3.2443, 3.242) * CHOOSE(CONTROL!$C$15, $D$11, 100%, $F$11)</f>
        <v>3.2443</v>
      </c>
      <c r="K47" s="4"/>
      <c r="L47" s="9">
        <v>30.7165</v>
      </c>
      <c r="M47" s="9">
        <v>12.063700000000001</v>
      </c>
      <c r="N47" s="9">
        <v>4.9444999999999997</v>
      </c>
      <c r="O47" s="9">
        <v>0.37409999999999999</v>
      </c>
      <c r="P47" s="9">
        <v>2.1017999999999999</v>
      </c>
      <c r="Q47" s="9">
        <v>25.076499999999999</v>
      </c>
      <c r="R47" s="9"/>
      <c r="S47" s="11"/>
    </row>
    <row r="48" spans="1:19" ht="15" customHeight="1">
      <c r="A48" s="13">
        <v>42948</v>
      </c>
      <c r="B48" s="8">
        <f>CHOOSE( CONTROL!$C$32, 3.421, 3.4186) * CHOOSE(CONTROL!$C$15, $D$11, 100%, $F$11)</f>
        <v>3.4209999999999998</v>
      </c>
      <c r="C48" s="8">
        <f>CHOOSE( CONTROL!$C$32, 3.4291, 3.4267) * CHOOSE(CONTROL!$C$15, $D$11, 100%, $F$11)</f>
        <v>3.4291</v>
      </c>
      <c r="D48" s="8">
        <f>CHOOSE( CONTROL!$C$32, 3.4327, 3.4304) * CHOOSE( CONTROL!$C$15, $D$11, 100%, $F$11)</f>
        <v>3.4327000000000001</v>
      </c>
      <c r="E48" s="12">
        <f>CHOOSE( CONTROL!$C$32, 3.4302, 3.4278) * CHOOSE( CONTROL!$C$15, $D$11, 100%, $F$11)</f>
        <v>3.4302000000000001</v>
      </c>
      <c r="F48" s="4">
        <f>CHOOSE( CONTROL!$C$32, 4.1344, 4.1321) * CHOOSE(CONTROL!$C$15, $D$11, 100%, $F$11)</f>
        <v>4.1344000000000003</v>
      </c>
      <c r="G48" s="8">
        <f>CHOOSE( CONTROL!$C$32, 3.3253, 3.323) * CHOOSE( CONTROL!$C$15, $D$11, 100%, $F$11)</f>
        <v>3.3252999999999999</v>
      </c>
      <c r="H48" s="4">
        <f>CHOOSE( CONTROL!$C$32, 4.2729, 4.2706) * CHOOSE(CONTROL!$C$15, $D$11, 100%, $F$11)</f>
        <v>4.2728999999999999</v>
      </c>
      <c r="I48" s="8">
        <f>CHOOSE( CONTROL!$C$32, 3.3692, 3.3669) * CHOOSE(CONTROL!$C$15, $D$11, 100%, $F$11)</f>
        <v>3.3692000000000002</v>
      </c>
      <c r="J48" s="4">
        <f>CHOOSE( CONTROL!$C$32, 3.2553, 3.253) * CHOOSE(CONTROL!$C$15, $D$11, 100%, $F$11)</f>
        <v>3.2553000000000001</v>
      </c>
      <c r="K48" s="4"/>
      <c r="L48" s="9">
        <v>30.7165</v>
      </c>
      <c r="M48" s="9">
        <v>12.063700000000001</v>
      </c>
      <c r="N48" s="9">
        <v>4.9444999999999997</v>
      </c>
      <c r="O48" s="9">
        <v>0.37409999999999999</v>
      </c>
      <c r="P48" s="9">
        <v>2.1017999999999999</v>
      </c>
      <c r="Q48" s="9">
        <v>25.076499999999999</v>
      </c>
      <c r="R48" s="9"/>
      <c r="S48" s="11"/>
    </row>
    <row r="49" spans="1:19" ht="15" customHeight="1">
      <c r="A49" s="13">
        <v>42979</v>
      </c>
      <c r="B49" s="8">
        <f>CHOOSE( CONTROL!$C$32, 3.4106, 3.4082) * CHOOSE(CONTROL!$C$15, $D$11, 100%, $F$11)</f>
        <v>3.4106000000000001</v>
      </c>
      <c r="C49" s="8">
        <f>CHOOSE( CONTROL!$C$32, 3.4186, 3.4163) * CHOOSE(CONTROL!$C$15, $D$11, 100%, $F$11)</f>
        <v>3.4186000000000001</v>
      </c>
      <c r="D49" s="8">
        <f>CHOOSE( CONTROL!$C$32, 3.4223, 3.4199) * CHOOSE( CONTROL!$C$15, $D$11, 100%, $F$11)</f>
        <v>3.4222999999999999</v>
      </c>
      <c r="E49" s="12">
        <f>CHOOSE( CONTROL!$C$32, 3.4197, 3.4174) * CHOOSE( CONTROL!$C$15, $D$11, 100%, $F$11)</f>
        <v>3.4197000000000002</v>
      </c>
      <c r="F49" s="4">
        <f>CHOOSE( CONTROL!$C$32, 4.124, 4.1216) * CHOOSE(CONTROL!$C$15, $D$11, 100%, $F$11)</f>
        <v>4.1239999999999997</v>
      </c>
      <c r="G49" s="8">
        <f>CHOOSE( CONTROL!$C$32, 3.3151, 3.3128) * CHOOSE( CONTROL!$C$15, $D$11, 100%, $F$11)</f>
        <v>3.3151000000000002</v>
      </c>
      <c r="H49" s="4">
        <f>CHOOSE( CONTROL!$C$32, 4.2627, 4.2604) * CHOOSE(CONTROL!$C$15, $D$11, 100%, $F$11)</f>
        <v>4.2626999999999997</v>
      </c>
      <c r="I49" s="8">
        <f>CHOOSE( CONTROL!$C$32, 3.3591, 3.3568) * CHOOSE(CONTROL!$C$15, $D$11, 100%, $F$11)</f>
        <v>3.3591000000000002</v>
      </c>
      <c r="J49" s="4">
        <f>CHOOSE( CONTROL!$C$32, 3.2453, 3.243) * CHOOSE(CONTROL!$C$15, $D$11, 100%, $F$11)</f>
        <v>3.2452999999999999</v>
      </c>
      <c r="K49" s="4"/>
      <c r="L49" s="9">
        <v>29.7257</v>
      </c>
      <c r="M49" s="9">
        <v>11.6745</v>
      </c>
      <c r="N49" s="9">
        <v>4.7850000000000001</v>
      </c>
      <c r="O49" s="9">
        <v>0.36199999999999999</v>
      </c>
      <c r="P49" s="9">
        <v>2.0339999999999998</v>
      </c>
      <c r="Q49" s="9">
        <v>24.267600000000002</v>
      </c>
      <c r="R49" s="9"/>
      <c r="S49" s="11"/>
    </row>
    <row r="50" spans="1:19" ht="15" customHeight="1">
      <c r="A50" s="13">
        <v>43009</v>
      </c>
      <c r="B50" s="8">
        <f>3.4294 * CHOOSE(CONTROL!$C$15, $D$11, 100%, $F$11)</f>
        <v>3.4293999999999998</v>
      </c>
      <c r="C50" s="8">
        <f>3.4348 * CHOOSE(CONTROL!$C$15, $D$11, 100%, $F$11)</f>
        <v>3.4348000000000001</v>
      </c>
      <c r="D50" s="8">
        <f>3.4437 * CHOOSE( CONTROL!$C$15, $D$11, 100%, $F$11)</f>
        <v>3.4437000000000002</v>
      </c>
      <c r="E50" s="12">
        <f>3.4402 * CHOOSE( CONTROL!$C$15, $D$11, 100%, $F$11)</f>
        <v>3.4401999999999999</v>
      </c>
      <c r="F50" s="4">
        <f>4.1446 * CHOOSE(CONTROL!$C$15, $D$11, 100%, $F$11)</f>
        <v>4.1445999999999996</v>
      </c>
      <c r="G50" s="8">
        <f>3.335 * CHOOSE( CONTROL!$C$15, $D$11, 100%, $F$11)</f>
        <v>3.335</v>
      </c>
      <c r="H50" s="4">
        <f>4.2828 * CHOOSE(CONTROL!$C$15, $D$11, 100%, $F$11)</f>
        <v>4.2827999999999999</v>
      </c>
      <c r="I50" s="8">
        <f>3.3797 * CHOOSE(CONTROL!$C$15, $D$11, 100%, $F$11)</f>
        <v>3.3797000000000001</v>
      </c>
      <c r="J50" s="4">
        <f>3.265 * CHOOSE(CONTROL!$C$15, $D$11, 100%, $F$11)</f>
        <v>3.2650000000000001</v>
      </c>
      <c r="K50" s="4"/>
      <c r="L50" s="9">
        <v>31.095300000000002</v>
      </c>
      <c r="M50" s="9">
        <v>12.063700000000001</v>
      </c>
      <c r="N50" s="9">
        <v>4.9444999999999997</v>
      </c>
      <c r="O50" s="9">
        <v>0.37409999999999999</v>
      </c>
      <c r="P50" s="9">
        <v>2.1017999999999999</v>
      </c>
      <c r="Q50" s="9">
        <v>25.076499999999999</v>
      </c>
      <c r="R50" s="9"/>
      <c r="S50" s="11"/>
    </row>
    <row r="51" spans="1:19" ht="15" customHeight="1">
      <c r="A51" s="13">
        <v>43040</v>
      </c>
      <c r="B51" s="8">
        <f>3.5029 * CHOOSE(CONTROL!$C$15, $D$11, 100%, $F$11)</f>
        <v>3.5028999999999999</v>
      </c>
      <c r="C51" s="8">
        <f>3.5081 * CHOOSE(CONTROL!$C$15, $D$11, 100%, $F$11)</f>
        <v>3.5081000000000002</v>
      </c>
      <c r="D51" s="8">
        <f>3.4912 * CHOOSE( CONTROL!$C$15, $D$11, 100%, $F$11)</f>
        <v>3.4912000000000001</v>
      </c>
      <c r="E51" s="12">
        <f>3.4968 * CHOOSE( CONTROL!$C$15, $D$11, 100%, $F$11)</f>
        <v>3.4967999999999999</v>
      </c>
      <c r="F51" s="4">
        <f>4.1534 * CHOOSE(CONTROL!$C$15, $D$11, 100%, $F$11)</f>
        <v>4.1534000000000004</v>
      </c>
      <c r="G51" s="8">
        <f>3.4134 * CHOOSE( CONTROL!$C$15, $D$11, 100%, $F$11)</f>
        <v>3.4134000000000002</v>
      </c>
      <c r="H51" s="4">
        <f>4.2914 * CHOOSE(CONTROL!$C$15, $D$11, 100%, $F$11)</f>
        <v>4.2914000000000003</v>
      </c>
      <c r="I51" s="8">
        <f>3.4925 * CHOOSE(CONTROL!$C$15, $D$11, 100%, $F$11)</f>
        <v>3.4925000000000002</v>
      </c>
      <c r="J51" s="4">
        <f>3.336 * CHOOSE(CONTROL!$C$15, $D$11, 100%, $F$11)</f>
        <v>3.3359999999999999</v>
      </c>
      <c r="K51" s="4"/>
      <c r="L51" s="9">
        <v>28.360600000000002</v>
      </c>
      <c r="M51" s="9">
        <v>11.6745</v>
      </c>
      <c r="N51" s="9">
        <v>4.7850000000000001</v>
      </c>
      <c r="O51" s="9">
        <v>0.36199999999999999</v>
      </c>
      <c r="P51" s="9">
        <v>1.2509999999999999</v>
      </c>
      <c r="Q51" s="9">
        <v>24.267600000000002</v>
      </c>
      <c r="R51" s="9"/>
      <c r="S51" s="11"/>
    </row>
    <row r="52" spans="1:19" ht="15" customHeight="1">
      <c r="A52" s="13">
        <v>43070</v>
      </c>
      <c r="B52" s="8">
        <f>3.6758 * CHOOSE(CONTROL!$C$15, $D$11, 100%, $F$11)</f>
        <v>3.6758000000000002</v>
      </c>
      <c r="C52" s="8">
        <f>3.681 * CHOOSE(CONTROL!$C$15, $D$11, 100%, $F$11)</f>
        <v>3.681</v>
      </c>
      <c r="D52" s="8">
        <f>3.6655 * CHOOSE( CONTROL!$C$15, $D$11, 100%, $F$11)</f>
        <v>3.6655000000000002</v>
      </c>
      <c r="E52" s="12">
        <f>3.6706 * CHOOSE( CONTROL!$C$15, $D$11, 100%, $F$11)</f>
        <v>3.6705999999999999</v>
      </c>
      <c r="F52" s="4">
        <f>4.3263 * CHOOSE(CONTROL!$C$15, $D$11, 100%, $F$11)</f>
        <v>4.3262999999999998</v>
      </c>
      <c r="G52" s="8">
        <f>3.5834 * CHOOSE( CONTROL!$C$15, $D$11, 100%, $F$11)</f>
        <v>3.5834000000000001</v>
      </c>
      <c r="H52" s="4">
        <f>4.4603 * CHOOSE(CONTROL!$C$15, $D$11, 100%, $F$11)</f>
        <v>4.4603000000000002</v>
      </c>
      <c r="I52" s="8">
        <f>3.6633 * CHOOSE(CONTROL!$C$15, $D$11, 100%, $F$11)</f>
        <v>3.6633</v>
      </c>
      <c r="J52" s="4">
        <f>3.502 * CHOOSE(CONTROL!$C$15, $D$11, 100%, $F$11)</f>
        <v>3.5019999999999998</v>
      </c>
      <c r="K52" s="4"/>
      <c r="L52" s="9">
        <v>29.306000000000001</v>
      </c>
      <c r="M52" s="9">
        <v>12.063700000000001</v>
      </c>
      <c r="N52" s="9">
        <v>4.9444999999999997</v>
      </c>
      <c r="O52" s="9">
        <v>0.37409999999999999</v>
      </c>
      <c r="P52" s="9">
        <v>1.2927</v>
      </c>
      <c r="Q52" s="9">
        <v>25.076499999999999</v>
      </c>
      <c r="R52" s="9"/>
      <c r="S52" s="11"/>
    </row>
    <row r="53" spans="1:19" ht="15" customHeight="1">
      <c r="A53" s="13">
        <v>43101</v>
      </c>
      <c r="B53" s="8">
        <f>4.229 * CHOOSE(CONTROL!$C$15, $D$11, 100%, $F$11)</f>
        <v>4.2290000000000001</v>
      </c>
      <c r="C53" s="8">
        <f>4.2342 * CHOOSE(CONTROL!$C$15, $D$11, 100%, $F$11)</f>
        <v>4.2342000000000004</v>
      </c>
      <c r="D53" s="8">
        <f>4.2144 * CHOOSE( CONTROL!$C$15, $D$11, 100%, $F$11)</f>
        <v>4.2144000000000004</v>
      </c>
      <c r="E53" s="12">
        <f>4.2211 * CHOOSE( CONTROL!$C$15, $D$11, 100%, $F$11)</f>
        <v>4.2210999999999999</v>
      </c>
      <c r="F53" s="4">
        <f>4.8795 * CHOOSE(CONTROL!$C$15, $D$11, 100%, $F$11)</f>
        <v>4.8795000000000002</v>
      </c>
      <c r="G53" s="8">
        <f>4.1144 * CHOOSE( CONTROL!$C$15, $D$11, 100%, $F$11)</f>
        <v>4.1143999999999998</v>
      </c>
      <c r="H53" s="4">
        <f>5.0006 * CHOOSE(CONTROL!$C$15, $D$11, 100%, $F$11)</f>
        <v>5.0006000000000004</v>
      </c>
      <c r="I53" s="8">
        <f>4.1538 * CHOOSE(CONTROL!$C$15, $D$11, 100%, $F$11)</f>
        <v>4.1538000000000004</v>
      </c>
      <c r="J53" s="4">
        <f>4.0331 * CHOOSE(CONTROL!$C$15, $D$11, 100%, $F$11)</f>
        <v>4.0331000000000001</v>
      </c>
      <c r="K53" s="4"/>
      <c r="L53" s="9">
        <v>29.306000000000001</v>
      </c>
      <c r="M53" s="9">
        <v>12.063700000000001</v>
      </c>
      <c r="N53" s="9">
        <v>4.9444999999999997</v>
      </c>
      <c r="O53" s="9">
        <v>0.37409999999999999</v>
      </c>
      <c r="P53" s="9">
        <v>1.2927</v>
      </c>
      <c r="Q53" s="9">
        <v>24.901700000000002</v>
      </c>
      <c r="R53" s="9"/>
      <c r="S53" s="11"/>
    </row>
    <row r="54" spans="1:19" ht="15" customHeight="1">
      <c r="A54" s="13">
        <v>43132</v>
      </c>
      <c r="B54" s="8">
        <f>3.9575 * CHOOSE(CONTROL!$C$15, $D$11, 100%, $F$11)</f>
        <v>3.9575</v>
      </c>
      <c r="C54" s="8">
        <f>3.9627 * CHOOSE(CONTROL!$C$15, $D$11, 100%, $F$11)</f>
        <v>3.9626999999999999</v>
      </c>
      <c r="D54" s="8">
        <f>3.9428 * CHOOSE( CONTROL!$C$15, $D$11, 100%, $F$11)</f>
        <v>3.9428000000000001</v>
      </c>
      <c r="E54" s="12">
        <f>3.9495 * CHOOSE( CONTROL!$C$15, $D$11, 100%, $F$11)</f>
        <v>3.9495</v>
      </c>
      <c r="F54" s="4">
        <f>4.6079 * CHOOSE(CONTROL!$C$15, $D$11, 100%, $F$11)</f>
        <v>4.6078999999999999</v>
      </c>
      <c r="G54" s="8">
        <f>3.8491 * CHOOSE( CONTROL!$C$15, $D$11, 100%, $F$11)</f>
        <v>3.8491</v>
      </c>
      <c r="H54" s="4">
        <f>4.7354 * CHOOSE(CONTROL!$C$15, $D$11, 100%, $F$11)</f>
        <v>4.7354000000000003</v>
      </c>
      <c r="I54" s="8">
        <f>3.8928 * CHOOSE(CONTROL!$C$15, $D$11, 100%, $F$11)</f>
        <v>3.8927999999999998</v>
      </c>
      <c r="J54" s="4">
        <f>3.7724 * CHOOSE(CONTROL!$C$15, $D$11, 100%, $F$11)</f>
        <v>3.7724000000000002</v>
      </c>
      <c r="K54" s="4"/>
      <c r="L54" s="9">
        <v>26.469899999999999</v>
      </c>
      <c r="M54" s="9">
        <v>10.8962</v>
      </c>
      <c r="N54" s="9">
        <v>4.4660000000000002</v>
      </c>
      <c r="O54" s="9">
        <v>0.33789999999999998</v>
      </c>
      <c r="P54" s="9">
        <v>1.1676</v>
      </c>
      <c r="Q54" s="9">
        <v>22.491800000000001</v>
      </c>
      <c r="R54" s="9"/>
      <c r="S54" s="11"/>
    </row>
    <row r="55" spans="1:19" ht="15" customHeight="1">
      <c r="A55" s="13">
        <v>43160</v>
      </c>
      <c r="B55" s="8">
        <f>3.8738 * CHOOSE(CONTROL!$C$15, $D$11, 100%, $F$11)</f>
        <v>3.8738000000000001</v>
      </c>
      <c r="C55" s="8">
        <f>3.879 * CHOOSE(CONTROL!$C$15, $D$11, 100%, $F$11)</f>
        <v>3.879</v>
      </c>
      <c r="D55" s="8">
        <f>3.8588 * CHOOSE( CONTROL!$C$15, $D$11, 100%, $F$11)</f>
        <v>3.8588</v>
      </c>
      <c r="E55" s="12">
        <f>3.8656 * CHOOSE( CONTROL!$C$15, $D$11, 100%, $F$11)</f>
        <v>3.8656000000000001</v>
      </c>
      <c r="F55" s="4">
        <f>4.5243 * CHOOSE(CONTROL!$C$15, $D$11, 100%, $F$11)</f>
        <v>4.5243000000000002</v>
      </c>
      <c r="G55" s="8">
        <f>3.7672 * CHOOSE( CONTROL!$C$15, $D$11, 100%, $F$11)</f>
        <v>3.7671999999999999</v>
      </c>
      <c r="H55" s="4">
        <f>4.6537 * CHOOSE(CONTROL!$C$15, $D$11, 100%, $F$11)</f>
        <v>4.6536999999999997</v>
      </c>
      <c r="I55" s="8">
        <f>3.8114 * CHOOSE(CONTROL!$C$15, $D$11, 100%, $F$11)</f>
        <v>3.8113999999999999</v>
      </c>
      <c r="J55" s="4">
        <f>3.6921 * CHOOSE(CONTROL!$C$15, $D$11, 100%, $F$11)</f>
        <v>3.6920999999999999</v>
      </c>
      <c r="K55" s="4"/>
      <c r="L55" s="9">
        <v>29.306000000000001</v>
      </c>
      <c r="M55" s="9">
        <v>12.063700000000001</v>
      </c>
      <c r="N55" s="9">
        <v>4.9444999999999997</v>
      </c>
      <c r="O55" s="9">
        <v>0.37409999999999999</v>
      </c>
      <c r="P55" s="9">
        <v>1.2927</v>
      </c>
      <c r="Q55" s="9">
        <v>24.901700000000002</v>
      </c>
      <c r="R55" s="9"/>
      <c r="S55" s="11"/>
    </row>
    <row r="56" spans="1:19" ht="15" customHeight="1">
      <c r="A56" s="13">
        <v>43191</v>
      </c>
      <c r="B56" s="8">
        <f>3.933 * CHOOSE(CONTROL!$C$15, $D$11, 100%, $F$11)</f>
        <v>3.9329999999999998</v>
      </c>
      <c r="C56" s="8">
        <f>3.9377 * CHOOSE(CONTROL!$C$15, $D$11, 100%, $F$11)</f>
        <v>3.9377</v>
      </c>
      <c r="D56" s="8">
        <f>3.9682 * CHOOSE( CONTROL!$C$15, $D$11, 100%, $F$11)</f>
        <v>3.9681999999999999</v>
      </c>
      <c r="E56" s="12">
        <f>3.9576 * CHOOSE( CONTROL!$C$15, $D$11, 100%, $F$11)</f>
        <v>3.9575999999999998</v>
      </c>
      <c r="F56" s="4">
        <f>4.6478 * CHOOSE(CONTROL!$C$15, $D$11, 100%, $F$11)</f>
        <v>4.6478000000000002</v>
      </c>
      <c r="G56" s="8">
        <f>3.8254 * CHOOSE( CONTROL!$C$15, $D$11, 100%, $F$11)</f>
        <v>3.8254000000000001</v>
      </c>
      <c r="H56" s="4">
        <f>4.7743 * CHOOSE(CONTROL!$C$15, $D$11, 100%, $F$11)</f>
        <v>4.7743000000000002</v>
      </c>
      <c r="I56" s="8">
        <f>3.8595 * CHOOSE(CONTROL!$C$15, $D$11, 100%, $F$11)</f>
        <v>3.8595000000000002</v>
      </c>
      <c r="J56" s="4">
        <f>3.7482 * CHOOSE(CONTROL!$C$15, $D$11, 100%, $F$11)</f>
        <v>3.7482000000000002</v>
      </c>
      <c r="K56" s="4"/>
      <c r="L56" s="9">
        <v>30.092199999999998</v>
      </c>
      <c r="M56" s="9">
        <v>11.6745</v>
      </c>
      <c r="N56" s="9">
        <v>4.7850000000000001</v>
      </c>
      <c r="O56" s="9">
        <v>0.36199999999999999</v>
      </c>
      <c r="P56" s="9">
        <v>1.1791</v>
      </c>
      <c r="Q56" s="9">
        <v>24.098400000000002</v>
      </c>
      <c r="R56" s="9"/>
      <c r="S56" s="11"/>
    </row>
    <row r="57" spans="1:19" ht="15" customHeight="1">
      <c r="A57" s="13">
        <v>43221</v>
      </c>
      <c r="B57" s="8">
        <f>CHOOSE( CONTROL!$C$32, 4.0408, 4.0384) * CHOOSE(CONTROL!$C$15, $D$11, 100%, $F$11)</f>
        <v>4.0407999999999999</v>
      </c>
      <c r="C57" s="8">
        <f>CHOOSE( CONTROL!$C$32, 4.0489, 4.0465) * CHOOSE(CONTROL!$C$15, $D$11, 100%, $F$11)</f>
        <v>4.0488999999999997</v>
      </c>
      <c r="D57" s="8">
        <f>CHOOSE( CONTROL!$C$32, 4.0741, 4.0717) * CHOOSE( CONTROL!$C$15, $D$11, 100%, $F$11)</f>
        <v>4.0740999999999996</v>
      </c>
      <c r="E57" s="12">
        <f>CHOOSE( CONTROL!$C$32, 4.0637, 4.0613) * CHOOSE( CONTROL!$C$15, $D$11, 100%, $F$11)</f>
        <v>4.0636999999999999</v>
      </c>
      <c r="F57" s="4">
        <f>CHOOSE( CONTROL!$C$32, 4.7542, 4.7519) * CHOOSE(CONTROL!$C$15, $D$11, 100%, $F$11)</f>
        <v>4.7542</v>
      </c>
      <c r="G57" s="8">
        <f>CHOOSE( CONTROL!$C$32, 3.9299, 3.9276) * CHOOSE( CONTROL!$C$15, $D$11, 100%, $F$11)</f>
        <v>3.9298999999999999</v>
      </c>
      <c r="H57" s="4">
        <f>CHOOSE( CONTROL!$C$32, 4.8782, 4.8759) * CHOOSE(CONTROL!$C$15, $D$11, 100%, $F$11)</f>
        <v>4.8781999999999996</v>
      </c>
      <c r="I57" s="8">
        <f>CHOOSE( CONTROL!$C$32, 3.962, 3.9598) * CHOOSE(CONTROL!$C$15, $D$11, 100%, $F$11)</f>
        <v>3.9620000000000002</v>
      </c>
      <c r="J57" s="4">
        <f>CHOOSE( CONTROL!$C$32, 3.8503, 3.8481) * CHOOSE(CONTROL!$C$15, $D$11, 100%, $F$11)</f>
        <v>3.8502999999999998</v>
      </c>
      <c r="K57" s="4"/>
      <c r="L57" s="9">
        <v>30.7165</v>
      </c>
      <c r="M57" s="9">
        <v>12.063700000000001</v>
      </c>
      <c r="N57" s="9">
        <v>4.9444999999999997</v>
      </c>
      <c r="O57" s="9">
        <v>0.37409999999999999</v>
      </c>
      <c r="P57" s="9">
        <v>1.2183999999999999</v>
      </c>
      <c r="Q57" s="9">
        <v>24.901700000000002</v>
      </c>
      <c r="R57" s="9"/>
      <c r="S57" s="11"/>
    </row>
    <row r="58" spans="1:19" ht="15" customHeight="1">
      <c r="A58" s="13">
        <v>43252</v>
      </c>
      <c r="B58" s="8">
        <f>CHOOSE( CONTROL!$C$32, 3.9763, 3.974) * CHOOSE(CONTROL!$C$15, $D$11, 100%, $F$11)</f>
        <v>3.9763000000000002</v>
      </c>
      <c r="C58" s="8">
        <f>CHOOSE( CONTROL!$C$32, 3.9844, 3.9821) * CHOOSE(CONTROL!$C$15, $D$11, 100%, $F$11)</f>
        <v>3.9843999999999999</v>
      </c>
      <c r="D58" s="8">
        <f>CHOOSE( CONTROL!$C$32, 4.0098, 4.0075) * CHOOSE( CONTROL!$C$15, $D$11, 100%, $F$11)</f>
        <v>4.0098000000000003</v>
      </c>
      <c r="E58" s="12">
        <f>CHOOSE( CONTROL!$C$32, 3.9994, 3.9971) * CHOOSE( CONTROL!$C$15, $D$11, 100%, $F$11)</f>
        <v>3.9994000000000001</v>
      </c>
      <c r="F58" s="4">
        <f>CHOOSE( CONTROL!$C$32, 4.6898, 4.6874) * CHOOSE(CONTROL!$C$15, $D$11, 100%, $F$11)</f>
        <v>4.6898</v>
      </c>
      <c r="G58" s="8">
        <f>CHOOSE( CONTROL!$C$32, 3.8673, 3.865) * CHOOSE( CONTROL!$C$15, $D$11, 100%, $F$11)</f>
        <v>3.8673000000000002</v>
      </c>
      <c r="H58" s="4">
        <f>CHOOSE( CONTROL!$C$32, 4.8153, 4.813) * CHOOSE(CONTROL!$C$15, $D$11, 100%, $F$11)</f>
        <v>4.8152999999999997</v>
      </c>
      <c r="I58" s="8">
        <f>CHOOSE( CONTROL!$C$32, 3.9011, 3.8988) * CHOOSE(CONTROL!$C$15, $D$11, 100%, $F$11)</f>
        <v>3.9011</v>
      </c>
      <c r="J58" s="4">
        <f>CHOOSE( CONTROL!$C$32, 3.7885, 3.7862) * CHOOSE(CONTROL!$C$15, $D$11, 100%, $F$11)</f>
        <v>3.7885</v>
      </c>
      <c r="K58" s="4"/>
      <c r="L58" s="9">
        <v>29.7257</v>
      </c>
      <c r="M58" s="9">
        <v>11.6745</v>
      </c>
      <c r="N58" s="9">
        <v>4.7850000000000001</v>
      </c>
      <c r="O58" s="9">
        <v>0.36199999999999999</v>
      </c>
      <c r="P58" s="9">
        <v>1.1791</v>
      </c>
      <c r="Q58" s="9">
        <v>24.098400000000002</v>
      </c>
      <c r="R58" s="9"/>
      <c r="S58" s="11"/>
    </row>
    <row r="59" spans="1:19" ht="15" customHeight="1">
      <c r="A59" s="13">
        <v>43282</v>
      </c>
      <c r="B59" s="8">
        <f>CHOOSE( CONTROL!$C$32, 4.146, 4.1437) * CHOOSE(CONTROL!$C$15, $D$11, 100%, $F$11)</f>
        <v>4.1459999999999999</v>
      </c>
      <c r="C59" s="8">
        <f>CHOOSE( CONTROL!$C$32, 4.1541, 4.1518) * CHOOSE(CONTROL!$C$15, $D$11, 100%, $F$11)</f>
        <v>4.1540999999999997</v>
      </c>
      <c r="D59" s="8">
        <f>CHOOSE( CONTROL!$C$32, 4.1798, 4.1774) * CHOOSE( CONTROL!$C$15, $D$11, 100%, $F$11)</f>
        <v>4.1798000000000002</v>
      </c>
      <c r="E59" s="12">
        <f>CHOOSE( CONTROL!$C$32, 4.1693, 4.1669) * CHOOSE( CONTROL!$C$15, $D$11, 100%, $F$11)</f>
        <v>4.1692999999999998</v>
      </c>
      <c r="F59" s="4">
        <f>CHOOSE( CONTROL!$C$32, 4.8595, 4.8571) * CHOOSE(CONTROL!$C$15, $D$11, 100%, $F$11)</f>
        <v>4.8594999999999997</v>
      </c>
      <c r="G59" s="8">
        <f>CHOOSE( CONTROL!$C$32, 4.0334, 4.0311) * CHOOSE( CONTROL!$C$15, $D$11, 100%, $F$11)</f>
        <v>4.0334000000000003</v>
      </c>
      <c r="H59" s="4">
        <f>CHOOSE( CONTROL!$C$32, 4.981, 4.9787) * CHOOSE(CONTROL!$C$15, $D$11, 100%, $F$11)</f>
        <v>4.9809999999999999</v>
      </c>
      <c r="I59" s="8">
        <f>CHOOSE( CONTROL!$C$32, 4.0653, 4.063) * CHOOSE(CONTROL!$C$15, $D$11, 100%, $F$11)</f>
        <v>4.0652999999999997</v>
      </c>
      <c r="J59" s="4">
        <f>CHOOSE( CONTROL!$C$32, 3.9514, 3.9491) * CHOOSE(CONTROL!$C$15, $D$11, 100%, $F$11)</f>
        <v>3.9514</v>
      </c>
      <c r="K59" s="4"/>
      <c r="L59" s="9">
        <v>30.7165</v>
      </c>
      <c r="M59" s="9">
        <v>12.063700000000001</v>
      </c>
      <c r="N59" s="9">
        <v>4.9444999999999997</v>
      </c>
      <c r="O59" s="9">
        <v>0.37409999999999999</v>
      </c>
      <c r="P59" s="9">
        <v>1.2183999999999999</v>
      </c>
      <c r="Q59" s="9">
        <v>24.901700000000002</v>
      </c>
      <c r="R59" s="9"/>
      <c r="S59" s="11"/>
    </row>
    <row r="60" spans="1:19" ht="15" customHeight="1">
      <c r="A60" s="13">
        <v>43313</v>
      </c>
      <c r="B60" s="8">
        <f>CHOOSE( CONTROL!$C$32, 3.8285, 3.8262) * CHOOSE(CONTROL!$C$15, $D$11, 100%, $F$11)</f>
        <v>3.8285</v>
      </c>
      <c r="C60" s="8">
        <f>CHOOSE( CONTROL!$C$32, 3.8366, 3.8343) * CHOOSE(CONTROL!$C$15, $D$11, 100%, $F$11)</f>
        <v>3.8365999999999998</v>
      </c>
      <c r="D60" s="8">
        <f>CHOOSE( CONTROL!$C$32, 3.8623, 3.86) * CHOOSE( CONTROL!$C$15, $D$11, 100%, $F$11)</f>
        <v>3.8622999999999998</v>
      </c>
      <c r="E60" s="12">
        <f>CHOOSE( CONTROL!$C$32, 3.8518, 3.8495) * CHOOSE( CONTROL!$C$15, $D$11, 100%, $F$11)</f>
        <v>3.8517999999999999</v>
      </c>
      <c r="F60" s="4">
        <f>CHOOSE( CONTROL!$C$32, 4.542, 4.5396) * CHOOSE(CONTROL!$C$15, $D$11, 100%, $F$11)</f>
        <v>4.5419999999999998</v>
      </c>
      <c r="G60" s="8">
        <f>CHOOSE( CONTROL!$C$32, 3.7234, 3.7211) * CHOOSE( CONTROL!$C$15, $D$11, 100%, $F$11)</f>
        <v>3.7233999999999998</v>
      </c>
      <c r="H60" s="4">
        <f>CHOOSE( CONTROL!$C$32, 4.6709, 4.6686) * CHOOSE(CONTROL!$C$15, $D$11, 100%, $F$11)</f>
        <v>4.6708999999999996</v>
      </c>
      <c r="I60" s="8">
        <f>CHOOSE( CONTROL!$C$32, 3.7607, 3.7584) * CHOOSE(CONTROL!$C$15, $D$11, 100%, $F$11)</f>
        <v>3.7606999999999999</v>
      </c>
      <c r="J60" s="4">
        <f>CHOOSE( CONTROL!$C$32, 3.6465, 3.6443) * CHOOSE(CONTROL!$C$15, $D$11, 100%, $F$11)</f>
        <v>3.6465000000000001</v>
      </c>
      <c r="K60" s="4"/>
      <c r="L60" s="9">
        <v>30.7165</v>
      </c>
      <c r="M60" s="9">
        <v>12.063700000000001</v>
      </c>
      <c r="N60" s="9">
        <v>4.9444999999999997</v>
      </c>
      <c r="O60" s="9">
        <v>0.37409999999999999</v>
      </c>
      <c r="P60" s="9">
        <v>1.2183999999999999</v>
      </c>
      <c r="Q60" s="9">
        <v>24.901700000000002</v>
      </c>
      <c r="R60" s="9"/>
      <c r="S60" s="11"/>
    </row>
    <row r="61" spans="1:19" ht="15" customHeight="1">
      <c r="A61" s="13">
        <v>43344</v>
      </c>
      <c r="B61" s="8">
        <f>CHOOSE( CONTROL!$C$32, 3.749, 3.7467) * CHOOSE(CONTROL!$C$15, $D$11, 100%, $F$11)</f>
        <v>3.7490000000000001</v>
      </c>
      <c r="C61" s="8">
        <f>CHOOSE( CONTROL!$C$32, 3.7571, 3.7548) * CHOOSE(CONTROL!$C$15, $D$11, 100%, $F$11)</f>
        <v>3.7570999999999999</v>
      </c>
      <c r="D61" s="8">
        <f>CHOOSE( CONTROL!$C$32, 3.7828, 3.7805) * CHOOSE( CONTROL!$C$15, $D$11, 100%, $F$11)</f>
        <v>3.7827999999999999</v>
      </c>
      <c r="E61" s="12">
        <f>CHOOSE( CONTROL!$C$32, 3.7723, 3.77) * CHOOSE( CONTROL!$C$15, $D$11, 100%, $F$11)</f>
        <v>3.7723</v>
      </c>
      <c r="F61" s="4">
        <f>CHOOSE( CONTROL!$C$32, 4.4624, 4.4601) * CHOOSE(CONTROL!$C$15, $D$11, 100%, $F$11)</f>
        <v>4.4623999999999997</v>
      </c>
      <c r="G61" s="8">
        <f>CHOOSE( CONTROL!$C$32, 3.6457, 3.6434) * CHOOSE( CONTROL!$C$15, $D$11, 100%, $F$11)</f>
        <v>3.6457000000000002</v>
      </c>
      <c r="H61" s="4">
        <f>CHOOSE( CONTROL!$C$32, 4.5932, 4.591) * CHOOSE(CONTROL!$C$15, $D$11, 100%, $F$11)</f>
        <v>4.5932000000000004</v>
      </c>
      <c r="I61" s="8">
        <f>CHOOSE( CONTROL!$C$32, 3.6842, 3.6819) * CHOOSE(CONTROL!$C$15, $D$11, 100%, $F$11)</f>
        <v>3.6842000000000001</v>
      </c>
      <c r="J61" s="4">
        <f>CHOOSE( CONTROL!$C$32, 3.5702, 3.5679) * CHOOSE(CONTROL!$C$15, $D$11, 100%, $F$11)</f>
        <v>3.5701999999999998</v>
      </c>
      <c r="K61" s="4"/>
      <c r="L61" s="9">
        <v>29.7257</v>
      </c>
      <c r="M61" s="9">
        <v>11.6745</v>
      </c>
      <c r="N61" s="9">
        <v>4.7850000000000001</v>
      </c>
      <c r="O61" s="9">
        <v>0.36199999999999999</v>
      </c>
      <c r="P61" s="9">
        <v>1.1791</v>
      </c>
      <c r="Q61" s="9">
        <v>24.098400000000002</v>
      </c>
      <c r="R61" s="9"/>
      <c r="S61" s="11"/>
    </row>
    <row r="62" spans="1:19" ht="15" customHeight="1">
      <c r="A62" s="13">
        <v>43374</v>
      </c>
      <c r="B62" s="8">
        <f>3.91 * CHOOSE(CONTROL!$C$15, $D$11, 100%, $F$11)</f>
        <v>3.91</v>
      </c>
      <c r="C62" s="8">
        <f>3.9155 * CHOOSE(CONTROL!$C$15, $D$11, 100%, $F$11)</f>
        <v>3.9155000000000002</v>
      </c>
      <c r="D62" s="8">
        <f>3.9463 * CHOOSE( CONTROL!$C$15, $D$11, 100%, $F$11)</f>
        <v>3.9462999999999999</v>
      </c>
      <c r="E62" s="12">
        <f>3.9355 * CHOOSE( CONTROL!$C$15, $D$11, 100%, $F$11)</f>
        <v>3.9355000000000002</v>
      </c>
      <c r="F62" s="4">
        <f>4.6252 * CHOOSE(CONTROL!$C$15, $D$11, 100%, $F$11)</f>
        <v>4.6252000000000004</v>
      </c>
      <c r="G62" s="8">
        <f>3.8044 * CHOOSE( CONTROL!$C$15, $D$11, 100%, $F$11)</f>
        <v>3.8043999999999998</v>
      </c>
      <c r="H62" s="4">
        <f>4.7522 * CHOOSE(CONTROL!$C$15, $D$11, 100%, $F$11)</f>
        <v>4.7522000000000002</v>
      </c>
      <c r="I62" s="8">
        <f>3.8413 * CHOOSE(CONTROL!$C$15, $D$11, 100%, $F$11)</f>
        <v>3.8412999999999999</v>
      </c>
      <c r="J62" s="4">
        <f>3.7264 * CHOOSE(CONTROL!$C$15, $D$11, 100%, $F$11)</f>
        <v>3.7263999999999999</v>
      </c>
      <c r="K62" s="4"/>
      <c r="L62" s="9">
        <v>31.095300000000002</v>
      </c>
      <c r="M62" s="9">
        <v>12.063700000000001</v>
      </c>
      <c r="N62" s="9">
        <v>4.9444999999999997</v>
      </c>
      <c r="O62" s="9">
        <v>0.37409999999999999</v>
      </c>
      <c r="P62" s="9">
        <v>1.2183999999999999</v>
      </c>
      <c r="Q62" s="9">
        <v>24.901700000000002</v>
      </c>
      <c r="R62" s="9"/>
      <c r="S62" s="11"/>
    </row>
    <row r="63" spans="1:19" ht="15" customHeight="1">
      <c r="A63" s="13">
        <v>43405</v>
      </c>
      <c r="B63" s="8">
        <f>4.2143 * CHOOSE(CONTROL!$C$15, $D$11, 100%, $F$11)</f>
        <v>4.2142999999999997</v>
      </c>
      <c r="C63" s="8">
        <f>4.2195 * CHOOSE(CONTROL!$C$15, $D$11, 100%, $F$11)</f>
        <v>4.2195</v>
      </c>
      <c r="D63" s="8">
        <f>4.2026 * CHOOSE( CONTROL!$C$15, $D$11, 100%, $F$11)</f>
        <v>4.2026000000000003</v>
      </c>
      <c r="E63" s="12">
        <f>4.2082 * CHOOSE( CONTROL!$C$15, $D$11, 100%, $F$11)</f>
        <v>4.2081999999999997</v>
      </c>
      <c r="F63" s="4">
        <f>4.8648 * CHOOSE(CONTROL!$C$15, $D$11, 100%, $F$11)</f>
        <v>4.8647999999999998</v>
      </c>
      <c r="G63" s="8">
        <f>4.1082 * CHOOSE( CONTROL!$C$15, $D$11, 100%, $F$11)</f>
        <v>4.1082000000000001</v>
      </c>
      <c r="H63" s="4">
        <f>4.9862 * CHOOSE(CONTROL!$C$15, $D$11, 100%, $F$11)</f>
        <v>4.9862000000000002</v>
      </c>
      <c r="I63" s="8">
        <f>4.1759 * CHOOSE(CONTROL!$C$15, $D$11, 100%, $F$11)</f>
        <v>4.1759000000000004</v>
      </c>
      <c r="J63" s="4">
        <f>4.019 * CHOOSE(CONTROL!$C$15, $D$11, 100%, $F$11)</f>
        <v>4.0190000000000001</v>
      </c>
      <c r="K63" s="4"/>
      <c r="L63" s="9">
        <v>28.360600000000002</v>
      </c>
      <c r="M63" s="9">
        <v>11.6745</v>
      </c>
      <c r="N63" s="9">
        <v>4.7850000000000001</v>
      </c>
      <c r="O63" s="9">
        <v>0.36199999999999999</v>
      </c>
      <c r="P63" s="9">
        <v>1.2509999999999999</v>
      </c>
      <c r="Q63" s="9">
        <v>24.098400000000002</v>
      </c>
      <c r="R63" s="9"/>
      <c r="S63" s="11"/>
    </row>
    <row r="64" spans="1:19" ht="15" customHeight="1">
      <c r="A64" s="13">
        <v>43435</v>
      </c>
      <c r="B64" s="8">
        <f>4.2067 * CHOOSE(CONTROL!$C$15, $D$11, 100%, $F$11)</f>
        <v>4.2066999999999997</v>
      </c>
      <c r="C64" s="8">
        <f>4.2119 * CHOOSE(CONTROL!$C$15, $D$11, 100%, $F$11)</f>
        <v>4.2119</v>
      </c>
      <c r="D64" s="8">
        <f>4.1964 * CHOOSE( CONTROL!$C$15, $D$11, 100%, $F$11)</f>
        <v>4.1963999999999997</v>
      </c>
      <c r="E64" s="12">
        <f>4.2015 * CHOOSE( CONTROL!$C$15, $D$11, 100%, $F$11)</f>
        <v>4.2015000000000002</v>
      </c>
      <c r="F64" s="4">
        <f>4.8572 * CHOOSE(CONTROL!$C$15, $D$11, 100%, $F$11)</f>
        <v>4.8571999999999997</v>
      </c>
      <c r="G64" s="8">
        <f>4.1019 * CHOOSE( CONTROL!$C$15, $D$11, 100%, $F$11)</f>
        <v>4.1018999999999997</v>
      </c>
      <c r="H64" s="4">
        <f>4.9788 * CHOOSE(CONTROL!$C$15, $D$11, 100%, $F$11)</f>
        <v>4.9787999999999997</v>
      </c>
      <c r="I64" s="8">
        <f>4.1733 * CHOOSE(CONTROL!$C$15, $D$11, 100%, $F$11)</f>
        <v>4.1733000000000002</v>
      </c>
      <c r="J64" s="4">
        <f>4.0117 * CHOOSE(CONTROL!$C$15, $D$11, 100%, $F$11)</f>
        <v>4.0117000000000003</v>
      </c>
      <c r="K64" s="4"/>
      <c r="L64" s="9">
        <v>29.306000000000001</v>
      </c>
      <c r="M64" s="9">
        <v>12.063700000000001</v>
      </c>
      <c r="N64" s="9">
        <v>4.9444999999999997</v>
      </c>
      <c r="O64" s="9">
        <v>0.37409999999999999</v>
      </c>
      <c r="P64" s="9">
        <v>1.2927</v>
      </c>
      <c r="Q64" s="9">
        <v>24.901700000000002</v>
      </c>
      <c r="R64" s="9"/>
      <c r="S64" s="11"/>
    </row>
    <row r="65" spans="1:19" ht="15" customHeight="1">
      <c r="A65" s="13">
        <v>43466</v>
      </c>
      <c r="B65" s="8">
        <f>4.4638 * CHOOSE(CONTROL!$C$15, $D$11, 100%, $F$11)</f>
        <v>4.4638</v>
      </c>
      <c r="C65" s="8">
        <f>4.469 * CHOOSE(CONTROL!$C$15, $D$11, 100%, $F$11)</f>
        <v>4.4690000000000003</v>
      </c>
      <c r="D65" s="8">
        <f>4.4491 * CHOOSE( CONTROL!$C$15, $D$11, 100%, $F$11)</f>
        <v>4.4490999999999996</v>
      </c>
      <c r="E65" s="12">
        <f>4.4558 * CHOOSE( CONTROL!$C$15, $D$11, 100%, $F$11)</f>
        <v>4.4558</v>
      </c>
      <c r="F65" s="4">
        <f>5.1142 * CHOOSE(CONTROL!$C$15, $D$11, 100%, $F$11)</f>
        <v>5.1142000000000003</v>
      </c>
      <c r="G65" s="8">
        <f>4.3437 * CHOOSE( CONTROL!$C$15, $D$11, 100%, $F$11)</f>
        <v>4.3437000000000001</v>
      </c>
      <c r="H65" s="4">
        <f>5.2299 * CHOOSE(CONTROL!$C$15, $D$11, 100%, $F$11)</f>
        <v>5.2298999999999998</v>
      </c>
      <c r="I65" s="8">
        <f>4.3793 * CHOOSE(CONTROL!$C$15, $D$11, 100%, $F$11)</f>
        <v>4.3792999999999997</v>
      </c>
      <c r="J65" s="4">
        <f>4.2585 * CHOOSE(CONTROL!$C$15, $D$11, 100%, $F$11)</f>
        <v>4.2584999999999997</v>
      </c>
      <c r="K65" s="4"/>
      <c r="L65" s="9">
        <v>29.306000000000001</v>
      </c>
      <c r="M65" s="9">
        <v>12.063700000000001</v>
      </c>
      <c r="N65" s="9">
        <v>4.9444999999999997</v>
      </c>
      <c r="O65" s="9">
        <v>0.37409999999999999</v>
      </c>
      <c r="P65" s="9">
        <v>1.2927</v>
      </c>
      <c r="Q65" s="9">
        <v>24.651199999999999</v>
      </c>
      <c r="R65" s="9"/>
      <c r="S65" s="11"/>
    </row>
    <row r="66" spans="1:19" ht="15" customHeight="1">
      <c r="A66" s="13">
        <v>43497</v>
      </c>
      <c r="B66" s="8">
        <f>4.177 * CHOOSE(CONTROL!$C$15, $D$11, 100%, $F$11)</f>
        <v>4.1769999999999996</v>
      </c>
      <c r="C66" s="8">
        <f>4.1822 * CHOOSE(CONTROL!$C$15, $D$11, 100%, $F$11)</f>
        <v>4.1821999999999999</v>
      </c>
      <c r="D66" s="8">
        <f>4.1623 * CHOOSE( CONTROL!$C$15, $D$11, 100%, $F$11)</f>
        <v>4.1623000000000001</v>
      </c>
      <c r="E66" s="12">
        <f>4.169 * CHOOSE( CONTROL!$C$15, $D$11, 100%, $F$11)</f>
        <v>4.1689999999999996</v>
      </c>
      <c r="F66" s="4">
        <f>4.8275 * CHOOSE(CONTROL!$C$15, $D$11, 100%, $F$11)</f>
        <v>4.8274999999999997</v>
      </c>
      <c r="G66" s="8">
        <f>4.0636 * CHOOSE( CONTROL!$C$15, $D$11, 100%, $F$11)</f>
        <v>4.0636000000000001</v>
      </c>
      <c r="H66" s="4">
        <f>4.9498 * CHOOSE(CONTROL!$C$15, $D$11, 100%, $F$11)</f>
        <v>4.9497999999999998</v>
      </c>
      <c r="I66" s="8">
        <f>4.1037 * CHOOSE(CONTROL!$C$15, $D$11, 100%, $F$11)</f>
        <v>4.1036999999999999</v>
      </c>
      <c r="J66" s="4">
        <f>3.9832 * CHOOSE(CONTROL!$C$15, $D$11, 100%, $F$11)</f>
        <v>3.9832000000000001</v>
      </c>
      <c r="K66" s="4"/>
      <c r="L66" s="9">
        <v>26.469899999999999</v>
      </c>
      <c r="M66" s="9">
        <v>10.8962</v>
      </c>
      <c r="N66" s="9">
        <v>4.4660000000000002</v>
      </c>
      <c r="O66" s="9">
        <v>0.33789999999999998</v>
      </c>
      <c r="P66" s="9">
        <v>1.1676</v>
      </c>
      <c r="Q66" s="9">
        <v>22.265599999999999</v>
      </c>
      <c r="R66" s="9"/>
      <c r="S66" s="11"/>
    </row>
    <row r="67" spans="1:19" ht="15" customHeight="1">
      <c r="A67" s="13">
        <v>43525</v>
      </c>
      <c r="B67" s="8">
        <f>4.0887 * CHOOSE(CONTROL!$C$15, $D$11, 100%, $F$11)</f>
        <v>4.0887000000000002</v>
      </c>
      <c r="C67" s="8">
        <f>4.0939 * CHOOSE(CONTROL!$C$15, $D$11, 100%, $F$11)</f>
        <v>4.0938999999999997</v>
      </c>
      <c r="D67" s="8">
        <f>4.0737 * CHOOSE( CONTROL!$C$15, $D$11, 100%, $F$11)</f>
        <v>4.0736999999999997</v>
      </c>
      <c r="E67" s="12">
        <f>4.0805 * CHOOSE( CONTROL!$C$15, $D$11, 100%, $F$11)</f>
        <v>4.0804999999999998</v>
      </c>
      <c r="F67" s="4">
        <f>4.7392 * CHOOSE(CONTROL!$C$15, $D$11, 100%, $F$11)</f>
        <v>4.7392000000000003</v>
      </c>
      <c r="G67" s="8">
        <f>3.9771 * CHOOSE( CONTROL!$C$15, $D$11, 100%, $F$11)</f>
        <v>3.9771000000000001</v>
      </c>
      <c r="H67" s="4">
        <f>4.8635 * CHOOSE(CONTROL!$C$15, $D$11, 100%, $F$11)</f>
        <v>4.8635000000000002</v>
      </c>
      <c r="I67" s="8">
        <f>4.0178 * CHOOSE(CONTROL!$C$15, $D$11, 100%, $F$11)</f>
        <v>4.0178000000000003</v>
      </c>
      <c r="J67" s="4">
        <f>3.8984 * CHOOSE(CONTROL!$C$15, $D$11, 100%, $F$11)</f>
        <v>3.8984000000000001</v>
      </c>
      <c r="K67" s="4"/>
      <c r="L67" s="9">
        <v>29.306000000000001</v>
      </c>
      <c r="M67" s="9">
        <v>12.063700000000001</v>
      </c>
      <c r="N67" s="9">
        <v>4.9444999999999997</v>
      </c>
      <c r="O67" s="9">
        <v>0.37409999999999999</v>
      </c>
      <c r="P67" s="9">
        <v>1.2927</v>
      </c>
      <c r="Q67" s="9">
        <v>24.651199999999999</v>
      </c>
      <c r="R67" s="9"/>
      <c r="S67" s="11"/>
    </row>
    <row r="68" spans="1:19" ht="15" customHeight="1">
      <c r="A68" s="13">
        <v>43556</v>
      </c>
      <c r="B68" s="8">
        <f>4.1512 * CHOOSE(CONTROL!$C$15, $D$11, 100%, $F$11)</f>
        <v>4.1512000000000002</v>
      </c>
      <c r="C68" s="8">
        <f>4.1558 * CHOOSE(CONTROL!$C$15, $D$11, 100%, $F$11)</f>
        <v>4.1558000000000002</v>
      </c>
      <c r="D68" s="8">
        <f>4.1863 * CHOOSE( CONTROL!$C$15, $D$11, 100%, $F$11)</f>
        <v>4.1863000000000001</v>
      </c>
      <c r="E68" s="12">
        <f>4.1757 * CHOOSE( CONTROL!$C$15, $D$11, 100%, $F$11)</f>
        <v>4.1757</v>
      </c>
      <c r="F68" s="4">
        <f>4.866 * CHOOSE(CONTROL!$C$15, $D$11, 100%, $F$11)</f>
        <v>4.8659999999999997</v>
      </c>
      <c r="G68" s="8">
        <f>4.0385 * CHOOSE( CONTROL!$C$15, $D$11, 100%, $F$11)</f>
        <v>4.0385</v>
      </c>
      <c r="H68" s="4">
        <f>4.9874 * CHOOSE(CONTROL!$C$15, $D$11, 100%, $F$11)</f>
        <v>4.9874000000000001</v>
      </c>
      <c r="I68" s="8">
        <f>4.0691 * CHOOSE(CONTROL!$C$15, $D$11, 100%, $F$11)</f>
        <v>4.0690999999999997</v>
      </c>
      <c r="J68" s="4">
        <f>3.9576 * CHOOSE(CONTROL!$C$15, $D$11, 100%, $F$11)</f>
        <v>3.9575999999999998</v>
      </c>
      <c r="K68" s="4"/>
      <c r="L68" s="9">
        <v>30.092199999999998</v>
      </c>
      <c r="M68" s="9">
        <v>11.6745</v>
      </c>
      <c r="N68" s="9">
        <v>4.7850000000000001</v>
      </c>
      <c r="O68" s="9">
        <v>0.36199999999999999</v>
      </c>
      <c r="P68" s="9">
        <v>1.1791</v>
      </c>
      <c r="Q68" s="9">
        <v>23.856000000000002</v>
      </c>
      <c r="R68" s="9"/>
      <c r="S68" s="11"/>
    </row>
    <row r="69" spans="1:19" ht="15" customHeight="1">
      <c r="A69" s="13">
        <v>43586</v>
      </c>
      <c r="B69" s="8">
        <f>CHOOSE( CONTROL!$C$32, 4.2647, 4.2624) * CHOOSE(CONTROL!$C$15, $D$11, 100%, $F$11)</f>
        <v>4.2647000000000004</v>
      </c>
      <c r="C69" s="8">
        <f>CHOOSE( CONTROL!$C$32, 4.2728, 4.2705) * CHOOSE(CONTROL!$C$15, $D$11, 100%, $F$11)</f>
        <v>4.2728000000000002</v>
      </c>
      <c r="D69" s="8">
        <f>CHOOSE( CONTROL!$C$32, 4.298, 4.2957) * CHOOSE( CONTROL!$C$15, $D$11, 100%, $F$11)</f>
        <v>4.298</v>
      </c>
      <c r="E69" s="12">
        <f>CHOOSE( CONTROL!$C$32, 4.2876, 4.2853) * CHOOSE( CONTROL!$C$15, $D$11, 100%, $F$11)</f>
        <v>4.2876000000000003</v>
      </c>
      <c r="F69" s="4">
        <f>CHOOSE( CONTROL!$C$32, 4.9782, 4.9758) * CHOOSE(CONTROL!$C$15, $D$11, 100%, $F$11)</f>
        <v>4.9782000000000002</v>
      </c>
      <c r="G69" s="8">
        <f>CHOOSE( CONTROL!$C$32, 4.1486, 4.1463) * CHOOSE( CONTROL!$C$15, $D$11, 100%, $F$11)</f>
        <v>4.1486000000000001</v>
      </c>
      <c r="H69" s="4">
        <f>CHOOSE( CONTROL!$C$32, 5.097, 5.0947) * CHOOSE(CONTROL!$C$15, $D$11, 100%, $F$11)</f>
        <v>5.0970000000000004</v>
      </c>
      <c r="I69" s="8">
        <f>CHOOSE( CONTROL!$C$32, 4.1771, 4.1749) * CHOOSE(CONTROL!$C$15, $D$11, 100%, $F$11)</f>
        <v>4.1771000000000003</v>
      </c>
      <c r="J69" s="4">
        <f>CHOOSE( CONTROL!$C$32, 4.0653, 4.0631) * CHOOSE(CONTROL!$C$15, $D$11, 100%, $F$11)</f>
        <v>4.0652999999999997</v>
      </c>
      <c r="K69" s="4"/>
      <c r="L69" s="9">
        <v>30.7165</v>
      </c>
      <c r="M69" s="9">
        <v>12.063700000000001</v>
      </c>
      <c r="N69" s="9">
        <v>4.9444999999999997</v>
      </c>
      <c r="O69" s="9">
        <v>0.37409999999999999</v>
      </c>
      <c r="P69" s="9">
        <v>1.2183999999999999</v>
      </c>
      <c r="Q69" s="9">
        <v>24.651199999999999</v>
      </c>
      <c r="R69" s="9"/>
      <c r="S69" s="11"/>
    </row>
    <row r="70" spans="1:19" ht="15" customHeight="1">
      <c r="A70" s="13">
        <v>43617</v>
      </c>
      <c r="B70" s="8">
        <f>CHOOSE( CONTROL!$C$32, 4.1967, 4.1943) * CHOOSE(CONTROL!$C$15, $D$11, 100%, $F$11)</f>
        <v>4.1966999999999999</v>
      </c>
      <c r="C70" s="8">
        <f>CHOOSE( CONTROL!$C$32, 4.2048, 4.2024) * CHOOSE(CONTROL!$C$15, $D$11, 100%, $F$11)</f>
        <v>4.2047999999999996</v>
      </c>
      <c r="D70" s="8">
        <f>CHOOSE( CONTROL!$C$32, 4.2302, 4.2278) * CHOOSE( CONTROL!$C$15, $D$11, 100%, $F$11)</f>
        <v>4.2302</v>
      </c>
      <c r="E70" s="12">
        <f>CHOOSE( CONTROL!$C$32, 4.2198, 4.2174) * CHOOSE( CONTROL!$C$15, $D$11, 100%, $F$11)</f>
        <v>4.2198000000000002</v>
      </c>
      <c r="F70" s="4">
        <f>CHOOSE( CONTROL!$C$32, 4.9101, 4.9078) * CHOOSE(CONTROL!$C$15, $D$11, 100%, $F$11)</f>
        <v>4.9100999999999999</v>
      </c>
      <c r="G70" s="8">
        <f>CHOOSE( CONTROL!$C$32, 4.0825, 4.0802) * CHOOSE( CONTROL!$C$15, $D$11, 100%, $F$11)</f>
        <v>4.0824999999999996</v>
      </c>
      <c r="H70" s="4">
        <f>CHOOSE( CONTROL!$C$32, 5.0305, 5.0282) * CHOOSE(CONTROL!$C$15, $D$11, 100%, $F$11)</f>
        <v>5.0305</v>
      </c>
      <c r="I70" s="8">
        <f>CHOOSE( CONTROL!$C$32, 4.1128, 4.1105) * CHOOSE(CONTROL!$C$15, $D$11, 100%, $F$11)</f>
        <v>4.1128</v>
      </c>
      <c r="J70" s="4">
        <f>CHOOSE( CONTROL!$C$32, 4, 3.9978) * CHOOSE(CONTROL!$C$15, $D$11, 100%, $F$11)</f>
        <v>4</v>
      </c>
      <c r="K70" s="4"/>
      <c r="L70" s="9">
        <v>29.7257</v>
      </c>
      <c r="M70" s="9">
        <v>11.6745</v>
      </c>
      <c r="N70" s="9">
        <v>4.7850000000000001</v>
      </c>
      <c r="O70" s="9">
        <v>0.36199999999999999</v>
      </c>
      <c r="P70" s="9">
        <v>1.1791</v>
      </c>
      <c r="Q70" s="9">
        <v>23.856000000000002</v>
      </c>
      <c r="R70" s="9"/>
      <c r="S70" s="11"/>
    </row>
    <row r="71" spans="1:19" ht="15" customHeight="1">
      <c r="A71" s="13">
        <v>43647</v>
      </c>
      <c r="B71" s="8">
        <f>CHOOSE( CONTROL!$C$32, 4.3759, 4.3735) * CHOOSE(CONTROL!$C$15, $D$11, 100%, $F$11)</f>
        <v>4.3758999999999997</v>
      </c>
      <c r="C71" s="8">
        <f>CHOOSE( CONTROL!$C$32, 4.384, 4.3816) * CHOOSE(CONTROL!$C$15, $D$11, 100%, $F$11)</f>
        <v>4.3840000000000003</v>
      </c>
      <c r="D71" s="8">
        <f>CHOOSE( CONTROL!$C$32, 4.4096, 4.4073) * CHOOSE( CONTROL!$C$15, $D$11, 100%, $F$11)</f>
        <v>4.4096000000000002</v>
      </c>
      <c r="E71" s="12">
        <f>CHOOSE( CONTROL!$C$32, 4.3991, 4.3968) * CHOOSE( CONTROL!$C$15, $D$11, 100%, $F$11)</f>
        <v>4.3990999999999998</v>
      </c>
      <c r="F71" s="4">
        <f>CHOOSE( CONTROL!$C$32, 5.0893, 5.087) * CHOOSE(CONTROL!$C$15, $D$11, 100%, $F$11)</f>
        <v>5.0892999999999997</v>
      </c>
      <c r="G71" s="8">
        <f>CHOOSE( CONTROL!$C$32, 4.2579, 4.2556) * CHOOSE( CONTROL!$C$15, $D$11, 100%, $F$11)</f>
        <v>4.2579000000000002</v>
      </c>
      <c r="H71" s="4">
        <f>CHOOSE( CONTROL!$C$32, 5.2055, 5.2032) * CHOOSE(CONTROL!$C$15, $D$11, 100%, $F$11)</f>
        <v>5.2054999999999998</v>
      </c>
      <c r="I71" s="8">
        <f>CHOOSE( CONTROL!$C$32, 4.2861, 4.2838) * CHOOSE(CONTROL!$C$15, $D$11, 100%, $F$11)</f>
        <v>4.2861000000000002</v>
      </c>
      <c r="J71" s="4">
        <f>CHOOSE( CONTROL!$C$32, 4.172, 4.1698) * CHOOSE(CONTROL!$C$15, $D$11, 100%, $F$11)</f>
        <v>4.1719999999999997</v>
      </c>
      <c r="K71" s="4"/>
      <c r="L71" s="9">
        <v>30.7165</v>
      </c>
      <c r="M71" s="9">
        <v>12.063700000000001</v>
      </c>
      <c r="N71" s="9">
        <v>4.9444999999999997</v>
      </c>
      <c r="O71" s="9">
        <v>0.37409999999999999</v>
      </c>
      <c r="P71" s="9">
        <v>1.2183999999999999</v>
      </c>
      <c r="Q71" s="9">
        <v>24.651199999999999</v>
      </c>
      <c r="R71" s="9"/>
      <c r="S71" s="11"/>
    </row>
    <row r="72" spans="1:19" ht="15" customHeight="1">
      <c r="A72" s="13">
        <v>43678</v>
      </c>
      <c r="B72" s="8">
        <f>CHOOSE( CONTROL!$C$32, 4.0406, 4.0383) * CHOOSE(CONTROL!$C$15, $D$11, 100%, $F$11)</f>
        <v>4.0406000000000004</v>
      </c>
      <c r="C72" s="8">
        <f>CHOOSE( CONTROL!$C$32, 4.0487, 4.0464) * CHOOSE(CONTROL!$C$15, $D$11, 100%, $F$11)</f>
        <v>4.0487000000000002</v>
      </c>
      <c r="D72" s="8">
        <f>CHOOSE( CONTROL!$C$32, 4.0744, 4.0721) * CHOOSE( CONTROL!$C$15, $D$11, 100%, $F$11)</f>
        <v>4.0743999999999998</v>
      </c>
      <c r="E72" s="12">
        <f>CHOOSE( CONTROL!$C$32, 4.0639, 4.0616) * CHOOSE( CONTROL!$C$15, $D$11, 100%, $F$11)</f>
        <v>4.0639000000000003</v>
      </c>
      <c r="F72" s="4">
        <f>CHOOSE( CONTROL!$C$32, 4.754, 4.7517) * CHOOSE(CONTROL!$C$15, $D$11, 100%, $F$11)</f>
        <v>4.7539999999999996</v>
      </c>
      <c r="G72" s="8">
        <f>CHOOSE( CONTROL!$C$32, 3.9305, 3.9282) * CHOOSE( CONTROL!$C$15, $D$11, 100%, $F$11)</f>
        <v>3.9304999999999999</v>
      </c>
      <c r="H72" s="4">
        <f>CHOOSE( CONTROL!$C$32, 4.8781, 4.8758) * CHOOSE(CONTROL!$C$15, $D$11, 100%, $F$11)</f>
        <v>4.8780999999999999</v>
      </c>
      <c r="I72" s="8">
        <f>CHOOSE( CONTROL!$C$32, 3.9644, 3.9622) * CHOOSE(CONTROL!$C$15, $D$11, 100%, $F$11)</f>
        <v>3.9643999999999999</v>
      </c>
      <c r="J72" s="4">
        <f>CHOOSE( CONTROL!$C$32, 3.8502, 3.8479) * CHOOSE(CONTROL!$C$15, $D$11, 100%, $F$11)</f>
        <v>3.8502000000000001</v>
      </c>
      <c r="K72" s="4"/>
      <c r="L72" s="9">
        <v>30.7165</v>
      </c>
      <c r="M72" s="9">
        <v>12.063700000000001</v>
      </c>
      <c r="N72" s="9">
        <v>4.9444999999999997</v>
      </c>
      <c r="O72" s="9">
        <v>0.37409999999999999</v>
      </c>
      <c r="P72" s="9">
        <v>1.2183999999999999</v>
      </c>
      <c r="Q72" s="9">
        <v>24.651199999999999</v>
      </c>
      <c r="R72" s="9"/>
      <c r="S72" s="11"/>
    </row>
    <row r="73" spans="1:19" ht="15" customHeight="1">
      <c r="A73" s="13">
        <v>43709</v>
      </c>
      <c r="B73" s="8">
        <f>CHOOSE( CONTROL!$C$32, 3.9567, 3.9543) * CHOOSE(CONTROL!$C$15, $D$11, 100%, $F$11)</f>
        <v>3.9567000000000001</v>
      </c>
      <c r="C73" s="8">
        <f>CHOOSE( CONTROL!$C$32, 3.9648, 3.9624) * CHOOSE(CONTROL!$C$15, $D$11, 100%, $F$11)</f>
        <v>3.9647999999999999</v>
      </c>
      <c r="D73" s="8">
        <f>CHOOSE( CONTROL!$C$32, 3.9905, 3.9881) * CHOOSE( CONTROL!$C$15, $D$11, 100%, $F$11)</f>
        <v>3.9904999999999999</v>
      </c>
      <c r="E73" s="12">
        <f>CHOOSE( CONTROL!$C$32, 3.98, 3.9776) * CHOOSE( CONTROL!$C$15, $D$11, 100%, $F$11)</f>
        <v>3.98</v>
      </c>
      <c r="F73" s="4">
        <f>CHOOSE( CONTROL!$C$32, 4.6701, 4.6678) * CHOOSE(CONTROL!$C$15, $D$11, 100%, $F$11)</f>
        <v>4.6700999999999997</v>
      </c>
      <c r="G73" s="8">
        <f>CHOOSE( CONTROL!$C$32, 3.8485, 3.8462) * CHOOSE( CONTROL!$C$15, $D$11, 100%, $F$11)</f>
        <v>3.8485</v>
      </c>
      <c r="H73" s="4">
        <f>CHOOSE( CONTROL!$C$32, 4.7961, 4.7938) * CHOOSE(CONTROL!$C$15, $D$11, 100%, $F$11)</f>
        <v>4.7961</v>
      </c>
      <c r="I73" s="8">
        <f>CHOOSE( CONTROL!$C$32, 3.8837, 3.8814) * CHOOSE(CONTROL!$C$15, $D$11, 100%, $F$11)</f>
        <v>3.8837000000000002</v>
      </c>
      <c r="J73" s="4">
        <f>CHOOSE( CONTROL!$C$32, 3.7696, 3.7673) * CHOOSE(CONTROL!$C$15, $D$11, 100%, $F$11)</f>
        <v>3.7696000000000001</v>
      </c>
      <c r="K73" s="4"/>
      <c r="L73" s="9">
        <v>29.7257</v>
      </c>
      <c r="M73" s="9">
        <v>11.6745</v>
      </c>
      <c r="N73" s="9">
        <v>4.7850000000000001</v>
      </c>
      <c r="O73" s="9">
        <v>0.36199999999999999</v>
      </c>
      <c r="P73" s="9">
        <v>1.1791</v>
      </c>
      <c r="Q73" s="9">
        <v>23.856000000000002</v>
      </c>
      <c r="R73" s="9"/>
      <c r="S73" s="11"/>
    </row>
    <row r="74" spans="1:19" ht="15" customHeight="1">
      <c r="A74" s="13">
        <v>43739</v>
      </c>
      <c r="B74" s="8">
        <f>4.1269 * CHOOSE(CONTROL!$C$15, $D$11, 100%, $F$11)</f>
        <v>4.1269</v>
      </c>
      <c r="C74" s="8">
        <f>4.1323 * CHOOSE(CONTROL!$C$15, $D$11, 100%, $F$11)</f>
        <v>4.1322999999999999</v>
      </c>
      <c r="D74" s="8">
        <f>4.1631 * CHOOSE( CONTROL!$C$15, $D$11, 100%, $F$11)</f>
        <v>4.1631</v>
      </c>
      <c r="E74" s="12">
        <f>4.1524 * CHOOSE( CONTROL!$C$15, $D$11, 100%, $F$11)</f>
        <v>4.1524000000000001</v>
      </c>
      <c r="F74" s="4">
        <f>4.8421 * CHOOSE(CONTROL!$C$15, $D$11, 100%, $F$11)</f>
        <v>4.8421000000000003</v>
      </c>
      <c r="G74" s="8">
        <f>4.0162 * CHOOSE( CONTROL!$C$15, $D$11, 100%, $F$11)</f>
        <v>4.0162000000000004</v>
      </c>
      <c r="H74" s="4">
        <f>4.964 * CHOOSE(CONTROL!$C$15, $D$11, 100%, $F$11)</f>
        <v>4.9640000000000004</v>
      </c>
      <c r="I74" s="8">
        <f>4.0497 * CHOOSE(CONTROL!$C$15, $D$11, 100%, $F$11)</f>
        <v>4.0496999999999996</v>
      </c>
      <c r="J74" s="4">
        <f>3.9347 * CHOOSE(CONTROL!$C$15, $D$11, 100%, $F$11)</f>
        <v>3.9346999999999999</v>
      </c>
      <c r="K74" s="4"/>
      <c r="L74" s="9">
        <v>31.095300000000002</v>
      </c>
      <c r="M74" s="9">
        <v>12.063700000000001</v>
      </c>
      <c r="N74" s="9">
        <v>4.9444999999999997</v>
      </c>
      <c r="O74" s="9">
        <v>0.37409999999999999</v>
      </c>
      <c r="P74" s="9">
        <v>1.2183999999999999</v>
      </c>
      <c r="Q74" s="9">
        <v>24.651199999999999</v>
      </c>
      <c r="R74" s="9"/>
      <c r="S74" s="11"/>
    </row>
    <row r="75" spans="1:19" ht="15" customHeight="1">
      <c r="A75" s="13">
        <v>43770</v>
      </c>
      <c r="B75" s="8">
        <f>4.4482 * CHOOSE(CONTROL!$C$15, $D$11, 100%, $F$11)</f>
        <v>4.4481999999999999</v>
      </c>
      <c r="C75" s="8">
        <f>4.4534 * CHOOSE(CONTROL!$C$15, $D$11, 100%, $F$11)</f>
        <v>4.4534000000000002</v>
      </c>
      <c r="D75" s="8">
        <f>4.4365 * CHOOSE( CONTROL!$C$15, $D$11, 100%, $F$11)</f>
        <v>4.4364999999999997</v>
      </c>
      <c r="E75" s="12">
        <f>4.4421 * CHOOSE( CONTROL!$C$15, $D$11, 100%, $F$11)</f>
        <v>4.4420999999999999</v>
      </c>
      <c r="F75" s="4">
        <f>5.0987 * CHOOSE(CONTROL!$C$15, $D$11, 100%, $F$11)</f>
        <v>5.0987</v>
      </c>
      <c r="G75" s="8">
        <f>4.3367 * CHOOSE( CONTROL!$C$15, $D$11, 100%, $F$11)</f>
        <v>4.3367000000000004</v>
      </c>
      <c r="H75" s="4">
        <f>5.2147 * CHOOSE(CONTROL!$C$15, $D$11, 100%, $F$11)</f>
        <v>5.2146999999999997</v>
      </c>
      <c r="I75" s="8">
        <f>4.4006 * CHOOSE(CONTROL!$C$15, $D$11, 100%, $F$11)</f>
        <v>4.4005999999999998</v>
      </c>
      <c r="J75" s="4">
        <f>4.2436 * CHOOSE(CONTROL!$C$15, $D$11, 100%, $F$11)</f>
        <v>4.2435999999999998</v>
      </c>
      <c r="K75" s="4"/>
      <c r="L75" s="9">
        <v>28.360600000000002</v>
      </c>
      <c r="M75" s="9">
        <v>11.6745</v>
      </c>
      <c r="N75" s="9">
        <v>4.7850000000000001</v>
      </c>
      <c r="O75" s="9">
        <v>0.36199999999999999</v>
      </c>
      <c r="P75" s="9">
        <v>1.2509999999999999</v>
      </c>
      <c r="Q75" s="9">
        <v>23.856000000000002</v>
      </c>
      <c r="R75" s="9"/>
      <c r="S75" s="11"/>
    </row>
    <row r="76" spans="1:19" ht="15.75">
      <c r="A76" s="13">
        <v>43800</v>
      </c>
      <c r="B76" s="8">
        <f>4.4402 * CHOOSE(CONTROL!$C$15, $D$11, 100%, $F$11)</f>
        <v>4.4401999999999999</v>
      </c>
      <c r="C76" s="8">
        <f>4.4454 * CHOOSE(CONTROL!$C$15, $D$11, 100%, $F$11)</f>
        <v>4.4454000000000002</v>
      </c>
      <c r="D76" s="8">
        <f>4.4299 * CHOOSE( CONTROL!$C$15, $D$11, 100%, $F$11)</f>
        <v>4.4298999999999999</v>
      </c>
      <c r="E76" s="12">
        <f>4.435 * CHOOSE( CONTROL!$C$15, $D$11, 100%, $F$11)</f>
        <v>4.4349999999999996</v>
      </c>
      <c r="F76" s="4">
        <f>5.0907 * CHOOSE(CONTROL!$C$15, $D$11, 100%, $F$11)</f>
        <v>5.0907</v>
      </c>
      <c r="G76" s="8">
        <f>4.3299 * CHOOSE( CONTROL!$C$15, $D$11, 100%, $F$11)</f>
        <v>4.3299000000000003</v>
      </c>
      <c r="H76" s="4">
        <f>5.2068 * CHOOSE(CONTROL!$C$15, $D$11, 100%, $F$11)</f>
        <v>5.2068000000000003</v>
      </c>
      <c r="I76" s="8">
        <f>4.3976 * CHOOSE(CONTROL!$C$15, $D$11, 100%, $F$11)</f>
        <v>4.3975999999999997</v>
      </c>
      <c r="J76" s="4">
        <f>4.2359 * CHOOSE(CONTROL!$C$15, $D$11, 100%, $F$11)</f>
        <v>4.2359</v>
      </c>
      <c r="K76" s="4"/>
      <c r="L76" s="9">
        <v>29.306000000000001</v>
      </c>
      <c r="M76" s="9">
        <v>12.063700000000001</v>
      </c>
      <c r="N76" s="9">
        <v>4.9444999999999997</v>
      </c>
      <c r="O76" s="9">
        <v>0.37409999999999999</v>
      </c>
      <c r="P76" s="9">
        <v>1.2927</v>
      </c>
      <c r="Q76" s="9">
        <v>24.651199999999999</v>
      </c>
      <c r="R76" s="9"/>
      <c r="S76" s="11"/>
    </row>
    <row r="77" spans="1:19" ht="15.75">
      <c r="A77" s="13">
        <v>43831</v>
      </c>
      <c r="B77" s="8">
        <f>5.5314 * CHOOSE(CONTROL!$C$15, $D$11, 100%, $F$11)</f>
        <v>5.5313999999999997</v>
      </c>
      <c r="C77" s="8">
        <f>5.5366 * CHOOSE(CONTROL!$C$15, $D$11, 100%, $F$11)</f>
        <v>5.5366</v>
      </c>
      <c r="D77" s="8">
        <f>5.5167 * CHOOSE( CONTROL!$C$15, $D$11, 100%, $F$11)</f>
        <v>5.5167000000000002</v>
      </c>
      <c r="E77" s="12">
        <f>5.5234 * CHOOSE( CONTROL!$C$15, $D$11, 100%, $F$11)</f>
        <v>5.5233999999999996</v>
      </c>
      <c r="F77" s="4">
        <f>6.1818 * CHOOSE(CONTROL!$C$15, $D$11, 100%, $F$11)</f>
        <v>6.1818</v>
      </c>
      <c r="G77" s="8">
        <f>5.3864 * CHOOSE( CONTROL!$C$15, $D$11, 100%, $F$11)</f>
        <v>5.3864000000000001</v>
      </c>
      <c r="H77" s="4">
        <f>6.2726 * CHOOSE(CONTROL!$C$15, $D$11, 100%, $F$11)</f>
        <v>6.2725999999999997</v>
      </c>
      <c r="I77" s="8">
        <f>5.4048 * CHOOSE(CONTROL!$C$15, $D$11, 100%, $F$11)</f>
        <v>5.4047999999999998</v>
      </c>
      <c r="J77" s="4">
        <f>5.2835 * CHOOSE(CONTROL!$C$15, $D$11, 100%, $F$11)</f>
        <v>5.2835000000000001</v>
      </c>
      <c r="K77" s="4"/>
      <c r="L77" s="9">
        <v>29.306000000000001</v>
      </c>
      <c r="M77" s="9">
        <v>12.063700000000001</v>
      </c>
      <c r="N77" s="9">
        <v>4.9444999999999997</v>
      </c>
      <c r="O77" s="9">
        <v>0.37409999999999999</v>
      </c>
      <c r="P77" s="9">
        <v>1.2927</v>
      </c>
      <c r="Q77" s="9">
        <v>22.150099999999998</v>
      </c>
      <c r="R77" s="9"/>
      <c r="S77" s="11"/>
    </row>
    <row r="78" spans="1:19" ht="15.75">
      <c r="A78" s="13">
        <v>43862</v>
      </c>
      <c r="B78" s="8">
        <f>5.1756 * CHOOSE(CONTROL!$C$15, $D$11, 100%, $F$11)</f>
        <v>5.1756000000000002</v>
      </c>
      <c r="C78" s="8">
        <f>5.1808 * CHOOSE(CONTROL!$C$15, $D$11, 100%, $F$11)</f>
        <v>5.1807999999999996</v>
      </c>
      <c r="D78" s="8">
        <f>5.1609 * CHOOSE( CONTROL!$C$15, $D$11, 100%, $F$11)</f>
        <v>5.1608999999999998</v>
      </c>
      <c r="E78" s="12">
        <f>5.1676 * CHOOSE( CONTROL!$C$15, $D$11, 100%, $F$11)</f>
        <v>5.1676000000000002</v>
      </c>
      <c r="F78" s="4">
        <f>5.8261 * CHOOSE(CONTROL!$C$15, $D$11, 100%, $F$11)</f>
        <v>5.8261000000000003</v>
      </c>
      <c r="G78" s="8">
        <f>5.0389 * CHOOSE( CONTROL!$C$15, $D$11, 100%, $F$11)</f>
        <v>5.0388999999999999</v>
      </c>
      <c r="H78" s="4">
        <f>5.9251 * CHOOSE(CONTROL!$C$15, $D$11, 100%, $F$11)</f>
        <v>5.9250999999999996</v>
      </c>
      <c r="I78" s="8">
        <f>5.063 * CHOOSE(CONTROL!$C$15, $D$11, 100%, $F$11)</f>
        <v>5.0629999999999997</v>
      </c>
      <c r="J78" s="4">
        <f>4.9419 * CHOOSE(CONTROL!$C$15, $D$11, 100%, $F$11)</f>
        <v>4.9419000000000004</v>
      </c>
      <c r="K78" s="4"/>
      <c r="L78" s="9">
        <v>27.415299999999998</v>
      </c>
      <c r="M78" s="9">
        <v>11.285299999999999</v>
      </c>
      <c r="N78" s="9">
        <v>4.6254999999999997</v>
      </c>
      <c r="O78" s="9">
        <v>0.34989999999999999</v>
      </c>
      <c r="P78" s="9">
        <v>1.2093</v>
      </c>
      <c r="Q78" s="9">
        <v>20.7211</v>
      </c>
      <c r="R78" s="9"/>
      <c r="S78" s="11"/>
    </row>
    <row r="79" spans="1:19" ht="15.75">
      <c r="A79" s="13">
        <v>43891</v>
      </c>
      <c r="B79" s="8">
        <f>5.066 * CHOOSE(CONTROL!$C$15, $D$11, 100%, $F$11)</f>
        <v>5.0659999999999998</v>
      </c>
      <c r="C79" s="8">
        <f>5.0712 * CHOOSE(CONTROL!$C$15, $D$11, 100%, $F$11)</f>
        <v>5.0712000000000002</v>
      </c>
      <c r="D79" s="8">
        <f>5.051 * CHOOSE( CONTROL!$C$15, $D$11, 100%, $F$11)</f>
        <v>5.0510000000000002</v>
      </c>
      <c r="E79" s="12">
        <f>5.0578 * CHOOSE( CONTROL!$C$15, $D$11, 100%, $F$11)</f>
        <v>5.0578000000000003</v>
      </c>
      <c r="F79" s="4">
        <f>5.7165 * CHOOSE(CONTROL!$C$15, $D$11, 100%, $F$11)</f>
        <v>5.7164999999999999</v>
      </c>
      <c r="G79" s="8">
        <f>4.9316 * CHOOSE( CONTROL!$C$15, $D$11, 100%, $F$11)</f>
        <v>4.9316000000000004</v>
      </c>
      <c r="H79" s="4">
        <f>5.8181 * CHOOSE(CONTROL!$C$15, $D$11, 100%, $F$11)</f>
        <v>5.8181000000000003</v>
      </c>
      <c r="I79" s="8">
        <f>4.9566 * CHOOSE(CONTROL!$C$15, $D$11, 100%, $F$11)</f>
        <v>4.9565999999999999</v>
      </c>
      <c r="J79" s="4">
        <f>4.8367 * CHOOSE(CONTROL!$C$15, $D$11, 100%, $F$11)</f>
        <v>4.8367000000000004</v>
      </c>
      <c r="K79" s="4"/>
      <c r="L79" s="9">
        <v>29.306000000000001</v>
      </c>
      <c r="M79" s="9">
        <v>12.063700000000001</v>
      </c>
      <c r="N79" s="9">
        <v>4.9444999999999997</v>
      </c>
      <c r="O79" s="9">
        <v>0.37409999999999999</v>
      </c>
      <c r="P79" s="9">
        <v>1.2927</v>
      </c>
      <c r="Q79" s="9">
        <v>22.150099999999998</v>
      </c>
      <c r="R79" s="9"/>
      <c r="S79" s="11"/>
    </row>
    <row r="80" spans="1:19" ht="15.75">
      <c r="A80" s="13">
        <v>43922</v>
      </c>
      <c r="B80" s="8">
        <f>5.1434 * CHOOSE(CONTROL!$C$15, $D$11, 100%, $F$11)</f>
        <v>5.1433999999999997</v>
      </c>
      <c r="C80" s="8">
        <f>5.148 * CHOOSE(CONTROL!$C$15, $D$11, 100%, $F$11)</f>
        <v>5.1479999999999997</v>
      </c>
      <c r="D80" s="8">
        <f>5.1785 * CHOOSE( CONTROL!$C$15, $D$11, 100%, $F$11)</f>
        <v>5.1784999999999997</v>
      </c>
      <c r="E80" s="12">
        <f>5.1679 * CHOOSE( CONTROL!$C$15, $D$11, 100%, $F$11)</f>
        <v>5.1679000000000004</v>
      </c>
      <c r="F80" s="4">
        <f>5.8582 * CHOOSE(CONTROL!$C$15, $D$11, 100%, $F$11)</f>
        <v>5.8582000000000001</v>
      </c>
      <c r="G80" s="8">
        <f>5.0076 * CHOOSE( CONTROL!$C$15, $D$11, 100%, $F$11)</f>
        <v>5.0076000000000001</v>
      </c>
      <c r="H80" s="4">
        <f>5.9565 * CHOOSE(CONTROL!$C$15, $D$11, 100%, $F$11)</f>
        <v>5.9565000000000001</v>
      </c>
      <c r="I80" s="8">
        <f>5.0222 * CHOOSE(CONTROL!$C$15, $D$11, 100%, $F$11)</f>
        <v>5.0221999999999998</v>
      </c>
      <c r="J80" s="4">
        <f>4.9102 * CHOOSE(CONTROL!$C$15, $D$11, 100%, $F$11)</f>
        <v>4.9101999999999997</v>
      </c>
      <c r="K80" s="4"/>
      <c r="L80" s="9">
        <v>30.092199999999998</v>
      </c>
      <c r="M80" s="9">
        <v>11.6745</v>
      </c>
      <c r="N80" s="9">
        <v>4.7850000000000001</v>
      </c>
      <c r="O80" s="9">
        <v>0.36199999999999999</v>
      </c>
      <c r="P80" s="9">
        <v>1.1791</v>
      </c>
      <c r="Q80" s="9">
        <v>21.435600000000001</v>
      </c>
      <c r="R80" s="9"/>
      <c r="S80" s="11"/>
    </row>
    <row r="81" spans="1:19" ht="15.75">
      <c r="A81" s="13">
        <v>43952</v>
      </c>
      <c r="B81" s="8">
        <f>CHOOSE( CONTROL!$C$32, 5.2834, 5.281) * CHOOSE(CONTROL!$C$15, $D$11, 100%, $F$11)</f>
        <v>5.2834000000000003</v>
      </c>
      <c r="C81" s="8">
        <f>CHOOSE( CONTROL!$C$32, 5.2914, 5.2891) * CHOOSE(CONTROL!$C$15, $D$11, 100%, $F$11)</f>
        <v>5.2914000000000003</v>
      </c>
      <c r="D81" s="8">
        <f>CHOOSE( CONTROL!$C$32, 5.3166, 5.3143) * CHOOSE( CONTROL!$C$15, $D$11, 100%, $F$11)</f>
        <v>5.3166000000000002</v>
      </c>
      <c r="E81" s="12">
        <f>CHOOSE( CONTROL!$C$32, 5.3062, 5.3039) * CHOOSE( CONTROL!$C$15, $D$11, 100%, $F$11)</f>
        <v>5.3061999999999996</v>
      </c>
      <c r="F81" s="4">
        <f>CHOOSE( CONTROL!$C$32, 5.9968, 5.9944) * CHOOSE(CONTROL!$C$15, $D$11, 100%, $F$11)</f>
        <v>5.9968000000000004</v>
      </c>
      <c r="G81" s="8">
        <f>CHOOSE( CONTROL!$C$32, 5.1435, 5.1412) * CHOOSE( CONTROL!$C$15, $D$11, 100%, $F$11)</f>
        <v>5.1435000000000004</v>
      </c>
      <c r="H81" s="4">
        <f>CHOOSE( CONTROL!$C$32, 6.0919, 6.0896) * CHOOSE(CONTROL!$C$15, $D$11, 100%, $F$11)</f>
        <v>6.0918999999999999</v>
      </c>
      <c r="I81" s="8">
        <f>CHOOSE( CONTROL!$C$32, 5.1556, 5.1534) * CHOOSE(CONTROL!$C$15, $D$11, 100%, $F$11)</f>
        <v>5.1555999999999997</v>
      </c>
      <c r="J81" s="4">
        <f>CHOOSE( CONTROL!$C$32, 5.0433, 5.0411) * CHOOSE(CONTROL!$C$15, $D$11, 100%, $F$11)</f>
        <v>5.0433000000000003</v>
      </c>
      <c r="K81" s="4"/>
      <c r="L81" s="9">
        <v>30.7165</v>
      </c>
      <c r="M81" s="9">
        <v>12.063700000000001</v>
      </c>
      <c r="N81" s="9">
        <v>4.9444999999999997</v>
      </c>
      <c r="O81" s="9">
        <v>0.37409999999999999</v>
      </c>
      <c r="P81" s="9">
        <v>1.2183999999999999</v>
      </c>
      <c r="Q81" s="9">
        <v>33.225200000000001</v>
      </c>
      <c r="R81" s="9"/>
      <c r="S81" s="11"/>
    </row>
    <row r="82" spans="1:19" ht="15.75">
      <c r="A82" s="13">
        <v>43983</v>
      </c>
      <c r="B82" s="8">
        <f>CHOOSE( CONTROL!$C$32, 5.1989, 5.1966) * CHOOSE(CONTROL!$C$15, $D$11, 100%, $F$11)</f>
        <v>5.1989000000000001</v>
      </c>
      <c r="C82" s="8">
        <f>CHOOSE( CONTROL!$C$32, 5.207, 5.2047) * CHOOSE(CONTROL!$C$15, $D$11, 100%, $F$11)</f>
        <v>5.2069999999999999</v>
      </c>
      <c r="D82" s="8">
        <f>CHOOSE( CONTROL!$C$32, 5.2324, 5.2301) * CHOOSE( CONTROL!$C$15, $D$11, 100%, $F$11)</f>
        <v>5.2324000000000002</v>
      </c>
      <c r="E82" s="12">
        <f>CHOOSE( CONTROL!$C$32, 5.222, 5.2197) * CHOOSE( CONTROL!$C$15, $D$11, 100%, $F$11)</f>
        <v>5.2220000000000004</v>
      </c>
      <c r="F82" s="4">
        <f>CHOOSE( CONTROL!$C$32, 5.9124, 5.91) * CHOOSE(CONTROL!$C$15, $D$11, 100%, $F$11)</f>
        <v>5.9123999999999999</v>
      </c>
      <c r="G82" s="8">
        <f>CHOOSE( CONTROL!$C$32, 5.0614, 5.0591) * CHOOSE( CONTROL!$C$15, $D$11, 100%, $F$11)</f>
        <v>5.0613999999999999</v>
      </c>
      <c r="H82" s="4">
        <f>CHOOSE( CONTROL!$C$32, 6.0094, 6.0071) * CHOOSE(CONTROL!$C$15, $D$11, 100%, $F$11)</f>
        <v>6.0094000000000003</v>
      </c>
      <c r="I82" s="8">
        <f>CHOOSE( CONTROL!$C$32, 5.0755, 5.0732) * CHOOSE(CONTROL!$C$15, $D$11, 100%, $F$11)</f>
        <v>5.0754999999999999</v>
      </c>
      <c r="J82" s="4">
        <f>CHOOSE( CONTROL!$C$32, 4.9623, 4.96) * CHOOSE(CONTROL!$C$15, $D$11, 100%, $F$11)</f>
        <v>4.9622999999999999</v>
      </c>
      <c r="K82" s="4"/>
      <c r="L82" s="9">
        <v>29.7257</v>
      </c>
      <c r="M82" s="9">
        <v>11.6745</v>
      </c>
      <c r="N82" s="9">
        <v>4.7850000000000001</v>
      </c>
      <c r="O82" s="9">
        <v>0.36199999999999999</v>
      </c>
      <c r="P82" s="9">
        <v>1.1791</v>
      </c>
      <c r="Q82" s="9">
        <v>32.153399999999998</v>
      </c>
      <c r="R82" s="9"/>
      <c r="S82" s="11"/>
    </row>
    <row r="83" spans="1:19" ht="15.75">
      <c r="A83" s="13">
        <v>44013</v>
      </c>
      <c r="B83" s="8">
        <f>CHOOSE( CONTROL!$C$32, 5.4212, 5.4189) * CHOOSE(CONTROL!$C$15, $D$11, 100%, $F$11)</f>
        <v>5.4211999999999998</v>
      </c>
      <c r="C83" s="8">
        <f>CHOOSE( CONTROL!$C$32, 5.4293, 5.427) * CHOOSE(CONTROL!$C$15, $D$11, 100%, $F$11)</f>
        <v>5.4292999999999996</v>
      </c>
      <c r="D83" s="8">
        <f>CHOOSE( CONTROL!$C$32, 5.455, 5.4526) * CHOOSE( CONTROL!$C$15, $D$11, 100%, $F$11)</f>
        <v>5.4550000000000001</v>
      </c>
      <c r="E83" s="12">
        <f>CHOOSE( CONTROL!$C$32, 5.4445, 5.4421) * CHOOSE( CONTROL!$C$15, $D$11, 100%, $F$11)</f>
        <v>5.4444999999999997</v>
      </c>
      <c r="F83" s="4">
        <f>CHOOSE( CONTROL!$C$32, 6.1347, 6.1323) * CHOOSE(CONTROL!$C$15, $D$11, 100%, $F$11)</f>
        <v>6.1346999999999996</v>
      </c>
      <c r="G83" s="8">
        <f>CHOOSE( CONTROL!$C$32, 5.2789, 5.2766) * CHOOSE( CONTROL!$C$15, $D$11, 100%, $F$11)</f>
        <v>5.2789000000000001</v>
      </c>
      <c r="H83" s="4">
        <f>CHOOSE( CONTROL!$C$32, 6.2265, 6.2242) * CHOOSE(CONTROL!$C$15, $D$11, 100%, $F$11)</f>
        <v>6.2264999999999997</v>
      </c>
      <c r="I83" s="8">
        <f>CHOOSE( CONTROL!$C$32, 5.2902, 5.288) * CHOOSE(CONTROL!$C$15, $D$11, 100%, $F$11)</f>
        <v>5.2901999999999996</v>
      </c>
      <c r="J83" s="4">
        <f>CHOOSE( CONTROL!$C$32, 5.1757, 5.1735) * CHOOSE(CONTROL!$C$15, $D$11, 100%, $F$11)</f>
        <v>5.1757</v>
      </c>
      <c r="K83" s="4"/>
      <c r="L83" s="9">
        <v>30.7165</v>
      </c>
      <c r="M83" s="9">
        <v>12.063700000000001</v>
      </c>
      <c r="N83" s="9">
        <v>4.9444999999999997</v>
      </c>
      <c r="O83" s="9">
        <v>0.37409999999999999</v>
      </c>
      <c r="P83" s="9">
        <v>1.2183999999999999</v>
      </c>
      <c r="Q83" s="9">
        <v>33.225200000000001</v>
      </c>
      <c r="R83" s="9"/>
      <c r="S83" s="11"/>
    </row>
    <row r="84" spans="1:19" ht="15.75">
      <c r="A84" s="13">
        <v>44044</v>
      </c>
      <c r="B84" s="8">
        <f>CHOOSE( CONTROL!$C$32, 5.0053, 5.0029) * CHOOSE(CONTROL!$C$15, $D$11, 100%, $F$11)</f>
        <v>5.0053000000000001</v>
      </c>
      <c r="C84" s="8">
        <f>CHOOSE( CONTROL!$C$32, 5.0134, 5.011) * CHOOSE(CONTROL!$C$15, $D$11, 100%, $F$11)</f>
        <v>5.0133999999999999</v>
      </c>
      <c r="D84" s="8">
        <f>CHOOSE( CONTROL!$C$32, 5.0391, 5.0368) * CHOOSE( CONTROL!$C$15, $D$11, 100%, $F$11)</f>
        <v>5.0391000000000004</v>
      </c>
      <c r="E84" s="12">
        <f>CHOOSE( CONTROL!$C$32, 5.0286, 5.0262) * CHOOSE( CONTROL!$C$15, $D$11, 100%, $F$11)</f>
        <v>5.0286</v>
      </c>
      <c r="F84" s="4">
        <f>CHOOSE( CONTROL!$C$32, 5.7187, 5.7164) * CHOOSE(CONTROL!$C$15, $D$11, 100%, $F$11)</f>
        <v>5.7187000000000001</v>
      </c>
      <c r="G84" s="8">
        <f>CHOOSE( CONTROL!$C$32, 4.8727, 4.8705) * CHOOSE( CONTROL!$C$15, $D$11, 100%, $F$11)</f>
        <v>4.8727</v>
      </c>
      <c r="H84" s="4">
        <f>CHOOSE( CONTROL!$C$32, 5.8203, 5.818) * CHOOSE(CONTROL!$C$15, $D$11, 100%, $F$11)</f>
        <v>5.8202999999999996</v>
      </c>
      <c r="I84" s="8">
        <f>CHOOSE( CONTROL!$C$32, 4.8911, 4.8888) * CHOOSE(CONTROL!$C$15, $D$11, 100%, $F$11)</f>
        <v>4.8910999999999998</v>
      </c>
      <c r="J84" s="4">
        <f>CHOOSE( CONTROL!$C$32, 4.7764, 4.7741) * CHOOSE(CONTROL!$C$15, $D$11, 100%, $F$11)</f>
        <v>4.7763999999999998</v>
      </c>
      <c r="K84" s="4"/>
      <c r="L84" s="9">
        <v>30.7165</v>
      </c>
      <c r="M84" s="9">
        <v>12.063700000000001</v>
      </c>
      <c r="N84" s="9">
        <v>4.9444999999999997</v>
      </c>
      <c r="O84" s="9">
        <v>0.37409999999999999</v>
      </c>
      <c r="P84" s="9">
        <v>1.2183999999999999</v>
      </c>
      <c r="Q84" s="9">
        <v>33.225200000000001</v>
      </c>
      <c r="R84" s="9"/>
      <c r="S84" s="11"/>
    </row>
    <row r="85" spans="1:19" ht="15.75">
      <c r="A85" s="13">
        <v>44075</v>
      </c>
      <c r="B85" s="8">
        <f>CHOOSE( CONTROL!$C$32, 4.9011, 4.8988) * CHOOSE(CONTROL!$C$15, $D$11, 100%, $F$11)</f>
        <v>4.9010999999999996</v>
      </c>
      <c r="C85" s="8">
        <f>CHOOSE( CONTROL!$C$32, 4.9092, 4.9069) * CHOOSE(CONTROL!$C$15, $D$11, 100%, $F$11)</f>
        <v>4.9092000000000002</v>
      </c>
      <c r="D85" s="8">
        <f>CHOOSE( CONTROL!$C$32, 4.9349, 4.9326) * CHOOSE( CONTROL!$C$15, $D$11, 100%, $F$11)</f>
        <v>4.9348999999999998</v>
      </c>
      <c r="E85" s="12">
        <f>CHOOSE( CONTROL!$C$32, 4.9244, 4.9221) * CHOOSE( CONTROL!$C$15, $D$11, 100%, $F$11)</f>
        <v>4.9244000000000003</v>
      </c>
      <c r="F85" s="4">
        <f>CHOOSE( CONTROL!$C$32, 5.6146, 5.6122) * CHOOSE(CONTROL!$C$15, $D$11, 100%, $F$11)</f>
        <v>5.6146000000000003</v>
      </c>
      <c r="G85" s="8">
        <f>CHOOSE( CONTROL!$C$32, 4.771, 4.7687) * CHOOSE( CONTROL!$C$15, $D$11, 100%, $F$11)</f>
        <v>4.7709999999999999</v>
      </c>
      <c r="H85" s="4">
        <f>CHOOSE( CONTROL!$C$32, 5.7185, 5.7162) * CHOOSE(CONTROL!$C$15, $D$11, 100%, $F$11)</f>
        <v>5.7184999999999997</v>
      </c>
      <c r="I85" s="8">
        <f>CHOOSE( CONTROL!$C$32, 4.7909, 4.7886) * CHOOSE(CONTROL!$C$15, $D$11, 100%, $F$11)</f>
        <v>4.7908999999999997</v>
      </c>
      <c r="J85" s="4">
        <f>CHOOSE( CONTROL!$C$32, 4.6764, 4.6741) * CHOOSE(CONTROL!$C$15, $D$11, 100%, $F$11)</f>
        <v>4.6764000000000001</v>
      </c>
      <c r="K85" s="4"/>
      <c r="L85" s="9">
        <v>29.7257</v>
      </c>
      <c r="M85" s="9">
        <v>11.6745</v>
      </c>
      <c r="N85" s="9">
        <v>4.7850000000000001</v>
      </c>
      <c r="O85" s="9">
        <v>0.36199999999999999</v>
      </c>
      <c r="P85" s="9">
        <v>1.1791</v>
      </c>
      <c r="Q85" s="9">
        <v>32.153399999999998</v>
      </c>
      <c r="R85" s="9"/>
      <c r="S85" s="11"/>
    </row>
    <row r="86" spans="1:19" ht="15.75">
      <c r="A86" s="13">
        <v>44105</v>
      </c>
      <c r="B86" s="8">
        <f>5.1133 * CHOOSE(CONTROL!$C$15, $D$11, 100%, $F$11)</f>
        <v>5.1132999999999997</v>
      </c>
      <c r="C86" s="8">
        <f>5.1188 * CHOOSE(CONTROL!$C$15, $D$11, 100%, $F$11)</f>
        <v>5.1188000000000002</v>
      </c>
      <c r="D86" s="8">
        <f>5.1496 * CHOOSE( CONTROL!$C$15, $D$11, 100%, $F$11)</f>
        <v>5.1496000000000004</v>
      </c>
      <c r="E86" s="12">
        <f>5.1388 * CHOOSE( CONTROL!$C$15, $D$11, 100%, $F$11)</f>
        <v>5.1387999999999998</v>
      </c>
      <c r="F86" s="4">
        <f>5.8285 * CHOOSE(CONTROL!$C$15, $D$11, 100%, $F$11)</f>
        <v>5.8285</v>
      </c>
      <c r="G86" s="8">
        <f>4.9797 * CHOOSE( CONTROL!$C$15, $D$11, 100%, $F$11)</f>
        <v>4.9797000000000002</v>
      </c>
      <c r="H86" s="4">
        <f>5.9275 * CHOOSE(CONTROL!$C$15, $D$11, 100%, $F$11)</f>
        <v>5.9275000000000002</v>
      </c>
      <c r="I86" s="8">
        <f>4.9972 * CHOOSE(CONTROL!$C$15, $D$11, 100%, $F$11)</f>
        <v>4.9972000000000003</v>
      </c>
      <c r="J86" s="4">
        <f>4.8817 * CHOOSE(CONTROL!$C$15, $D$11, 100%, $F$11)</f>
        <v>4.8817000000000004</v>
      </c>
      <c r="K86" s="4"/>
      <c r="L86" s="9">
        <v>31.095300000000002</v>
      </c>
      <c r="M86" s="9">
        <v>12.063700000000001</v>
      </c>
      <c r="N86" s="9">
        <v>4.9444999999999997</v>
      </c>
      <c r="O86" s="9">
        <v>0.37409999999999999</v>
      </c>
      <c r="P86" s="9">
        <v>1.2183999999999999</v>
      </c>
      <c r="Q86" s="9">
        <v>33.225200000000001</v>
      </c>
      <c r="R86" s="9"/>
      <c r="S86" s="11"/>
    </row>
    <row r="87" spans="1:19" ht="15.75">
      <c r="A87" s="13">
        <v>44136</v>
      </c>
      <c r="B87" s="8">
        <f>5.5121 * CHOOSE(CONTROL!$C$15, $D$11, 100%, $F$11)</f>
        <v>5.5121000000000002</v>
      </c>
      <c r="C87" s="8">
        <f>5.5173 * CHOOSE(CONTROL!$C$15, $D$11, 100%, $F$11)</f>
        <v>5.5172999999999996</v>
      </c>
      <c r="D87" s="8">
        <f>5.5003 * CHOOSE( CONTROL!$C$15, $D$11, 100%, $F$11)</f>
        <v>5.5003000000000002</v>
      </c>
      <c r="E87" s="12">
        <f>5.506 * CHOOSE( CONTROL!$C$15, $D$11, 100%, $F$11)</f>
        <v>5.5060000000000002</v>
      </c>
      <c r="F87" s="4">
        <f>6.1626 * CHOOSE(CONTROL!$C$15, $D$11, 100%, $F$11)</f>
        <v>6.1626000000000003</v>
      </c>
      <c r="G87" s="8">
        <f>5.3758 * CHOOSE( CONTROL!$C$15, $D$11, 100%, $F$11)</f>
        <v>5.3757999999999999</v>
      </c>
      <c r="H87" s="4">
        <f>6.2538 * CHOOSE(CONTROL!$C$15, $D$11, 100%, $F$11)</f>
        <v>6.2538</v>
      </c>
      <c r="I87" s="8">
        <f>5.4225 * CHOOSE(CONTROL!$C$15, $D$11, 100%, $F$11)</f>
        <v>5.4225000000000003</v>
      </c>
      <c r="J87" s="4">
        <f>5.265 * CHOOSE(CONTROL!$C$15, $D$11, 100%, $F$11)</f>
        <v>5.2649999999999997</v>
      </c>
      <c r="K87" s="4"/>
      <c r="L87" s="9">
        <v>28.360600000000002</v>
      </c>
      <c r="M87" s="9">
        <v>11.6745</v>
      </c>
      <c r="N87" s="9">
        <v>4.7850000000000001</v>
      </c>
      <c r="O87" s="9">
        <v>0.36199999999999999</v>
      </c>
      <c r="P87" s="9">
        <v>1.2509999999999999</v>
      </c>
      <c r="Q87" s="9">
        <v>32.153399999999998</v>
      </c>
      <c r="R87" s="9"/>
      <c r="S87" s="11"/>
    </row>
    <row r="88" spans="1:19" ht="15.75">
      <c r="A88" s="13">
        <v>44166</v>
      </c>
      <c r="B88" s="8">
        <f>5.5021 * CHOOSE(CONTROL!$C$15, $D$11, 100%, $F$11)</f>
        <v>5.5021000000000004</v>
      </c>
      <c r="C88" s="8">
        <f>5.5073 * CHOOSE(CONTROL!$C$15, $D$11, 100%, $F$11)</f>
        <v>5.5072999999999999</v>
      </c>
      <c r="D88" s="8">
        <f>5.4918 * CHOOSE( CONTROL!$C$15, $D$11, 100%, $F$11)</f>
        <v>5.4917999999999996</v>
      </c>
      <c r="E88" s="12">
        <f>5.4969 * CHOOSE( CONTROL!$C$15, $D$11, 100%, $F$11)</f>
        <v>5.4969000000000001</v>
      </c>
      <c r="F88" s="4">
        <f>6.1526 * CHOOSE(CONTROL!$C$15, $D$11, 100%, $F$11)</f>
        <v>6.1525999999999996</v>
      </c>
      <c r="G88" s="8">
        <f>5.3671 * CHOOSE( CONTROL!$C$15, $D$11, 100%, $F$11)</f>
        <v>5.3670999999999998</v>
      </c>
      <c r="H88" s="4">
        <f>6.244 * CHOOSE(CONTROL!$C$15, $D$11, 100%, $F$11)</f>
        <v>6.2439999999999998</v>
      </c>
      <c r="I88" s="8">
        <f>5.4176 * CHOOSE(CONTROL!$C$15, $D$11, 100%, $F$11)</f>
        <v>5.4176000000000002</v>
      </c>
      <c r="J88" s="4">
        <f>5.2554 * CHOOSE(CONTROL!$C$15, $D$11, 100%, $F$11)</f>
        <v>5.2553999999999998</v>
      </c>
      <c r="K88" s="4"/>
      <c r="L88" s="9">
        <v>29.306000000000001</v>
      </c>
      <c r="M88" s="9">
        <v>12.063700000000001</v>
      </c>
      <c r="N88" s="9">
        <v>4.9444999999999997</v>
      </c>
      <c r="O88" s="9">
        <v>0.37409999999999999</v>
      </c>
      <c r="P88" s="9">
        <v>1.2927</v>
      </c>
      <c r="Q88" s="9">
        <v>33.225200000000001</v>
      </c>
      <c r="R88" s="9"/>
      <c r="S88" s="11"/>
    </row>
    <row r="89" spans="1:19" ht="15.75">
      <c r="A89" s="13">
        <v>44197</v>
      </c>
      <c r="B89" s="8">
        <f>5.9638 * CHOOSE(CONTROL!$C$15, $D$11, 100%, $F$11)</f>
        <v>5.9638</v>
      </c>
      <c r="C89" s="8">
        <f>5.969 * CHOOSE(CONTROL!$C$15, $D$11, 100%, $F$11)</f>
        <v>5.9690000000000003</v>
      </c>
      <c r="D89" s="8">
        <f>5.9491 * CHOOSE( CONTROL!$C$15, $D$11, 100%, $F$11)</f>
        <v>5.9490999999999996</v>
      </c>
      <c r="E89" s="12">
        <f>5.9558 * CHOOSE( CONTROL!$C$15, $D$11, 100%, $F$11)</f>
        <v>5.9558</v>
      </c>
      <c r="F89" s="4">
        <f>6.6143 * CHOOSE(CONTROL!$C$15, $D$11, 100%, $F$11)</f>
        <v>6.6143000000000001</v>
      </c>
      <c r="G89" s="8">
        <f>5.8087 * CHOOSE( CONTROL!$C$15, $D$11, 100%, $F$11)</f>
        <v>5.8087</v>
      </c>
      <c r="H89" s="4">
        <f>6.6949 * CHOOSE(CONTROL!$C$15, $D$11, 100%, $F$11)</f>
        <v>6.6948999999999996</v>
      </c>
      <c r="I89" s="8">
        <f>5.8202 * CHOOSE(CONTROL!$C$15, $D$11, 100%, $F$11)</f>
        <v>5.8201999999999998</v>
      </c>
      <c r="J89" s="4">
        <f>5.6987 * CHOOSE(CONTROL!$C$15, $D$11, 100%, $F$11)</f>
        <v>5.6986999999999997</v>
      </c>
      <c r="K89" s="4"/>
      <c r="L89" s="9">
        <v>29.306000000000001</v>
      </c>
      <c r="M89" s="9">
        <v>12.063700000000001</v>
      </c>
      <c r="N89" s="9">
        <v>4.9444999999999997</v>
      </c>
      <c r="O89" s="9">
        <v>0.37409999999999999</v>
      </c>
      <c r="P89" s="9">
        <v>1.2927</v>
      </c>
      <c r="Q89" s="9">
        <v>33.011299999999999</v>
      </c>
      <c r="R89" s="9"/>
      <c r="S89" s="11"/>
    </row>
    <row r="90" spans="1:19" ht="15.75">
      <c r="A90" s="13">
        <v>44228</v>
      </c>
      <c r="B90" s="8">
        <f>5.5801 * CHOOSE(CONTROL!$C$15, $D$11, 100%, $F$11)</f>
        <v>5.5800999999999998</v>
      </c>
      <c r="C90" s="8">
        <f>5.5853 * CHOOSE(CONTROL!$C$15, $D$11, 100%, $F$11)</f>
        <v>5.5853000000000002</v>
      </c>
      <c r="D90" s="8">
        <f>5.5654 * CHOOSE( CONTROL!$C$15, $D$11, 100%, $F$11)</f>
        <v>5.5654000000000003</v>
      </c>
      <c r="E90" s="12">
        <f>5.5721 * CHOOSE( CONTROL!$C$15, $D$11, 100%, $F$11)</f>
        <v>5.5720999999999998</v>
      </c>
      <c r="F90" s="4">
        <f>6.2306 * CHOOSE(CONTROL!$C$15, $D$11, 100%, $F$11)</f>
        <v>6.2305999999999999</v>
      </c>
      <c r="G90" s="8">
        <f>5.4339 * CHOOSE( CONTROL!$C$15, $D$11, 100%, $F$11)</f>
        <v>5.4339000000000004</v>
      </c>
      <c r="H90" s="4">
        <f>6.3202 * CHOOSE(CONTROL!$C$15, $D$11, 100%, $F$11)</f>
        <v>6.3201999999999998</v>
      </c>
      <c r="I90" s="8">
        <f>5.4515 * CHOOSE(CONTROL!$C$15, $D$11, 100%, $F$11)</f>
        <v>5.4515000000000002</v>
      </c>
      <c r="J90" s="4">
        <f>5.3303 * CHOOSE(CONTROL!$C$15, $D$11, 100%, $F$11)</f>
        <v>5.3303000000000003</v>
      </c>
      <c r="K90" s="4"/>
      <c r="L90" s="9">
        <v>26.469899999999999</v>
      </c>
      <c r="M90" s="9">
        <v>10.8962</v>
      </c>
      <c r="N90" s="9">
        <v>4.4660000000000002</v>
      </c>
      <c r="O90" s="9">
        <v>0.33789999999999998</v>
      </c>
      <c r="P90" s="9">
        <v>1.1676</v>
      </c>
      <c r="Q90" s="9">
        <v>29.816600000000001</v>
      </c>
      <c r="R90" s="9"/>
      <c r="S90" s="11"/>
    </row>
    <row r="91" spans="1:19" ht="15.75">
      <c r="A91" s="13">
        <v>44256</v>
      </c>
      <c r="B91" s="8">
        <f>5.4619 * CHOOSE(CONTROL!$C$15, $D$11, 100%, $F$11)</f>
        <v>5.4619</v>
      </c>
      <c r="C91" s="8">
        <f>5.4671 * CHOOSE(CONTROL!$C$15, $D$11, 100%, $F$11)</f>
        <v>5.4671000000000003</v>
      </c>
      <c r="D91" s="8">
        <f>5.4469 * CHOOSE( CONTROL!$C$15, $D$11, 100%, $F$11)</f>
        <v>5.4469000000000003</v>
      </c>
      <c r="E91" s="12">
        <f>5.4537 * CHOOSE( CONTROL!$C$15, $D$11, 100%, $F$11)</f>
        <v>5.4537000000000004</v>
      </c>
      <c r="F91" s="4">
        <f>6.1124 * CHOOSE(CONTROL!$C$15, $D$11, 100%, $F$11)</f>
        <v>6.1124000000000001</v>
      </c>
      <c r="G91" s="8">
        <f>5.3183 * CHOOSE( CONTROL!$C$15, $D$11, 100%, $F$11)</f>
        <v>5.3182999999999998</v>
      </c>
      <c r="H91" s="4">
        <f>6.2047 * CHOOSE(CONTROL!$C$15, $D$11, 100%, $F$11)</f>
        <v>6.2046999999999999</v>
      </c>
      <c r="I91" s="8">
        <f>5.3369 * CHOOSE(CONTROL!$C$15, $D$11, 100%, $F$11)</f>
        <v>5.3369</v>
      </c>
      <c r="J91" s="4">
        <f>5.2168 * CHOOSE(CONTROL!$C$15, $D$11, 100%, $F$11)</f>
        <v>5.2168000000000001</v>
      </c>
      <c r="K91" s="4"/>
      <c r="L91" s="9">
        <v>29.306000000000001</v>
      </c>
      <c r="M91" s="9">
        <v>12.063700000000001</v>
      </c>
      <c r="N91" s="9">
        <v>4.9444999999999997</v>
      </c>
      <c r="O91" s="9">
        <v>0.37409999999999999</v>
      </c>
      <c r="P91" s="9">
        <v>1.2927</v>
      </c>
      <c r="Q91" s="9">
        <v>33.011299999999999</v>
      </c>
      <c r="R91" s="9"/>
      <c r="S91" s="11"/>
    </row>
    <row r="92" spans="1:19" ht="15.75">
      <c r="A92" s="13">
        <v>44287</v>
      </c>
      <c r="B92" s="8">
        <f>5.5453 * CHOOSE(CONTROL!$C$15, $D$11, 100%, $F$11)</f>
        <v>5.5453000000000001</v>
      </c>
      <c r="C92" s="8">
        <f>5.5499 * CHOOSE(CONTROL!$C$15, $D$11, 100%, $F$11)</f>
        <v>5.5499000000000001</v>
      </c>
      <c r="D92" s="8">
        <f>5.5804 * CHOOSE( CONTROL!$C$15, $D$11, 100%, $F$11)</f>
        <v>5.5804</v>
      </c>
      <c r="E92" s="12">
        <f>5.5698 * CHOOSE( CONTROL!$C$15, $D$11, 100%, $F$11)</f>
        <v>5.5697999999999999</v>
      </c>
      <c r="F92" s="4">
        <f>6.2601 * CHOOSE(CONTROL!$C$15, $D$11, 100%, $F$11)</f>
        <v>6.2601000000000004</v>
      </c>
      <c r="G92" s="8">
        <f>5.4001 * CHOOSE( CONTROL!$C$15, $D$11, 100%, $F$11)</f>
        <v>5.4001000000000001</v>
      </c>
      <c r="H92" s="4">
        <f>6.349 * CHOOSE(CONTROL!$C$15, $D$11, 100%, $F$11)</f>
        <v>6.3490000000000002</v>
      </c>
      <c r="I92" s="8">
        <f>5.4082 * CHOOSE(CONTROL!$C$15, $D$11, 100%, $F$11)</f>
        <v>5.4081999999999999</v>
      </c>
      <c r="J92" s="4">
        <f>5.2961 * CHOOSE(CONTROL!$C$15, $D$11, 100%, $F$11)</f>
        <v>5.2961</v>
      </c>
      <c r="K92" s="4"/>
      <c r="L92" s="9">
        <v>30.092199999999998</v>
      </c>
      <c r="M92" s="9">
        <v>11.6745</v>
      </c>
      <c r="N92" s="9">
        <v>4.7850000000000001</v>
      </c>
      <c r="O92" s="9">
        <v>0.36199999999999999</v>
      </c>
      <c r="P92" s="9">
        <v>1.1791</v>
      </c>
      <c r="Q92" s="9">
        <v>31.946400000000001</v>
      </c>
      <c r="R92" s="9"/>
      <c r="S92" s="11"/>
    </row>
    <row r="93" spans="1:19" ht="15.75">
      <c r="A93" s="13">
        <v>44317</v>
      </c>
      <c r="B93" s="8">
        <f>CHOOSE( CONTROL!$C$32, 5.6959, 5.6936) * CHOOSE(CONTROL!$C$15, $D$11, 100%, $F$11)</f>
        <v>5.6959</v>
      </c>
      <c r="C93" s="8">
        <f>CHOOSE( CONTROL!$C$32, 5.704, 5.7017) * CHOOSE(CONTROL!$C$15, $D$11, 100%, $F$11)</f>
        <v>5.7039999999999997</v>
      </c>
      <c r="D93" s="8">
        <f>CHOOSE( CONTROL!$C$32, 5.7292, 5.7269) * CHOOSE( CONTROL!$C$15, $D$11, 100%, $F$11)</f>
        <v>5.7291999999999996</v>
      </c>
      <c r="E93" s="12">
        <f>CHOOSE( CONTROL!$C$32, 5.7188, 5.7165) * CHOOSE( CONTROL!$C$15, $D$11, 100%, $F$11)</f>
        <v>5.7187999999999999</v>
      </c>
      <c r="F93" s="4">
        <f>CHOOSE( CONTROL!$C$32, 6.4094, 6.407) * CHOOSE(CONTROL!$C$15, $D$11, 100%, $F$11)</f>
        <v>6.4093999999999998</v>
      </c>
      <c r="G93" s="8">
        <f>CHOOSE( CONTROL!$C$32, 5.5465, 5.5442) * CHOOSE( CONTROL!$C$15, $D$11, 100%, $F$11)</f>
        <v>5.5465</v>
      </c>
      <c r="H93" s="4">
        <f>CHOOSE( CONTROL!$C$32, 6.4948, 6.4925) * CHOOSE(CONTROL!$C$15, $D$11, 100%, $F$11)</f>
        <v>6.4947999999999997</v>
      </c>
      <c r="I93" s="8">
        <f>CHOOSE( CONTROL!$C$32, 5.5519, 5.5497) * CHOOSE(CONTROL!$C$15, $D$11, 100%, $F$11)</f>
        <v>5.5518999999999998</v>
      </c>
      <c r="J93" s="4">
        <f>CHOOSE( CONTROL!$C$32, 5.4395, 5.4372) * CHOOSE(CONTROL!$C$15, $D$11, 100%, $F$11)</f>
        <v>5.4394999999999998</v>
      </c>
      <c r="K93" s="4"/>
      <c r="L93" s="9">
        <v>30.7165</v>
      </c>
      <c r="M93" s="9">
        <v>12.063700000000001</v>
      </c>
      <c r="N93" s="9">
        <v>4.9444999999999997</v>
      </c>
      <c r="O93" s="9">
        <v>0.37409999999999999</v>
      </c>
      <c r="P93" s="9">
        <v>1.2183999999999999</v>
      </c>
      <c r="Q93" s="9">
        <v>33.011299999999999</v>
      </c>
      <c r="R93" s="9"/>
      <c r="S93" s="11"/>
    </row>
    <row r="94" spans="1:19" ht="15.75">
      <c r="A94" s="13">
        <v>44348</v>
      </c>
      <c r="B94" s="8">
        <f>CHOOSE( CONTROL!$C$32, 5.6049, 5.6025) * CHOOSE(CONTROL!$C$15, $D$11, 100%, $F$11)</f>
        <v>5.6048999999999998</v>
      </c>
      <c r="C94" s="8">
        <f>CHOOSE( CONTROL!$C$32, 5.613, 5.6106) * CHOOSE(CONTROL!$C$15, $D$11, 100%, $F$11)</f>
        <v>5.6130000000000004</v>
      </c>
      <c r="D94" s="8">
        <f>CHOOSE( CONTROL!$C$32, 5.6384, 5.636) * CHOOSE( CONTROL!$C$15, $D$11, 100%, $F$11)</f>
        <v>5.6383999999999999</v>
      </c>
      <c r="E94" s="12">
        <f>CHOOSE( CONTROL!$C$32, 5.628, 5.6256) * CHOOSE( CONTROL!$C$15, $D$11, 100%, $F$11)</f>
        <v>5.6280000000000001</v>
      </c>
      <c r="F94" s="4">
        <f>CHOOSE( CONTROL!$C$32, 6.3183, 6.316) * CHOOSE(CONTROL!$C$15, $D$11, 100%, $F$11)</f>
        <v>6.3182999999999998</v>
      </c>
      <c r="G94" s="8">
        <f>CHOOSE( CONTROL!$C$32, 5.4579, 5.4556) * CHOOSE( CONTROL!$C$15, $D$11, 100%, $F$11)</f>
        <v>5.4579000000000004</v>
      </c>
      <c r="H94" s="4">
        <f>CHOOSE( CONTROL!$C$32, 6.4059, 6.4036) * CHOOSE(CONTROL!$C$15, $D$11, 100%, $F$11)</f>
        <v>6.4058999999999999</v>
      </c>
      <c r="I94" s="8">
        <f>CHOOSE( CONTROL!$C$32, 5.4654, 5.4632) * CHOOSE(CONTROL!$C$15, $D$11, 100%, $F$11)</f>
        <v>5.4653999999999998</v>
      </c>
      <c r="J94" s="4">
        <f>CHOOSE( CONTROL!$C$32, 5.352, 5.3498) * CHOOSE(CONTROL!$C$15, $D$11, 100%, $F$11)</f>
        <v>5.3520000000000003</v>
      </c>
      <c r="K94" s="4"/>
      <c r="L94" s="9">
        <v>29.7257</v>
      </c>
      <c r="M94" s="9">
        <v>11.6745</v>
      </c>
      <c r="N94" s="9">
        <v>4.7850000000000001</v>
      </c>
      <c r="O94" s="9">
        <v>0.36199999999999999</v>
      </c>
      <c r="P94" s="9">
        <v>1.1791</v>
      </c>
      <c r="Q94" s="9">
        <v>31.946400000000001</v>
      </c>
      <c r="R94" s="9"/>
      <c r="S94" s="11"/>
    </row>
    <row r="95" spans="1:19" ht="15.75">
      <c r="A95" s="13">
        <v>44378</v>
      </c>
      <c r="B95" s="8">
        <f>CHOOSE( CONTROL!$C$32, 5.8447, 5.8423) * CHOOSE(CONTROL!$C$15, $D$11, 100%, $F$11)</f>
        <v>5.8446999999999996</v>
      </c>
      <c r="C95" s="8">
        <f>CHOOSE( CONTROL!$C$32, 5.8528, 5.8504) * CHOOSE(CONTROL!$C$15, $D$11, 100%, $F$11)</f>
        <v>5.8528000000000002</v>
      </c>
      <c r="D95" s="8">
        <f>CHOOSE( CONTROL!$C$32, 5.8784, 5.8761) * CHOOSE( CONTROL!$C$15, $D$11, 100%, $F$11)</f>
        <v>5.8784000000000001</v>
      </c>
      <c r="E95" s="12">
        <f>CHOOSE( CONTROL!$C$32, 5.8679, 5.8656) * CHOOSE( CONTROL!$C$15, $D$11, 100%, $F$11)</f>
        <v>5.8678999999999997</v>
      </c>
      <c r="F95" s="4">
        <f>CHOOSE( CONTROL!$C$32, 6.5581, 6.5558) * CHOOSE(CONTROL!$C$15, $D$11, 100%, $F$11)</f>
        <v>6.5580999999999996</v>
      </c>
      <c r="G95" s="8">
        <f>CHOOSE( CONTROL!$C$32, 5.6924, 5.6901) * CHOOSE( CONTROL!$C$15, $D$11, 100%, $F$11)</f>
        <v>5.6924000000000001</v>
      </c>
      <c r="H95" s="4">
        <f>CHOOSE( CONTROL!$C$32, 6.6401, 6.6378) * CHOOSE(CONTROL!$C$15, $D$11, 100%, $F$11)</f>
        <v>6.6401000000000003</v>
      </c>
      <c r="I95" s="8">
        <f>CHOOSE( CONTROL!$C$32, 5.697, 5.6947) * CHOOSE(CONTROL!$C$15, $D$11, 100%, $F$11)</f>
        <v>5.6970000000000001</v>
      </c>
      <c r="J95" s="4">
        <f>CHOOSE( CONTROL!$C$32, 5.5822, 5.58) * CHOOSE(CONTROL!$C$15, $D$11, 100%, $F$11)</f>
        <v>5.5822000000000003</v>
      </c>
      <c r="K95" s="4"/>
      <c r="L95" s="9">
        <v>30.7165</v>
      </c>
      <c r="M95" s="9">
        <v>12.063700000000001</v>
      </c>
      <c r="N95" s="9">
        <v>4.9444999999999997</v>
      </c>
      <c r="O95" s="9">
        <v>0.37409999999999999</v>
      </c>
      <c r="P95" s="9">
        <v>1.2183999999999999</v>
      </c>
      <c r="Q95" s="9">
        <v>33.011299999999999</v>
      </c>
      <c r="R95" s="9"/>
      <c r="S95" s="11"/>
    </row>
    <row r="96" spans="1:19" ht="15.75">
      <c r="A96" s="13">
        <v>44409</v>
      </c>
      <c r="B96" s="8">
        <f>CHOOSE( CONTROL!$C$32, 5.396, 5.3937) * CHOOSE(CONTROL!$C$15, $D$11, 100%, $F$11)</f>
        <v>5.3959999999999999</v>
      </c>
      <c r="C96" s="8">
        <f>CHOOSE( CONTROL!$C$32, 5.4041, 5.4018) * CHOOSE(CONTROL!$C$15, $D$11, 100%, $F$11)</f>
        <v>5.4040999999999997</v>
      </c>
      <c r="D96" s="8">
        <f>CHOOSE( CONTROL!$C$32, 5.4299, 5.4275) * CHOOSE( CONTROL!$C$15, $D$11, 100%, $F$11)</f>
        <v>5.4298999999999999</v>
      </c>
      <c r="E96" s="12">
        <f>CHOOSE( CONTROL!$C$32, 5.4193, 5.417) * CHOOSE( CONTROL!$C$15, $D$11, 100%, $F$11)</f>
        <v>5.4192999999999998</v>
      </c>
      <c r="F96" s="4">
        <f>CHOOSE( CONTROL!$C$32, 6.1095, 6.1071) * CHOOSE(CONTROL!$C$15, $D$11, 100%, $F$11)</f>
        <v>6.1094999999999997</v>
      </c>
      <c r="G96" s="8">
        <f>CHOOSE( CONTROL!$C$32, 5.2544, 5.2521) * CHOOSE( CONTROL!$C$15, $D$11, 100%, $F$11)</f>
        <v>5.2544000000000004</v>
      </c>
      <c r="H96" s="4">
        <f>CHOOSE( CONTROL!$C$32, 6.2019, 6.1996) * CHOOSE(CONTROL!$C$15, $D$11, 100%, $F$11)</f>
        <v>6.2019000000000002</v>
      </c>
      <c r="I96" s="8">
        <f>CHOOSE( CONTROL!$C$32, 5.2664, 5.2641) * CHOOSE(CONTROL!$C$15, $D$11, 100%, $F$11)</f>
        <v>5.2664</v>
      </c>
      <c r="J96" s="4">
        <f>CHOOSE( CONTROL!$C$32, 5.1515, 5.1493) * CHOOSE(CONTROL!$C$15, $D$11, 100%, $F$11)</f>
        <v>5.1515000000000004</v>
      </c>
      <c r="K96" s="4"/>
      <c r="L96" s="9">
        <v>30.7165</v>
      </c>
      <c r="M96" s="9">
        <v>12.063700000000001</v>
      </c>
      <c r="N96" s="9">
        <v>4.9444999999999997</v>
      </c>
      <c r="O96" s="9">
        <v>0.37409999999999999</v>
      </c>
      <c r="P96" s="9">
        <v>1.2183999999999999</v>
      </c>
      <c r="Q96" s="9">
        <v>33.011299999999999</v>
      </c>
      <c r="R96" s="9"/>
      <c r="S96" s="11"/>
    </row>
    <row r="97" spans="1:19" ht="15.75">
      <c r="A97" s="13">
        <v>44440</v>
      </c>
      <c r="B97" s="8">
        <f>CHOOSE( CONTROL!$C$32, 5.2837, 5.2813) * CHOOSE(CONTROL!$C$15, $D$11, 100%, $F$11)</f>
        <v>5.2836999999999996</v>
      </c>
      <c r="C97" s="8">
        <f>CHOOSE( CONTROL!$C$32, 5.2918, 5.2894) * CHOOSE(CONTROL!$C$15, $D$11, 100%, $F$11)</f>
        <v>5.2918000000000003</v>
      </c>
      <c r="D97" s="8">
        <f>CHOOSE( CONTROL!$C$32, 5.3175, 5.3151) * CHOOSE( CONTROL!$C$15, $D$11, 100%, $F$11)</f>
        <v>5.3174999999999999</v>
      </c>
      <c r="E97" s="12">
        <f>CHOOSE( CONTROL!$C$32, 5.307, 5.3046) * CHOOSE( CONTROL!$C$15, $D$11, 100%, $F$11)</f>
        <v>5.3070000000000004</v>
      </c>
      <c r="F97" s="4">
        <f>CHOOSE( CONTROL!$C$32, 5.9971, 5.9948) * CHOOSE(CONTROL!$C$15, $D$11, 100%, $F$11)</f>
        <v>5.9970999999999997</v>
      </c>
      <c r="G97" s="8">
        <f>CHOOSE( CONTROL!$C$32, 5.1446, 5.1423) * CHOOSE( CONTROL!$C$15, $D$11, 100%, $F$11)</f>
        <v>5.1445999999999996</v>
      </c>
      <c r="H97" s="4">
        <f>CHOOSE( CONTROL!$C$32, 6.0922, 6.0899) * CHOOSE(CONTROL!$C$15, $D$11, 100%, $F$11)</f>
        <v>6.0922000000000001</v>
      </c>
      <c r="I97" s="8">
        <f>CHOOSE( CONTROL!$C$32, 5.1584, 5.1561) * CHOOSE(CONTROL!$C$15, $D$11, 100%, $F$11)</f>
        <v>5.1584000000000003</v>
      </c>
      <c r="J97" s="4">
        <f>CHOOSE( CONTROL!$C$32, 5.0436, 5.0414) * CHOOSE(CONTROL!$C$15, $D$11, 100%, $F$11)</f>
        <v>5.0435999999999996</v>
      </c>
      <c r="K97" s="4"/>
      <c r="L97" s="9">
        <v>29.7257</v>
      </c>
      <c r="M97" s="9">
        <v>11.6745</v>
      </c>
      <c r="N97" s="9">
        <v>4.7850000000000001</v>
      </c>
      <c r="O97" s="9">
        <v>0.36199999999999999</v>
      </c>
      <c r="P97" s="9">
        <v>1.1791</v>
      </c>
      <c r="Q97" s="9">
        <v>31.946400000000001</v>
      </c>
      <c r="R97" s="9"/>
      <c r="S97" s="11"/>
    </row>
    <row r="98" spans="1:19" ht="15.75">
      <c r="A98" s="13">
        <v>44470</v>
      </c>
      <c r="B98" s="8">
        <f>5.5129 * CHOOSE(CONTROL!$C$15, $D$11, 100%, $F$11)</f>
        <v>5.5129000000000001</v>
      </c>
      <c r="C98" s="8">
        <f>5.5183 * CHOOSE(CONTROL!$C$15, $D$11, 100%, $F$11)</f>
        <v>5.5183</v>
      </c>
      <c r="D98" s="8">
        <f>5.5491 * CHOOSE( CONTROL!$C$15, $D$11, 100%, $F$11)</f>
        <v>5.5491000000000001</v>
      </c>
      <c r="E98" s="12">
        <f>5.5384 * CHOOSE( CONTROL!$C$15, $D$11, 100%, $F$11)</f>
        <v>5.5384000000000002</v>
      </c>
      <c r="F98" s="4">
        <f>6.228 * CHOOSE(CONTROL!$C$15, $D$11, 100%, $F$11)</f>
        <v>6.2279999999999998</v>
      </c>
      <c r="G98" s="8">
        <f>5.3699 * CHOOSE( CONTROL!$C$15, $D$11, 100%, $F$11)</f>
        <v>5.3699000000000003</v>
      </c>
      <c r="H98" s="4">
        <f>6.3177 * CHOOSE(CONTROL!$C$15, $D$11, 100%, $F$11)</f>
        <v>6.3177000000000003</v>
      </c>
      <c r="I98" s="8">
        <f>5.381 * CHOOSE(CONTROL!$C$15, $D$11, 100%, $F$11)</f>
        <v>5.3810000000000002</v>
      </c>
      <c r="J98" s="4">
        <f>5.2653 * CHOOSE(CONTROL!$C$15, $D$11, 100%, $F$11)</f>
        <v>5.2652999999999999</v>
      </c>
      <c r="K98" s="4"/>
      <c r="L98" s="9">
        <v>31.095300000000002</v>
      </c>
      <c r="M98" s="9">
        <v>12.063700000000001</v>
      </c>
      <c r="N98" s="9">
        <v>4.9444999999999997</v>
      </c>
      <c r="O98" s="9">
        <v>0.37409999999999999</v>
      </c>
      <c r="P98" s="9">
        <v>1.2183999999999999</v>
      </c>
      <c r="Q98" s="9">
        <v>33.011299999999999</v>
      </c>
      <c r="R98" s="9"/>
      <c r="S98" s="11"/>
    </row>
    <row r="99" spans="1:19" ht="15.75">
      <c r="A99" s="13">
        <v>44501</v>
      </c>
      <c r="B99" s="8">
        <f>5.943 * CHOOSE(CONTROL!$C$15, $D$11, 100%, $F$11)</f>
        <v>5.9429999999999996</v>
      </c>
      <c r="C99" s="8">
        <f>5.9482 * CHOOSE(CONTROL!$C$15, $D$11, 100%, $F$11)</f>
        <v>5.9481999999999999</v>
      </c>
      <c r="D99" s="8">
        <f>5.9312 * CHOOSE( CONTROL!$C$15, $D$11, 100%, $F$11)</f>
        <v>5.9311999999999996</v>
      </c>
      <c r="E99" s="12">
        <f>5.9369 * CHOOSE( CONTROL!$C$15, $D$11, 100%, $F$11)</f>
        <v>5.9368999999999996</v>
      </c>
      <c r="F99" s="4">
        <f>6.5935 * CHOOSE(CONTROL!$C$15, $D$11, 100%, $F$11)</f>
        <v>6.5934999999999997</v>
      </c>
      <c r="G99" s="8">
        <f>5.7967 * CHOOSE( CONTROL!$C$15, $D$11, 100%, $F$11)</f>
        <v>5.7967000000000004</v>
      </c>
      <c r="H99" s="4">
        <f>6.6747 * CHOOSE(CONTROL!$C$15, $D$11, 100%, $F$11)</f>
        <v>6.6746999999999996</v>
      </c>
      <c r="I99" s="8">
        <f>5.8364 * CHOOSE(CONTROL!$C$15, $D$11, 100%, $F$11)</f>
        <v>5.8364000000000003</v>
      </c>
      <c r="J99" s="4">
        <f>5.6787 * CHOOSE(CONTROL!$C$15, $D$11, 100%, $F$11)</f>
        <v>5.6787000000000001</v>
      </c>
      <c r="K99" s="4"/>
      <c r="L99" s="9">
        <v>28.360600000000002</v>
      </c>
      <c r="M99" s="9">
        <v>11.6745</v>
      </c>
      <c r="N99" s="9">
        <v>4.7850000000000001</v>
      </c>
      <c r="O99" s="9">
        <v>0.36199999999999999</v>
      </c>
      <c r="P99" s="9">
        <v>1.2509999999999999</v>
      </c>
      <c r="Q99" s="9">
        <v>31.946400000000001</v>
      </c>
      <c r="R99" s="9"/>
      <c r="S99" s="11"/>
    </row>
    <row r="100" spans="1:19" ht="15.75">
      <c r="A100" s="13">
        <v>44531</v>
      </c>
      <c r="B100" s="8">
        <f>5.9323 * CHOOSE(CONTROL!$C$15, $D$11, 100%, $F$11)</f>
        <v>5.9322999999999997</v>
      </c>
      <c r="C100" s="8">
        <f>5.9375 * CHOOSE(CONTROL!$C$15, $D$11, 100%, $F$11)</f>
        <v>5.9375</v>
      </c>
      <c r="D100" s="8">
        <f>5.922 * CHOOSE( CONTROL!$C$15, $D$11, 100%, $F$11)</f>
        <v>5.9219999999999997</v>
      </c>
      <c r="E100" s="12">
        <f>5.9271 * CHOOSE( CONTROL!$C$15, $D$11, 100%, $F$11)</f>
        <v>5.9271000000000003</v>
      </c>
      <c r="F100" s="4">
        <f>6.5827 * CHOOSE(CONTROL!$C$15, $D$11, 100%, $F$11)</f>
        <v>6.5827</v>
      </c>
      <c r="G100" s="8">
        <f>5.7872 * CHOOSE( CONTROL!$C$15, $D$11, 100%, $F$11)</f>
        <v>5.7872000000000003</v>
      </c>
      <c r="H100" s="4">
        <f>6.6641 * CHOOSE(CONTROL!$C$15, $D$11, 100%, $F$11)</f>
        <v>6.6641000000000004</v>
      </c>
      <c r="I100" s="8">
        <f>5.8308 * CHOOSE(CONTROL!$C$15, $D$11, 100%, $F$11)</f>
        <v>5.8308</v>
      </c>
      <c r="J100" s="4">
        <f>5.6684 * CHOOSE(CONTROL!$C$15, $D$11, 100%, $F$11)</f>
        <v>5.6684000000000001</v>
      </c>
      <c r="K100" s="4"/>
      <c r="L100" s="9">
        <v>29.306000000000001</v>
      </c>
      <c r="M100" s="9">
        <v>12.063700000000001</v>
      </c>
      <c r="N100" s="9">
        <v>4.9444999999999997</v>
      </c>
      <c r="O100" s="9">
        <v>0.37409999999999999</v>
      </c>
      <c r="P100" s="9">
        <v>1.2927</v>
      </c>
      <c r="Q100" s="9">
        <v>33.011299999999999</v>
      </c>
      <c r="R100" s="9"/>
      <c r="S100" s="11"/>
    </row>
    <row r="101" spans="1:19" ht="15.75">
      <c r="A101" s="13">
        <v>44562</v>
      </c>
      <c r="B101" s="8">
        <f>6.2863 * CHOOSE(CONTROL!$C$15, $D$11, 100%, $F$11)</f>
        <v>6.2862999999999998</v>
      </c>
      <c r="C101" s="8">
        <f>6.2915 * CHOOSE(CONTROL!$C$15, $D$11, 100%, $F$11)</f>
        <v>6.2915000000000001</v>
      </c>
      <c r="D101" s="8">
        <f>6.2716 * CHOOSE( CONTROL!$C$15, $D$11, 100%, $F$11)</f>
        <v>6.2716000000000003</v>
      </c>
      <c r="E101" s="12">
        <f>6.2783 * CHOOSE( CONTROL!$C$15, $D$11, 100%, $F$11)</f>
        <v>6.2782999999999998</v>
      </c>
      <c r="F101" s="4">
        <f>6.9368 * CHOOSE(CONTROL!$C$15, $D$11, 100%, $F$11)</f>
        <v>6.9367999999999999</v>
      </c>
      <c r="G101" s="8">
        <f>6.1237 * CHOOSE( CONTROL!$C$15, $D$11, 100%, $F$11)</f>
        <v>6.1237000000000004</v>
      </c>
      <c r="H101" s="4">
        <f>7.0099 * CHOOSE(CONTROL!$C$15, $D$11, 100%, $F$11)</f>
        <v>7.0099</v>
      </c>
      <c r="I101" s="8">
        <f>6.13 * CHOOSE(CONTROL!$C$15, $D$11, 100%, $F$11)</f>
        <v>6.13</v>
      </c>
      <c r="J101" s="4">
        <f>6.0083 * CHOOSE(CONTROL!$C$15, $D$11, 100%, $F$11)</f>
        <v>6.0083000000000002</v>
      </c>
      <c r="K101" s="4"/>
      <c r="L101" s="9">
        <v>29.306000000000001</v>
      </c>
      <c r="M101" s="9">
        <v>12.063700000000001</v>
      </c>
      <c r="N101" s="9">
        <v>4.9444999999999997</v>
      </c>
      <c r="O101" s="9">
        <v>0.37409999999999999</v>
      </c>
      <c r="P101" s="9">
        <v>1.2927</v>
      </c>
      <c r="Q101" s="9">
        <v>32.8123</v>
      </c>
      <c r="R101" s="9"/>
      <c r="S101" s="11"/>
    </row>
    <row r="102" spans="1:19" ht="15.75">
      <c r="A102" s="13">
        <v>44593</v>
      </c>
      <c r="B102" s="8">
        <f>5.8817 * CHOOSE(CONTROL!$C$15, $D$11, 100%, $F$11)</f>
        <v>5.8817000000000004</v>
      </c>
      <c r="C102" s="8">
        <f>5.8869 * CHOOSE(CONTROL!$C$15, $D$11, 100%, $F$11)</f>
        <v>5.8868999999999998</v>
      </c>
      <c r="D102" s="8">
        <f>5.867 * CHOOSE( CONTROL!$C$15, $D$11, 100%, $F$11)</f>
        <v>5.867</v>
      </c>
      <c r="E102" s="12">
        <f>5.8737 * CHOOSE( CONTROL!$C$15, $D$11, 100%, $F$11)</f>
        <v>5.8737000000000004</v>
      </c>
      <c r="F102" s="4">
        <f>6.5322 * CHOOSE(CONTROL!$C$15, $D$11, 100%, $F$11)</f>
        <v>6.5321999999999996</v>
      </c>
      <c r="G102" s="8">
        <f>5.7286 * CHOOSE( CONTROL!$C$15, $D$11, 100%, $F$11)</f>
        <v>5.7286000000000001</v>
      </c>
      <c r="H102" s="4">
        <f>6.6148 * CHOOSE(CONTROL!$C$15, $D$11, 100%, $F$11)</f>
        <v>6.6147999999999998</v>
      </c>
      <c r="I102" s="8">
        <f>5.7412 * CHOOSE(CONTROL!$C$15, $D$11, 100%, $F$11)</f>
        <v>5.7412000000000001</v>
      </c>
      <c r="J102" s="4">
        <f>5.6199 * CHOOSE(CONTROL!$C$15, $D$11, 100%, $F$11)</f>
        <v>5.6199000000000003</v>
      </c>
      <c r="K102" s="4"/>
      <c r="L102" s="9">
        <v>26.469899999999999</v>
      </c>
      <c r="M102" s="9">
        <v>10.8962</v>
      </c>
      <c r="N102" s="9">
        <v>4.4660000000000002</v>
      </c>
      <c r="O102" s="9">
        <v>0.33789999999999998</v>
      </c>
      <c r="P102" s="9">
        <v>1.1676</v>
      </c>
      <c r="Q102" s="9">
        <v>29.636900000000001</v>
      </c>
      <c r="R102" s="9"/>
      <c r="S102" s="11"/>
    </row>
    <row r="103" spans="1:19" ht="15.75">
      <c r="A103" s="13">
        <v>44621</v>
      </c>
      <c r="B103" s="8">
        <f>5.7571 * CHOOSE(CONTROL!$C$15, $D$11, 100%, $F$11)</f>
        <v>5.7571000000000003</v>
      </c>
      <c r="C103" s="8">
        <f>5.7623 * CHOOSE(CONTROL!$C$15, $D$11, 100%, $F$11)</f>
        <v>5.7622999999999998</v>
      </c>
      <c r="D103" s="8">
        <f>5.7421 * CHOOSE( CONTROL!$C$15, $D$11, 100%, $F$11)</f>
        <v>5.7420999999999998</v>
      </c>
      <c r="E103" s="12">
        <f>5.7489 * CHOOSE( CONTROL!$C$15, $D$11, 100%, $F$11)</f>
        <v>5.7488999999999999</v>
      </c>
      <c r="F103" s="4">
        <f>6.4076 * CHOOSE(CONTROL!$C$15, $D$11, 100%, $F$11)</f>
        <v>6.4076000000000004</v>
      </c>
      <c r="G103" s="8">
        <f>5.6066 * CHOOSE( CONTROL!$C$15, $D$11, 100%, $F$11)</f>
        <v>5.6066000000000003</v>
      </c>
      <c r="H103" s="4">
        <f>6.4931 * CHOOSE(CONTROL!$C$15, $D$11, 100%, $F$11)</f>
        <v>6.4931000000000001</v>
      </c>
      <c r="I103" s="8">
        <f>5.6205 * CHOOSE(CONTROL!$C$15, $D$11, 100%, $F$11)</f>
        <v>5.6204999999999998</v>
      </c>
      <c r="J103" s="4">
        <f>5.5002 * CHOOSE(CONTROL!$C$15, $D$11, 100%, $F$11)</f>
        <v>5.5002000000000004</v>
      </c>
      <c r="K103" s="4"/>
      <c r="L103" s="9">
        <v>29.306000000000001</v>
      </c>
      <c r="M103" s="9">
        <v>12.063700000000001</v>
      </c>
      <c r="N103" s="9">
        <v>4.9444999999999997</v>
      </c>
      <c r="O103" s="9">
        <v>0.37409999999999999</v>
      </c>
      <c r="P103" s="9">
        <v>1.2927</v>
      </c>
      <c r="Q103" s="9">
        <v>32.8123</v>
      </c>
      <c r="R103" s="9"/>
      <c r="S103" s="11"/>
    </row>
    <row r="104" spans="1:19" ht="15.75">
      <c r="A104" s="13">
        <v>44652</v>
      </c>
      <c r="B104" s="8">
        <f>5.845 * CHOOSE(CONTROL!$C$15, $D$11, 100%, $F$11)</f>
        <v>5.8449999999999998</v>
      </c>
      <c r="C104" s="8">
        <f>5.8496 * CHOOSE(CONTROL!$C$15, $D$11, 100%, $F$11)</f>
        <v>5.8495999999999997</v>
      </c>
      <c r="D104" s="8">
        <f>5.8801 * CHOOSE( CONTROL!$C$15, $D$11, 100%, $F$11)</f>
        <v>5.8800999999999997</v>
      </c>
      <c r="E104" s="12">
        <f>5.8695 * CHOOSE( CONTROL!$C$15, $D$11, 100%, $F$11)</f>
        <v>5.8695000000000004</v>
      </c>
      <c r="F104" s="4">
        <f>6.5598 * CHOOSE(CONTROL!$C$15, $D$11, 100%, $F$11)</f>
        <v>6.5598000000000001</v>
      </c>
      <c r="G104" s="8">
        <f>5.6928 * CHOOSE( CONTROL!$C$15, $D$11, 100%, $F$11)</f>
        <v>5.6928000000000001</v>
      </c>
      <c r="H104" s="4">
        <f>6.6417 * CHOOSE(CONTROL!$C$15, $D$11, 100%, $F$11)</f>
        <v>6.6417000000000002</v>
      </c>
      <c r="I104" s="8">
        <f>5.6961 * CHOOSE(CONTROL!$C$15, $D$11, 100%, $F$11)</f>
        <v>5.6961000000000004</v>
      </c>
      <c r="J104" s="4">
        <f>5.5838 * CHOOSE(CONTROL!$C$15, $D$11, 100%, $F$11)</f>
        <v>5.5838000000000001</v>
      </c>
      <c r="K104" s="4"/>
      <c r="L104" s="9">
        <v>30.092199999999998</v>
      </c>
      <c r="M104" s="9">
        <v>11.6745</v>
      </c>
      <c r="N104" s="9">
        <v>4.7850000000000001</v>
      </c>
      <c r="O104" s="9">
        <v>0.36199999999999999</v>
      </c>
      <c r="P104" s="9">
        <v>1.1791</v>
      </c>
      <c r="Q104" s="9">
        <v>31.753799999999998</v>
      </c>
      <c r="R104" s="9"/>
      <c r="S104" s="11"/>
    </row>
    <row r="105" spans="1:19" ht="15.75">
      <c r="A105" s="13">
        <v>44682</v>
      </c>
      <c r="B105" s="8">
        <f>CHOOSE( CONTROL!$C$32, 6.0036, 6.0013) * CHOOSE(CONTROL!$C$15, $D$11, 100%, $F$11)</f>
        <v>6.0035999999999996</v>
      </c>
      <c r="C105" s="8">
        <f>CHOOSE( CONTROL!$C$32, 6.0117, 6.0094) * CHOOSE(CONTROL!$C$15, $D$11, 100%, $F$11)</f>
        <v>6.0117000000000003</v>
      </c>
      <c r="D105" s="8">
        <f>CHOOSE( CONTROL!$C$32, 6.0369, 6.0346) * CHOOSE( CONTROL!$C$15, $D$11, 100%, $F$11)</f>
        <v>6.0369000000000002</v>
      </c>
      <c r="E105" s="12">
        <f>CHOOSE( CONTROL!$C$32, 6.0265, 6.0242) * CHOOSE( CONTROL!$C$15, $D$11, 100%, $F$11)</f>
        <v>6.0265000000000004</v>
      </c>
      <c r="F105" s="4">
        <f>CHOOSE( CONTROL!$C$32, 6.7171, 6.7147) * CHOOSE(CONTROL!$C$15, $D$11, 100%, $F$11)</f>
        <v>6.7171000000000003</v>
      </c>
      <c r="G105" s="8">
        <f>CHOOSE( CONTROL!$C$32, 5.847, 5.8447) * CHOOSE( CONTROL!$C$15, $D$11, 100%, $F$11)</f>
        <v>5.8470000000000004</v>
      </c>
      <c r="H105" s="4">
        <f>CHOOSE( CONTROL!$C$32, 6.7954, 6.7931) * CHOOSE(CONTROL!$C$15, $D$11, 100%, $F$11)</f>
        <v>6.7953999999999999</v>
      </c>
      <c r="I105" s="8">
        <f>CHOOSE( CONTROL!$C$32, 5.8475, 5.8452) * CHOOSE(CONTROL!$C$15, $D$11, 100%, $F$11)</f>
        <v>5.8475000000000001</v>
      </c>
      <c r="J105" s="4">
        <f>CHOOSE( CONTROL!$C$32, 5.7349, 5.7326) * CHOOSE(CONTROL!$C$15, $D$11, 100%, $F$11)</f>
        <v>5.7348999999999997</v>
      </c>
      <c r="K105" s="4"/>
      <c r="L105" s="9">
        <v>30.7165</v>
      </c>
      <c r="M105" s="9">
        <v>12.063700000000001</v>
      </c>
      <c r="N105" s="9">
        <v>4.9444999999999997</v>
      </c>
      <c r="O105" s="9">
        <v>0.37409999999999999</v>
      </c>
      <c r="P105" s="9">
        <v>1.2183999999999999</v>
      </c>
      <c r="Q105" s="9">
        <v>32.8123</v>
      </c>
      <c r="R105" s="9"/>
      <c r="S105" s="11"/>
    </row>
    <row r="106" spans="1:19" ht="15.75">
      <c r="A106" s="13">
        <v>44713</v>
      </c>
      <c r="B106" s="8">
        <f>CHOOSE( CONTROL!$C$32, 5.9076, 5.9053) * CHOOSE(CONTROL!$C$15, $D$11, 100%, $F$11)</f>
        <v>5.9076000000000004</v>
      </c>
      <c r="C106" s="8">
        <f>CHOOSE( CONTROL!$C$32, 5.9157, 5.9134) * CHOOSE(CONTROL!$C$15, $D$11, 100%, $F$11)</f>
        <v>5.9157000000000002</v>
      </c>
      <c r="D106" s="8">
        <f>CHOOSE( CONTROL!$C$32, 5.9411, 5.9388) * CHOOSE( CONTROL!$C$15, $D$11, 100%, $F$11)</f>
        <v>5.9410999999999996</v>
      </c>
      <c r="E106" s="12">
        <f>CHOOSE( CONTROL!$C$32, 5.9307, 5.9284) * CHOOSE( CONTROL!$C$15, $D$11, 100%, $F$11)</f>
        <v>5.9306999999999999</v>
      </c>
      <c r="F106" s="4">
        <f>CHOOSE( CONTROL!$C$32, 6.6211, 6.6187) * CHOOSE(CONTROL!$C$15, $D$11, 100%, $F$11)</f>
        <v>6.6211000000000002</v>
      </c>
      <c r="G106" s="8">
        <f>CHOOSE( CONTROL!$C$32, 5.7536, 5.7513) * CHOOSE( CONTROL!$C$15, $D$11, 100%, $F$11)</f>
        <v>5.7535999999999996</v>
      </c>
      <c r="H106" s="4">
        <f>CHOOSE( CONTROL!$C$32, 6.7016, 6.6993) * CHOOSE(CONTROL!$C$15, $D$11, 100%, $F$11)</f>
        <v>6.7016</v>
      </c>
      <c r="I106" s="8">
        <f>CHOOSE( CONTROL!$C$32, 5.7563, 5.754) * CHOOSE(CONTROL!$C$15, $D$11, 100%, $F$11)</f>
        <v>5.7563000000000004</v>
      </c>
      <c r="J106" s="4">
        <f>CHOOSE( CONTROL!$C$32, 5.6427, 5.6405) * CHOOSE(CONTROL!$C$15, $D$11, 100%, $F$11)</f>
        <v>5.6426999999999996</v>
      </c>
      <c r="K106" s="4"/>
      <c r="L106" s="9">
        <v>29.7257</v>
      </c>
      <c r="M106" s="9">
        <v>11.6745</v>
      </c>
      <c r="N106" s="9">
        <v>4.7850000000000001</v>
      </c>
      <c r="O106" s="9">
        <v>0.36199999999999999</v>
      </c>
      <c r="P106" s="9">
        <v>1.1791</v>
      </c>
      <c r="Q106" s="9">
        <v>31.753799999999998</v>
      </c>
      <c r="R106" s="9"/>
      <c r="S106" s="11"/>
    </row>
    <row r="107" spans="1:19" ht="15.75">
      <c r="A107" s="13">
        <v>44743</v>
      </c>
      <c r="B107" s="8">
        <f>CHOOSE( CONTROL!$C$32, 6.1604, 6.1581) * CHOOSE(CONTROL!$C$15, $D$11, 100%, $F$11)</f>
        <v>6.1604000000000001</v>
      </c>
      <c r="C107" s="8">
        <f>CHOOSE( CONTROL!$C$32, 6.1685, 6.1662) * CHOOSE(CONTROL!$C$15, $D$11, 100%, $F$11)</f>
        <v>6.1684999999999999</v>
      </c>
      <c r="D107" s="8">
        <f>CHOOSE( CONTROL!$C$32, 6.1942, 6.1918) * CHOOSE( CONTROL!$C$15, $D$11, 100%, $F$11)</f>
        <v>6.1942000000000004</v>
      </c>
      <c r="E107" s="12">
        <f>CHOOSE( CONTROL!$C$32, 6.1837, 6.1813) * CHOOSE( CONTROL!$C$15, $D$11, 100%, $F$11)</f>
        <v>6.1837</v>
      </c>
      <c r="F107" s="4">
        <f>CHOOSE( CONTROL!$C$32, 6.8739, 6.8715) * CHOOSE(CONTROL!$C$15, $D$11, 100%, $F$11)</f>
        <v>6.8738999999999999</v>
      </c>
      <c r="G107" s="8">
        <f>CHOOSE( CONTROL!$C$32, 6.0009, 5.9986) * CHOOSE( CONTROL!$C$15, $D$11, 100%, $F$11)</f>
        <v>6.0008999999999997</v>
      </c>
      <c r="H107" s="4">
        <f>CHOOSE( CONTROL!$C$32, 6.9485, 6.9462) * CHOOSE(CONTROL!$C$15, $D$11, 100%, $F$11)</f>
        <v>6.9485000000000001</v>
      </c>
      <c r="I107" s="8">
        <f>CHOOSE( CONTROL!$C$32, 6.0003, 5.998) * CHOOSE(CONTROL!$C$15, $D$11, 100%, $F$11)</f>
        <v>6.0003000000000002</v>
      </c>
      <c r="J107" s="4">
        <f>CHOOSE( CONTROL!$C$32, 5.8854, 5.8832) * CHOOSE(CONTROL!$C$15, $D$11, 100%, $F$11)</f>
        <v>5.8853999999999997</v>
      </c>
      <c r="K107" s="4"/>
      <c r="L107" s="9">
        <v>30.7165</v>
      </c>
      <c r="M107" s="9">
        <v>12.063700000000001</v>
      </c>
      <c r="N107" s="9">
        <v>4.9444999999999997</v>
      </c>
      <c r="O107" s="9">
        <v>0.37409999999999999</v>
      </c>
      <c r="P107" s="9">
        <v>1.2183999999999999</v>
      </c>
      <c r="Q107" s="9">
        <v>32.8123</v>
      </c>
      <c r="R107" s="9"/>
      <c r="S107" s="11"/>
    </row>
    <row r="108" spans="1:19" ht="15.75">
      <c r="A108" s="13">
        <v>44774</v>
      </c>
      <c r="B108" s="8">
        <f>CHOOSE( CONTROL!$C$32, 5.6874, 5.6851) * CHOOSE(CONTROL!$C$15, $D$11, 100%, $F$11)</f>
        <v>5.6874000000000002</v>
      </c>
      <c r="C108" s="8">
        <f>CHOOSE( CONTROL!$C$32, 5.6955, 5.6932) * CHOOSE(CONTROL!$C$15, $D$11, 100%, $F$11)</f>
        <v>5.6955</v>
      </c>
      <c r="D108" s="8">
        <f>CHOOSE( CONTROL!$C$32, 5.7213, 5.7189) * CHOOSE( CONTROL!$C$15, $D$11, 100%, $F$11)</f>
        <v>5.7213000000000003</v>
      </c>
      <c r="E108" s="12">
        <f>CHOOSE( CONTROL!$C$32, 5.7107, 5.7084) * CHOOSE( CONTROL!$C$15, $D$11, 100%, $F$11)</f>
        <v>5.7107000000000001</v>
      </c>
      <c r="F108" s="4">
        <f>CHOOSE( CONTROL!$C$32, 6.4009, 6.3985) * CHOOSE(CONTROL!$C$15, $D$11, 100%, $F$11)</f>
        <v>6.4009</v>
      </c>
      <c r="G108" s="8">
        <f>CHOOSE( CONTROL!$C$32, 5.539, 5.5367) * CHOOSE( CONTROL!$C$15, $D$11, 100%, $F$11)</f>
        <v>5.5389999999999997</v>
      </c>
      <c r="H108" s="4">
        <f>CHOOSE( CONTROL!$C$32, 6.4865, 6.4842) * CHOOSE(CONTROL!$C$15, $D$11, 100%, $F$11)</f>
        <v>6.4865000000000004</v>
      </c>
      <c r="I108" s="8">
        <f>CHOOSE( CONTROL!$C$32, 5.5463, 5.5441) * CHOOSE(CONTROL!$C$15, $D$11, 100%, $F$11)</f>
        <v>5.5462999999999996</v>
      </c>
      <c r="J108" s="4">
        <f>CHOOSE( CONTROL!$C$32, 5.4313, 5.429) * CHOOSE(CONTROL!$C$15, $D$11, 100%, $F$11)</f>
        <v>5.4313000000000002</v>
      </c>
      <c r="K108" s="4"/>
      <c r="L108" s="9">
        <v>30.7165</v>
      </c>
      <c r="M108" s="9">
        <v>12.063700000000001</v>
      </c>
      <c r="N108" s="9">
        <v>4.9444999999999997</v>
      </c>
      <c r="O108" s="9">
        <v>0.37409999999999999</v>
      </c>
      <c r="P108" s="9">
        <v>1.2183999999999999</v>
      </c>
      <c r="Q108" s="9">
        <v>32.8123</v>
      </c>
      <c r="R108" s="9"/>
      <c r="S108" s="11"/>
    </row>
    <row r="109" spans="1:19" ht="15.75">
      <c r="A109" s="13">
        <v>44805</v>
      </c>
      <c r="B109" s="8">
        <f>CHOOSE( CONTROL!$C$32, 5.569, 5.5666) * CHOOSE(CONTROL!$C$15, $D$11, 100%, $F$11)</f>
        <v>5.569</v>
      </c>
      <c r="C109" s="8">
        <f>CHOOSE( CONTROL!$C$32, 5.5771, 5.5747) * CHOOSE(CONTROL!$C$15, $D$11, 100%, $F$11)</f>
        <v>5.5770999999999997</v>
      </c>
      <c r="D109" s="8">
        <f>CHOOSE( CONTROL!$C$32, 5.6028, 5.6004) * CHOOSE( CONTROL!$C$15, $D$11, 100%, $F$11)</f>
        <v>5.6028000000000002</v>
      </c>
      <c r="E109" s="12">
        <f>CHOOSE( CONTROL!$C$32, 5.5923, 5.5899) * CHOOSE( CONTROL!$C$15, $D$11, 100%, $F$11)</f>
        <v>5.5922999999999998</v>
      </c>
      <c r="F109" s="4">
        <f>CHOOSE( CONTROL!$C$32, 6.2824, 6.2801) * CHOOSE(CONTROL!$C$15, $D$11, 100%, $F$11)</f>
        <v>6.2824</v>
      </c>
      <c r="G109" s="8">
        <f>CHOOSE( CONTROL!$C$32, 5.4233, 5.421) * CHOOSE( CONTROL!$C$15, $D$11, 100%, $F$11)</f>
        <v>5.4233000000000002</v>
      </c>
      <c r="H109" s="4">
        <f>CHOOSE( CONTROL!$C$32, 6.3708, 6.3685) * CHOOSE(CONTROL!$C$15, $D$11, 100%, $F$11)</f>
        <v>6.3708</v>
      </c>
      <c r="I109" s="8">
        <f>CHOOSE( CONTROL!$C$32, 5.4324, 5.4302) * CHOOSE(CONTROL!$C$15, $D$11, 100%, $F$11)</f>
        <v>5.4324000000000003</v>
      </c>
      <c r="J109" s="4">
        <f>CHOOSE( CONTROL!$C$32, 5.3176, 5.3153) * CHOOSE(CONTROL!$C$15, $D$11, 100%, $F$11)</f>
        <v>5.3175999999999997</v>
      </c>
      <c r="K109" s="4"/>
      <c r="L109" s="9">
        <v>29.7257</v>
      </c>
      <c r="M109" s="9">
        <v>11.6745</v>
      </c>
      <c r="N109" s="9">
        <v>4.7850000000000001</v>
      </c>
      <c r="O109" s="9">
        <v>0.36199999999999999</v>
      </c>
      <c r="P109" s="9">
        <v>1.1791</v>
      </c>
      <c r="Q109" s="9">
        <v>31.753799999999998</v>
      </c>
      <c r="R109" s="9"/>
      <c r="S109" s="11"/>
    </row>
    <row r="110" spans="1:19" ht="15.75">
      <c r="A110" s="13">
        <v>44835</v>
      </c>
      <c r="B110" s="8">
        <f>5.8109 * CHOOSE(CONTROL!$C$15, $D$11, 100%, $F$11)</f>
        <v>5.8109000000000002</v>
      </c>
      <c r="C110" s="8">
        <f>5.8163 * CHOOSE(CONTROL!$C$15, $D$11, 100%, $F$11)</f>
        <v>5.8163</v>
      </c>
      <c r="D110" s="8">
        <f>5.8471 * CHOOSE( CONTROL!$C$15, $D$11, 100%, $F$11)</f>
        <v>5.8471000000000002</v>
      </c>
      <c r="E110" s="12">
        <f>5.8364 * CHOOSE( CONTROL!$C$15, $D$11, 100%, $F$11)</f>
        <v>5.8364000000000003</v>
      </c>
      <c r="F110" s="4">
        <f>6.526 * CHOOSE(CONTROL!$C$15, $D$11, 100%, $F$11)</f>
        <v>6.5259999999999998</v>
      </c>
      <c r="G110" s="8">
        <f>5.661 * CHOOSE( CONTROL!$C$15, $D$11, 100%, $F$11)</f>
        <v>5.6609999999999996</v>
      </c>
      <c r="H110" s="4">
        <f>6.6087 * CHOOSE(CONTROL!$C$15, $D$11, 100%, $F$11)</f>
        <v>6.6086999999999998</v>
      </c>
      <c r="I110" s="8">
        <f>5.6672 * CHOOSE(CONTROL!$C$15, $D$11, 100%, $F$11)</f>
        <v>5.6672000000000002</v>
      </c>
      <c r="J110" s="4">
        <f>5.5514 * CHOOSE(CONTROL!$C$15, $D$11, 100%, $F$11)</f>
        <v>5.5514000000000001</v>
      </c>
      <c r="K110" s="4"/>
      <c r="L110" s="9">
        <v>31.095300000000002</v>
      </c>
      <c r="M110" s="9">
        <v>12.063700000000001</v>
      </c>
      <c r="N110" s="9">
        <v>4.9444999999999997</v>
      </c>
      <c r="O110" s="9">
        <v>0.37409999999999999</v>
      </c>
      <c r="P110" s="9">
        <v>1.2183999999999999</v>
      </c>
      <c r="Q110" s="9">
        <v>32.8123</v>
      </c>
      <c r="R110" s="9"/>
      <c r="S110" s="11"/>
    </row>
    <row r="111" spans="1:19" ht="15.75">
      <c r="A111" s="13">
        <v>44866</v>
      </c>
      <c r="B111" s="8">
        <f>6.2644 * CHOOSE(CONTROL!$C$15, $D$11, 100%, $F$11)</f>
        <v>6.2644000000000002</v>
      </c>
      <c r="C111" s="8">
        <f>6.2696 * CHOOSE(CONTROL!$C$15, $D$11, 100%, $F$11)</f>
        <v>6.2695999999999996</v>
      </c>
      <c r="D111" s="8">
        <f>6.2526 * CHOOSE( CONTROL!$C$15, $D$11, 100%, $F$11)</f>
        <v>6.2526000000000002</v>
      </c>
      <c r="E111" s="12">
        <f>6.2583 * CHOOSE( CONTROL!$C$15, $D$11, 100%, $F$11)</f>
        <v>6.2583000000000002</v>
      </c>
      <c r="F111" s="4">
        <f>6.9149 * CHOOSE(CONTROL!$C$15, $D$11, 100%, $F$11)</f>
        <v>6.9149000000000003</v>
      </c>
      <c r="G111" s="8">
        <f>6.1105 * CHOOSE( CONTROL!$C$15, $D$11, 100%, $F$11)</f>
        <v>6.1105</v>
      </c>
      <c r="H111" s="4">
        <f>6.9885 * CHOOSE(CONTROL!$C$15, $D$11, 100%, $F$11)</f>
        <v>6.9885000000000002</v>
      </c>
      <c r="I111" s="8">
        <f>6.1451 * CHOOSE(CONTROL!$C$15, $D$11, 100%, $F$11)</f>
        <v>6.1451000000000002</v>
      </c>
      <c r="J111" s="4">
        <f>5.9873 * CHOOSE(CONTROL!$C$15, $D$11, 100%, $F$11)</f>
        <v>5.9873000000000003</v>
      </c>
      <c r="K111" s="4"/>
      <c r="L111" s="9">
        <v>28.360600000000002</v>
      </c>
      <c r="M111" s="9">
        <v>11.6745</v>
      </c>
      <c r="N111" s="9">
        <v>4.7850000000000001</v>
      </c>
      <c r="O111" s="9">
        <v>0.36199999999999999</v>
      </c>
      <c r="P111" s="9">
        <v>1.2509999999999999</v>
      </c>
      <c r="Q111" s="9">
        <v>31.753799999999998</v>
      </c>
      <c r="R111" s="9"/>
      <c r="S111" s="11"/>
    </row>
    <row r="112" spans="1:19" ht="15.75">
      <c r="A112" s="13">
        <v>44896</v>
      </c>
      <c r="B112" s="8">
        <f>6.2531 * CHOOSE(CONTROL!$C$15, $D$11, 100%, $F$11)</f>
        <v>6.2530999999999999</v>
      </c>
      <c r="C112" s="8">
        <f>6.2582 * CHOOSE(CONTROL!$C$15, $D$11, 100%, $F$11)</f>
        <v>6.2582000000000004</v>
      </c>
      <c r="D112" s="8">
        <f>6.2427 * CHOOSE( CONTROL!$C$15, $D$11, 100%, $F$11)</f>
        <v>6.2427000000000001</v>
      </c>
      <c r="E112" s="12">
        <f>6.2478 * CHOOSE( CONTROL!$C$15, $D$11, 100%, $F$11)</f>
        <v>6.2477999999999998</v>
      </c>
      <c r="F112" s="4">
        <f>6.9035 * CHOOSE(CONTROL!$C$15, $D$11, 100%, $F$11)</f>
        <v>6.9035000000000002</v>
      </c>
      <c r="G112" s="8">
        <f>6.1005 * CHOOSE( CONTROL!$C$15, $D$11, 100%, $F$11)</f>
        <v>6.1005000000000003</v>
      </c>
      <c r="H112" s="4">
        <f>6.9775 * CHOOSE(CONTROL!$C$15, $D$11, 100%, $F$11)</f>
        <v>6.9775</v>
      </c>
      <c r="I112" s="8">
        <f>6.1389 * CHOOSE(CONTROL!$C$15, $D$11, 100%, $F$11)</f>
        <v>6.1388999999999996</v>
      </c>
      <c r="J112" s="4">
        <f>5.9764 * CHOOSE(CONTROL!$C$15, $D$11, 100%, $F$11)</f>
        <v>5.9763999999999999</v>
      </c>
      <c r="K112" s="4"/>
      <c r="L112" s="9">
        <v>29.306000000000001</v>
      </c>
      <c r="M112" s="9">
        <v>12.063700000000001</v>
      </c>
      <c r="N112" s="9">
        <v>4.9444999999999997</v>
      </c>
      <c r="O112" s="9">
        <v>0.37409999999999999</v>
      </c>
      <c r="P112" s="9">
        <v>1.2927</v>
      </c>
      <c r="Q112" s="9">
        <v>32.8123</v>
      </c>
      <c r="R112" s="9"/>
      <c r="S112" s="11"/>
    </row>
    <row r="113" spans="1:19" ht="15.75">
      <c r="A113" s="13">
        <v>44927</v>
      </c>
      <c r="B113" s="8">
        <f>6.5473 * CHOOSE(CONTROL!$C$15, $D$11, 100%, $F$11)</f>
        <v>6.5472999999999999</v>
      </c>
      <c r="C113" s="8">
        <f>6.5525 * CHOOSE(CONTROL!$C$15, $D$11, 100%, $F$11)</f>
        <v>6.5525000000000002</v>
      </c>
      <c r="D113" s="8">
        <f>6.5326 * CHOOSE( CONTROL!$C$15, $D$11, 100%, $F$11)</f>
        <v>6.5326000000000004</v>
      </c>
      <c r="E113" s="12">
        <f>6.5393 * CHOOSE( CONTROL!$C$15, $D$11, 100%, $F$11)</f>
        <v>6.5392999999999999</v>
      </c>
      <c r="F113" s="4">
        <f>7.1977 * CHOOSE(CONTROL!$C$15, $D$11, 100%, $F$11)</f>
        <v>7.1977000000000002</v>
      </c>
      <c r="G113" s="8">
        <f>6.3786 * CHOOSE( CONTROL!$C$15, $D$11, 100%, $F$11)</f>
        <v>6.3785999999999996</v>
      </c>
      <c r="H113" s="4">
        <f>7.2648 * CHOOSE(CONTROL!$C$15, $D$11, 100%, $F$11)</f>
        <v>7.2648000000000001</v>
      </c>
      <c r="I113" s="8">
        <f>6.3807 * CHOOSE(CONTROL!$C$15, $D$11, 100%, $F$11)</f>
        <v>6.3807</v>
      </c>
      <c r="J113" s="4">
        <f>6.2589 * CHOOSE(CONTROL!$C$15, $D$11, 100%, $F$11)</f>
        <v>6.2588999999999997</v>
      </c>
      <c r="K113" s="4"/>
      <c r="L113" s="9">
        <v>29.306000000000001</v>
      </c>
      <c r="M113" s="9">
        <v>12.063700000000001</v>
      </c>
      <c r="N113" s="9">
        <v>4.9444999999999997</v>
      </c>
      <c r="O113" s="9">
        <v>0.37409999999999999</v>
      </c>
      <c r="P113" s="9">
        <v>1.2927</v>
      </c>
      <c r="Q113" s="9">
        <v>32.624400000000001</v>
      </c>
      <c r="R113" s="9"/>
      <c r="S113" s="11"/>
    </row>
    <row r="114" spans="1:19" ht="15.75">
      <c r="A114" s="13">
        <v>44958</v>
      </c>
      <c r="B114" s="8">
        <f>6.1258 * CHOOSE(CONTROL!$C$15, $D$11, 100%, $F$11)</f>
        <v>6.1257999999999999</v>
      </c>
      <c r="C114" s="8">
        <f>6.131 * CHOOSE(CONTROL!$C$15, $D$11, 100%, $F$11)</f>
        <v>6.1310000000000002</v>
      </c>
      <c r="D114" s="8">
        <f>6.1111 * CHOOSE( CONTROL!$C$15, $D$11, 100%, $F$11)</f>
        <v>6.1111000000000004</v>
      </c>
      <c r="E114" s="12">
        <f>6.1178 * CHOOSE( CONTROL!$C$15, $D$11, 100%, $F$11)</f>
        <v>6.1177999999999999</v>
      </c>
      <c r="F114" s="4">
        <f>6.7763 * CHOOSE(CONTROL!$C$15, $D$11, 100%, $F$11)</f>
        <v>6.7763</v>
      </c>
      <c r="G114" s="8">
        <f>5.967 * CHOOSE( CONTROL!$C$15, $D$11, 100%, $F$11)</f>
        <v>5.9669999999999996</v>
      </c>
      <c r="H114" s="4">
        <f>6.8532 * CHOOSE(CONTROL!$C$15, $D$11, 100%, $F$11)</f>
        <v>6.8532000000000002</v>
      </c>
      <c r="I114" s="8">
        <f>5.9757 * CHOOSE(CONTROL!$C$15, $D$11, 100%, $F$11)</f>
        <v>5.9756999999999998</v>
      </c>
      <c r="J114" s="4">
        <f>5.8542 * CHOOSE(CONTROL!$C$15, $D$11, 100%, $F$11)</f>
        <v>5.8541999999999996</v>
      </c>
      <c r="K114" s="4"/>
      <c r="L114" s="9">
        <v>26.469899999999999</v>
      </c>
      <c r="M114" s="9">
        <v>10.8962</v>
      </c>
      <c r="N114" s="9">
        <v>4.4660000000000002</v>
      </c>
      <c r="O114" s="9">
        <v>0.33789999999999998</v>
      </c>
      <c r="P114" s="9">
        <v>1.1676</v>
      </c>
      <c r="Q114" s="9">
        <v>29.467199999999998</v>
      </c>
      <c r="R114" s="9"/>
      <c r="S114" s="11"/>
    </row>
    <row r="115" spans="1:19" ht="15.75">
      <c r="A115" s="13">
        <v>44986</v>
      </c>
      <c r="B115" s="8">
        <f>5.996 * CHOOSE(CONTROL!$C$15, $D$11, 100%, $F$11)</f>
        <v>5.9960000000000004</v>
      </c>
      <c r="C115" s="8">
        <f>6.0012 * CHOOSE(CONTROL!$C$15, $D$11, 100%, $F$11)</f>
        <v>6.0011999999999999</v>
      </c>
      <c r="D115" s="8">
        <f>5.981 * CHOOSE( CONTROL!$C$15, $D$11, 100%, $F$11)</f>
        <v>5.9809999999999999</v>
      </c>
      <c r="E115" s="12">
        <f>5.9878 * CHOOSE( CONTROL!$C$15, $D$11, 100%, $F$11)</f>
        <v>5.9878</v>
      </c>
      <c r="F115" s="4">
        <f>6.6465 * CHOOSE(CONTROL!$C$15, $D$11, 100%, $F$11)</f>
        <v>6.6464999999999996</v>
      </c>
      <c r="G115" s="8">
        <f>5.8399 * CHOOSE( CONTROL!$C$15, $D$11, 100%, $F$11)</f>
        <v>5.8399000000000001</v>
      </c>
      <c r="H115" s="4">
        <f>6.7264 * CHOOSE(CONTROL!$C$15, $D$11, 100%, $F$11)</f>
        <v>6.7263999999999999</v>
      </c>
      <c r="I115" s="8">
        <f>5.8499 * CHOOSE(CONTROL!$C$15, $D$11, 100%, $F$11)</f>
        <v>5.8498999999999999</v>
      </c>
      <c r="J115" s="4">
        <f>5.7296 * CHOOSE(CONTROL!$C$15, $D$11, 100%, $F$11)</f>
        <v>5.7295999999999996</v>
      </c>
      <c r="K115" s="4"/>
      <c r="L115" s="9">
        <v>29.306000000000001</v>
      </c>
      <c r="M115" s="9">
        <v>12.063700000000001</v>
      </c>
      <c r="N115" s="9">
        <v>4.9444999999999997</v>
      </c>
      <c r="O115" s="9">
        <v>0.37409999999999999</v>
      </c>
      <c r="P115" s="9">
        <v>1.2927</v>
      </c>
      <c r="Q115" s="9">
        <v>32.624400000000001</v>
      </c>
      <c r="R115" s="9"/>
      <c r="S115" s="11"/>
    </row>
    <row r="116" spans="1:19" ht="15.75">
      <c r="A116" s="13">
        <v>45017</v>
      </c>
      <c r="B116" s="8">
        <f>6.0875 * CHOOSE(CONTROL!$C$15, $D$11, 100%, $F$11)</f>
        <v>6.0875000000000004</v>
      </c>
      <c r="C116" s="8">
        <f>6.0921 * CHOOSE(CONTROL!$C$15, $D$11, 100%, $F$11)</f>
        <v>6.0921000000000003</v>
      </c>
      <c r="D116" s="8">
        <f>6.1226 * CHOOSE( CONTROL!$C$15, $D$11, 100%, $F$11)</f>
        <v>6.1226000000000003</v>
      </c>
      <c r="E116" s="12">
        <f>6.112 * CHOOSE( CONTROL!$C$15, $D$11, 100%, $F$11)</f>
        <v>6.1120000000000001</v>
      </c>
      <c r="F116" s="4">
        <f>6.8023 * CHOOSE(CONTROL!$C$15, $D$11, 100%, $F$11)</f>
        <v>6.8022999999999998</v>
      </c>
      <c r="G116" s="8">
        <f>5.9297 * CHOOSE( CONTROL!$C$15, $D$11, 100%, $F$11)</f>
        <v>5.9297000000000004</v>
      </c>
      <c r="H116" s="4">
        <f>6.8786 * CHOOSE(CONTROL!$C$15, $D$11, 100%, $F$11)</f>
        <v>6.8785999999999996</v>
      </c>
      <c r="I116" s="8">
        <f>5.9291 * CHOOSE(CONTROL!$C$15, $D$11, 100%, $F$11)</f>
        <v>5.9291</v>
      </c>
      <c r="J116" s="4">
        <f>5.8167 * CHOOSE(CONTROL!$C$15, $D$11, 100%, $F$11)</f>
        <v>5.8167</v>
      </c>
      <c r="K116" s="4"/>
      <c r="L116" s="9">
        <v>30.092199999999998</v>
      </c>
      <c r="M116" s="9">
        <v>11.6745</v>
      </c>
      <c r="N116" s="9">
        <v>4.7850000000000001</v>
      </c>
      <c r="O116" s="9">
        <v>0.36199999999999999</v>
      </c>
      <c r="P116" s="9">
        <v>1.1791</v>
      </c>
      <c r="Q116" s="9">
        <v>31.571999999999999</v>
      </c>
      <c r="R116" s="9"/>
      <c r="S116" s="11"/>
    </row>
    <row r="117" spans="1:19" ht="15.75">
      <c r="A117" s="13">
        <v>45047</v>
      </c>
      <c r="B117" s="8">
        <f>CHOOSE( CONTROL!$C$32, 6.2526, 6.2503) * CHOOSE(CONTROL!$C$15, $D$11, 100%, $F$11)</f>
        <v>6.2526000000000002</v>
      </c>
      <c r="C117" s="8">
        <f>CHOOSE( CONTROL!$C$32, 6.2607, 6.2584) * CHOOSE(CONTROL!$C$15, $D$11, 100%, $F$11)</f>
        <v>6.2606999999999999</v>
      </c>
      <c r="D117" s="8">
        <f>CHOOSE( CONTROL!$C$32, 6.2859, 6.2836) * CHOOSE( CONTROL!$C$15, $D$11, 100%, $F$11)</f>
        <v>6.2858999999999998</v>
      </c>
      <c r="E117" s="12">
        <f>CHOOSE( CONTROL!$C$32, 6.2755, 6.2732) * CHOOSE( CONTROL!$C$15, $D$11, 100%, $F$11)</f>
        <v>6.2755000000000001</v>
      </c>
      <c r="F117" s="4">
        <f>CHOOSE( CONTROL!$C$32, 6.9661, 6.9637) * CHOOSE(CONTROL!$C$15, $D$11, 100%, $F$11)</f>
        <v>6.9661</v>
      </c>
      <c r="G117" s="8">
        <f>CHOOSE( CONTROL!$C$32, 6.0902, 6.0879) * CHOOSE( CONTROL!$C$15, $D$11, 100%, $F$11)</f>
        <v>6.0902000000000003</v>
      </c>
      <c r="H117" s="4">
        <f>CHOOSE( CONTROL!$C$32, 7.0386, 7.0363) * CHOOSE(CONTROL!$C$15, $D$11, 100%, $F$11)</f>
        <v>7.0385999999999997</v>
      </c>
      <c r="I117" s="8">
        <f>CHOOSE( CONTROL!$C$32, 6.0867, 6.0844) * CHOOSE(CONTROL!$C$15, $D$11, 100%, $F$11)</f>
        <v>6.0867000000000004</v>
      </c>
      <c r="J117" s="4">
        <f>CHOOSE( CONTROL!$C$32, 5.9739, 5.9717) * CHOOSE(CONTROL!$C$15, $D$11, 100%, $F$11)</f>
        <v>5.9739000000000004</v>
      </c>
      <c r="K117" s="4"/>
      <c r="L117" s="9">
        <v>30.7165</v>
      </c>
      <c r="M117" s="9">
        <v>12.063700000000001</v>
      </c>
      <c r="N117" s="9">
        <v>4.9444999999999997</v>
      </c>
      <c r="O117" s="9">
        <v>0.37409999999999999</v>
      </c>
      <c r="P117" s="9">
        <v>1.2183999999999999</v>
      </c>
      <c r="Q117" s="9">
        <v>32.624400000000001</v>
      </c>
      <c r="R117" s="9"/>
      <c r="S117" s="11"/>
    </row>
    <row r="118" spans="1:19" ht="15.75">
      <c r="A118" s="13">
        <v>45078</v>
      </c>
      <c r="B118" s="8">
        <f>CHOOSE( CONTROL!$C$32, 6.1526, 6.1503) * CHOOSE(CONTROL!$C$15, $D$11, 100%, $F$11)</f>
        <v>6.1525999999999996</v>
      </c>
      <c r="C118" s="8">
        <f>CHOOSE( CONTROL!$C$32, 6.1607, 6.1584) * CHOOSE(CONTROL!$C$15, $D$11, 100%, $F$11)</f>
        <v>6.1607000000000003</v>
      </c>
      <c r="D118" s="8">
        <f>CHOOSE( CONTROL!$C$32, 6.1861, 6.1838) * CHOOSE( CONTROL!$C$15, $D$11, 100%, $F$11)</f>
        <v>6.1860999999999997</v>
      </c>
      <c r="E118" s="12">
        <f>CHOOSE( CONTROL!$C$32, 6.1757, 6.1734) * CHOOSE( CONTROL!$C$15, $D$11, 100%, $F$11)</f>
        <v>6.1757</v>
      </c>
      <c r="F118" s="4">
        <f>CHOOSE( CONTROL!$C$32, 6.8661, 6.8637) * CHOOSE(CONTROL!$C$15, $D$11, 100%, $F$11)</f>
        <v>6.8661000000000003</v>
      </c>
      <c r="G118" s="8">
        <f>CHOOSE( CONTROL!$C$32, 5.9929, 5.9906) * CHOOSE( CONTROL!$C$15, $D$11, 100%, $F$11)</f>
        <v>5.9928999999999997</v>
      </c>
      <c r="H118" s="4">
        <f>CHOOSE( CONTROL!$C$32, 6.9409, 6.9386) * CHOOSE(CONTROL!$C$15, $D$11, 100%, $F$11)</f>
        <v>6.9409000000000001</v>
      </c>
      <c r="I118" s="8">
        <f>CHOOSE( CONTROL!$C$32, 5.9916, 5.9893) * CHOOSE(CONTROL!$C$15, $D$11, 100%, $F$11)</f>
        <v>5.9916</v>
      </c>
      <c r="J118" s="4">
        <f>CHOOSE( CONTROL!$C$32, 5.8779, 5.8757) * CHOOSE(CONTROL!$C$15, $D$11, 100%, $F$11)</f>
        <v>5.8779000000000003</v>
      </c>
      <c r="K118" s="4"/>
      <c r="L118" s="9">
        <v>29.7257</v>
      </c>
      <c r="M118" s="9">
        <v>11.6745</v>
      </c>
      <c r="N118" s="9">
        <v>4.7850000000000001</v>
      </c>
      <c r="O118" s="9">
        <v>0.36199999999999999</v>
      </c>
      <c r="P118" s="9">
        <v>1.1791</v>
      </c>
      <c r="Q118" s="9">
        <v>31.571999999999999</v>
      </c>
      <c r="R118" s="9"/>
      <c r="S118" s="11"/>
    </row>
    <row r="119" spans="1:19" ht="15.75">
      <c r="A119" s="13">
        <v>45108</v>
      </c>
      <c r="B119" s="8">
        <f>CHOOSE( CONTROL!$C$32, 6.416, 6.4136) * CHOOSE(CONTROL!$C$15, $D$11, 100%, $F$11)</f>
        <v>6.4160000000000004</v>
      </c>
      <c r="C119" s="8">
        <f>CHOOSE( CONTROL!$C$32, 6.4241, 6.4217) * CHOOSE(CONTROL!$C$15, $D$11, 100%, $F$11)</f>
        <v>6.4241000000000001</v>
      </c>
      <c r="D119" s="8">
        <f>CHOOSE( CONTROL!$C$32, 6.4497, 6.4474) * CHOOSE( CONTROL!$C$15, $D$11, 100%, $F$11)</f>
        <v>6.4497</v>
      </c>
      <c r="E119" s="12">
        <f>CHOOSE( CONTROL!$C$32, 6.4392, 6.4369) * CHOOSE( CONTROL!$C$15, $D$11, 100%, $F$11)</f>
        <v>6.4391999999999996</v>
      </c>
      <c r="F119" s="4">
        <f>CHOOSE( CONTROL!$C$32, 7.1294, 7.1271) * CHOOSE(CONTROL!$C$15, $D$11, 100%, $F$11)</f>
        <v>7.1294000000000004</v>
      </c>
      <c r="G119" s="8">
        <f>CHOOSE( CONTROL!$C$32, 6.2504, 6.2482) * CHOOSE( CONTROL!$C$15, $D$11, 100%, $F$11)</f>
        <v>6.2504</v>
      </c>
      <c r="H119" s="4">
        <f>CHOOSE( CONTROL!$C$32, 7.1981, 7.1958) * CHOOSE(CONTROL!$C$15, $D$11, 100%, $F$11)</f>
        <v>7.1981000000000002</v>
      </c>
      <c r="I119" s="8">
        <f>CHOOSE( CONTROL!$C$32, 6.2458, 6.2435) * CHOOSE(CONTROL!$C$15, $D$11, 100%, $F$11)</f>
        <v>6.2458</v>
      </c>
      <c r="J119" s="4">
        <f>CHOOSE( CONTROL!$C$32, 6.1308, 6.1285) * CHOOSE(CONTROL!$C$15, $D$11, 100%, $F$11)</f>
        <v>6.1307999999999998</v>
      </c>
      <c r="K119" s="4"/>
      <c r="L119" s="9">
        <v>30.7165</v>
      </c>
      <c r="M119" s="9">
        <v>12.063700000000001</v>
      </c>
      <c r="N119" s="9">
        <v>4.9444999999999997</v>
      </c>
      <c r="O119" s="9">
        <v>0.37409999999999999</v>
      </c>
      <c r="P119" s="9">
        <v>1.2183999999999999</v>
      </c>
      <c r="Q119" s="9">
        <v>32.624400000000001</v>
      </c>
      <c r="R119" s="9"/>
      <c r="S119" s="11"/>
    </row>
    <row r="120" spans="1:19" ht="15.75">
      <c r="A120" s="13">
        <v>45139</v>
      </c>
      <c r="B120" s="8">
        <f>CHOOSE( CONTROL!$C$32, 5.9232, 5.9209) * CHOOSE(CONTROL!$C$15, $D$11, 100%, $F$11)</f>
        <v>5.9231999999999996</v>
      </c>
      <c r="C120" s="8">
        <f>CHOOSE( CONTROL!$C$32, 5.9313, 5.929) * CHOOSE(CONTROL!$C$15, $D$11, 100%, $F$11)</f>
        <v>5.9313000000000002</v>
      </c>
      <c r="D120" s="8">
        <f>CHOOSE( CONTROL!$C$32, 5.9571, 5.9547) * CHOOSE( CONTROL!$C$15, $D$11, 100%, $F$11)</f>
        <v>5.9570999999999996</v>
      </c>
      <c r="E120" s="12">
        <f>CHOOSE( CONTROL!$C$32, 5.9465, 5.9442) * CHOOSE( CONTROL!$C$15, $D$11, 100%, $F$11)</f>
        <v>5.9465000000000003</v>
      </c>
      <c r="F120" s="4">
        <f>CHOOSE( CONTROL!$C$32, 6.6367, 6.6343) * CHOOSE(CONTROL!$C$15, $D$11, 100%, $F$11)</f>
        <v>6.6367000000000003</v>
      </c>
      <c r="G120" s="8">
        <f>CHOOSE( CONTROL!$C$32, 5.7693, 5.767) * CHOOSE( CONTROL!$C$15, $D$11, 100%, $F$11)</f>
        <v>5.7693000000000003</v>
      </c>
      <c r="H120" s="4">
        <f>CHOOSE( CONTROL!$C$32, 6.7168, 6.7145) * CHOOSE(CONTROL!$C$15, $D$11, 100%, $F$11)</f>
        <v>6.7168000000000001</v>
      </c>
      <c r="I120" s="8">
        <f>CHOOSE( CONTROL!$C$32, 5.7728, 5.7706) * CHOOSE(CONTROL!$C$15, $D$11, 100%, $F$11)</f>
        <v>5.7728000000000002</v>
      </c>
      <c r="J120" s="4">
        <f>CHOOSE( CONTROL!$C$32, 5.6577, 5.6554) * CHOOSE(CONTROL!$C$15, $D$11, 100%, $F$11)</f>
        <v>5.6577000000000002</v>
      </c>
      <c r="K120" s="4"/>
      <c r="L120" s="9">
        <v>30.7165</v>
      </c>
      <c r="M120" s="9">
        <v>12.063700000000001</v>
      </c>
      <c r="N120" s="9">
        <v>4.9444999999999997</v>
      </c>
      <c r="O120" s="9">
        <v>0.37409999999999999</v>
      </c>
      <c r="P120" s="9">
        <v>1.2183999999999999</v>
      </c>
      <c r="Q120" s="9">
        <v>32.624400000000001</v>
      </c>
      <c r="R120" s="9"/>
      <c r="S120" s="11"/>
    </row>
    <row r="121" spans="1:19" ht="15.75">
      <c r="A121" s="13">
        <v>45170</v>
      </c>
      <c r="B121" s="8">
        <f>CHOOSE( CONTROL!$C$32, 5.7999, 5.7975) * CHOOSE(CONTROL!$C$15, $D$11, 100%, $F$11)</f>
        <v>5.7999000000000001</v>
      </c>
      <c r="C121" s="8">
        <f>CHOOSE( CONTROL!$C$32, 5.8079, 5.8056) * CHOOSE(CONTROL!$C$15, $D$11, 100%, $F$11)</f>
        <v>5.8079000000000001</v>
      </c>
      <c r="D121" s="8">
        <f>CHOOSE( CONTROL!$C$32, 5.8337, 5.8313) * CHOOSE( CONTROL!$C$15, $D$11, 100%, $F$11)</f>
        <v>5.8337000000000003</v>
      </c>
      <c r="E121" s="12">
        <f>CHOOSE( CONTROL!$C$32, 5.8231, 5.8208) * CHOOSE( CONTROL!$C$15, $D$11, 100%, $F$11)</f>
        <v>5.8231000000000002</v>
      </c>
      <c r="F121" s="4">
        <f>CHOOSE( CONTROL!$C$32, 6.5133, 6.5109) * CHOOSE(CONTROL!$C$15, $D$11, 100%, $F$11)</f>
        <v>6.5133000000000001</v>
      </c>
      <c r="G121" s="8">
        <f>CHOOSE( CONTROL!$C$32, 5.6488, 5.6465) * CHOOSE( CONTROL!$C$15, $D$11, 100%, $F$11)</f>
        <v>5.6487999999999996</v>
      </c>
      <c r="H121" s="4">
        <f>CHOOSE( CONTROL!$C$32, 6.5963, 6.594) * CHOOSE(CONTROL!$C$15, $D$11, 100%, $F$11)</f>
        <v>6.5963000000000003</v>
      </c>
      <c r="I121" s="8">
        <f>CHOOSE( CONTROL!$C$32, 5.6542, 5.6519) * CHOOSE(CONTROL!$C$15, $D$11, 100%, $F$11)</f>
        <v>5.6542000000000003</v>
      </c>
      <c r="J121" s="4">
        <f>CHOOSE( CONTROL!$C$32, 5.5392, 5.537) * CHOOSE(CONTROL!$C$15, $D$11, 100%, $F$11)</f>
        <v>5.5392000000000001</v>
      </c>
      <c r="K121" s="4"/>
      <c r="L121" s="9">
        <v>29.7257</v>
      </c>
      <c r="M121" s="9">
        <v>11.6745</v>
      </c>
      <c r="N121" s="9">
        <v>4.7850000000000001</v>
      </c>
      <c r="O121" s="9">
        <v>0.36199999999999999</v>
      </c>
      <c r="P121" s="9">
        <v>1.1791</v>
      </c>
      <c r="Q121" s="9">
        <v>31.571999999999999</v>
      </c>
      <c r="R121" s="9"/>
      <c r="S121" s="11"/>
    </row>
    <row r="122" spans="1:19" ht="15.75">
      <c r="A122" s="13">
        <v>45200</v>
      </c>
      <c r="B122" s="8">
        <f>6.052 * CHOOSE(CONTROL!$C$15, $D$11, 100%, $F$11)</f>
        <v>6.0519999999999996</v>
      </c>
      <c r="C122" s="8">
        <f>6.0574 * CHOOSE(CONTROL!$C$15, $D$11, 100%, $F$11)</f>
        <v>6.0574000000000003</v>
      </c>
      <c r="D122" s="8">
        <f>6.0882 * CHOOSE( CONTROL!$C$15, $D$11, 100%, $F$11)</f>
        <v>6.0881999999999996</v>
      </c>
      <c r="E122" s="12">
        <f>6.0775 * CHOOSE( CONTROL!$C$15, $D$11, 100%, $F$11)</f>
        <v>6.0774999999999997</v>
      </c>
      <c r="F122" s="4">
        <f>6.7671 * CHOOSE(CONTROL!$C$15, $D$11, 100%, $F$11)</f>
        <v>6.7671000000000001</v>
      </c>
      <c r="G122" s="8">
        <f>5.8965 * CHOOSE( CONTROL!$C$15, $D$11, 100%, $F$11)</f>
        <v>5.8964999999999996</v>
      </c>
      <c r="H122" s="4">
        <f>6.8442 * CHOOSE(CONTROL!$C$15, $D$11, 100%, $F$11)</f>
        <v>6.8441999999999998</v>
      </c>
      <c r="I122" s="8">
        <f>5.8989 * CHOOSE(CONTROL!$C$15, $D$11, 100%, $F$11)</f>
        <v>5.8989000000000003</v>
      </c>
      <c r="J122" s="4">
        <f>5.7829 * CHOOSE(CONTROL!$C$15, $D$11, 100%, $F$11)</f>
        <v>5.7828999999999997</v>
      </c>
      <c r="K122" s="4"/>
      <c r="L122" s="9">
        <v>31.095300000000002</v>
      </c>
      <c r="M122" s="9">
        <v>12.063700000000001</v>
      </c>
      <c r="N122" s="9">
        <v>4.9444999999999997</v>
      </c>
      <c r="O122" s="9">
        <v>0.37409999999999999</v>
      </c>
      <c r="P122" s="9">
        <v>1.2183999999999999</v>
      </c>
      <c r="Q122" s="9">
        <v>32.624400000000001</v>
      </c>
      <c r="R122" s="9"/>
      <c r="S122" s="11"/>
    </row>
    <row r="123" spans="1:19" ht="15.75">
      <c r="A123" s="13">
        <v>45231</v>
      </c>
      <c r="B123" s="8">
        <f>6.5245 * CHOOSE(CONTROL!$C$15, $D$11, 100%, $F$11)</f>
        <v>6.5244999999999997</v>
      </c>
      <c r="C123" s="8">
        <f>6.5296 * CHOOSE(CONTROL!$C$15, $D$11, 100%, $F$11)</f>
        <v>6.5296000000000003</v>
      </c>
      <c r="D123" s="8">
        <f>6.5127 * CHOOSE( CONTROL!$C$15, $D$11, 100%, $F$11)</f>
        <v>6.5126999999999997</v>
      </c>
      <c r="E123" s="12">
        <f>6.5183 * CHOOSE( CONTROL!$C$15, $D$11, 100%, $F$11)</f>
        <v>6.5183</v>
      </c>
      <c r="F123" s="4">
        <f>7.1749 * CHOOSE(CONTROL!$C$15, $D$11, 100%, $F$11)</f>
        <v>7.1749000000000001</v>
      </c>
      <c r="G123" s="8">
        <f>6.3645 * CHOOSE( CONTROL!$C$15, $D$11, 100%, $F$11)</f>
        <v>6.3644999999999996</v>
      </c>
      <c r="H123" s="4">
        <f>7.2425 * CHOOSE(CONTROL!$C$15, $D$11, 100%, $F$11)</f>
        <v>7.2424999999999997</v>
      </c>
      <c r="I123" s="8">
        <f>6.3949 * CHOOSE(CONTROL!$C$15, $D$11, 100%, $F$11)</f>
        <v>6.3948999999999998</v>
      </c>
      <c r="J123" s="4">
        <f>6.2369 * CHOOSE(CONTROL!$C$15, $D$11, 100%, $F$11)</f>
        <v>6.2369000000000003</v>
      </c>
      <c r="K123" s="4"/>
      <c r="L123" s="9">
        <v>28.360600000000002</v>
      </c>
      <c r="M123" s="9">
        <v>11.6745</v>
      </c>
      <c r="N123" s="9">
        <v>4.7850000000000001</v>
      </c>
      <c r="O123" s="9">
        <v>0.36199999999999999</v>
      </c>
      <c r="P123" s="9">
        <v>1.2509999999999999</v>
      </c>
      <c r="Q123" s="9">
        <v>31.571999999999999</v>
      </c>
      <c r="R123" s="9"/>
      <c r="S123" s="11"/>
    </row>
    <row r="124" spans="1:19" ht="15.75">
      <c r="A124" s="13">
        <v>45261</v>
      </c>
      <c r="B124" s="8">
        <f>6.5126 * CHOOSE(CONTROL!$C$15, $D$11, 100%, $F$11)</f>
        <v>6.5125999999999999</v>
      </c>
      <c r="C124" s="8">
        <f>6.5178 * CHOOSE(CONTROL!$C$15, $D$11, 100%, $F$11)</f>
        <v>6.5178000000000003</v>
      </c>
      <c r="D124" s="8">
        <f>6.5023 * CHOOSE( CONTROL!$C$15, $D$11, 100%, $F$11)</f>
        <v>6.5023</v>
      </c>
      <c r="E124" s="12">
        <f>6.5074 * CHOOSE( CONTROL!$C$15, $D$11, 100%, $F$11)</f>
        <v>6.5073999999999996</v>
      </c>
      <c r="F124" s="4">
        <f>7.1631 * CHOOSE(CONTROL!$C$15, $D$11, 100%, $F$11)</f>
        <v>7.1631</v>
      </c>
      <c r="G124" s="8">
        <f>6.3541 * CHOOSE( CONTROL!$C$15, $D$11, 100%, $F$11)</f>
        <v>6.3540999999999999</v>
      </c>
      <c r="H124" s="4">
        <f>7.231 * CHOOSE(CONTROL!$C$15, $D$11, 100%, $F$11)</f>
        <v>7.2309999999999999</v>
      </c>
      <c r="I124" s="8">
        <f>6.3883 * CHOOSE(CONTROL!$C$15, $D$11, 100%, $F$11)</f>
        <v>6.3883000000000001</v>
      </c>
      <c r="J124" s="4">
        <f>6.2256 * CHOOSE(CONTROL!$C$15, $D$11, 100%, $F$11)</f>
        <v>6.2256</v>
      </c>
      <c r="K124" s="4"/>
      <c r="L124" s="9">
        <v>29.306000000000001</v>
      </c>
      <c r="M124" s="9">
        <v>12.063700000000001</v>
      </c>
      <c r="N124" s="9">
        <v>4.9444999999999997</v>
      </c>
      <c r="O124" s="9">
        <v>0.37409999999999999</v>
      </c>
      <c r="P124" s="9">
        <v>1.2927</v>
      </c>
      <c r="Q124" s="9">
        <v>32.624400000000001</v>
      </c>
      <c r="R124" s="9"/>
      <c r="S124" s="11"/>
    </row>
    <row r="125" spans="1:19" ht="15.75">
      <c r="A125" s="13">
        <v>45292</v>
      </c>
      <c r="B125" s="8">
        <f>6.7469 * CHOOSE(CONTROL!$C$15, $D$11, 100%, $F$11)</f>
        <v>6.7469000000000001</v>
      </c>
      <c r="C125" s="8">
        <f>6.7521 * CHOOSE(CONTROL!$C$15, $D$11, 100%, $F$11)</f>
        <v>6.7521000000000004</v>
      </c>
      <c r="D125" s="8">
        <f>6.7323 * CHOOSE( CONTROL!$C$15, $D$11, 100%, $F$11)</f>
        <v>6.7323000000000004</v>
      </c>
      <c r="E125" s="12">
        <f>6.739 * CHOOSE( CONTROL!$C$15, $D$11, 100%, $F$11)</f>
        <v>6.7389999999999999</v>
      </c>
      <c r="F125" s="4">
        <f>7.3974 * CHOOSE(CONTROL!$C$15, $D$11, 100%, $F$11)</f>
        <v>7.3974000000000002</v>
      </c>
      <c r="G125" s="8">
        <f>6.5736 * CHOOSE( CONTROL!$C$15, $D$11, 100%, $F$11)</f>
        <v>6.5735999999999999</v>
      </c>
      <c r="H125" s="4">
        <f>7.4598 * CHOOSE(CONTROL!$C$15, $D$11, 100%, $F$11)</f>
        <v>7.4598000000000004</v>
      </c>
      <c r="I125" s="8">
        <f>6.5724 * CHOOSE(CONTROL!$C$15, $D$11, 100%, $F$11)</f>
        <v>6.5724</v>
      </c>
      <c r="J125" s="4">
        <f>6.4505 * CHOOSE(CONTROL!$C$15, $D$11, 100%, $F$11)</f>
        <v>6.4504999999999999</v>
      </c>
      <c r="K125" s="4"/>
      <c r="L125" s="9">
        <v>29.306000000000001</v>
      </c>
      <c r="M125" s="9">
        <v>12.063700000000001</v>
      </c>
      <c r="N125" s="9">
        <v>4.9444999999999997</v>
      </c>
      <c r="O125" s="9">
        <v>0.37409999999999999</v>
      </c>
      <c r="P125" s="9">
        <v>1.2927</v>
      </c>
      <c r="Q125" s="9">
        <v>32.440300000000001</v>
      </c>
      <c r="R125" s="9"/>
      <c r="S125" s="11"/>
    </row>
    <row r="126" spans="1:19" ht="15.75">
      <c r="A126" s="13">
        <v>45323</v>
      </c>
      <c r="B126" s="8">
        <f>6.3126 * CHOOSE(CONTROL!$C$15, $D$11, 100%, $F$11)</f>
        <v>6.3125999999999998</v>
      </c>
      <c r="C126" s="8">
        <f>6.3178 * CHOOSE(CONTROL!$C$15, $D$11, 100%, $F$11)</f>
        <v>6.3178000000000001</v>
      </c>
      <c r="D126" s="8">
        <f>6.2979 * CHOOSE( CONTROL!$C$15, $D$11, 100%, $F$11)</f>
        <v>6.2979000000000003</v>
      </c>
      <c r="E126" s="12">
        <f>6.3046 * CHOOSE( CONTROL!$C$15, $D$11, 100%, $F$11)</f>
        <v>6.3045999999999998</v>
      </c>
      <c r="F126" s="4">
        <f>6.963 * CHOOSE(CONTROL!$C$15, $D$11, 100%, $F$11)</f>
        <v>6.9630000000000001</v>
      </c>
      <c r="G126" s="8">
        <f>6.1494 * CHOOSE( CONTROL!$C$15, $D$11, 100%, $F$11)</f>
        <v>6.1494</v>
      </c>
      <c r="H126" s="4">
        <f>7.0356 * CHOOSE(CONTROL!$C$15, $D$11, 100%, $F$11)</f>
        <v>7.0355999999999996</v>
      </c>
      <c r="I126" s="8">
        <f>6.1551 * CHOOSE(CONTROL!$C$15, $D$11, 100%, $F$11)</f>
        <v>6.1551</v>
      </c>
      <c r="J126" s="4">
        <f>6.0335 * CHOOSE(CONTROL!$C$15, $D$11, 100%, $F$11)</f>
        <v>6.0335000000000001</v>
      </c>
      <c r="K126" s="4"/>
      <c r="L126" s="9">
        <v>27.415299999999998</v>
      </c>
      <c r="M126" s="9">
        <v>11.285299999999999</v>
      </c>
      <c r="N126" s="9">
        <v>4.6254999999999997</v>
      </c>
      <c r="O126" s="9">
        <v>0.34989999999999999</v>
      </c>
      <c r="P126" s="9">
        <v>1.2093</v>
      </c>
      <c r="Q126" s="9">
        <v>30.347300000000001</v>
      </c>
      <c r="R126" s="9"/>
      <c r="S126" s="11"/>
    </row>
    <row r="127" spans="1:19" ht="15.75">
      <c r="A127" s="13">
        <v>45352</v>
      </c>
      <c r="B127" s="8">
        <f>6.1788 * CHOOSE(CONTROL!$C$15, $D$11, 100%, $F$11)</f>
        <v>6.1787999999999998</v>
      </c>
      <c r="C127" s="8">
        <f>6.184 * CHOOSE(CONTROL!$C$15, $D$11, 100%, $F$11)</f>
        <v>6.1840000000000002</v>
      </c>
      <c r="D127" s="8">
        <f>6.1638 * CHOOSE( CONTROL!$C$15, $D$11, 100%, $F$11)</f>
        <v>6.1638000000000002</v>
      </c>
      <c r="E127" s="12">
        <f>6.1706 * CHOOSE( CONTROL!$C$15, $D$11, 100%, $F$11)</f>
        <v>6.1706000000000003</v>
      </c>
      <c r="F127" s="4">
        <f>6.8293 * CHOOSE(CONTROL!$C$15, $D$11, 100%, $F$11)</f>
        <v>6.8292999999999999</v>
      </c>
      <c r="G127" s="8">
        <f>6.0184 * CHOOSE( CONTROL!$C$15, $D$11, 100%, $F$11)</f>
        <v>6.0183999999999997</v>
      </c>
      <c r="H127" s="4">
        <f>6.9049 * CHOOSE(CONTROL!$C$15, $D$11, 100%, $F$11)</f>
        <v>6.9048999999999996</v>
      </c>
      <c r="I127" s="8">
        <f>6.0255 * CHOOSE(CONTROL!$C$15, $D$11, 100%, $F$11)</f>
        <v>6.0255000000000001</v>
      </c>
      <c r="J127" s="4">
        <f>5.9051 * CHOOSE(CONTROL!$C$15, $D$11, 100%, $F$11)</f>
        <v>5.9051</v>
      </c>
      <c r="K127" s="4"/>
      <c r="L127" s="9">
        <v>29.306000000000001</v>
      </c>
      <c r="M127" s="9">
        <v>12.063700000000001</v>
      </c>
      <c r="N127" s="9">
        <v>4.9444999999999997</v>
      </c>
      <c r="O127" s="9">
        <v>0.37409999999999999</v>
      </c>
      <c r="P127" s="9">
        <v>1.2927</v>
      </c>
      <c r="Q127" s="9">
        <v>32.440300000000001</v>
      </c>
      <c r="R127" s="9"/>
      <c r="S127" s="11"/>
    </row>
    <row r="128" spans="1:19" ht="15.75">
      <c r="A128" s="13">
        <v>45383</v>
      </c>
      <c r="B128" s="8">
        <f>6.273 * CHOOSE(CONTROL!$C$15, $D$11, 100%, $F$11)</f>
        <v>6.2729999999999997</v>
      </c>
      <c r="C128" s="8">
        <f>6.2777 * CHOOSE(CONTROL!$C$15, $D$11, 100%, $F$11)</f>
        <v>6.2777000000000003</v>
      </c>
      <c r="D128" s="8">
        <f>6.3082 * CHOOSE( CONTROL!$C$15, $D$11, 100%, $F$11)</f>
        <v>6.3082000000000003</v>
      </c>
      <c r="E128" s="12">
        <f>6.2976 * CHOOSE( CONTROL!$C$15, $D$11, 100%, $F$11)</f>
        <v>6.2976000000000001</v>
      </c>
      <c r="F128" s="4">
        <f>6.9878 * CHOOSE(CONTROL!$C$15, $D$11, 100%, $F$11)</f>
        <v>6.9878</v>
      </c>
      <c r="G128" s="8">
        <f>6.1109 * CHOOSE( CONTROL!$C$15, $D$11, 100%, $F$11)</f>
        <v>6.1109</v>
      </c>
      <c r="H128" s="4">
        <f>7.0598 * CHOOSE(CONTROL!$C$15, $D$11, 100%, $F$11)</f>
        <v>7.0598000000000001</v>
      </c>
      <c r="I128" s="8">
        <f>6.1073 * CHOOSE(CONTROL!$C$15, $D$11, 100%, $F$11)</f>
        <v>6.1073000000000004</v>
      </c>
      <c r="J128" s="4">
        <f>5.9948 * CHOOSE(CONTROL!$C$15, $D$11, 100%, $F$11)</f>
        <v>5.9947999999999997</v>
      </c>
      <c r="K128" s="4"/>
      <c r="L128" s="9">
        <v>30.092199999999998</v>
      </c>
      <c r="M128" s="9">
        <v>11.6745</v>
      </c>
      <c r="N128" s="9">
        <v>4.7850000000000001</v>
      </c>
      <c r="O128" s="9">
        <v>0.36199999999999999</v>
      </c>
      <c r="P128" s="9">
        <v>1.1791</v>
      </c>
      <c r="Q128" s="9">
        <v>31.393799999999999</v>
      </c>
      <c r="R128" s="9"/>
      <c r="S128" s="11"/>
    </row>
    <row r="129" spans="1:19" ht="15.75">
      <c r="A129" s="13">
        <v>45413</v>
      </c>
      <c r="B129" s="8">
        <f>CHOOSE( CONTROL!$C$32, 6.4431, 6.4408) * CHOOSE(CONTROL!$C$15, $D$11, 100%, $F$11)</f>
        <v>6.4431000000000003</v>
      </c>
      <c r="C129" s="8">
        <f>CHOOSE( CONTROL!$C$32, 6.4512, 6.4489) * CHOOSE(CONTROL!$C$15, $D$11, 100%, $F$11)</f>
        <v>6.4512</v>
      </c>
      <c r="D129" s="8">
        <f>CHOOSE( CONTROL!$C$32, 6.4764, 6.4741) * CHOOSE( CONTROL!$C$15, $D$11, 100%, $F$11)</f>
        <v>6.4763999999999999</v>
      </c>
      <c r="E129" s="12">
        <f>CHOOSE( CONTROL!$C$32, 6.466, 6.4637) * CHOOSE( CONTROL!$C$15, $D$11, 100%, $F$11)</f>
        <v>6.4660000000000002</v>
      </c>
      <c r="F129" s="4">
        <f>CHOOSE( CONTROL!$C$32, 7.1566, 7.1542) * CHOOSE(CONTROL!$C$15, $D$11, 100%, $F$11)</f>
        <v>7.1566000000000001</v>
      </c>
      <c r="G129" s="8">
        <f>CHOOSE( CONTROL!$C$32, 6.2763, 6.274) * CHOOSE( CONTROL!$C$15, $D$11, 100%, $F$11)</f>
        <v>6.2763</v>
      </c>
      <c r="H129" s="4">
        <f>CHOOSE( CONTROL!$C$32, 7.2246, 7.2223) * CHOOSE(CONTROL!$C$15, $D$11, 100%, $F$11)</f>
        <v>7.2245999999999997</v>
      </c>
      <c r="I129" s="8">
        <f>CHOOSE( CONTROL!$C$32, 6.2696, 6.2674) * CHOOSE(CONTROL!$C$15, $D$11, 100%, $F$11)</f>
        <v>6.2695999999999996</v>
      </c>
      <c r="J129" s="4">
        <f>CHOOSE( CONTROL!$C$32, 6.1568, 6.1546) * CHOOSE(CONTROL!$C$15, $D$11, 100%, $F$11)</f>
        <v>6.1567999999999996</v>
      </c>
      <c r="K129" s="4"/>
      <c r="L129" s="9">
        <v>30.7165</v>
      </c>
      <c r="M129" s="9">
        <v>12.063700000000001</v>
      </c>
      <c r="N129" s="9">
        <v>4.9444999999999997</v>
      </c>
      <c r="O129" s="9">
        <v>0.37409999999999999</v>
      </c>
      <c r="P129" s="9">
        <v>1.2183999999999999</v>
      </c>
      <c r="Q129" s="9">
        <v>32.440300000000001</v>
      </c>
      <c r="R129" s="9"/>
      <c r="S129" s="11"/>
    </row>
    <row r="130" spans="1:19" ht="15.75">
      <c r="A130" s="13">
        <v>45444</v>
      </c>
      <c r="B130" s="8">
        <f>CHOOSE( CONTROL!$C$32, 6.3401, 6.3377) * CHOOSE(CONTROL!$C$15, $D$11, 100%, $F$11)</f>
        <v>6.3400999999999996</v>
      </c>
      <c r="C130" s="8">
        <f>CHOOSE( CONTROL!$C$32, 6.3481, 6.3458) * CHOOSE(CONTROL!$C$15, $D$11, 100%, $F$11)</f>
        <v>6.3480999999999996</v>
      </c>
      <c r="D130" s="8">
        <f>CHOOSE( CONTROL!$C$32, 6.3735, 6.3712) * CHOOSE( CONTROL!$C$15, $D$11, 100%, $F$11)</f>
        <v>6.3734999999999999</v>
      </c>
      <c r="E130" s="12">
        <f>CHOOSE( CONTROL!$C$32, 6.3631, 6.3608) * CHOOSE( CONTROL!$C$15, $D$11, 100%, $F$11)</f>
        <v>6.3631000000000002</v>
      </c>
      <c r="F130" s="4">
        <f>CHOOSE( CONTROL!$C$32, 7.0535, 7.0511) * CHOOSE(CONTROL!$C$15, $D$11, 100%, $F$11)</f>
        <v>7.0534999999999997</v>
      </c>
      <c r="G130" s="8">
        <f>CHOOSE( CONTROL!$C$32, 6.1759, 6.1736) * CHOOSE( CONTROL!$C$15, $D$11, 100%, $F$11)</f>
        <v>6.1759000000000004</v>
      </c>
      <c r="H130" s="4">
        <f>CHOOSE( CONTROL!$C$32, 7.1239, 7.1216) * CHOOSE(CONTROL!$C$15, $D$11, 100%, $F$11)</f>
        <v>7.1238999999999999</v>
      </c>
      <c r="I130" s="8">
        <f>CHOOSE( CONTROL!$C$32, 6.1716, 6.1694) * CHOOSE(CONTROL!$C$15, $D$11, 100%, $F$11)</f>
        <v>6.1715999999999998</v>
      </c>
      <c r="J130" s="4">
        <f>CHOOSE( CONTROL!$C$32, 6.0579, 6.0556) * CHOOSE(CONTROL!$C$15, $D$11, 100%, $F$11)</f>
        <v>6.0579000000000001</v>
      </c>
      <c r="K130" s="4"/>
      <c r="L130" s="9">
        <v>29.7257</v>
      </c>
      <c r="M130" s="9">
        <v>11.6745</v>
      </c>
      <c r="N130" s="9">
        <v>4.7850000000000001</v>
      </c>
      <c r="O130" s="9">
        <v>0.36199999999999999</v>
      </c>
      <c r="P130" s="9">
        <v>1.1791</v>
      </c>
      <c r="Q130" s="9">
        <v>31.393799999999999</v>
      </c>
      <c r="R130" s="9"/>
      <c r="S130" s="11"/>
    </row>
    <row r="131" spans="1:19" ht="15.75">
      <c r="A131" s="13">
        <v>45474</v>
      </c>
      <c r="B131" s="8">
        <f>CHOOSE( CONTROL!$C$32, 6.6115, 6.6091) * CHOOSE(CONTROL!$C$15, $D$11, 100%, $F$11)</f>
        <v>6.6115000000000004</v>
      </c>
      <c r="C131" s="8">
        <f>CHOOSE( CONTROL!$C$32, 6.6195, 6.6172) * CHOOSE(CONTROL!$C$15, $D$11, 100%, $F$11)</f>
        <v>6.6195000000000004</v>
      </c>
      <c r="D131" s="8">
        <f>CHOOSE( CONTROL!$C$32, 6.6452, 6.6429) * CHOOSE( CONTROL!$C$15, $D$11, 100%, $F$11)</f>
        <v>6.6452</v>
      </c>
      <c r="E131" s="12">
        <f>CHOOSE( CONTROL!$C$32, 6.6347, 6.6324) * CHOOSE( CONTROL!$C$15, $D$11, 100%, $F$11)</f>
        <v>6.6346999999999996</v>
      </c>
      <c r="F131" s="4">
        <f>CHOOSE( CONTROL!$C$32, 7.3249, 7.3226) * CHOOSE(CONTROL!$C$15, $D$11, 100%, $F$11)</f>
        <v>7.3249000000000004</v>
      </c>
      <c r="G131" s="8">
        <f>CHOOSE( CONTROL!$C$32, 6.4414, 6.4391) * CHOOSE( CONTROL!$C$15, $D$11, 100%, $F$11)</f>
        <v>6.4413999999999998</v>
      </c>
      <c r="H131" s="4">
        <f>CHOOSE( CONTROL!$C$32, 7.389, 7.3867) * CHOOSE(CONTROL!$C$15, $D$11, 100%, $F$11)</f>
        <v>7.3890000000000002</v>
      </c>
      <c r="I131" s="8">
        <f>CHOOSE( CONTROL!$C$32, 6.4335, 6.4313) * CHOOSE(CONTROL!$C$15, $D$11, 100%, $F$11)</f>
        <v>6.4335000000000004</v>
      </c>
      <c r="J131" s="4">
        <f>CHOOSE( CONTROL!$C$32, 6.3184, 6.3162) * CHOOSE(CONTROL!$C$15, $D$11, 100%, $F$11)</f>
        <v>6.3183999999999996</v>
      </c>
      <c r="K131" s="4"/>
      <c r="L131" s="9">
        <v>30.7165</v>
      </c>
      <c r="M131" s="9">
        <v>12.063700000000001</v>
      </c>
      <c r="N131" s="9">
        <v>4.9444999999999997</v>
      </c>
      <c r="O131" s="9">
        <v>0.37409999999999999</v>
      </c>
      <c r="P131" s="9">
        <v>1.2183999999999999</v>
      </c>
      <c r="Q131" s="9">
        <v>32.440300000000001</v>
      </c>
      <c r="R131" s="9"/>
      <c r="S131" s="11"/>
    </row>
    <row r="132" spans="1:19" ht="15.75">
      <c r="A132" s="13">
        <v>45505</v>
      </c>
      <c r="B132" s="8">
        <f>CHOOSE( CONTROL!$C$32, 6.1036, 6.1013) * CHOOSE(CONTROL!$C$15, $D$11, 100%, $F$11)</f>
        <v>6.1036000000000001</v>
      </c>
      <c r="C132" s="8">
        <f>CHOOSE( CONTROL!$C$32, 6.1117, 6.1094) * CHOOSE(CONTROL!$C$15, $D$11, 100%, $F$11)</f>
        <v>6.1116999999999999</v>
      </c>
      <c r="D132" s="8">
        <f>CHOOSE( CONTROL!$C$32, 6.1375, 6.1351) * CHOOSE( CONTROL!$C$15, $D$11, 100%, $F$11)</f>
        <v>6.1375000000000002</v>
      </c>
      <c r="E132" s="12">
        <f>CHOOSE( CONTROL!$C$32, 6.1269, 6.1246) * CHOOSE( CONTROL!$C$15, $D$11, 100%, $F$11)</f>
        <v>6.1269</v>
      </c>
      <c r="F132" s="4">
        <f>CHOOSE( CONTROL!$C$32, 6.8171, 6.8147) * CHOOSE(CONTROL!$C$15, $D$11, 100%, $F$11)</f>
        <v>6.8170999999999999</v>
      </c>
      <c r="G132" s="8">
        <f>CHOOSE( CONTROL!$C$32, 5.9455, 5.9432) * CHOOSE( CONTROL!$C$15, $D$11, 100%, $F$11)</f>
        <v>5.9455</v>
      </c>
      <c r="H132" s="4">
        <f>CHOOSE( CONTROL!$C$32, 6.893, 6.8907) * CHOOSE(CONTROL!$C$15, $D$11, 100%, $F$11)</f>
        <v>6.8929999999999998</v>
      </c>
      <c r="I132" s="8">
        <f>CHOOSE( CONTROL!$C$32, 5.9461, 5.9439) * CHOOSE(CONTROL!$C$15, $D$11, 100%, $F$11)</f>
        <v>5.9461000000000004</v>
      </c>
      <c r="J132" s="4">
        <f>CHOOSE( CONTROL!$C$32, 5.8309, 5.8286) * CHOOSE(CONTROL!$C$15, $D$11, 100%, $F$11)</f>
        <v>5.8308999999999997</v>
      </c>
      <c r="K132" s="4"/>
      <c r="L132" s="9">
        <v>30.7165</v>
      </c>
      <c r="M132" s="9">
        <v>12.063700000000001</v>
      </c>
      <c r="N132" s="9">
        <v>4.9444999999999997</v>
      </c>
      <c r="O132" s="9">
        <v>0.37409999999999999</v>
      </c>
      <c r="P132" s="9">
        <v>1.2183999999999999</v>
      </c>
      <c r="Q132" s="9">
        <v>32.440300000000001</v>
      </c>
      <c r="R132" s="9"/>
      <c r="S132" s="11"/>
    </row>
    <row r="133" spans="1:19" ht="15.75">
      <c r="A133" s="13">
        <v>45536</v>
      </c>
      <c r="B133" s="8">
        <f>CHOOSE( CONTROL!$C$32, 5.9765, 5.9741) * CHOOSE(CONTROL!$C$15, $D$11, 100%, $F$11)</f>
        <v>5.9764999999999997</v>
      </c>
      <c r="C133" s="8">
        <f>CHOOSE( CONTROL!$C$32, 5.9846, 5.9822) * CHOOSE(CONTROL!$C$15, $D$11, 100%, $F$11)</f>
        <v>5.9846000000000004</v>
      </c>
      <c r="D133" s="8">
        <f>CHOOSE( CONTROL!$C$32, 6.0103, 6.0079) * CHOOSE( CONTROL!$C$15, $D$11, 100%, $F$11)</f>
        <v>6.0103</v>
      </c>
      <c r="E133" s="12">
        <f>CHOOSE( CONTROL!$C$32, 5.9998, 5.9974) * CHOOSE( CONTROL!$C$15, $D$11, 100%, $F$11)</f>
        <v>5.9997999999999996</v>
      </c>
      <c r="F133" s="4">
        <f>CHOOSE( CONTROL!$C$32, 6.6899, 6.6876) * CHOOSE(CONTROL!$C$15, $D$11, 100%, $F$11)</f>
        <v>6.6898999999999997</v>
      </c>
      <c r="G133" s="8">
        <f>CHOOSE( CONTROL!$C$32, 5.8213, 5.819) * CHOOSE( CONTROL!$C$15, $D$11, 100%, $F$11)</f>
        <v>5.8212999999999999</v>
      </c>
      <c r="H133" s="4">
        <f>CHOOSE( CONTROL!$C$32, 6.7688, 6.7665) * CHOOSE(CONTROL!$C$15, $D$11, 100%, $F$11)</f>
        <v>6.7687999999999997</v>
      </c>
      <c r="I133" s="8">
        <f>CHOOSE( CONTROL!$C$32, 5.8238, 5.8216) * CHOOSE(CONTROL!$C$15, $D$11, 100%, $F$11)</f>
        <v>5.8238000000000003</v>
      </c>
      <c r="J133" s="4">
        <f>CHOOSE( CONTROL!$C$32, 5.7088, 5.7065) * CHOOSE(CONTROL!$C$15, $D$11, 100%, $F$11)</f>
        <v>5.7088000000000001</v>
      </c>
      <c r="K133" s="4"/>
      <c r="L133" s="9">
        <v>29.7257</v>
      </c>
      <c r="M133" s="9">
        <v>11.6745</v>
      </c>
      <c r="N133" s="9">
        <v>4.7850000000000001</v>
      </c>
      <c r="O133" s="9">
        <v>0.36199999999999999</v>
      </c>
      <c r="P133" s="9">
        <v>1.1791</v>
      </c>
      <c r="Q133" s="9">
        <v>31.393799999999999</v>
      </c>
      <c r="R133" s="9"/>
      <c r="S133" s="11"/>
    </row>
    <row r="134" spans="1:19" ht="15.75">
      <c r="A134" s="13">
        <v>45566</v>
      </c>
      <c r="B134" s="8">
        <f>6.2364 * CHOOSE(CONTROL!$C$15, $D$11, 100%, $F$11)</f>
        <v>6.2363999999999997</v>
      </c>
      <c r="C134" s="8">
        <f>6.2419 * CHOOSE(CONTROL!$C$15, $D$11, 100%, $F$11)</f>
        <v>6.2419000000000002</v>
      </c>
      <c r="D134" s="8">
        <f>6.2727 * CHOOSE( CONTROL!$C$15, $D$11, 100%, $F$11)</f>
        <v>6.2727000000000004</v>
      </c>
      <c r="E134" s="12">
        <f>6.2619 * CHOOSE( CONTROL!$C$15, $D$11, 100%, $F$11)</f>
        <v>6.2618999999999998</v>
      </c>
      <c r="F134" s="4">
        <f>6.9516 * CHOOSE(CONTROL!$C$15, $D$11, 100%, $F$11)</f>
        <v>6.9516</v>
      </c>
      <c r="G134" s="8">
        <f>6.0766 * CHOOSE( CONTROL!$C$15, $D$11, 100%, $F$11)</f>
        <v>6.0766</v>
      </c>
      <c r="H134" s="4">
        <f>7.0244 * CHOOSE(CONTROL!$C$15, $D$11, 100%, $F$11)</f>
        <v>7.0244</v>
      </c>
      <c r="I134" s="8">
        <f>6.0761 * CHOOSE(CONTROL!$C$15, $D$11, 100%, $F$11)</f>
        <v>6.0761000000000003</v>
      </c>
      <c r="J134" s="4">
        <f>5.96 * CHOOSE(CONTROL!$C$15, $D$11, 100%, $F$11)</f>
        <v>5.96</v>
      </c>
      <c r="K134" s="4"/>
      <c r="L134" s="9">
        <v>31.095300000000002</v>
      </c>
      <c r="M134" s="9">
        <v>12.063700000000001</v>
      </c>
      <c r="N134" s="9">
        <v>4.9444999999999997</v>
      </c>
      <c r="O134" s="9">
        <v>0.37409999999999999</v>
      </c>
      <c r="P134" s="9">
        <v>1.2183999999999999</v>
      </c>
      <c r="Q134" s="9">
        <v>32.440300000000001</v>
      </c>
      <c r="R134" s="9"/>
      <c r="S134" s="11"/>
    </row>
    <row r="135" spans="1:19" ht="15.75">
      <c r="A135" s="13">
        <v>45597</v>
      </c>
      <c r="B135" s="8">
        <f>6.7234 * CHOOSE(CONTROL!$C$15, $D$11, 100%, $F$11)</f>
        <v>6.7233999999999998</v>
      </c>
      <c r="C135" s="8">
        <f>6.7286 * CHOOSE(CONTROL!$C$15, $D$11, 100%, $F$11)</f>
        <v>6.7286000000000001</v>
      </c>
      <c r="D135" s="8">
        <f>6.7116 * CHOOSE( CONTROL!$C$15, $D$11, 100%, $F$11)</f>
        <v>6.7115999999999998</v>
      </c>
      <c r="E135" s="12">
        <f>6.7173 * CHOOSE( CONTROL!$C$15, $D$11, 100%, $F$11)</f>
        <v>6.7172999999999998</v>
      </c>
      <c r="F135" s="4">
        <f>7.3739 * CHOOSE(CONTROL!$C$15, $D$11, 100%, $F$11)</f>
        <v>7.3738999999999999</v>
      </c>
      <c r="G135" s="8">
        <f>6.5588 * CHOOSE( CONTROL!$C$15, $D$11, 100%, $F$11)</f>
        <v>6.5587999999999997</v>
      </c>
      <c r="H135" s="4">
        <f>7.4368 * CHOOSE(CONTROL!$C$15, $D$11, 100%, $F$11)</f>
        <v>7.4367999999999999</v>
      </c>
      <c r="I135" s="8">
        <f>6.586 * CHOOSE(CONTROL!$C$15, $D$11, 100%, $F$11)</f>
        <v>6.5860000000000003</v>
      </c>
      <c r="J135" s="4">
        <f>6.428 * CHOOSE(CONTROL!$C$15, $D$11, 100%, $F$11)</f>
        <v>6.4279999999999999</v>
      </c>
      <c r="K135" s="4"/>
      <c r="L135" s="9">
        <v>28.360600000000002</v>
      </c>
      <c r="M135" s="9">
        <v>11.6745</v>
      </c>
      <c r="N135" s="9">
        <v>4.7850000000000001</v>
      </c>
      <c r="O135" s="9">
        <v>0.36199999999999999</v>
      </c>
      <c r="P135" s="9">
        <v>1.2509999999999999</v>
      </c>
      <c r="Q135" s="9">
        <v>31.393799999999999</v>
      </c>
      <c r="R135" s="9"/>
      <c r="S135" s="11"/>
    </row>
    <row r="136" spans="1:19" ht="15.75">
      <c r="A136" s="13">
        <v>45627</v>
      </c>
      <c r="B136" s="8">
        <f>6.7112 * CHOOSE(CONTROL!$C$15, $D$11, 100%, $F$11)</f>
        <v>6.7111999999999998</v>
      </c>
      <c r="C136" s="8">
        <f>6.7164 * CHOOSE(CONTROL!$C$15, $D$11, 100%, $F$11)</f>
        <v>6.7164000000000001</v>
      </c>
      <c r="D136" s="8">
        <f>6.7009 * CHOOSE( CONTROL!$C$15, $D$11, 100%, $F$11)</f>
        <v>6.7008999999999999</v>
      </c>
      <c r="E136" s="12">
        <f>6.706 * CHOOSE( CONTROL!$C$15, $D$11, 100%, $F$11)</f>
        <v>6.7060000000000004</v>
      </c>
      <c r="F136" s="4">
        <f>7.3617 * CHOOSE(CONTROL!$C$15, $D$11, 100%, $F$11)</f>
        <v>7.3616999999999999</v>
      </c>
      <c r="G136" s="8">
        <f>6.548 * CHOOSE( CONTROL!$C$15, $D$11, 100%, $F$11)</f>
        <v>6.548</v>
      </c>
      <c r="H136" s="4">
        <f>7.4249 * CHOOSE(CONTROL!$C$15, $D$11, 100%, $F$11)</f>
        <v>7.4249000000000001</v>
      </c>
      <c r="I136" s="8">
        <f>6.5791 * CHOOSE(CONTROL!$C$15, $D$11, 100%, $F$11)</f>
        <v>6.5791000000000004</v>
      </c>
      <c r="J136" s="4">
        <f>6.4163 * CHOOSE(CONTROL!$C$15, $D$11, 100%, $F$11)</f>
        <v>6.4162999999999997</v>
      </c>
      <c r="K136" s="4"/>
      <c r="L136" s="9">
        <v>29.306000000000001</v>
      </c>
      <c r="M136" s="9">
        <v>12.063700000000001</v>
      </c>
      <c r="N136" s="9">
        <v>4.9444999999999997</v>
      </c>
      <c r="O136" s="9">
        <v>0.37409999999999999</v>
      </c>
      <c r="P136" s="9">
        <v>1.2927</v>
      </c>
      <c r="Q136" s="9">
        <v>32.440300000000001</v>
      </c>
      <c r="R136" s="9"/>
      <c r="S136" s="11"/>
    </row>
    <row r="137" spans="1:19" ht="15.75">
      <c r="A137" s="13">
        <v>45658</v>
      </c>
      <c r="B137" s="8">
        <f>6.9519 * CHOOSE(CONTROL!$C$15, $D$11, 100%, $F$11)</f>
        <v>6.9519000000000002</v>
      </c>
      <c r="C137" s="8">
        <f>6.9571 * CHOOSE(CONTROL!$C$15, $D$11, 100%, $F$11)</f>
        <v>6.9570999999999996</v>
      </c>
      <c r="D137" s="8">
        <f>6.9373 * CHOOSE( CONTROL!$C$15, $D$11, 100%, $F$11)</f>
        <v>6.9372999999999996</v>
      </c>
      <c r="E137" s="12">
        <f>6.944 * CHOOSE( CONTROL!$C$15, $D$11, 100%, $F$11)</f>
        <v>6.944</v>
      </c>
      <c r="F137" s="4">
        <f>7.6024 * CHOOSE(CONTROL!$C$15, $D$11, 100%, $F$11)</f>
        <v>7.6024000000000003</v>
      </c>
      <c r="G137" s="8">
        <f>6.7739 * CHOOSE( CONTROL!$C$15, $D$11, 100%, $F$11)</f>
        <v>6.7739000000000003</v>
      </c>
      <c r="H137" s="4">
        <f>7.6601 * CHOOSE(CONTROL!$C$15, $D$11, 100%, $F$11)</f>
        <v>7.6600999999999999</v>
      </c>
      <c r="I137" s="8">
        <f>6.7694 * CHOOSE(CONTROL!$C$15, $D$11, 100%, $F$11)</f>
        <v>6.7694000000000001</v>
      </c>
      <c r="J137" s="4">
        <f>6.6474 * CHOOSE(CONTROL!$C$15, $D$11, 100%, $F$11)</f>
        <v>6.6474000000000002</v>
      </c>
      <c r="K137" s="4"/>
      <c r="L137" s="9">
        <v>29.306000000000001</v>
      </c>
      <c r="M137" s="9">
        <v>12.063700000000001</v>
      </c>
      <c r="N137" s="9">
        <v>4.9444999999999997</v>
      </c>
      <c r="O137" s="9">
        <v>0.37409999999999999</v>
      </c>
      <c r="P137" s="9">
        <v>1.2927</v>
      </c>
      <c r="Q137" s="9">
        <v>32.254300000000001</v>
      </c>
      <c r="R137" s="9"/>
      <c r="S137" s="11"/>
    </row>
    <row r="138" spans="1:19" ht="15.75">
      <c r="A138" s="13">
        <v>45689</v>
      </c>
      <c r="B138" s="8">
        <f>6.5043 * CHOOSE(CONTROL!$C$15, $D$11, 100%, $F$11)</f>
        <v>6.5042999999999997</v>
      </c>
      <c r="C138" s="8">
        <f>6.5095 * CHOOSE(CONTROL!$C$15, $D$11, 100%, $F$11)</f>
        <v>6.5095000000000001</v>
      </c>
      <c r="D138" s="8">
        <f>6.4896 * CHOOSE( CONTROL!$C$15, $D$11, 100%, $F$11)</f>
        <v>6.4896000000000003</v>
      </c>
      <c r="E138" s="12">
        <f>6.4963 * CHOOSE( CONTROL!$C$15, $D$11, 100%, $F$11)</f>
        <v>6.4962999999999997</v>
      </c>
      <c r="F138" s="4">
        <f>7.1548 * CHOOSE(CONTROL!$C$15, $D$11, 100%, $F$11)</f>
        <v>7.1547999999999998</v>
      </c>
      <c r="G138" s="8">
        <f>6.3367 * CHOOSE( CONTROL!$C$15, $D$11, 100%, $F$11)</f>
        <v>6.3367000000000004</v>
      </c>
      <c r="H138" s="4">
        <f>7.2229 * CHOOSE(CONTROL!$C$15, $D$11, 100%, $F$11)</f>
        <v>7.2229000000000001</v>
      </c>
      <c r="I138" s="8">
        <f>6.3393 * CHOOSE(CONTROL!$C$15, $D$11, 100%, $F$11)</f>
        <v>6.3392999999999997</v>
      </c>
      <c r="J138" s="4">
        <f>6.2176 * CHOOSE(CONTROL!$C$15, $D$11, 100%, $F$11)</f>
        <v>6.2176</v>
      </c>
      <c r="K138" s="4"/>
      <c r="L138" s="9">
        <v>26.469899999999999</v>
      </c>
      <c r="M138" s="9">
        <v>10.8962</v>
      </c>
      <c r="N138" s="9">
        <v>4.4660000000000002</v>
      </c>
      <c r="O138" s="9">
        <v>0.33789999999999998</v>
      </c>
      <c r="P138" s="9">
        <v>1.1676</v>
      </c>
      <c r="Q138" s="9">
        <v>29.132899999999999</v>
      </c>
      <c r="R138" s="9"/>
      <c r="S138" s="11"/>
    </row>
    <row r="139" spans="1:19" ht="15.75">
      <c r="A139" s="13">
        <v>45717</v>
      </c>
      <c r="B139" s="8">
        <f>6.3665 * CHOOSE(CONTROL!$C$15, $D$11, 100%, $F$11)</f>
        <v>6.3665000000000003</v>
      </c>
      <c r="C139" s="8">
        <f>6.3717 * CHOOSE(CONTROL!$C$15, $D$11, 100%, $F$11)</f>
        <v>6.3716999999999997</v>
      </c>
      <c r="D139" s="8">
        <f>6.3514 * CHOOSE( CONTROL!$C$15, $D$11, 100%, $F$11)</f>
        <v>6.3513999999999999</v>
      </c>
      <c r="E139" s="12">
        <f>6.3583 * CHOOSE( CONTROL!$C$15, $D$11, 100%, $F$11)</f>
        <v>6.3582999999999998</v>
      </c>
      <c r="F139" s="4">
        <f>7.0169 * CHOOSE(CONTROL!$C$15, $D$11, 100%, $F$11)</f>
        <v>7.0168999999999997</v>
      </c>
      <c r="G139" s="8">
        <f>6.2018 * CHOOSE( CONTROL!$C$15, $D$11, 100%, $F$11)</f>
        <v>6.2018000000000004</v>
      </c>
      <c r="H139" s="4">
        <f>7.0882 * CHOOSE(CONTROL!$C$15, $D$11, 100%, $F$11)</f>
        <v>7.0881999999999996</v>
      </c>
      <c r="I139" s="8">
        <f>6.2058 * CHOOSE(CONTROL!$C$15, $D$11, 100%, $F$11)</f>
        <v>6.2058</v>
      </c>
      <c r="J139" s="4">
        <f>6.0853 * CHOOSE(CONTROL!$C$15, $D$11, 100%, $F$11)</f>
        <v>6.0853000000000002</v>
      </c>
      <c r="K139" s="4"/>
      <c r="L139" s="9">
        <v>29.306000000000001</v>
      </c>
      <c r="M139" s="9">
        <v>12.063700000000001</v>
      </c>
      <c r="N139" s="9">
        <v>4.9444999999999997</v>
      </c>
      <c r="O139" s="9">
        <v>0.37409999999999999</v>
      </c>
      <c r="P139" s="9">
        <v>1.2927</v>
      </c>
      <c r="Q139" s="9">
        <v>32.254300000000001</v>
      </c>
      <c r="R139" s="9"/>
      <c r="S139" s="11"/>
    </row>
    <row r="140" spans="1:19" ht="15.75">
      <c r="A140" s="13">
        <v>45748</v>
      </c>
      <c r="B140" s="8">
        <f>6.4636 * CHOOSE(CONTROL!$C$15, $D$11, 100%, $F$11)</f>
        <v>6.4635999999999996</v>
      </c>
      <c r="C140" s="8">
        <f>6.4682 * CHOOSE(CONTROL!$C$15, $D$11, 100%, $F$11)</f>
        <v>6.4682000000000004</v>
      </c>
      <c r="D140" s="8">
        <f>6.4987 * CHOOSE( CONTROL!$C$15, $D$11, 100%, $F$11)</f>
        <v>6.4987000000000004</v>
      </c>
      <c r="E140" s="12">
        <f>6.4881 * CHOOSE( CONTROL!$C$15, $D$11, 100%, $F$11)</f>
        <v>6.4881000000000002</v>
      </c>
      <c r="F140" s="4">
        <f>7.1784 * CHOOSE(CONTROL!$C$15, $D$11, 100%, $F$11)</f>
        <v>7.1783999999999999</v>
      </c>
      <c r="G140" s="8">
        <f>6.297 * CHOOSE( CONTROL!$C$15, $D$11, 100%, $F$11)</f>
        <v>6.2969999999999997</v>
      </c>
      <c r="H140" s="4">
        <f>7.2459 * CHOOSE(CONTROL!$C$15, $D$11, 100%, $F$11)</f>
        <v>7.2458999999999998</v>
      </c>
      <c r="I140" s="8">
        <f>6.2903 * CHOOSE(CONTROL!$C$15, $D$11, 100%, $F$11)</f>
        <v>6.2903000000000002</v>
      </c>
      <c r="J140" s="4">
        <f>6.1778 * CHOOSE(CONTROL!$C$15, $D$11, 100%, $F$11)</f>
        <v>6.1778000000000004</v>
      </c>
      <c r="K140" s="4"/>
      <c r="L140" s="9">
        <v>30.092199999999998</v>
      </c>
      <c r="M140" s="9">
        <v>11.6745</v>
      </c>
      <c r="N140" s="9">
        <v>4.7850000000000001</v>
      </c>
      <c r="O140" s="9">
        <v>0.36199999999999999</v>
      </c>
      <c r="P140" s="9">
        <v>1.1791</v>
      </c>
      <c r="Q140" s="9">
        <v>31.213799999999999</v>
      </c>
      <c r="R140" s="9"/>
      <c r="S140" s="11"/>
    </row>
    <row r="141" spans="1:19" ht="15.75">
      <c r="A141" s="13">
        <v>45778</v>
      </c>
      <c r="B141" s="8">
        <f>CHOOSE( CONTROL!$C$32, 6.6387, 6.6364) * CHOOSE(CONTROL!$C$15, $D$11, 100%, $F$11)</f>
        <v>6.6387</v>
      </c>
      <c r="C141" s="8">
        <f>CHOOSE( CONTROL!$C$32, 6.6468, 6.6445) * CHOOSE(CONTROL!$C$15, $D$11, 100%, $F$11)</f>
        <v>6.6467999999999998</v>
      </c>
      <c r="D141" s="8">
        <f>CHOOSE( CONTROL!$C$32, 6.672, 6.6697) * CHOOSE( CONTROL!$C$15, $D$11, 100%, $F$11)</f>
        <v>6.6719999999999997</v>
      </c>
      <c r="E141" s="12">
        <f>CHOOSE( CONTROL!$C$32, 6.6616, 6.6593) * CHOOSE( CONTROL!$C$15, $D$11, 100%, $F$11)</f>
        <v>6.6616</v>
      </c>
      <c r="F141" s="4">
        <f>CHOOSE( CONTROL!$C$32, 7.3522, 7.3498) * CHOOSE(CONTROL!$C$15, $D$11, 100%, $F$11)</f>
        <v>7.3521999999999998</v>
      </c>
      <c r="G141" s="8">
        <f>CHOOSE( CONTROL!$C$32, 6.4673, 6.465) * CHOOSE( CONTROL!$C$15, $D$11, 100%, $F$11)</f>
        <v>6.4672999999999998</v>
      </c>
      <c r="H141" s="4">
        <f>CHOOSE( CONTROL!$C$32, 7.4157, 7.4134) * CHOOSE(CONTROL!$C$15, $D$11, 100%, $F$11)</f>
        <v>7.4157000000000002</v>
      </c>
      <c r="I141" s="8">
        <f>CHOOSE( CONTROL!$C$32, 6.4576, 6.4553) * CHOOSE(CONTROL!$C$15, $D$11, 100%, $F$11)</f>
        <v>6.4576000000000002</v>
      </c>
      <c r="J141" s="4">
        <f>CHOOSE( CONTROL!$C$32, 6.3446, 6.3424) * CHOOSE(CONTROL!$C$15, $D$11, 100%, $F$11)</f>
        <v>6.3445999999999998</v>
      </c>
      <c r="K141" s="4"/>
      <c r="L141" s="9">
        <v>30.7165</v>
      </c>
      <c r="M141" s="9">
        <v>12.063700000000001</v>
      </c>
      <c r="N141" s="9">
        <v>4.9444999999999997</v>
      </c>
      <c r="O141" s="9">
        <v>0.37409999999999999</v>
      </c>
      <c r="P141" s="9">
        <v>1.2183999999999999</v>
      </c>
      <c r="Q141" s="9">
        <v>32.254300000000001</v>
      </c>
      <c r="R141" s="9"/>
      <c r="S141" s="11"/>
    </row>
    <row r="142" spans="1:19" ht="15.75">
      <c r="A142" s="13">
        <v>45809</v>
      </c>
      <c r="B142" s="8">
        <f>CHOOSE( CONTROL!$C$32, 6.5325, 6.5302) * CHOOSE(CONTROL!$C$15, $D$11, 100%, $F$11)</f>
        <v>6.5324999999999998</v>
      </c>
      <c r="C142" s="8">
        <f>CHOOSE( CONTROL!$C$32, 6.5406, 6.5383) * CHOOSE(CONTROL!$C$15, $D$11, 100%, $F$11)</f>
        <v>6.5406000000000004</v>
      </c>
      <c r="D142" s="8">
        <f>CHOOSE( CONTROL!$C$32, 6.566, 6.5637) * CHOOSE( CONTROL!$C$15, $D$11, 100%, $F$11)</f>
        <v>6.5659999999999998</v>
      </c>
      <c r="E142" s="12">
        <f>CHOOSE( CONTROL!$C$32, 6.5556, 6.5533) * CHOOSE( CONTROL!$C$15, $D$11, 100%, $F$11)</f>
        <v>6.5556000000000001</v>
      </c>
      <c r="F142" s="4">
        <f>CHOOSE( CONTROL!$C$32, 7.246, 7.2436) * CHOOSE(CONTROL!$C$15, $D$11, 100%, $F$11)</f>
        <v>7.2460000000000004</v>
      </c>
      <c r="G142" s="8">
        <f>CHOOSE( CONTROL!$C$32, 6.3639, 6.3616) * CHOOSE( CONTROL!$C$15, $D$11, 100%, $F$11)</f>
        <v>6.3639000000000001</v>
      </c>
      <c r="H142" s="4">
        <f>CHOOSE( CONTROL!$C$32, 7.3119, 7.3096) * CHOOSE(CONTROL!$C$15, $D$11, 100%, $F$11)</f>
        <v>7.3118999999999996</v>
      </c>
      <c r="I142" s="8">
        <f>CHOOSE( CONTROL!$C$32, 6.3565, 6.3543) * CHOOSE(CONTROL!$C$15, $D$11, 100%, $F$11)</f>
        <v>6.3564999999999996</v>
      </c>
      <c r="J142" s="4">
        <f>CHOOSE( CONTROL!$C$32, 6.2427, 6.2404) * CHOOSE(CONTROL!$C$15, $D$11, 100%, $F$11)</f>
        <v>6.2427000000000001</v>
      </c>
      <c r="K142" s="4"/>
      <c r="L142" s="9">
        <v>29.7257</v>
      </c>
      <c r="M142" s="9">
        <v>11.6745</v>
      </c>
      <c r="N142" s="9">
        <v>4.7850000000000001</v>
      </c>
      <c r="O142" s="9">
        <v>0.36199999999999999</v>
      </c>
      <c r="P142" s="9">
        <v>1.1791</v>
      </c>
      <c r="Q142" s="9">
        <v>31.213799999999999</v>
      </c>
      <c r="R142" s="9"/>
      <c r="S142" s="11"/>
    </row>
    <row r="143" spans="1:19" ht="15.75">
      <c r="A143" s="13">
        <v>45839</v>
      </c>
      <c r="B143" s="8">
        <f>CHOOSE( CONTROL!$C$32, 6.8122, 6.8099) * CHOOSE(CONTROL!$C$15, $D$11, 100%, $F$11)</f>
        <v>6.8121999999999998</v>
      </c>
      <c r="C143" s="8">
        <f>CHOOSE( CONTROL!$C$32, 6.8203, 6.818) * CHOOSE(CONTROL!$C$15, $D$11, 100%, $F$11)</f>
        <v>6.8202999999999996</v>
      </c>
      <c r="D143" s="8">
        <f>CHOOSE( CONTROL!$C$32, 6.846, 6.8436) * CHOOSE( CONTROL!$C$15, $D$11, 100%, $F$11)</f>
        <v>6.8460000000000001</v>
      </c>
      <c r="E143" s="12">
        <f>CHOOSE( CONTROL!$C$32, 6.8355, 6.8331) * CHOOSE( CONTROL!$C$15, $D$11, 100%, $F$11)</f>
        <v>6.8354999999999997</v>
      </c>
      <c r="F143" s="4">
        <f>CHOOSE( CONTROL!$C$32, 7.5256, 7.5233) * CHOOSE(CONTROL!$C$15, $D$11, 100%, $F$11)</f>
        <v>7.5255999999999998</v>
      </c>
      <c r="G143" s="8">
        <f>CHOOSE( CONTROL!$C$32, 6.6375, 6.6352) * CHOOSE( CONTROL!$C$15, $D$11, 100%, $F$11)</f>
        <v>6.6375000000000002</v>
      </c>
      <c r="H143" s="4">
        <f>CHOOSE( CONTROL!$C$32, 7.5851, 7.5828) * CHOOSE(CONTROL!$C$15, $D$11, 100%, $F$11)</f>
        <v>7.5850999999999997</v>
      </c>
      <c r="I143" s="8">
        <f>CHOOSE( CONTROL!$C$32, 6.6264, 6.6241) * CHOOSE(CONTROL!$C$15, $D$11, 100%, $F$11)</f>
        <v>6.6264000000000003</v>
      </c>
      <c r="J143" s="4">
        <f>CHOOSE( CONTROL!$C$32, 6.5112, 6.5089) * CHOOSE(CONTROL!$C$15, $D$11, 100%, $F$11)</f>
        <v>6.5111999999999997</v>
      </c>
      <c r="K143" s="4"/>
      <c r="L143" s="9">
        <v>30.7165</v>
      </c>
      <c r="M143" s="9">
        <v>12.063700000000001</v>
      </c>
      <c r="N143" s="9">
        <v>4.9444999999999997</v>
      </c>
      <c r="O143" s="9">
        <v>0.37409999999999999</v>
      </c>
      <c r="P143" s="9">
        <v>1.2183999999999999</v>
      </c>
      <c r="Q143" s="9">
        <v>32.254300000000001</v>
      </c>
      <c r="R143" s="9"/>
      <c r="S143" s="11"/>
    </row>
    <row r="144" spans="1:19" ht="15.75">
      <c r="A144" s="13">
        <v>45870</v>
      </c>
      <c r="B144" s="8">
        <f>CHOOSE( CONTROL!$C$32, 6.2889, 6.2865) * CHOOSE(CONTROL!$C$15, $D$11, 100%, $F$11)</f>
        <v>6.2888999999999999</v>
      </c>
      <c r="C144" s="8">
        <f>CHOOSE( CONTROL!$C$32, 6.297, 6.2946) * CHOOSE(CONTROL!$C$15, $D$11, 100%, $F$11)</f>
        <v>6.2969999999999997</v>
      </c>
      <c r="D144" s="8">
        <f>CHOOSE( CONTROL!$C$32, 6.3227, 6.3204) * CHOOSE( CONTROL!$C$15, $D$11, 100%, $F$11)</f>
        <v>6.3227000000000002</v>
      </c>
      <c r="E144" s="12">
        <f>CHOOSE( CONTROL!$C$32, 6.3122, 6.3098) * CHOOSE( CONTROL!$C$15, $D$11, 100%, $F$11)</f>
        <v>6.3121999999999998</v>
      </c>
      <c r="F144" s="4">
        <f>CHOOSE( CONTROL!$C$32, 7.0023, 7) * CHOOSE(CONTROL!$C$15, $D$11, 100%, $F$11)</f>
        <v>7.0023</v>
      </c>
      <c r="G144" s="8">
        <f>CHOOSE( CONTROL!$C$32, 6.1264, 6.1241) * CHOOSE( CONTROL!$C$15, $D$11, 100%, $F$11)</f>
        <v>6.1264000000000003</v>
      </c>
      <c r="H144" s="4">
        <f>CHOOSE( CONTROL!$C$32, 7.074, 7.0717) * CHOOSE(CONTROL!$C$15, $D$11, 100%, $F$11)</f>
        <v>7.0739999999999998</v>
      </c>
      <c r="I144" s="8">
        <f>CHOOSE( CONTROL!$C$32, 6.1241, 6.1218) * CHOOSE(CONTROL!$C$15, $D$11, 100%, $F$11)</f>
        <v>6.1241000000000003</v>
      </c>
      <c r="J144" s="4">
        <f>CHOOSE( CONTROL!$C$32, 6.0087, 6.0065) * CHOOSE(CONTROL!$C$15, $D$11, 100%, $F$11)</f>
        <v>6.0087000000000002</v>
      </c>
      <c r="K144" s="4"/>
      <c r="L144" s="9">
        <v>30.7165</v>
      </c>
      <c r="M144" s="9">
        <v>12.063700000000001</v>
      </c>
      <c r="N144" s="9">
        <v>4.9444999999999997</v>
      </c>
      <c r="O144" s="9">
        <v>0.37409999999999999</v>
      </c>
      <c r="P144" s="9">
        <v>1.2183999999999999</v>
      </c>
      <c r="Q144" s="9">
        <v>32.254300000000001</v>
      </c>
      <c r="R144" s="9"/>
      <c r="S144" s="11"/>
    </row>
    <row r="145" spans="1:19" ht="15.75">
      <c r="A145" s="13">
        <v>45901</v>
      </c>
      <c r="B145" s="8">
        <f>CHOOSE( CONTROL!$C$32, 6.1578, 6.1555) * CHOOSE(CONTROL!$C$15, $D$11, 100%, $F$11)</f>
        <v>6.1577999999999999</v>
      </c>
      <c r="C145" s="8">
        <f>CHOOSE( CONTROL!$C$32, 6.1659, 6.1636) * CHOOSE(CONTROL!$C$15, $D$11, 100%, $F$11)</f>
        <v>6.1658999999999997</v>
      </c>
      <c r="D145" s="8">
        <f>CHOOSE( CONTROL!$C$32, 6.1916, 6.1893) * CHOOSE( CONTROL!$C$15, $D$11, 100%, $F$11)</f>
        <v>6.1916000000000002</v>
      </c>
      <c r="E145" s="12">
        <f>CHOOSE( CONTROL!$C$32, 6.1811, 6.1788) * CHOOSE( CONTROL!$C$15, $D$11, 100%, $F$11)</f>
        <v>6.1810999999999998</v>
      </c>
      <c r="F145" s="4">
        <f>CHOOSE( CONTROL!$C$32, 6.8713, 6.8689) * CHOOSE(CONTROL!$C$15, $D$11, 100%, $F$11)</f>
        <v>6.8712999999999997</v>
      </c>
      <c r="G145" s="8">
        <f>CHOOSE( CONTROL!$C$32, 5.9984, 5.9961) * CHOOSE( CONTROL!$C$15, $D$11, 100%, $F$11)</f>
        <v>5.9984000000000002</v>
      </c>
      <c r="H145" s="4">
        <f>CHOOSE( CONTROL!$C$32, 6.946, 6.9437) * CHOOSE(CONTROL!$C$15, $D$11, 100%, $F$11)</f>
        <v>6.9459999999999997</v>
      </c>
      <c r="I145" s="8">
        <f>CHOOSE( CONTROL!$C$32, 5.9981, 5.9958) * CHOOSE(CONTROL!$C$15, $D$11, 100%, $F$11)</f>
        <v>5.9981</v>
      </c>
      <c r="J145" s="4">
        <f>CHOOSE( CONTROL!$C$32, 5.8829, 5.8807) * CHOOSE(CONTROL!$C$15, $D$11, 100%, $F$11)</f>
        <v>5.8829000000000002</v>
      </c>
      <c r="K145" s="4"/>
      <c r="L145" s="9">
        <v>29.7257</v>
      </c>
      <c r="M145" s="9">
        <v>11.6745</v>
      </c>
      <c r="N145" s="9">
        <v>4.7850000000000001</v>
      </c>
      <c r="O145" s="9">
        <v>0.36199999999999999</v>
      </c>
      <c r="P145" s="9">
        <v>1.1791</v>
      </c>
      <c r="Q145" s="9">
        <v>31.213799999999999</v>
      </c>
      <c r="R145" s="9"/>
      <c r="S145" s="11"/>
    </row>
    <row r="146" spans="1:19" ht="15.75">
      <c r="A146" s="13">
        <v>45931</v>
      </c>
      <c r="B146" s="8">
        <f>6.4259 * CHOOSE(CONTROL!$C$15, $D$11, 100%, $F$11)</f>
        <v>6.4259000000000004</v>
      </c>
      <c r="C146" s="8">
        <f>6.4313 * CHOOSE(CONTROL!$C$15, $D$11, 100%, $F$11)</f>
        <v>6.4313000000000002</v>
      </c>
      <c r="D146" s="8">
        <f>6.4621 * CHOOSE( CONTROL!$C$15, $D$11, 100%, $F$11)</f>
        <v>6.4621000000000004</v>
      </c>
      <c r="E146" s="12">
        <f>6.4514 * CHOOSE( CONTROL!$C$15, $D$11, 100%, $F$11)</f>
        <v>6.4513999999999996</v>
      </c>
      <c r="F146" s="4">
        <f>7.141 * CHOOSE(CONTROL!$C$15, $D$11, 100%, $F$11)</f>
        <v>7.141</v>
      </c>
      <c r="G146" s="8">
        <f>6.2617 * CHOOSE( CONTROL!$C$15, $D$11, 100%, $F$11)</f>
        <v>6.2617000000000003</v>
      </c>
      <c r="H146" s="4">
        <f>7.2094 * CHOOSE(CONTROL!$C$15, $D$11, 100%, $F$11)</f>
        <v>7.2093999999999996</v>
      </c>
      <c r="I146" s="8">
        <f>6.258 * CHOOSE(CONTROL!$C$15, $D$11, 100%, $F$11)</f>
        <v>6.258</v>
      </c>
      <c r="J146" s="4">
        <f>6.1419 * CHOOSE(CONTROL!$C$15, $D$11, 100%, $F$11)</f>
        <v>6.1418999999999997</v>
      </c>
      <c r="K146" s="4"/>
      <c r="L146" s="9">
        <v>31.095300000000002</v>
      </c>
      <c r="M146" s="9">
        <v>12.063700000000001</v>
      </c>
      <c r="N146" s="9">
        <v>4.9444999999999997</v>
      </c>
      <c r="O146" s="9">
        <v>0.37409999999999999</v>
      </c>
      <c r="P146" s="9">
        <v>1.2183999999999999</v>
      </c>
      <c r="Q146" s="9">
        <v>32.254300000000001</v>
      </c>
      <c r="R146" s="9"/>
      <c r="S146" s="11"/>
    </row>
    <row r="147" spans="1:19" ht="15.75">
      <c r="A147" s="13">
        <v>45962</v>
      </c>
      <c r="B147" s="8">
        <f>6.9277 * CHOOSE(CONTROL!$C$15, $D$11, 100%, $F$11)</f>
        <v>6.9276999999999997</v>
      </c>
      <c r="C147" s="8">
        <f>6.9329 * CHOOSE(CONTROL!$C$15, $D$11, 100%, $F$11)</f>
        <v>6.9329000000000001</v>
      </c>
      <c r="D147" s="8">
        <f>6.9159 * CHOOSE( CONTROL!$C$15, $D$11, 100%, $F$11)</f>
        <v>6.9158999999999997</v>
      </c>
      <c r="E147" s="12">
        <f>6.9216 * CHOOSE( CONTROL!$C$15, $D$11, 100%, $F$11)</f>
        <v>6.9215999999999998</v>
      </c>
      <c r="F147" s="4">
        <f>7.5782 * CHOOSE(CONTROL!$C$15, $D$11, 100%, $F$11)</f>
        <v>7.5781999999999998</v>
      </c>
      <c r="G147" s="8">
        <f>6.7584 * CHOOSE( CONTROL!$C$15, $D$11, 100%, $F$11)</f>
        <v>6.7584</v>
      </c>
      <c r="H147" s="4">
        <f>7.6364 * CHOOSE(CONTROL!$C$15, $D$11, 100%, $F$11)</f>
        <v>7.6364000000000001</v>
      </c>
      <c r="I147" s="8">
        <f>6.7823 * CHOOSE(CONTROL!$C$15, $D$11, 100%, $F$11)</f>
        <v>6.7823000000000002</v>
      </c>
      <c r="J147" s="4">
        <f>6.6241 * CHOOSE(CONTROL!$C$15, $D$11, 100%, $F$11)</f>
        <v>6.6241000000000003</v>
      </c>
      <c r="K147" s="4"/>
      <c r="L147" s="9">
        <v>28.360600000000002</v>
      </c>
      <c r="M147" s="9">
        <v>11.6745</v>
      </c>
      <c r="N147" s="9">
        <v>4.7850000000000001</v>
      </c>
      <c r="O147" s="9">
        <v>0.36199999999999999</v>
      </c>
      <c r="P147" s="9">
        <v>1.2509999999999999</v>
      </c>
      <c r="Q147" s="9">
        <v>31.213799999999999</v>
      </c>
      <c r="R147" s="9"/>
      <c r="S147" s="11"/>
    </row>
    <row r="148" spans="1:19" ht="15.75">
      <c r="A148" s="13">
        <v>45992</v>
      </c>
      <c r="B148" s="8">
        <f>6.9152 * CHOOSE(CONTROL!$C$15, $D$11, 100%, $F$11)</f>
        <v>6.9151999999999996</v>
      </c>
      <c r="C148" s="8">
        <f>6.9203 * CHOOSE(CONTROL!$C$15, $D$11, 100%, $F$11)</f>
        <v>6.9203000000000001</v>
      </c>
      <c r="D148" s="8">
        <f>6.9048 * CHOOSE( CONTROL!$C$15, $D$11, 100%, $F$11)</f>
        <v>6.9047999999999998</v>
      </c>
      <c r="E148" s="12">
        <f>6.9099 * CHOOSE( CONTROL!$C$15, $D$11, 100%, $F$11)</f>
        <v>6.9099000000000004</v>
      </c>
      <c r="F148" s="4">
        <f>7.5656 * CHOOSE(CONTROL!$C$15, $D$11, 100%, $F$11)</f>
        <v>7.5655999999999999</v>
      </c>
      <c r="G148" s="8">
        <f>6.7472 * CHOOSE( CONTROL!$C$15, $D$11, 100%, $F$11)</f>
        <v>6.7472000000000003</v>
      </c>
      <c r="H148" s="4">
        <f>7.6241 * CHOOSE(CONTROL!$C$15, $D$11, 100%, $F$11)</f>
        <v>7.6241000000000003</v>
      </c>
      <c r="I148" s="8">
        <f>6.7749 * CHOOSE(CONTROL!$C$15, $D$11, 100%, $F$11)</f>
        <v>6.7748999999999997</v>
      </c>
      <c r="J148" s="4">
        <f>6.6121 * CHOOSE(CONTROL!$C$15, $D$11, 100%, $F$11)</f>
        <v>6.6120999999999999</v>
      </c>
      <c r="K148" s="4"/>
      <c r="L148" s="9">
        <v>29.306000000000001</v>
      </c>
      <c r="M148" s="9">
        <v>12.063700000000001</v>
      </c>
      <c r="N148" s="9">
        <v>4.9444999999999997</v>
      </c>
      <c r="O148" s="9">
        <v>0.37409999999999999</v>
      </c>
      <c r="P148" s="9">
        <v>1.2927</v>
      </c>
      <c r="Q148" s="9">
        <v>32.254300000000001</v>
      </c>
      <c r="R148" s="9"/>
      <c r="S148" s="11"/>
    </row>
    <row r="149" spans="1:19" ht="15.75">
      <c r="A149" s="13">
        <v>46023</v>
      </c>
      <c r="B149" s="8">
        <f>7.1625 * CHOOSE(CONTROL!$C$15, $D$11, 100%, $F$11)</f>
        <v>7.1624999999999996</v>
      </c>
      <c r="C149" s="8">
        <f>7.1677 * CHOOSE(CONTROL!$C$15, $D$11, 100%, $F$11)</f>
        <v>7.1677</v>
      </c>
      <c r="D149" s="8">
        <f>7.1478 * CHOOSE( CONTROL!$C$15, $D$11, 100%, $F$11)</f>
        <v>7.1478000000000002</v>
      </c>
      <c r="E149" s="12">
        <f>7.1545 * CHOOSE( CONTROL!$C$15, $D$11, 100%, $F$11)</f>
        <v>7.1544999999999996</v>
      </c>
      <c r="F149" s="4">
        <f>7.8129 * CHOOSE(CONTROL!$C$15, $D$11, 100%, $F$11)</f>
        <v>7.8129</v>
      </c>
      <c r="G149" s="8">
        <f>6.9795 * CHOOSE( CONTROL!$C$15, $D$11, 100%, $F$11)</f>
        <v>6.9794999999999998</v>
      </c>
      <c r="H149" s="4">
        <f>7.8657 * CHOOSE(CONTROL!$C$15, $D$11, 100%, $F$11)</f>
        <v>7.8657000000000004</v>
      </c>
      <c r="I149" s="8">
        <f>6.9716 * CHOOSE(CONTROL!$C$15, $D$11, 100%, $F$11)</f>
        <v>6.9715999999999996</v>
      </c>
      <c r="J149" s="4">
        <f>6.8495 * CHOOSE(CONTROL!$C$15, $D$11, 100%, $F$11)</f>
        <v>6.8494999999999999</v>
      </c>
      <c r="K149" s="4"/>
      <c r="L149" s="9">
        <v>29.306000000000001</v>
      </c>
      <c r="M149" s="9">
        <v>12.063700000000001</v>
      </c>
      <c r="N149" s="9">
        <v>4.9444999999999997</v>
      </c>
      <c r="O149" s="9">
        <v>0.37409999999999999</v>
      </c>
      <c r="P149" s="9">
        <v>1.2927</v>
      </c>
      <c r="Q149" s="9">
        <v>32.070099999999996</v>
      </c>
      <c r="R149" s="9"/>
      <c r="S149" s="11"/>
    </row>
    <row r="150" spans="1:19" ht="15.75">
      <c r="A150" s="13">
        <v>46054</v>
      </c>
      <c r="B150" s="8">
        <f>6.7013 * CHOOSE(CONTROL!$C$15, $D$11, 100%, $F$11)</f>
        <v>6.7012999999999998</v>
      </c>
      <c r="C150" s="8">
        <f>6.7064 * CHOOSE(CONTROL!$C$15, $D$11, 100%, $F$11)</f>
        <v>6.7064000000000004</v>
      </c>
      <c r="D150" s="8">
        <f>6.6866 * CHOOSE( CONTROL!$C$15, $D$11, 100%, $F$11)</f>
        <v>6.6866000000000003</v>
      </c>
      <c r="E150" s="12">
        <f>6.6933 * CHOOSE( CONTROL!$C$15, $D$11, 100%, $F$11)</f>
        <v>6.6932999999999998</v>
      </c>
      <c r="F150" s="4">
        <f>7.3517 * CHOOSE(CONTROL!$C$15, $D$11, 100%, $F$11)</f>
        <v>7.3517000000000001</v>
      </c>
      <c r="G150" s="8">
        <f>6.529 * CHOOSE( CONTROL!$C$15, $D$11, 100%, $F$11)</f>
        <v>6.5289999999999999</v>
      </c>
      <c r="H150" s="4">
        <f>7.4152 * CHOOSE(CONTROL!$C$15, $D$11, 100%, $F$11)</f>
        <v>7.4151999999999996</v>
      </c>
      <c r="I150" s="8">
        <f>6.5285 * CHOOSE(CONTROL!$C$15, $D$11, 100%, $F$11)</f>
        <v>6.5285000000000002</v>
      </c>
      <c r="J150" s="4">
        <f>6.4067 * CHOOSE(CONTROL!$C$15, $D$11, 100%, $F$11)</f>
        <v>6.4066999999999998</v>
      </c>
      <c r="K150" s="4"/>
      <c r="L150" s="9">
        <v>26.469899999999999</v>
      </c>
      <c r="M150" s="9">
        <v>10.8962</v>
      </c>
      <c r="N150" s="9">
        <v>4.4660000000000002</v>
      </c>
      <c r="O150" s="9">
        <v>0.33789999999999998</v>
      </c>
      <c r="P150" s="9">
        <v>1.1676</v>
      </c>
      <c r="Q150" s="9">
        <v>28.9666</v>
      </c>
      <c r="R150" s="9"/>
      <c r="S150" s="11"/>
    </row>
    <row r="151" spans="1:19" ht="15.75">
      <c r="A151" s="13">
        <v>46082</v>
      </c>
      <c r="B151" s="8">
        <f>6.5592 * CHOOSE(CONTROL!$C$15, $D$11, 100%, $F$11)</f>
        <v>6.5591999999999997</v>
      </c>
      <c r="C151" s="8">
        <f>6.5644 * CHOOSE(CONTROL!$C$15, $D$11, 100%, $F$11)</f>
        <v>6.5644</v>
      </c>
      <c r="D151" s="8">
        <f>6.5442 * CHOOSE( CONTROL!$C$15, $D$11, 100%, $F$11)</f>
        <v>6.5442</v>
      </c>
      <c r="E151" s="12">
        <f>6.551 * CHOOSE( CONTROL!$C$15, $D$11, 100%, $F$11)</f>
        <v>6.5510000000000002</v>
      </c>
      <c r="F151" s="4">
        <f>7.2097 * CHOOSE(CONTROL!$C$15, $D$11, 100%, $F$11)</f>
        <v>7.2096999999999998</v>
      </c>
      <c r="G151" s="8">
        <f>6.39 * CHOOSE( CONTROL!$C$15, $D$11, 100%, $F$11)</f>
        <v>6.39</v>
      </c>
      <c r="H151" s="4">
        <f>7.2765 * CHOOSE(CONTROL!$C$15, $D$11, 100%, $F$11)</f>
        <v>7.2765000000000004</v>
      </c>
      <c r="I151" s="8">
        <f>6.3909 * CHOOSE(CONTROL!$C$15, $D$11, 100%, $F$11)</f>
        <v>6.3909000000000002</v>
      </c>
      <c r="J151" s="4">
        <f>6.2703 * CHOOSE(CONTROL!$C$15, $D$11, 100%, $F$11)</f>
        <v>6.2702999999999998</v>
      </c>
      <c r="K151" s="4"/>
      <c r="L151" s="9">
        <v>29.306000000000001</v>
      </c>
      <c r="M151" s="9">
        <v>12.063700000000001</v>
      </c>
      <c r="N151" s="9">
        <v>4.9444999999999997</v>
      </c>
      <c r="O151" s="9">
        <v>0.37409999999999999</v>
      </c>
      <c r="P151" s="9">
        <v>1.2927</v>
      </c>
      <c r="Q151" s="9">
        <v>32.070099999999996</v>
      </c>
      <c r="R151" s="9"/>
      <c r="S151" s="11"/>
    </row>
    <row r="152" spans="1:19" ht="15.75">
      <c r="A152" s="13">
        <v>46113</v>
      </c>
      <c r="B152" s="8">
        <f>6.6592 * CHOOSE(CONTROL!$C$15, $D$11, 100%, $F$11)</f>
        <v>6.6592000000000002</v>
      </c>
      <c r="C152" s="8">
        <f>6.6639 * CHOOSE(CONTROL!$C$15, $D$11, 100%, $F$11)</f>
        <v>6.6638999999999999</v>
      </c>
      <c r="D152" s="8">
        <f>6.6944 * CHOOSE( CONTROL!$C$15, $D$11, 100%, $F$11)</f>
        <v>6.6943999999999999</v>
      </c>
      <c r="E152" s="12">
        <f>6.6838 * CHOOSE( CONTROL!$C$15, $D$11, 100%, $F$11)</f>
        <v>6.6837999999999997</v>
      </c>
      <c r="F152" s="4">
        <f>7.374 * CHOOSE(CONTROL!$C$15, $D$11, 100%, $F$11)</f>
        <v>7.3739999999999997</v>
      </c>
      <c r="G152" s="8">
        <f>6.4881 * CHOOSE( CONTROL!$C$15, $D$11, 100%, $F$11)</f>
        <v>6.4881000000000002</v>
      </c>
      <c r="H152" s="4">
        <f>7.437 * CHOOSE(CONTROL!$C$15, $D$11, 100%, $F$11)</f>
        <v>7.4370000000000003</v>
      </c>
      <c r="I152" s="8">
        <f>6.4783 * CHOOSE(CONTROL!$C$15, $D$11, 100%, $F$11)</f>
        <v>6.4782999999999999</v>
      </c>
      <c r="J152" s="4">
        <f>6.3656 * CHOOSE(CONTROL!$C$15, $D$11, 100%, $F$11)</f>
        <v>6.3655999999999997</v>
      </c>
      <c r="K152" s="4"/>
      <c r="L152" s="9">
        <v>30.092199999999998</v>
      </c>
      <c r="M152" s="9">
        <v>11.6745</v>
      </c>
      <c r="N152" s="9">
        <v>4.7850000000000001</v>
      </c>
      <c r="O152" s="9">
        <v>0.36199999999999999</v>
      </c>
      <c r="P152" s="9">
        <v>1.1791</v>
      </c>
      <c r="Q152" s="9">
        <v>31.035599999999999</v>
      </c>
      <c r="R152" s="9"/>
      <c r="S152" s="11"/>
    </row>
    <row r="153" spans="1:19" ht="15.75">
      <c r="A153" s="13">
        <v>46143</v>
      </c>
      <c r="B153" s="8">
        <f>CHOOSE( CONTROL!$C$32, 6.8396, 6.8373) * CHOOSE(CONTROL!$C$15, $D$11, 100%, $F$11)</f>
        <v>6.8395999999999999</v>
      </c>
      <c r="C153" s="8">
        <f>CHOOSE( CONTROL!$C$32, 6.8477, 6.8454) * CHOOSE(CONTROL!$C$15, $D$11, 100%, $F$11)</f>
        <v>6.8476999999999997</v>
      </c>
      <c r="D153" s="8">
        <f>CHOOSE( CONTROL!$C$32, 6.8729, 6.8705) * CHOOSE( CONTROL!$C$15, $D$11, 100%, $F$11)</f>
        <v>6.8728999999999996</v>
      </c>
      <c r="E153" s="12">
        <f>CHOOSE( CONTROL!$C$32, 6.8625, 6.8602) * CHOOSE( CONTROL!$C$15, $D$11, 100%, $F$11)</f>
        <v>6.8624999999999998</v>
      </c>
      <c r="F153" s="4">
        <f>CHOOSE( CONTROL!$C$32, 7.553, 7.5507) * CHOOSE(CONTROL!$C$15, $D$11, 100%, $F$11)</f>
        <v>7.5529999999999999</v>
      </c>
      <c r="G153" s="8">
        <f>CHOOSE( CONTROL!$C$32, 6.6635, 6.6612) * CHOOSE( CONTROL!$C$15, $D$11, 100%, $F$11)</f>
        <v>6.6635</v>
      </c>
      <c r="H153" s="4">
        <f>CHOOSE( CONTROL!$C$32, 7.6119, 7.6096) * CHOOSE(CONTROL!$C$15, $D$11, 100%, $F$11)</f>
        <v>7.6119000000000003</v>
      </c>
      <c r="I153" s="8">
        <f>CHOOSE( CONTROL!$C$32, 6.6505, 6.6483) * CHOOSE(CONTROL!$C$15, $D$11, 100%, $F$11)</f>
        <v>6.6505000000000001</v>
      </c>
      <c r="J153" s="4">
        <f>CHOOSE( CONTROL!$C$32, 6.5375, 6.5352) * CHOOSE(CONTROL!$C$15, $D$11, 100%, $F$11)</f>
        <v>6.5374999999999996</v>
      </c>
      <c r="K153" s="4"/>
      <c r="L153" s="9">
        <v>30.7165</v>
      </c>
      <c r="M153" s="9">
        <v>12.063700000000001</v>
      </c>
      <c r="N153" s="9">
        <v>4.9444999999999997</v>
      </c>
      <c r="O153" s="9">
        <v>0.37409999999999999</v>
      </c>
      <c r="P153" s="9">
        <v>1.2183999999999999</v>
      </c>
      <c r="Q153" s="9">
        <v>32.070099999999996</v>
      </c>
      <c r="R153" s="9"/>
      <c r="S153" s="11"/>
    </row>
    <row r="154" spans="1:19" ht="15.75">
      <c r="A154" s="13">
        <v>46174</v>
      </c>
      <c r="B154" s="8">
        <f>CHOOSE( CONTROL!$C$32, 6.7302, 6.7278) * CHOOSE(CONTROL!$C$15, $D$11, 100%, $F$11)</f>
        <v>6.7302</v>
      </c>
      <c r="C154" s="8">
        <f>CHOOSE( CONTROL!$C$32, 6.7383, 6.7359) * CHOOSE(CONTROL!$C$15, $D$11, 100%, $F$11)</f>
        <v>6.7382999999999997</v>
      </c>
      <c r="D154" s="8">
        <f>CHOOSE( CONTROL!$C$32, 6.7637, 6.7613) * CHOOSE( CONTROL!$C$15, $D$11, 100%, $F$11)</f>
        <v>6.7637</v>
      </c>
      <c r="E154" s="12">
        <f>CHOOSE( CONTROL!$C$32, 6.7533, 6.7509) * CHOOSE( CONTROL!$C$15, $D$11, 100%, $F$11)</f>
        <v>6.7533000000000003</v>
      </c>
      <c r="F154" s="4">
        <f>CHOOSE( CONTROL!$C$32, 7.4436, 7.4413) * CHOOSE(CONTROL!$C$15, $D$11, 100%, $F$11)</f>
        <v>7.4436</v>
      </c>
      <c r="G154" s="8">
        <f>CHOOSE( CONTROL!$C$32, 6.5569, 6.5547) * CHOOSE( CONTROL!$C$15, $D$11, 100%, $F$11)</f>
        <v>6.5568999999999997</v>
      </c>
      <c r="H154" s="4">
        <f>CHOOSE( CONTROL!$C$32, 7.505, 7.5027) * CHOOSE(CONTROL!$C$15, $D$11, 100%, $F$11)</f>
        <v>7.5049999999999999</v>
      </c>
      <c r="I154" s="8">
        <f>CHOOSE( CONTROL!$C$32, 6.5464, 6.5441) * CHOOSE(CONTROL!$C$15, $D$11, 100%, $F$11)</f>
        <v>6.5464000000000002</v>
      </c>
      <c r="J154" s="4">
        <f>CHOOSE( CONTROL!$C$32, 6.4324, 6.4302) * CHOOSE(CONTROL!$C$15, $D$11, 100%, $F$11)</f>
        <v>6.4324000000000003</v>
      </c>
      <c r="K154" s="4"/>
      <c r="L154" s="9">
        <v>29.7257</v>
      </c>
      <c r="M154" s="9">
        <v>11.6745</v>
      </c>
      <c r="N154" s="9">
        <v>4.7850000000000001</v>
      </c>
      <c r="O154" s="9">
        <v>0.36199999999999999</v>
      </c>
      <c r="P154" s="9">
        <v>1.1791</v>
      </c>
      <c r="Q154" s="9">
        <v>31.035599999999999</v>
      </c>
      <c r="R154" s="9"/>
      <c r="S154" s="11"/>
    </row>
    <row r="155" spans="1:19" ht="15.75">
      <c r="A155" s="13">
        <v>46204</v>
      </c>
      <c r="B155" s="8">
        <f>CHOOSE( CONTROL!$C$32, 7.0184, 7.016) * CHOOSE(CONTROL!$C$15, $D$11, 100%, $F$11)</f>
        <v>7.0183999999999997</v>
      </c>
      <c r="C155" s="8">
        <f>CHOOSE( CONTROL!$C$32, 7.0265, 7.0241) * CHOOSE(CONTROL!$C$15, $D$11, 100%, $F$11)</f>
        <v>7.0265000000000004</v>
      </c>
      <c r="D155" s="8">
        <f>CHOOSE( CONTROL!$C$32, 7.0521, 7.0498) * CHOOSE( CONTROL!$C$15, $D$11, 100%, $F$11)</f>
        <v>7.0521000000000003</v>
      </c>
      <c r="E155" s="12">
        <f>CHOOSE( CONTROL!$C$32, 7.0416, 7.0393) * CHOOSE( CONTROL!$C$15, $D$11, 100%, $F$11)</f>
        <v>7.0415999999999999</v>
      </c>
      <c r="F155" s="4">
        <f>CHOOSE( CONTROL!$C$32, 7.7318, 7.7295) * CHOOSE(CONTROL!$C$15, $D$11, 100%, $F$11)</f>
        <v>7.7317999999999998</v>
      </c>
      <c r="G155" s="8">
        <f>CHOOSE( CONTROL!$C$32, 6.8388, 6.8365) * CHOOSE( CONTROL!$C$15, $D$11, 100%, $F$11)</f>
        <v>6.8388</v>
      </c>
      <c r="H155" s="4">
        <f>CHOOSE( CONTROL!$C$32, 7.7864, 7.7841) * CHOOSE(CONTROL!$C$15, $D$11, 100%, $F$11)</f>
        <v>7.7864000000000004</v>
      </c>
      <c r="I155" s="8">
        <f>CHOOSE( CONTROL!$C$32, 6.8244, 6.8222) * CHOOSE(CONTROL!$C$15, $D$11, 100%, $F$11)</f>
        <v>6.8243999999999998</v>
      </c>
      <c r="J155" s="4">
        <f>CHOOSE( CONTROL!$C$32, 6.7091, 6.7069) * CHOOSE(CONTROL!$C$15, $D$11, 100%, $F$11)</f>
        <v>6.7091000000000003</v>
      </c>
      <c r="K155" s="4"/>
      <c r="L155" s="9">
        <v>30.7165</v>
      </c>
      <c r="M155" s="9">
        <v>12.063700000000001</v>
      </c>
      <c r="N155" s="9">
        <v>4.9444999999999997</v>
      </c>
      <c r="O155" s="9">
        <v>0.37409999999999999</v>
      </c>
      <c r="P155" s="9">
        <v>1.2183999999999999</v>
      </c>
      <c r="Q155" s="9">
        <v>32.070099999999996</v>
      </c>
      <c r="R155" s="9"/>
      <c r="S155" s="11"/>
    </row>
    <row r="156" spans="1:19" ht="15.75">
      <c r="A156" s="13">
        <v>46235</v>
      </c>
      <c r="B156" s="8">
        <f>CHOOSE( CONTROL!$C$32, 6.4791, 6.4768) * CHOOSE(CONTROL!$C$15, $D$11, 100%, $F$11)</f>
        <v>6.4790999999999999</v>
      </c>
      <c r="C156" s="8">
        <f>CHOOSE( CONTROL!$C$32, 6.4872, 6.4849) * CHOOSE(CONTROL!$C$15, $D$11, 100%, $F$11)</f>
        <v>6.4871999999999996</v>
      </c>
      <c r="D156" s="8">
        <f>CHOOSE( CONTROL!$C$32, 6.513, 6.5106) * CHOOSE( CONTROL!$C$15, $D$11, 100%, $F$11)</f>
        <v>6.5129999999999999</v>
      </c>
      <c r="E156" s="12">
        <f>CHOOSE( CONTROL!$C$32, 6.5024, 6.5001) * CHOOSE( CONTROL!$C$15, $D$11, 100%, $F$11)</f>
        <v>6.5023999999999997</v>
      </c>
      <c r="F156" s="4">
        <f>CHOOSE( CONTROL!$C$32, 7.1926, 7.1902) * CHOOSE(CONTROL!$C$15, $D$11, 100%, $F$11)</f>
        <v>7.1925999999999997</v>
      </c>
      <c r="G156" s="8">
        <f>CHOOSE( CONTROL!$C$32, 6.3122, 6.31) * CHOOSE( CONTROL!$C$15, $D$11, 100%, $F$11)</f>
        <v>6.3121999999999998</v>
      </c>
      <c r="H156" s="4">
        <f>CHOOSE( CONTROL!$C$32, 7.2598, 7.2575) * CHOOSE(CONTROL!$C$15, $D$11, 100%, $F$11)</f>
        <v>7.2598000000000003</v>
      </c>
      <c r="I156" s="8">
        <f>CHOOSE( CONTROL!$C$32, 6.3068, 6.3045) * CHOOSE(CONTROL!$C$15, $D$11, 100%, $F$11)</f>
        <v>6.3068</v>
      </c>
      <c r="J156" s="4">
        <f>CHOOSE( CONTROL!$C$32, 6.1914, 6.1891) * CHOOSE(CONTROL!$C$15, $D$11, 100%, $F$11)</f>
        <v>6.1913999999999998</v>
      </c>
      <c r="K156" s="4"/>
      <c r="L156" s="9">
        <v>30.7165</v>
      </c>
      <c r="M156" s="9">
        <v>12.063700000000001</v>
      </c>
      <c r="N156" s="9">
        <v>4.9444999999999997</v>
      </c>
      <c r="O156" s="9">
        <v>0.37409999999999999</v>
      </c>
      <c r="P156" s="9">
        <v>1.2183999999999999</v>
      </c>
      <c r="Q156" s="9">
        <v>32.070099999999996</v>
      </c>
      <c r="R156" s="9"/>
      <c r="S156" s="11"/>
    </row>
    <row r="157" spans="1:19" ht="15.75">
      <c r="A157" s="13">
        <v>46266</v>
      </c>
      <c r="B157" s="8">
        <f>CHOOSE( CONTROL!$C$32, 6.3441, 6.3418) * CHOOSE(CONTROL!$C$15, $D$11, 100%, $F$11)</f>
        <v>6.3441000000000001</v>
      </c>
      <c r="C157" s="8">
        <f>CHOOSE( CONTROL!$C$32, 6.3522, 6.3498) * CHOOSE(CONTROL!$C$15, $D$11, 100%, $F$11)</f>
        <v>6.3521999999999998</v>
      </c>
      <c r="D157" s="8">
        <f>CHOOSE( CONTROL!$C$32, 6.3779, 6.3755) * CHOOSE( CONTROL!$C$15, $D$11, 100%, $F$11)</f>
        <v>6.3779000000000003</v>
      </c>
      <c r="E157" s="12">
        <f>CHOOSE( CONTROL!$C$32, 6.3674, 6.365) * CHOOSE( CONTROL!$C$15, $D$11, 100%, $F$11)</f>
        <v>6.3673999999999999</v>
      </c>
      <c r="F157" s="4">
        <f>CHOOSE( CONTROL!$C$32, 7.0575, 7.0552) * CHOOSE(CONTROL!$C$15, $D$11, 100%, $F$11)</f>
        <v>7.0575000000000001</v>
      </c>
      <c r="G157" s="8">
        <f>CHOOSE( CONTROL!$C$32, 6.1803, 6.178) * CHOOSE( CONTROL!$C$15, $D$11, 100%, $F$11)</f>
        <v>6.1802999999999999</v>
      </c>
      <c r="H157" s="4">
        <f>CHOOSE( CONTROL!$C$32, 7.1279, 7.1256) * CHOOSE(CONTROL!$C$15, $D$11, 100%, $F$11)</f>
        <v>7.1279000000000003</v>
      </c>
      <c r="I157" s="8">
        <f>CHOOSE( CONTROL!$C$32, 6.177, 6.1747) * CHOOSE(CONTROL!$C$15, $D$11, 100%, $F$11)</f>
        <v>6.1769999999999996</v>
      </c>
      <c r="J157" s="4">
        <f>CHOOSE( CONTROL!$C$32, 6.0617, 6.0595) * CHOOSE(CONTROL!$C$15, $D$11, 100%, $F$11)</f>
        <v>6.0617000000000001</v>
      </c>
      <c r="K157" s="4"/>
      <c r="L157" s="9">
        <v>29.7257</v>
      </c>
      <c r="M157" s="9">
        <v>11.6745</v>
      </c>
      <c r="N157" s="9">
        <v>4.7850000000000001</v>
      </c>
      <c r="O157" s="9">
        <v>0.36199999999999999</v>
      </c>
      <c r="P157" s="9">
        <v>1.1791</v>
      </c>
      <c r="Q157" s="9">
        <v>31.035599999999999</v>
      </c>
      <c r="R157" s="9"/>
      <c r="S157" s="11"/>
    </row>
    <row r="158" spans="1:19" ht="15.75">
      <c r="A158" s="13">
        <v>46296</v>
      </c>
      <c r="B158" s="8">
        <f>6.6204 * CHOOSE(CONTROL!$C$15, $D$11, 100%, $F$11)</f>
        <v>6.6204000000000001</v>
      </c>
      <c r="C158" s="8">
        <f>6.6258 * CHOOSE(CONTROL!$C$15, $D$11, 100%, $F$11)</f>
        <v>6.6257999999999999</v>
      </c>
      <c r="D158" s="8">
        <f>6.6566 * CHOOSE( CONTROL!$C$15, $D$11, 100%, $F$11)</f>
        <v>6.6566000000000001</v>
      </c>
      <c r="E158" s="12">
        <f>6.6459 * CHOOSE( CONTROL!$C$15, $D$11, 100%, $F$11)</f>
        <v>6.6459000000000001</v>
      </c>
      <c r="F158" s="4">
        <f>7.3356 * CHOOSE(CONTROL!$C$15, $D$11, 100%, $F$11)</f>
        <v>7.3356000000000003</v>
      </c>
      <c r="G158" s="8">
        <f>6.4517 * CHOOSE( CONTROL!$C$15, $D$11, 100%, $F$11)</f>
        <v>6.4516999999999998</v>
      </c>
      <c r="H158" s="4">
        <f>7.3994 * CHOOSE(CONTROL!$C$15, $D$11, 100%, $F$11)</f>
        <v>7.3994</v>
      </c>
      <c r="I158" s="8">
        <f>6.4449 * CHOOSE(CONTROL!$C$15, $D$11, 100%, $F$11)</f>
        <v>6.4448999999999996</v>
      </c>
      <c r="J158" s="4">
        <f>6.3287 * CHOOSE(CONTROL!$C$15, $D$11, 100%, $F$11)</f>
        <v>6.3287000000000004</v>
      </c>
      <c r="K158" s="4"/>
      <c r="L158" s="9">
        <v>31.095300000000002</v>
      </c>
      <c r="M158" s="9">
        <v>12.063700000000001</v>
      </c>
      <c r="N158" s="9">
        <v>4.9444999999999997</v>
      </c>
      <c r="O158" s="9">
        <v>0.37409999999999999</v>
      </c>
      <c r="P158" s="9">
        <v>1.2183999999999999</v>
      </c>
      <c r="Q158" s="9">
        <v>32.070099999999996</v>
      </c>
      <c r="R158" s="9"/>
      <c r="S158" s="11"/>
    </row>
    <row r="159" spans="1:19" ht="15.75">
      <c r="A159" s="13">
        <v>46327</v>
      </c>
      <c r="B159" s="8">
        <f>7.1375 * CHOOSE(CONTROL!$C$15, $D$11, 100%, $F$11)</f>
        <v>7.1375000000000002</v>
      </c>
      <c r="C159" s="8">
        <f>7.1427 * CHOOSE(CONTROL!$C$15, $D$11, 100%, $F$11)</f>
        <v>7.1426999999999996</v>
      </c>
      <c r="D159" s="8">
        <f>7.1257 * CHOOSE( CONTROL!$C$15, $D$11, 100%, $F$11)</f>
        <v>7.1257000000000001</v>
      </c>
      <c r="E159" s="12">
        <f>7.1314 * CHOOSE( CONTROL!$C$15, $D$11, 100%, $F$11)</f>
        <v>7.1314000000000002</v>
      </c>
      <c r="F159" s="4">
        <f>7.788 * CHOOSE(CONTROL!$C$15, $D$11, 100%, $F$11)</f>
        <v>7.7880000000000003</v>
      </c>
      <c r="G159" s="8">
        <f>6.9633 * CHOOSE( CONTROL!$C$15, $D$11, 100%, $F$11)</f>
        <v>6.9633000000000003</v>
      </c>
      <c r="H159" s="4">
        <f>7.8413 * CHOOSE(CONTROL!$C$15, $D$11, 100%, $F$11)</f>
        <v>7.8413000000000004</v>
      </c>
      <c r="I159" s="8">
        <f>6.9838 * CHOOSE(CONTROL!$C$15, $D$11, 100%, $F$11)</f>
        <v>6.9837999999999996</v>
      </c>
      <c r="J159" s="4">
        <f>6.8255 * CHOOSE(CONTROL!$C$15, $D$11, 100%, $F$11)</f>
        <v>6.8254999999999999</v>
      </c>
      <c r="K159" s="4"/>
      <c r="L159" s="9">
        <v>28.360600000000002</v>
      </c>
      <c r="M159" s="9">
        <v>11.6745</v>
      </c>
      <c r="N159" s="9">
        <v>4.7850000000000001</v>
      </c>
      <c r="O159" s="9">
        <v>0.36199999999999999</v>
      </c>
      <c r="P159" s="9">
        <v>1.2509999999999999</v>
      </c>
      <c r="Q159" s="9">
        <v>31.035599999999999</v>
      </c>
      <c r="R159" s="9"/>
      <c r="S159" s="11"/>
    </row>
    <row r="160" spans="1:19" ht="15.75">
      <c r="A160" s="13">
        <v>46357</v>
      </c>
      <c r="B160" s="8">
        <f>7.1246 * CHOOSE(CONTROL!$C$15, $D$11, 100%, $F$11)</f>
        <v>7.1246</v>
      </c>
      <c r="C160" s="8">
        <f>7.1298 * CHOOSE(CONTROL!$C$15, $D$11, 100%, $F$11)</f>
        <v>7.1298000000000004</v>
      </c>
      <c r="D160" s="8">
        <f>7.1143 * CHOOSE( CONTROL!$C$15, $D$11, 100%, $F$11)</f>
        <v>7.1143000000000001</v>
      </c>
      <c r="E160" s="12">
        <f>7.1194 * CHOOSE( CONTROL!$C$15, $D$11, 100%, $F$11)</f>
        <v>7.1193999999999997</v>
      </c>
      <c r="F160" s="4">
        <f>7.775 * CHOOSE(CONTROL!$C$15, $D$11, 100%, $F$11)</f>
        <v>7.7750000000000004</v>
      </c>
      <c r="G160" s="8">
        <f>6.9518 * CHOOSE( CONTROL!$C$15, $D$11, 100%, $F$11)</f>
        <v>6.9518000000000004</v>
      </c>
      <c r="H160" s="4">
        <f>7.8287 * CHOOSE(CONTROL!$C$15, $D$11, 100%, $F$11)</f>
        <v>7.8287000000000004</v>
      </c>
      <c r="I160" s="8">
        <f>6.9761 * CHOOSE(CONTROL!$C$15, $D$11, 100%, $F$11)</f>
        <v>6.9760999999999997</v>
      </c>
      <c r="J160" s="4">
        <f>6.8131 * CHOOSE(CONTROL!$C$15, $D$11, 100%, $F$11)</f>
        <v>6.8131000000000004</v>
      </c>
      <c r="K160" s="4"/>
      <c r="L160" s="9">
        <v>29.306000000000001</v>
      </c>
      <c r="M160" s="9">
        <v>12.063700000000001</v>
      </c>
      <c r="N160" s="9">
        <v>4.9444999999999997</v>
      </c>
      <c r="O160" s="9">
        <v>0.37409999999999999</v>
      </c>
      <c r="P160" s="9">
        <v>1.2927</v>
      </c>
      <c r="Q160" s="9">
        <v>32.070099999999996</v>
      </c>
      <c r="R160" s="9"/>
      <c r="S160" s="11"/>
    </row>
    <row r="161" spans="1:19" ht="15.75">
      <c r="A161" s="13">
        <v>46388</v>
      </c>
      <c r="B161" s="8">
        <f>7.3787 * CHOOSE(CONTROL!$C$15, $D$11, 100%, $F$11)</f>
        <v>7.3787000000000003</v>
      </c>
      <c r="C161" s="8">
        <f>7.3838 * CHOOSE(CONTROL!$C$15, $D$11, 100%, $F$11)</f>
        <v>7.3837999999999999</v>
      </c>
      <c r="D161" s="8">
        <f>7.364 * CHOOSE( CONTROL!$C$15, $D$11, 100%, $F$11)</f>
        <v>7.3639999999999999</v>
      </c>
      <c r="E161" s="12">
        <f>7.3707 * CHOOSE( CONTROL!$C$15, $D$11, 100%, $F$11)</f>
        <v>7.3707000000000003</v>
      </c>
      <c r="F161" s="4">
        <f>8.0291 * CHOOSE(CONTROL!$C$15, $D$11, 100%, $F$11)</f>
        <v>8.0290999999999997</v>
      </c>
      <c r="G161" s="8">
        <f>7.1906 * CHOOSE( CONTROL!$C$15, $D$11, 100%, $F$11)</f>
        <v>7.1905999999999999</v>
      </c>
      <c r="H161" s="4">
        <f>8.0768 * CHOOSE(CONTROL!$C$15, $D$11, 100%, $F$11)</f>
        <v>8.0768000000000004</v>
      </c>
      <c r="I161" s="8">
        <f>7.1793 * CHOOSE(CONTROL!$C$15, $D$11, 100%, $F$11)</f>
        <v>7.1792999999999996</v>
      </c>
      <c r="J161" s="4">
        <f>7.0571 * CHOOSE(CONTROL!$C$15, $D$11, 100%, $F$11)</f>
        <v>7.0571000000000002</v>
      </c>
      <c r="K161" s="4"/>
      <c r="L161" s="9">
        <v>29.306000000000001</v>
      </c>
      <c r="M161" s="9">
        <v>12.063700000000001</v>
      </c>
      <c r="N161" s="9">
        <v>4.9444999999999997</v>
      </c>
      <c r="O161" s="9">
        <v>0.37409999999999999</v>
      </c>
      <c r="P161" s="9">
        <v>1.2927</v>
      </c>
      <c r="Q161" s="9">
        <v>31.885999999999999</v>
      </c>
      <c r="R161" s="9"/>
      <c r="S161" s="11"/>
    </row>
    <row r="162" spans="1:19" ht="15.75">
      <c r="A162" s="13">
        <v>46419</v>
      </c>
      <c r="B162" s="8">
        <f>6.9035 * CHOOSE(CONTROL!$C$15, $D$11, 100%, $F$11)</f>
        <v>6.9035000000000002</v>
      </c>
      <c r="C162" s="8">
        <f>6.9087 * CHOOSE(CONTROL!$C$15, $D$11, 100%, $F$11)</f>
        <v>6.9086999999999996</v>
      </c>
      <c r="D162" s="8">
        <f>6.8888 * CHOOSE( CONTROL!$C$15, $D$11, 100%, $F$11)</f>
        <v>6.8887999999999998</v>
      </c>
      <c r="E162" s="12">
        <f>6.8955 * CHOOSE( CONTROL!$C$15, $D$11, 100%, $F$11)</f>
        <v>6.8955000000000002</v>
      </c>
      <c r="F162" s="4">
        <f>7.5539 * CHOOSE(CONTROL!$C$15, $D$11, 100%, $F$11)</f>
        <v>7.5538999999999996</v>
      </c>
      <c r="G162" s="8">
        <f>6.7265 * CHOOSE( CONTROL!$C$15, $D$11, 100%, $F$11)</f>
        <v>6.7264999999999997</v>
      </c>
      <c r="H162" s="4">
        <f>7.6127 * CHOOSE(CONTROL!$C$15, $D$11, 100%, $F$11)</f>
        <v>7.6127000000000002</v>
      </c>
      <c r="I162" s="8">
        <f>6.7227 * CHOOSE(CONTROL!$C$15, $D$11, 100%, $F$11)</f>
        <v>6.7226999999999997</v>
      </c>
      <c r="J162" s="4">
        <f>6.6008 * CHOOSE(CONTROL!$C$15, $D$11, 100%, $F$11)</f>
        <v>6.6007999999999996</v>
      </c>
      <c r="K162" s="4"/>
      <c r="L162" s="9">
        <v>26.469899999999999</v>
      </c>
      <c r="M162" s="9">
        <v>10.8962</v>
      </c>
      <c r="N162" s="9">
        <v>4.4660000000000002</v>
      </c>
      <c r="O162" s="9">
        <v>0.33789999999999998</v>
      </c>
      <c r="P162" s="9">
        <v>1.1676</v>
      </c>
      <c r="Q162" s="9">
        <v>28.8002</v>
      </c>
      <c r="R162" s="9"/>
      <c r="S162" s="11"/>
    </row>
    <row r="163" spans="1:19" ht="15.75">
      <c r="A163" s="13">
        <v>46447</v>
      </c>
      <c r="B163" s="8">
        <f>6.7571 * CHOOSE(CONTROL!$C$15, $D$11, 100%, $F$11)</f>
        <v>6.7571000000000003</v>
      </c>
      <c r="C163" s="8">
        <f>6.7623 * CHOOSE(CONTROL!$C$15, $D$11, 100%, $F$11)</f>
        <v>6.7622999999999998</v>
      </c>
      <c r="D163" s="8">
        <f>6.7421 * CHOOSE( CONTROL!$C$15, $D$11, 100%, $F$11)</f>
        <v>6.7420999999999998</v>
      </c>
      <c r="E163" s="12">
        <f>6.7489 * CHOOSE( CONTROL!$C$15, $D$11, 100%, $F$11)</f>
        <v>6.7488999999999999</v>
      </c>
      <c r="F163" s="4">
        <f>7.4076 * CHOOSE(CONTROL!$C$15, $D$11, 100%, $F$11)</f>
        <v>7.4076000000000004</v>
      </c>
      <c r="G163" s="8">
        <f>6.5833 * CHOOSE( CONTROL!$C$15, $D$11, 100%, $F$11)</f>
        <v>6.5833000000000004</v>
      </c>
      <c r="H163" s="4">
        <f>7.4698 * CHOOSE(CONTROL!$C$15, $D$11, 100%, $F$11)</f>
        <v>7.4698000000000002</v>
      </c>
      <c r="I163" s="8">
        <f>6.581 * CHOOSE(CONTROL!$C$15, $D$11, 100%, $F$11)</f>
        <v>6.5810000000000004</v>
      </c>
      <c r="J163" s="4">
        <f>6.4603 * CHOOSE(CONTROL!$C$15, $D$11, 100%, $F$11)</f>
        <v>6.4603000000000002</v>
      </c>
      <c r="K163" s="4"/>
      <c r="L163" s="9">
        <v>29.306000000000001</v>
      </c>
      <c r="M163" s="9">
        <v>12.063700000000001</v>
      </c>
      <c r="N163" s="9">
        <v>4.9444999999999997</v>
      </c>
      <c r="O163" s="9">
        <v>0.37409999999999999</v>
      </c>
      <c r="P163" s="9">
        <v>1.2927</v>
      </c>
      <c r="Q163" s="9">
        <v>31.885999999999999</v>
      </c>
      <c r="R163" s="9"/>
      <c r="S163" s="11"/>
    </row>
    <row r="164" spans="1:19" ht="15.75">
      <c r="A164" s="13">
        <v>46478</v>
      </c>
      <c r="B164" s="8">
        <f>6.8601 * CHOOSE(CONTROL!$C$15, $D$11, 100%, $F$11)</f>
        <v>6.8601000000000001</v>
      </c>
      <c r="C164" s="8">
        <f>6.8648 * CHOOSE(CONTROL!$C$15, $D$11, 100%, $F$11)</f>
        <v>6.8647999999999998</v>
      </c>
      <c r="D164" s="8">
        <f>6.8953 * CHOOSE( CONTROL!$C$15, $D$11, 100%, $F$11)</f>
        <v>6.8952999999999998</v>
      </c>
      <c r="E164" s="12">
        <f>6.8847 * CHOOSE( CONTROL!$C$15, $D$11, 100%, $F$11)</f>
        <v>6.8846999999999996</v>
      </c>
      <c r="F164" s="4">
        <f>7.5749 * CHOOSE(CONTROL!$C$15, $D$11, 100%, $F$11)</f>
        <v>7.5749000000000004</v>
      </c>
      <c r="G164" s="8">
        <f>6.6844 * CHOOSE( CONTROL!$C$15, $D$11, 100%, $F$11)</f>
        <v>6.6844000000000001</v>
      </c>
      <c r="H164" s="4">
        <f>7.6332 * CHOOSE(CONTROL!$C$15, $D$11, 100%, $F$11)</f>
        <v>7.6332000000000004</v>
      </c>
      <c r="I164" s="8">
        <f>6.6713 * CHOOSE(CONTROL!$C$15, $D$11, 100%, $F$11)</f>
        <v>6.6712999999999996</v>
      </c>
      <c r="J164" s="4">
        <f>6.5585 * CHOOSE(CONTROL!$C$15, $D$11, 100%, $F$11)</f>
        <v>6.5585000000000004</v>
      </c>
      <c r="K164" s="4"/>
      <c r="L164" s="9">
        <v>30.092199999999998</v>
      </c>
      <c r="M164" s="9">
        <v>11.6745</v>
      </c>
      <c r="N164" s="9">
        <v>4.7850000000000001</v>
      </c>
      <c r="O164" s="9">
        <v>0.36199999999999999</v>
      </c>
      <c r="P164" s="9">
        <v>1.1791</v>
      </c>
      <c r="Q164" s="9">
        <v>30.857399999999998</v>
      </c>
      <c r="R164" s="9"/>
      <c r="S164" s="11"/>
    </row>
    <row r="165" spans="1:19" ht="15.75">
      <c r="A165" s="13">
        <v>46508</v>
      </c>
      <c r="B165" s="8">
        <f>CHOOSE( CONTROL!$C$32, 7.0459, 7.0435) * CHOOSE(CONTROL!$C$15, $D$11, 100%, $F$11)</f>
        <v>7.0458999999999996</v>
      </c>
      <c r="C165" s="8">
        <f>CHOOSE( CONTROL!$C$32, 7.054, 7.0516) * CHOOSE(CONTROL!$C$15, $D$11, 100%, $F$11)</f>
        <v>7.0540000000000003</v>
      </c>
      <c r="D165" s="8">
        <f>CHOOSE( CONTROL!$C$32, 7.0792, 7.0768) * CHOOSE( CONTROL!$C$15, $D$11, 100%, $F$11)</f>
        <v>7.0792000000000002</v>
      </c>
      <c r="E165" s="12">
        <f>CHOOSE( CONTROL!$C$32, 7.0688, 7.0664) * CHOOSE( CONTROL!$C$15, $D$11, 100%, $F$11)</f>
        <v>7.0688000000000004</v>
      </c>
      <c r="F165" s="4">
        <f>CHOOSE( CONTROL!$C$32, 7.7593, 7.757) * CHOOSE(CONTROL!$C$15, $D$11, 100%, $F$11)</f>
        <v>7.7592999999999996</v>
      </c>
      <c r="G165" s="8">
        <f>CHOOSE( CONTROL!$C$32, 6.865, 6.8627) * CHOOSE( CONTROL!$C$15, $D$11, 100%, $F$11)</f>
        <v>6.8650000000000002</v>
      </c>
      <c r="H165" s="4">
        <f>CHOOSE( CONTROL!$C$32, 7.8133, 7.811) * CHOOSE(CONTROL!$C$15, $D$11, 100%, $F$11)</f>
        <v>7.8132999999999999</v>
      </c>
      <c r="I165" s="8">
        <f>CHOOSE( CONTROL!$C$32, 6.8486, 6.8464) * CHOOSE(CONTROL!$C$15, $D$11, 100%, $F$11)</f>
        <v>6.8486000000000002</v>
      </c>
      <c r="J165" s="4">
        <f>CHOOSE( CONTROL!$C$32, 6.7355, 6.7333) * CHOOSE(CONTROL!$C$15, $D$11, 100%, $F$11)</f>
        <v>6.7355</v>
      </c>
      <c r="K165" s="4"/>
      <c r="L165" s="9">
        <v>30.7165</v>
      </c>
      <c r="M165" s="9">
        <v>12.063700000000001</v>
      </c>
      <c r="N165" s="9">
        <v>4.9444999999999997</v>
      </c>
      <c r="O165" s="9">
        <v>0.37409999999999999</v>
      </c>
      <c r="P165" s="9">
        <v>1.2183999999999999</v>
      </c>
      <c r="Q165" s="9">
        <v>31.885999999999999</v>
      </c>
      <c r="R165" s="9"/>
      <c r="S165" s="11"/>
    </row>
    <row r="166" spans="1:19" ht="15.75">
      <c r="A166" s="13">
        <v>46539</v>
      </c>
      <c r="B166" s="8">
        <f>CHOOSE( CONTROL!$C$32, 6.9331, 6.9308) * CHOOSE(CONTROL!$C$15, $D$11, 100%, $F$11)</f>
        <v>6.9330999999999996</v>
      </c>
      <c r="C166" s="8">
        <f>CHOOSE( CONTROL!$C$32, 6.9412, 6.9389) * CHOOSE(CONTROL!$C$15, $D$11, 100%, $F$11)</f>
        <v>6.9412000000000003</v>
      </c>
      <c r="D166" s="8">
        <f>CHOOSE( CONTROL!$C$32, 6.9666, 6.9643) * CHOOSE( CONTROL!$C$15, $D$11, 100%, $F$11)</f>
        <v>6.9665999999999997</v>
      </c>
      <c r="E166" s="12">
        <f>CHOOSE( CONTROL!$C$32, 6.9562, 6.9539) * CHOOSE( CONTROL!$C$15, $D$11, 100%, $F$11)</f>
        <v>6.9561999999999999</v>
      </c>
      <c r="F166" s="4">
        <f>CHOOSE( CONTROL!$C$32, 7.6466, 7.6442) * CHOOSE(CONTROL!$C$15, $D$11, 100%, $F$11)</f>
        <v>7.6466000000000003</v>
      </c>
      <c r="G166" s="8">
        <f>CHOOSE( CONTROL!$C$32, 6.7552, 6.7529) * CHOOSE( CONTROL!$C$15, $D$11, 100%, $F$11)</f>
        <v>6.7552000000000003</v>
      </c>
      <c r="H166" s="4">
        <f>CHOOSE( CONTROL!$C$32, 7.7032, 7.7009) * CHOOSE(CONTROL!$C$15, $D$11, 100%, $F$11)</f>
        <v>7.7031999999999998</v>
      </c>
      <c r="I166" s="8">
        <f>CHOOSE( CONTROL!$C$32, 6.7413, 6.7391) * CHOOSE(CONTROL!$C$15, $D$11, 100%, $F$11)</f>
        <v>6.7412999999999998</v>
      </c>
      <c r="J166" s="4">
        <f>CHOOSE( CONTROL!$C$32, 6.6273, 6.625) * CHOOSE(CONTROL!$C$15, $D$11, 100%, $F$11)</f>
        <v>6.6273</v>
      </c>
      <c r="K166" s="4"/>
      <c r="L166" s="9">
        <v>29.7257</v>
      </c>
      <c r="M166" s="9">
        <v>11.6745</v>
      </c>
      <c r="N166" s="9">
        <v>4.7850000000000001</v>
      </c>
      <c r="O166" s="9">
        <v>0.36199999999999999</v>
      </c>
      <c r="P166" s="9">
        <v>1.1791</v>
      </c>
      <c r="Q166" s="9">
        <v>30.857399999999998</v>
      </c>
      <c r="R166" s="9"/>
      <c r="S166" s="11"/>
    </row>
    <row r="167" spans="1:19" ht="15.75">
      <c r="A167" s="13">
        <v>46569</v>
      </c>
      <c r="B167" s="8">
        <f>CHOOSE( CONTROL!$C$32, 7.23, 7.2277) * CHOOSE(CONTROL!$C$15, $D$11, 100%, $F$11)</f>
        <v>7.23</v>
      </c>
      <c r="C167" s="8">
        <f>CHOOSE( CONTROL!$C$32, 7.2381, 7.2358) * CHOOSE(CONTROL!$C$15, $D$11, 100%, $F$11)</f>
        <v>7.2381000000000002</v>
      </c>
      <c r="D167" s="8">
        <f>CHOOSE( CONTROL!$C$32, 7.2638, 7.2614) * CHOOSE( CONTROL!$C$15, $D$11, 100%, $F$11)</f>
        <v>7.2637999999999998</v>
      </c>
      <c r="E167" s="12">
        <f>CHOOSE( CONTROL!$C$32, 7.2533, 7.2509) * CHOOSE( CONTROL!$C$15, $D$11, 100%, $F$11)</f>
        <v>7.2533000000000003</v>
      </c>
      <c r="F167" s="4">
        <f>CHOOSE( CONTROL!$C$32, 7.9435, 7.9411) * CHOOSE(CONTROL!$C$15, $D$11, 100%, $F$11)</f>
        <v>7.9435000000000002</v>
      </c>
      <c r="G167" s="8">
        <f>CHOOSE( CONTROL!$C$32, 7.0456, 7.0433) * CHOOSE( CONTROL!$C$15, $D$11, 100%, $F$11)</f>
        <v>7.0456000000000003</v>
      </c>
      <c r="H167" s="4">
        <f>CHOOSE( CONTROL!$C$32, 7.9932, 7.9909) * CHOOSE(CONTROL!$C$15, $D$11, 100%, $F$11)</f>
        <v>7.9931999999999999</v>
      </c>
      <c r="I167" s="8">
        <f>CHOOSE( CONTROL!$C$32, 7.0277, 7.0255) * CHOOSE(CONTROL!$C$15, $D$11, 100%, $F$11)</f>
        <v>7.0277000000000003</v>
      </c>
      <c r="J167" s="4">
        <f>CHOOSE( CONTROL!$C$32, 6.9123, 6.9101) * CHOOSE(CONTROL!$C$15, $D$11, 100%, $F$11)</f>
        <v>6.9123000000000001</v>
      </c>
      <c r="K167" s="4"/>
      <c r="L167" s="9">
        <v>30.7165</v>
      </c>
      <c r="M167" s="9">
        <v>12.063700000000001</v>
      </c>
      <c r="N167" s="9">
        <v>4.9444999999999997</v>
      </c>
      <c r="O167" s="9">
        <v>0.37409999999999999</v>
      </c>
      <c r="P167" s="9">
        <v>1.2183999999999999</v>
      </c>
      <c r="Q167" s="9">
        <v>31.885999999999999</v>
      </c>
      <c r="R167" s="9"/>
      <c r="S167" s="11"/>
    </row>
    <row r="168" spans="1:19" ht="15.75">
      <c r="A168" s="13">
        <v>46600</v>
      </c>
      <c r="B168" s="8">
        <f>CHOOSE( CONTROL!$C$32, 6.6745, 6.6721) * CHOOSE(CONTROL!$C$15, $D$11, 100%, $F$11)</f>
        <v>6.6745000000000001</v>
      </c>
      <c r="C168" s="8">
        <f>CHOOSE( CONTROL!$C$32, 6.6826, 6.6802) * CHOOSE(CONTROL!$C$15, $D$11, 100%, $F$11)</f>
        <v>6.6825999999999999</v>
      </c>
      <c r="D168" s="8">
        <f>CHOOSE( CONTROL!$C$32, 6.7083, 6.7059) * CHOOSE( CONTROL!$C$15, $D$11, 100%, $F$11)</f>
        <v>6.7083000000000004</v>
      </c>
      <c r="E168" s="12">
        <f>CHOOSE( CONTROL!$C$32, 6.6978, 6.6954) * CHOOSE( CONTROL!$C$15, $D$11, 100%, $F$11)</f>
        <v>6.6978</v>
      </c>
      <c r="F168" s="4">
        <f>CHOOSE( CONTROL!$C$32, 7.3879, 7.3856) * CHOOSE(CONTROL!$C$15, $D$11, 100%, $F$11)</f>
        <v>7.3879000000000001</v>
      </c>
      <c r="G168" s="8">
        <f>CHOOSE( CONTROL!$C$32, 6.503, 6.5007) * CHOOSE( CONTROL!$C$15, $D$11, 100%, $F$11)</f>
        <v>6.5030000000000001</v>
      </c>
      <c r="H168" s="4">
        <f>CHOOSE( CONTROL!$C$32, 7.4506, 7.4483) * CHOOSE(CONTROL!$C$15, $D$11, 100%, $F$11)</f>
        <v>7.4505999999999997</v>
      </c>
      <c r="I168" s="8">
        <f>CHOOSE( CONTROL!$C$32, 6.4944, 6.4922) * CHOOSE(CONTROL!$C$15, $D$11, 100%, $F$11)</f>
        <v>6.4943999999999997</v>
      </c>
      <c r="J168" s="4">
        <f>CHOOSE( CONTROL!$C$32, 6.3789, 6.3767) * CHOOSE(CONTROL!$C$15, $D$11, 100%, $F$11)</f>
        <v>6.3788999999999998</v>
      </c>
      <c r="K168" s="4"/>
      <c r="L168" s="9">
        <v>30.7165</v>
      </c>
      <c r="M168" s="9">
        <v>12.063700000000001</v>
      </c>
      <c r="N168" s="9">
        <v>4.9444999999999997</v>
      </c>
      <c r="O168" s="9">
        <v>0.37409999999999999</v>
      </c>
      <c r="P168" s="9">
        <v>1.2183999999999999</v>
      </c>
      <c r="Q168" s="9">
        <v>31.885999999999999</v>
      </c>
      <c r="R168" s="9"/>
      <c r="S168" s="11"/>
    </row>
    <row r="169" spans="1:19" ht="15.75">
      <c r="A169" s="13">
        <v>46631</v>
      </c>
      <c r="B169" s="8">
        <f>CHOOSE( CONTROL!$C$32, 6.5354, 6.533) * CHOOSE(CONTROL!$C$15, $D$11, 100%, $F$11)</f>
        <v>6.5354000000000001</v>
      </c>
      <c r="C169" s="8">
        <f>CHOOSE( CONTROL!$C$32, 6.5434, 6.5411) * CHOOSE(CONTROL!$C$15, $D$11, 100%, $F$11)</f>
        <v>6.5434000000000001</v>
      </c>
      <c r="D169" s="8">
        <f>CHOOSE( CONTROL!$C$32, 6.5691, 6.5668) * CHOOSE( CONTROL!$C$15, $D$11, 100%, $F$11)</f>
        <v>6.5690999999999997</v>
      </c>
      <c r="E169" s="12">
        <f>CHOOSE( CONTROL!$C$32, 6.5586, 6.5563) * CHOOSE( CONTROL!$C$15, $D$11, 100%, $F$11)</f>
        <v>6.5586000000000002</v>
      </c>
      <c r="F169" s="4">
        <f>CHOOSE( CONTROL!$C$32, 7.2488, 7.2464) * CHOOSE(CONTROL!$C$15, $D$11, 100%, $F$11)</f>
        <v>7.2488000000000001</v>
      </c>
      <c r="G169" s="8">
        <f>CHOOSE( CONTROL!$C$32, 6.3671, 6.3648) * CHOOSE( CONTROL!$C$15, $D$11, 100%, $F$11)</f>
        <v>6.3670999999999998</v>
      </c>
      <c r="H169" s="4">
        <f>CHOOSE( CONTROL!$C$32, 7.3147, 7.3124) * CHOOSE(CONTROL!$C$15, $D$11, 100%, $F$11)</f>
        <v>7.3147000000000002</v>
      </c>
      <c r="I169" s="8">
        <f>CHOOSE( CONTROL!$C$32, 6.3607, 6.3584) * CHOOSE(CONTROL!$C$15, $D$11, 100%, $F$11)</f>
        <v>6.3606999999999996</v>
      </c>
      <c r="J169" s="4">
        <f>CHOOSE( CONTROL!$C$32, 6.2454, 6.2431) * CHOOSE(CONTROL!$C$15, $D$11, 100%, $F$11)</f>
        <v>6.2454000000000001</v>
      </c>
      <c r="K169" s="4"/>
      <c r="L169" s="9">
        <v>29.7257</v>
      </c>
      <c r="M169" s="9">
        <v>11.6745</v>
      </c>
      <c r="N169" s="9">
        <v>4.7850000000000001</v>
      </c>
      <c r="O169" s="9">
        <v>0.36199999999999999</v>
      </c>
      <c r="P169" s="9">
        <v>1.1791</v>
      </c>
      <c r="Q169" s="9">
        <v>30.857399999999998</v>
      </c>
      <c r="R169" s="9"/>
      <c r="S169" s="11"/>
    </row>
    <row r="170" spans="1:19" ht="15.75">
      <c r="A170" s="13">
        <v>46661</v>
      </c>
      <c r="B170" s="8">
        <f>6.8201 * CHOOSE(CONTROL!$C$15, $D$11, 100%, $F$11)</f>
        <v>6.8201000000000001</v>
      </c>
      <c r="C170" s="8">
        <f>6.8256 * CHOOSE(CONTROL!$C$15, $D$11, 100%, $F$11)</f>
        <v>6.8255999999999997</v>
      </c>
      <c r="D170" s="8">
        <f>6.8564 * CHOOSE( CONTROL!$C$15, $D$11, 100%, $F$11)</f>
        <v>6.8563999999999998</v>
      </c>
      <c r="E170" s="12">
        <f>6.8456 * CHOOSE( CONTROL!$C$15, $D$11, 100%, $F$11)</f>
        <v>6.8456000000000001</v>
      </c>
      <c r="F170" s="4">
        <f>7.5353 * CHOOSE(CONTROL!$C$15, $D$11, 100%, $F$11)</f>
        <v>7.5353000000000003</v>
      </c>
      <c r="G170" s="8">
        <f>6.6467 * CHOOSE( CONTROL!$C$15, $D$11, 100%, $F$11)</f>
        <v>6.6467000000000001</v>
      </c>
      <c r="H170" s="4">
        <f>7.5945 * CHOOSE(CONTROL!$C$15, $D$11, 100%, $F$11)</f>
        <v>7.5945</v>
      </c>
      <c r="I170" s="8">
        <f>6.6368 * CHOOSE(CONTROL!$C$15, $D$11, 100%, $F$11)</f>
        <v>6.6368</v>
      </c>
      <c r="J170" s="4">
        <f>6.5205 * CHOOSE(CONTROL!$C$15, $D$11, 100%, $F$11)</f>
        <v>6.5205000000000002</v>
      </c>
      <c r="K170" s="4"/>
      <c r="L170" s="9">
        <v>31.095300000000002</v>
      </c>
      <c r="M170" s="9">
        <v>12.063700000000001</v>
      </c>
      <c r="N170" s="9">
        <v>4.9444999999999997</v>
      </c>
      <c r="O170" s="9">
        <v>0.37409999999999999</v>
      </c>
      <c r="P170" s="9">
        <v>1.2183999999999999</v>
      </c>
      <c r="Q170" s="9">
        <v>31.885999999999999</v>
      </c>
      <c r="R170" s="9"/>
      <c r="S170" s="11"/>
    </row>
    <row r="171" spans="1:19" ht="15.75">
      <c r="A171" s="13">
        <v>46692</v>
      </c>
      <c r="B171" s="8">
        <f>7.3529 * CHOOSE(CONTROL!$C$15, $D$11, 100%, $F$11)</f>
        <v>7.3529</v>
      </c>
      <c r="C171" s="8">
        <f>7.3581 * CHOOSE(CONTROL!$C$15, $D$11, 100%, $F$11)</f>
        <v>7.3581000000000003</v>
      </c>
      <c r="D171" s="8">
        <f>7.3411 * CHOOSE( CONTROL!$C$15, $D$11, 100%, $F$11)</f>
        <v>7.3411</v>
      </c>
      <c r="E171" s="12">
        <f>7.3468 * CHOOSE( CONTROL!$C$15, $D$11, 100%, $F$11)</f>
        <v>7.3468</v>
      </c>
      <c r="F171" s="4">
        <f>8.0034 * CHOOSE(CONTROL!$C$15, $D$11, 100%, $F$11)</f>
        <v>8.0033999999999992</v>
      </c>
      <c r="G171" s="8">
        <f>7.1737 * CHOOSE( CONTROL!$C$15, $D$11, 100%, $F$11)</f>
        <v>7.1737000000000002</v>
      </c>
      <c r="H171" s="4">
        <f>8.0517 * CHOOSE(CONTROL!$C$15, $D$11, 100%, $F$11)</f>
        <v>8.0517000000000003</v>
      </c>
      <c r="I171" s="8">
        <f>7.1907 * CHOOSE(CONTROL!$C$15, $D$11, 100%, $F$11)</f>
        <v>7.1906999999999996</v>
      </c>
      <c r="J171" s="4">
        <f>7.0324 * CHOOSE(CONTROL!$C$15, $D$11, 100%, $F$11)</f>
        <v>7.0324</v>
      </c>
      <c r="K171" s="4"/>
      <c r="L171" s="9">
        <v>28.360600000000002</v>
      </c>
      <c r="M171" s="9">
        <v>11.6745</v>
      </c>
      <c r="N171" s="9">
        <v>4.7850000000000001</v>
      </c>
      <c r="O171" s="9">
        <v>0.36199999999999999</v>
      </c>
      <c r="P171" s="9">
        <v>1.2509999999999999</v>
      </c>
      <c r="Q171" s="9">
        <v>30.857399999999998</v>
      </c>
      <c r="R171" s="9"/>
      <c r="S171" s="11"/>
    </row>
    <row r="172" spans="1:19" ht="15.75">
      <c r="A172" s="13">
        <v>46722</v>
      </c>
      <c r="B172" s="8">
        <f>7.3396 * CHOOSE(CONTROL!$C$15, $D$11, 100%, $F$11)</f>
        <v>7.3395999999999999</v>
      </c>
      <c r="C172" s="8">
        <f>7.3448 * CHOOSE(CONTROL!$C$15, $D$11, 100%, $F$11)</f>
        <v>7.3448000000000002</v>
      </c>
      <c r="D172" s="8">
        <f>7.3293 * CHOOSE( CONTROL!$C$15, $D$11, 100%, $F$11)</f>
        <v>7.3292999999999999</v>
      </c>
      <c r="E172" s="12">
        <f>7.3344 * CHOOSE( CONTROL!$C$15, $D$11, 100%, $F$11)</f>
        <v>7.3343999999999996</v>
      </c>
      <c r="F172" s="4">
        <f>7.9901 * CHOOSE(CONTROL!$C$15, $D$11, 100%, $F$11)</f>
        <v>7.9901</v>
      </c>
      <c r="G172" s="8">
        <f>7.1618 * CHOOSE( CONTROL!$C$15, $D$11, 100%, $F$11)</f>
        <v>7.1618000000000004</v>
      </c>
      <c r="H172" s="4">
        <f>8.0387 * CHOOSE(CONTROL!$C$15, $D$11, 100%, $F$11)</f>
        <v>8.0387000000000004</v>
      </c>
      <c r="I172" s="8">
        <f>7.1827 * CHOOSE(CONTROL!$C$15, $D$11, 100%, $F$11)</f>
        <v>7.1826999999999996</v>
      </c>
      <c r="J172" s="4">
        <f>7.0196 * CHOOSE(CONTROL!$C$15, $D$11, 100%, $F$11)</f>
        <v>7.0195999999999996</v>
      </c>
      <c r="K172" s="4"/>
      <c r="L172" s="9">
        <v>29.306000000000001</v>
      </c>
      <c r="M172" s="9">
        <v>12.063700000000001</v>
      </c>
      <c r="N172" s="9">
        <v>4.9444999999999997</v>
      </c>
      <c r="O172" s="9">
        <v>0.37409999999999999</v>
      </c>
      <c r="P172" s="9">
        <v>1.2927</v>
      </c>
      <c r="Q172" s="9">
        <v>31.885999999999999</v>
      </c>
      <c r="R172" s="9"/>
      <c r="S172" s="11"/>
    </row>
    <row r="173" spans="1:19" ht="15.75">
      <c r="A173" s="13">
        <v>46753</v>
      </c>
      <c r="B173" s="8">
        <f>7.6006 * CHOOSE(CONTROL!$C$15, $D$11, 100%, $F$11)</f>
        <v>7.6006</v>
      </c>
      <c r="C173" s="8">
        <f>7.6058 * CHOOSE(CONTROL!$C$15, $D$11, 100%, $F$11)</f>
        <v>7.6058000000000003</v>
      </c>
      <c r="D173" s="8">
        <f>7.586 * CHOOSE( CONTROL!$C$15, $D$11, 100%, $F$11)</f>
        <v>7.5860000000000003</v>
      </c>
      <c r="E173" s="12">
        <f>7.5927 * CHOOSE( CONTROL!$C$15, $D$11, 100%, $F$11)</f>
        <v>7.5926999999999998</v>
      </c>
      <c r="F173" s="4">
        <f>8.2511 * CHOOSE(CONTROL!$C$15, $D$11, 100%, $F$11)</f>
        <v>8.2510999999999992</v>
      </c>
      <c r="G173" s="8">
        <f>7.4074 * CHOOSE( CONTROL!$C$15, $D$11, 100%, $F$11)</f>
        <v>7.4074</v>
      </c>
      <c r="H173" s="4">
        <f>8.2936 * CHOOSE(CONTROL!$C$15, $D$11, 100%, $F$11)</f>
        <v>8.2935999999999996</v>
      </c>
      <c r="I173" s="8">
        <f>7.3925 * CHOOSE(CONTROL!$C$15, $D$11, 100%, $F$11)</f>
        <v>7.3925000000000001</v>
      </c>
      <c r="J173" s="4">
        <f>7.2702 * CHOOSE(CONTROL!$C$15, $D$11, 100%, $F$11)</f>
        <v>7.2702</v>
      </c>
      <c r="K173" s="4"/>
      <c r="L173" s="9">
        <v>29.306000000000001</v>
      </c>
      <c r="M173" s="9">
        <v>12.063700000000001</v>
      </c>
      <c r="N173" s="9">
        <v>4.9444999999999997</v>
      </c>
      <c r="O173" s="9">
        <v>0.37409999999999999</v>
      </c>
      <c r="P173" s="9">
        <v>1.2927</v>
      </c>
      <c r="Q173" s="9">
        <v>31.701799999999999</v>
      </c>
      <c r="R173" s="9"/>
      <c r="S173" s="11"/>
    </row>
    <row r="174" spans="1:19" ht="15.75">
      <c r="A174" s="13">
        <v>46784</v>
      </c>
      <c r="B174" s="8">
        <f>7.1111 * CHOOSE(CONTROL!$C$15, $D$11, 100%, $F$11)</f>
        <v>7.1111000000000004</v>
      </c>
      <c r="C174" s="8">
        <f>7.1163 * CHOOSE(CONTROL!$C$15, $D$11, 100%, $F$11)</f>
        <v>7.1162999999999998</v>
      </c>
      <c r="D174" s="8">
        <f>7.0964 * CHOOSE( CONTROL!$C$15, $D$11, 100%, $F$11)</f>
        <v>7.0964</v>
      </c>
      <c r="E174" s="12">
        <f>7.1031 * CHOOSE( CONTROL!$C$15, $D$11, 100%, $F$11)</f>
        <v>7.1031000000000004</v>
      </c>
      <c r="F174" s="4">
        <f>7.7616 * CHOOSE(CONTROL!$C$15, $D$11, 100%, $F$11)</f>
        <v>7.7615999999999996</v>
      </c>
      <c r="G174" s="8">
        <f>6.9293 * CHOOSE( CONTROL!$C$15, $D$11, 100%, $F$11)</f>
        <v>6.9292999999999996</v>
      </c>
      <c r="H174" s="4">
        <f>7.8155 * CHOOSE(CONTROL!$C$15, $D$11, 100%, $F$11)</f>
        <v>7.8155000000000001</v>
      </c>
      <c r="I174" s="8">
        <f>6.9222 * CHOOSE(CONTROL!$C$15, $D$11, 100%, $F$11)</f>
        <v>6.9222000000000001</v>
      </c>
      <c r="J174" s="4">
        <f>6.8002 * CHOOSE(CONTROL!$C$15, $D$11, 100%, $F$11)</f>
        <v>6.8002000000000002</v>
      </c>
      <c r="K174" s="4"/>
      <c r="L174" s="9">
        <v>27.415299999999998</v>
      </c>
      <c r="M174" s="9">
        <v>11.285299999999999</v>
      </c>
      <c r="N174" s="9">
        <v>4.6254999999999997</v>
      </c>
      <c r="O174" s="9">
        <v>0.34989999999999999</v>
      </c>
      <c r="P174" s="9">
        <v>1.2093</v>
      </c>
      <c r="Q174" s="9">
        <v>29.656600000000001</v>
      </c>
      <c r="R174" s="9"/>
      <c r="S174" s="11"/>
    </row>
    <row r="175" spans="1:19" ht="15.75">
      <c r="A175" s="13">
        <v>46813</v>
      </c>
      <c r="B175" s="8">
        <f>6.9603 * CHOOSE(CONTROL!$C$15, $D$11, 100%, $F$11)</f>
        <v>6.9603000000000002</v>
      </c>
      <c r="C175" s="8">
        <f>6.9655 * CHOOSE(CONTROL!$C$15, $D$11, 100%, $F$11)</f>
        <v>6.9654999999999996</v>
      </c>
      <c r="D175" s="8">
        <f>6.9453 * CHOOSE( CONTROL!$C$15, $D$11, 100%, $F$11)</f>
        <v>6.9452999999999996</v>
      </c>
      <c r="E175" s="12">
        <f>6.9521 * CHOOSE( CONTROL!$C$15, $D$11, 100%, $F$11)</f>
        <v>6.9520999999999997</v>
      </c>
      <c r="F175" s="4">
        <f>7.6108 * CHOOSE(CONTROL!$C$15, $D$11, 100%, $F$11)</f>
        <v>7.6108000000000002</v>
      </c>
      <c r="G175" s="8">
        <f>6.7818 * CHOOSE( CONTROL!$C$15, $D$11, 100%, $F$11)</f>
        <v>6.7817999999999996</v>
      </c>
      <c r="H175" s="4">
        <f>7.6682 * CHOOSE(CONTROL!$C$15, $D$11, 100%, $F$11)</f>
        <v>7.6681999999999997</v>
      </c>
      <c r="I175" s="8">
        <f>6.7762 * CHOOSE(CONTROL!$C$15, $D$11, 100%, $F$11)</f>
        <v>6.7762000000000002</v>
      </c>
      <c r="J175" s="4">
        <f>6.6554 * CHOOSE(CONTROL!$C$15, $D$11, 100%, $F$11)</f>
        <v>6.6554000000000002</v>
      </c>
      <c r="K175" s="4"/>
      <c r="L175" s="9">
        <v>29.306000000000001</v>
      </c>
      <c r="M175" s="9">
        <v>12.063700000000001</v>
      </c>
      <c r="N175" s="9">
        <v>4.9444999999999997</v>
      </c>
      <c r="O175" s="9">
        <v>0.37409999999999999</v>
      </c>
      <c r="P175" s="9">
        <v>1.2927</v>
      </c>
      <c r="Q175" s="9">
        <v>31.701799999999999</v>
      </c>
      <c r="R175" s="9"/>
      <c r="S175" s="11"/>
    </row>
    <row r="176" spans="1:19" ht="15.75">
      <c r="A176" s="13">
        <v>46844</v>
      </c>
      <c r="B176" s="8">
        <f>7.0664 * CHOOSE(CONTROL!$C$15, $D$11, 100%, $F$11)</f>
        <v>7.0663999999999998</v>
      </c>
      <c r="C176" s="8">
        <f>7.0711 * CHOOSE(CONTROL!$C$15, $D$11, 100%, $F$11)</f>
        <v>7.0711000000000004</v>
      </c>
      <c r="D176" s="8">
        <f>7.1016 * CHOOSE( CONTROL!$C$15, $D$11, 100%, $F$11)</f>
        <v>7.1016000000000004</v>
      </c>
      <c r="E176" s="12">
        <f>7.091 * CHOOSE( CONTROL!$C$15, $D$11, 100%, $F$11)</f>
        <v>7.0910000000000002</v>
      </c>
      <c r="F176" s="4">
        <f>7.7812 * CHOOSE(CONTROL!$C$15, $D$11, 100%, $F$11)</f>
        <v>7.7812000000000001</v>
      </c>
      <c r="G176" s="8">
        <f>6.8858 * CHOOSE( CONTROL!$C$15, $D$11, 100%, $F$11)</f>
        <v>6.8857999999999997</v>
      </c>
      <c r="H176" s="4">
        <f>7.8347 * CHOOSE(CONTROL!$C$15, $D$11, 100%, $F$11)</f>
        <v>7.8346999999999998</v>
      </c>
      <c r="I176" s="8">
        <f>6.8694 * CHOOSE(CONTROL!$C$15, $D$11, 100%, $F$11)</f>
        <v>6.8693999999999997</v>
      </c>
      <c r="J176" s="4">
        <f>6.7566 * CHOOSE(CONTROL!$C$15, $D$11, 100%, $F$11)</f>
        <v>6.7565999999999997</v>
      </c>
      <c r="K176" s="4"/>
      <c r="L176" s="9">
        <v>30.092199999999998</v>
      </c>
      <c r="M176" s="9">
        <v>11.6745</v>
      </c>
      <c r="N176" s="9">
        <v>4.7850000000000001</v>
      </c>
      <c r="O176" s="9">
        <v>0.36199999999999999</v>
      </c>
      <c r="P176" s="9">
        <v>1.1791</v>
      </c>
      <c r="Q176" s="9">
        <v>30.679200000000002</v>
      </c>
      <c r="R176" s="9"/>
      <c r="S176" s="11"/>
    </row>
    <row r="177" spans="1:19" ht="15.75">
      <c r="A177" s="13">
        <v>46874</v>
      </c>
      <c r="B177" s="8">
        <f>CHOOSE( CONTROL!$C$32, 7.2577, 7.2553) * CHOOSE(CONTROL!$C$15, $D$11, 100%, $F$11)</f>
        <v>7.2576999999999998</v>
      </c>
      <c r="C177" s="8">
        <f>CHOOSE( CONTROL!$C$32, 7.2658, 7.2634) * CHOOSE(CONTROL!$C$15, $D$11, 100%, $F$11)</f>
        <v>7.2657999999999996</v>
      </c>
      <c r="D177" s="8">
        <f>CHOOSE( CONTROL!$C$32, 7.291, 7.2886) * CHOOSE( CONTROL!$C$15, $D$11, 100%, $F$11)</f>
        <v>7.2910000000000004</v>
      </c>
      <c r="E177" s="12">
        <f>CHOOSE( CONTROL!$C$32, 7.2806, 7.2782) * CHOOSE( CONTROL!$C$15, $D$11, 100%, $F$11)</f>
        <v>7.2805999999999997</v>
      </c>
      <c r="F177" s="4">
        <f>CHOOSE( CONTROL!$C$32, 7.9711, 7.9688) * CHOOSE(CONTROL!$C$15, $D$11, 100%, $F$11)</f>
        <v>7.9710999999999999</v>
      </c>
      <c r="G177" s="8">
        <f>CHOOSE( CONTROL!$C$32, 7.0719, 7.0696) * CHOOSE( CONTROL!$C$15, $D$11, 100%, $F$11)</f>
        <v>7.0719000000000003</v>
      </c>
      <c r="H177" s="4">
        <f>CHOOSE( CONTROL!$C$32, 8.0202, 8.0179) * CHOOSE(CONTROL!$C$15, $D$11, 100%, $F$11)</f>
        <v>8.0202000000000009</v>
      </c>
      <c r="I177" s="8">
        <f>CHOOSE( CONTROL!$C$32, 7.0521, 7.0498) * CHOOSE(CONTROL!$C$15, $D$11, 100%, $F$11)</f>
        <v>7.0521000000000003</v>
      </c>
      <c r="J177" s="4">
        <f>CHOOSE( CONTROL!$C$32, 6.9389, 6.9366) * CHOOSE(CONTROL!$C$15, $D$11, 100%, $F$11)</f>
        <v>6.9389000000000003</v>
      </c>
      <c r="K177" s="4"/>
      <c r="L177" s="9">
        <v>30.7165</v>
      </c>
      <c r="M177" s="9">
        <v>12.063700000000001</v>
      </c>
      <c r="N177" s="9">
        <v>4.9444999999999997</v>
      </c>
      <c r="O177" s="9">
        <v>0.37409999999999999</v>
      </c>
      <c r="P177" s="9">
        <v>1.2183999999999999</v>
      </c>
      <c r="Q177" s="9">
        <v>31.701799999999999</v>
      </c>
      <c r="R177" s="9"/>
      <c r="S177" s="11"/>
    </row>
    <row r="178" spans="1:19" ht="15.75">
      <c r="A178" s="13">
        <v>46905</v>
      </c>
      <c r="B178" s="8">
        <f>CHOOSE( CONTROL!$C$32, 7.1415, 7.1392) * CHOOSE(CONTROL!$C$15, $D$11, 100%, $F$11)</f>
        <v>7.1414999999999997</v>
      </c>
      <c r="C178" s="8">
        <f>CHOOSE( CONTROL!$C$32, 7.1496, 7.1473) * CHOOSE(CONTROL!$C$15, $D$11, 100%, $F$11)</f>
        <v>7.1496000000000004</v>
      </c>
      <c r="D178" s="8">
        <f>CHOOSE( CONTROL!$C$32, 7.175, 7.1727) * CHOOSE( CONTROL!$C$15, $D$11, 100%, $F$11)</f>
        <v>7.1749999999999998</v>
      </c>
      <c r="E178" s="12">
        <f>CHOOSE( CONTROL!$C$32, 7.1646, 7.1623) * CHOOSE( CONTROL!$C$15, $D$11, 100%, $F$11)</f>
        <v>7.1646000000000001</v>
      </c>
      <c r="F178" s="4">
        <f>CHOOSE( CONTROL!$C$32, 7.8549, 7.8526) * CHOOSE(CONTROL!$C$15, $D$11, 100%, $F$11)</f>
        <v>7.8548999999999998</v>
      </c>
      <c r="G178" s="8">
        <f>CHOOSE( CONTROL!$C$32, 6.9587, 6.9564) * CHOOSE( CONTROL!$C$15, $D$11, 100%, $F$11)</f>
        <v>6.9587000000000003</v>
      </c>
      <c r="H178" s="4">
        <f>CHOOSE( CONTROL!$C$32, 7.9067, 7.9044) * CHOOSE(CONTROL!$C$15, $D$11, 100%, $F$11)</f>
        <v>7.9066999999999998</v>
      </c>
      <c r="I178" s="8">
        <f>CHOOSE( CONTROL!$C$32, 6.9415, 6.9392) * CHOOSE(CONTROL!$C$15, $D$11, 100%, $F$11)</f>
        <v>6.9414999999999996</v>
      </c>
      <c r="J178" s="4">
        <f>CHOOSE( CONTROL!$C$32, 6.8273, 6.8251) * CHOOSE(CONTROL!$C$15, $D$11, 100%, $F$11)</f>
        <v>6.8273000000000001</v>
      </c>
      <c r="K178" s="4"/>
      <c r="L178" s="9">
        <v>29.7257</v>
      </c>
      <c r="M178" s="9">
        <v>11.6745</v>
      </c>
      <c r="N178" s="9">
        <v>4.7850000000000001</v>
      </c>
      <c r="O178" s="9">
        <v>0.36199999999999999</v>
      </c>
      <c r="P178" s="9">
        <v>1.1791</v>
      </c>
      <c r="Q178" s="9">
        <v>30.679200000000002</v>
      </c>
      <c r="R178" s="9"/>
      <c r="S178" s="11"/>
    </row>
    <row r="179" spans="1:19" ht="15.75">
      <c r="A179" s="13">
        <v>46935</v>
      </c>
      <c r="B179" s="8">
        <f>CHOOSE( CONTROL!$C$32, 7.4474, 7.4451) * CHOOSE(CONTROL!$C$15, $D$11, 100%, $F$11)</f>
        <v>7.4474</v>
      </c>
      <c r="C179" s="8">
        <f>CHOOSE( CONTROL!$C$32, 7.4555, 7.4531) * CHOOSE(CONTROL!$C$15, $D$11, 100%, $F$11)</f>
        <v>7.4554999999999998</v>
      </c>
      <c r="D179" s="8">
        <f>CHOOSE( CONTROL!$C$32, 7.4811, 7.4788) * CHOOSE( CONTROL!$C$15, $D$11, 100%, $F$11)</f>
        <v>7.4810999999999996</v>
      </c>
      <c r="E179" s="12">
        <f>CHOOSE( CONTROL!$C$32, 7.4706, 7.4683) * CHOOSE( CONTROL!$C$15, $D$11, 100%, $F$11)</f>
        <v>7.4706000000000001</v>
      </c>
      <c r="F179" s="4">
        <f>CHOOSE( CONTROL!$C$32, 8.1608, 8.1585) * CHOOSE(CONTROL!$C$15, $D$11, 100%, $F$11)</f>
        <v>8.1608000000000001</v>
      </c>
      <c r="G179" s="8">
        <f>CHOOSE( CONTROL!$C$32, 7.2578, 7.2556) * CHOOSE( CONTROL!$C$15, $D$11, 100%, $F$11)</f>
        <v>7.2577999999999996</v>
      </c>
      <c r="H179" s="4">
        <f>CHOOSE( CONTROL!$C$32, 8.2055, 8.2032) * CHOOSE(CONTROL!$C$15, $D$11, 100%, $F$11)</f>
        <v>8.2055000000000007</v>
      </c>
      <c r="I179" s="8">
        <f>CHOOSE( CONTROL!$C$32, 7.2365, 7.2343) * CHOOSE(CONTROL!$C$15, $D$11, 100%, $F$11)</f>
        <v>7.2365000000000004</v>
      </c>
      <c r="J179" s="4">
        <f>CHOOSE( CONTROL!$C$32, 7.121, 7.1188) * CHOOSE(CONTROL!$C$15, $D$11, 100%, $F$11)</f>
        <v>7.1210000000000004</v>
      </c>
      <c r="K179" s="4"/>
      <c r="L179" s="9">
        <v>30.7165</v>
      </c>
      <c r="M179" s="9">
        <v>12.063700000000001</v>
      </c>
      <c r="N179" s="9">
        <v>4.9444999999999997</v>
      </c>
      <c r="O179" s="9">
        <v>0.37409999999999999</v>
      </c>
      <c r="P179" s="9">
        <v>1.2183999999999999</v>
      </c>
      <c r="Q179" s="9">
        <v>31.701799999999999</v>
      </c>
      <c r="R179" s="9"/>
      <c r="S179" s="11"/>
    </row>
    <row r="180" spans="1:19" ht="15.75">
      <c r="A180" s="13">
        <v>46966</v>
      </c>
      <c r="B180" s="8">
        <f>CHOOSE( CONTROL!$C$32, 6.8751, 6.8727) * CHOOSE(CONTROL!$C$15, $D$11, 100%, $F$11)</f>
        <v>6.8750999999999998</v>
      </c>
      <c r="C180" s="8">
        <f>CHOOSE( CONTROL!$C$32, 6.8831, 6.8808) * CHOOSE(CONTROL!$C$15, $D$11, 100%, $F$11)</f>
        <v>6.8830999999999998</v>
      </c>
      <c r="D180" s="8">
        <f>CHOOSE( CONTROL!$C$32, 6.9089, 6.9065) * CHOOSE( CONTROL!$C$15, $D$11, 100%, $F$11)</f>
        <v>6.9089</v>
      </c>
      <c r="E180" s="12">
        <f>CHOOSE( CONTROL!$C$32, 6.8983, 6.896) * CHOOSE( CONTROL!$C$15, $D$11, 100%, $F$11)</f>
        <v>6.8982999999999999</v>
      </c>
      <c r="F180" s="4">
        <f>CHOOSE( CONTROL!$C$32, 7.5885, 7.5861) * CHOOSE(CONTROL!$C$15, $D$11, 100%, $F$11)</f>
        <v>7.5884999999999998</v>
      </c>
      <c r="G180" s="8">
        <f>CHOOSE( CONTROL!$C$32, 6.6989, 6.6967) * CHOOSE( CONTROL!$C$15, $D$11, 100%, $F$11)</f>
        <v>6.6989000000000001</v>
      </c>
      <c r="H180" s="4">
        <f>CHOOSE( CONTROL!$C$32, 7.6465, 7.6442) * CHOOSE(CONTROL!$C$15, $D$11, 100%, $F$11)</f>
        <v>7.6464999999999996</v>
      </c>
      <c r="I180" s="8">
        <f>CHOOSE( CONTROL!$C$32, 6.6871, 6.6849) * CHOOSE(CONTROL!$C$15, $D$11, 100%, $F$11)</f>
        <v>6.6871</v>
      </c>
      <c r="J180" s="4">
        <f>CHOOSE( CONTROL!$C$32, 6.5715, 6.5693) * CHOOSE(CONTROL!$C$15, $D$11, 100%, $F$11)</f>
        <v>6.5715000000000003</v>
      </c>
      <c r="K180" s="4"/>
      <c r="L180" s="9">
        <v>30.7165</v>
      </c>
      <c r="M180" s="9">
        <v>12.063700000000001</v>
      </c>
      <c r="N180" s="9">
        <v>4.9444999999999997</v>
      </c>
      <c r="O180" s="9">
        <v>0.37409999999999999</v>
      </c>
      <c r="P180" s="9">
        <v>1.2183999999999999</v>
      </c>
      <c r="Q180" s="9">
        <v>31.701799999999999</v>
      </c>
      <c r="R180" s="9"/>
      <c r="S180" s="11"/>
    </row>
    <row r="181" spans="1:19" ht="15.75">
      <c r="A181" s="13">
        <v>46997</v>
      </c>
      <c r="B181" s="8">
        <f>CHOOSE( CONTROL!$C$32, 6.7317, 6.7294) * CHOOSE(CONTROL!$C$15, $D$11, 100%, $F$11)</f>
        <v>6.7317</v>
      </c>
      <c r="C181" s="8">
        <f>CHOOSE( CONTROL!$C$32, 6.7398, 6.7375) * CHOOSE(CONTROL!$C$15, $D$11, 100%, $F$11)</f>
        <v>6.7397999999999998</v>
      </c>
      <c r="D181" s="8">
        <f>CHOOSE( CONTROL!$C$32, 6.7655, 6.7632) * CHOOSE( CONTROL!$C$15, $D$11, 100%, $F$11)</f>
        <v>6.7655000000000003</v>
      </c>
      <c r="E181" s="12">
        <f>CHOOSE( CONTROL!$C$32, 6.755, 6.7527) * CHOOSE( CONTROL!$C$15, $D$11, 100%, $F$11)</f>
        <v>6.7549999999999999</v>
      </c>
      <c r="F181" s="4">
        <f>CHOOSE( CONTROL!$C$32, 7.4452, 7.4428) * CHOOSE(CONTROL!$C$15, $D$11, 100%, $F$11)</f>
        <v>7.4451999999999998</v>
      </c>
      <c r="G181" s="8">
        <f>CHOOSE( CONTROL!$C$32, 6.5589, 6.5566) * CHOOSE( CONTROL!$C$15, $D$11, 100%, $F$11)</f>
        <v>6.5589000000000004</v>
      </c>
      <c r="H181" s="4">
        <f>CHOOSE( CONTROL!$C$32, 7.5065, 7.5042) * CHOOSE(CONTROL!$C$15, $D$11, 100%, $F$11)</f>
        <v>7.5065</v>
      </c>
      <c r="I181" s="8">
        <f>CHOOSE( CONTROL!$C$32, 6.5493, 6.5471) * CHOOSE(CONTROL!$C$15, $D$11, 100%, $F$11)</f>
        <v>6.5492999999999997</v>
      </c>
      <c r="J181" s="4">
        <f>CHOOSE( CONTROL!$C$32, 6.4339, 6.4317) * CHOOSE(CONTROL!$C$15, $D$11, 100%, $F$11)</f>
        <v>6.4339000000000004</v>
      </c>
      <c r="K181" s="4"/>
      <c r="L181" s="9">
        <v>29.7257</v>
      </c>
      <c r="M181" s="9">
        <v>11.6745</v>
      </c>
      <c r="N181" s="9">
        <v>4.7850000000000001</v>
      </c>
      <c r="O181" s="9">
        <v>0.36199999999999999</v>
      </c>
      <c r="P181" s="9">
        <v>1.1791</v>
      </c>
      <c r="Q181" s="9">
        <v>30.679200000000002</v>
      </c>
      <c r="R181" s="9"/>
      <c r="S181" s="11"/>
    </row>
    <row r="182" spans="1:19" ht="15.75">
      <c r="A182" s="13">
        <v>47027</v>
      </c>
      <c r="B182" s="8">
        <f>7.0252 * CHOOSE(CONTROL!$C$15, $D$11, 100%, $F$11)</f>
        <v>7.0251999999999999</v>
      </c>
      <c r="C182" s="8">
        <f>7.0307 * CHOOSE(CONTROL!$C$15, $D$11, 100%, $F$11)</f>
        <v>7.0307000000000004</v>
      </c>
      <c r="D182" s="8">
        <f>7.0615 * CHOOSE( CONTROL!$C$15, $D$11, 100%, $F$11)</f>
        <v>7.0614999999999997</v>
      </c>
      <c r="E182" s="12">
        <f>7.0507 * CHOOSE( CONTROL!$C$15, $D$11, 100%, $F$11)</f>
        <v>7.0507</v>
      </c>
      <c r="F182" s="4">
        <f>7.7404 * CHOOSE(CONTROL!$C$15, $D$11, 100%, $F$11)</f>
        <v>7.7404000000000002</v>
      </c>
      <c r="G182" s="8">
        <f>6.8471 * CHOOSE( CONTROL!$C$15, $D$11, 100%, $F$11)</f>
        <v>6.8471000000000002</v>
      </c>
      <c r="H182" s="4">
        <f>7.7948 * CHOOSE(CONTROL!$C$15, $D$11, 100%, $F$11)</f>
        <v>7.7948000000000004</v>
      </c>
      <c r="I182" s="8">
        <f>6.8338 * CHOOSE(CONTROL!$C$15, $D$11, 100%, $F$11)</f>
        <v>6.8338000000000001</v>
      </c>
      <c r="J182" s="4">
        <f>6.7174 * CHOOSE(CONTROL!$C$15, $D$11, 100%, $F$11)</f>
        <v>6.7173999999999996</v>
      </c>
      <c r="K182" s="4"/>
      <c r="L182" s="9">
        <v>31.095300000000002</v>
      </c>
      <c r="M182" s="9">
        <v>12.063700000000001</v>
      </c>
      <c r="N182" s="9">
        <v>4.9444999999999997</v>
      </c>
      <c r="O182" s="9">
        <v>0.37409999999999999</v>
      </c>
      <c r="P182" s="9">
        <v>1.2183999999999999</v>
      </c>
      <c r="Q182" s="9">
        <v>31.701799999999999</v>
      </c>
      <c r="R182" s="9"/>
      <c r="S182" s="11"/>
    </row>
    <row r="183" spans="1:19" ht="15.75">
      <c r="A183" s="13">
        <v>47058</v>
      </c>
      <c r="B183" s="8">
        <f>7.5741 * CHOOSE(CONTROL!$C$15, $D$11, 100%, $F$11)</f>
        <v>7.5740999999999996</v>
      </c>
      <c r="C183" s="8">
        <f>7.5793 * CHOOSE(CONTROL!$C$15, $D$11, 100%, $F$11)</f>
        <v>7.5792999999999999</v>
      </c>
      <c r="D183" s="8">
        <f>7.5623 * CHOOSE( CONTROL!$C$15, $D$11, 100%, $F$11)</f>
        <v>7.5622999999999996</v>
      </c>
      <c r="E183" s="12">
        <f>7.568 * CHOOSE( CONTROL!$C$15, $D$11, 100%, $F$11)</f>
        <v>7.5679999999999996</v>
      </c>
      <c r="F183" s="4">
        <f>8.2246 * CHOOSE(CONTROL!$C$15, $D$11, 100%, $F$11)</f>
        <v>8.2246000000000006</v>
      </c>
      <c r="G183" s="8">
        <f>7.3898 * CHOOSE( CONTROL!$C$15, $D$11, 100%, $F$11)</f>
        <v>7.3898000000000001</v>
      </c>
      <c r="H183" s="4">
        <f>8.2678 * CHOOSE(CONTROL!$C$15, $D$11, 100%, $F$11)</f>
        <v>8.2677999999999994</v>
      </c>
      <c r="I183" s="8">
        <f>7.4032 * CHOOSE(CONTROL!$C$15, $D$11, 100%, $F$11)</f>
        <v>7.4032</v>
      </c>
      <c r="J183" s="4">
        <f>7.2447 * CHOOSE(CONTROL!$C$15, $D$11, 100%, $F$11)</f>
        <v>7.2446999999999999</v>
      </c>
      <c r="K183" s="4"/>
      <c r="L183" s="9">
        <v>28.360600000000002</v>
      </c>
      <c r="M183" s="9">
        <v>11.6745</v>
      </c>
      <c r="N183" s="9">
        <v>4.7850000000000001</v>
      </c>
      <c r="O183" s="9">
        <v>0.36199999999999999</v>
      </c>
      <c r="P183" s="9">
        <v>1.2509999999999999</v>
      </c>
      <c r="Q183" s="9">
        <v>30.679200000000002</v>
      </c>
      <c r="R183" s="9"/>
      <c r="S183" s="11"/>
    </row>
    <row r="184" spans="1:19" ht="15.75">
      <c r="A184" s="13">
        <v>47088</v>
      </c>
      <c r="B184" s="8">
        <f>7.5604 * CHOOSE(CONTROL!$C$15, $D$11, 100%, $F$11)</f>
        <v>7.5603999999999996</v>
      </c>
      <c r="C184" s="8">
        <f>7.5656 * CHOOSE(CONTROL!$C$15, $D$11, 100%, $F$11)</f>
        <v>7.5655999999999999</v>
      </c>
      <c r="D184" s="8">
        <f>7.5501 * CHOOSE( CONTROL!$C$15, $D$11, 100%, $F$11)</f>
        <v>7.5500999999999996</v>
      </c>
      <c r="E184" s="12">
        <f>7.5552 * CHOOSE( CONTROL!$C$15, $D$11, 100%, $F$11)</f>
        <v>7.5552000000000001</v>
      </c>
      <c r="F184" s="4">
        <f>8.2109 * CHOOSE(CONTROL!$C$15, $D$11, 100%, $F$11)</f>
        <v>8.2109000000000005</v>
      </c>
      <c r="G184" s="8">
        <f>7.3774 * CHOOSE( CONTROL!$C$15, $D$11, 100%, $F$11)</f>
        <v>7.3773999999999997</v>
      </c>
      <c r="H184" s="4">
        <f>8.2544 * CHOOSE(CONTROL!$C$15, $D$11, 100%, $F$11)</f>
        <v>8.2544000000000004</v>
      </c>
      <c r="I184" s="8">
        <f>7.3948 * CHOOSE(CONTROL!$C$15, $D$11, 100%, $F$11)</f>
        <v>7.3948</v>
      </c>
      <c r="J184" s="4">
        <f>7.2316 * CHOOSE(CONTROL!$C$15, $D$11, 100%, $F$11)</f>
        <v>7.2316000000000003</v>
      </c>
      <c r="K184" s="4"/>
      <c r="L184" s="9">
        <v>29.306000000000001</v>
      </c>
      <c r="M184" s="9">
        <v>12.063700000000001</v>
      </c>
      <c r="N184" s="9">
        <v>4.9444999999999997</v>
      </c>
      <c r="O184" s="9">
        <v>0.37409999999999999</v>
      </c>
      <c r="P184" s="9">
        <v>1.2927</v>
      </c>
      <c r="Q184" s="9">
        <v>31.701799999999999</v>
      </c>
      <c r="R184" s="9"/>
      <c r="S184" s="11"/>
    </row>
    <row r="185" spans="1:19" ht="15.75">
      <c r="A185" s="13">
        <v>47119</v>
      </c>
      <c r="B185" s="8">
        <f>7.8286 * CHOOSE(CONTROL!$C$15, $D$11, 100%, $F$11)</f>
        <v>7.8285999999999998</v>
      </c>
      <c r="C185" s="8">
        <f>7.8337 * CHOOSE(CONTROL!$C$15, $D$11, 100%, $F$11)</f>
        <v>7.8337000000000003</v>
      </c>
      <c r="D185" s="8">
        <f>7.8139 * CHOOSE( CONTROL!$C$15, $D$11, 100%, $F$11)</f>
        <v>7.8139000000000003</v>
      </c>
      <c r="E185" s="12">
        <f>7.8206 * CHOOSE( CONTROL!$C$15, $D$11, 100%, $F$11)</f>
        <v>7.8205999999999998</v>
      </c>
      <c r="F185" s="4">
        <f>8.479 * CHOOSE(CONTROL!$C$15, $D$11, 100%, $F$11)</f>
        <v>8.4789999999999992</v>
      </c>
      <c r="G185" s="8">
        <f>7.6301 * CHOOSE( CONTROL!$C$15, $D$11, 100%, $F$11)</f>
        <v>7.6300999999999997</v>
      </c>
      <c r="H185" s="4">
        <f>8.5163 * CHOOSE(CONTROL!$C$15, $D$11, 100%, $F$11)</f>
        <v>8.5162999999999993</v>
      </c>
      <c r="I185" s="8">
        <f>7.6114 * CHOOSE(CONTROL!$C$15, $D$11, 100%, $F$11)</f>
        <v>7.6113999999999997</v>
      </c>
      <c r="J185" s="4">
        <f>7.489 * CHOOSE(CONTROL!$C$15, $D$11, 100%, $F$11)</f>
        <v>7.4889999999999999</v>
      </c>
      <c r="K185" s="4"/>
      <c r="L185" s="9">
        <v>29.306000000000001</v>
      </c>
      <c r="M185" s="9">
        <v>12.063700000000001</v>
      </c>
      <c r="N185" s="9">
        <v>4.9444999999999997</v>
      </c>
      <c r="O185" s="9">
        <v>0.37409999999999999</v>
      </c>
      <c r="P185" s="9">
        <v>1.2927</v>
      </c>
      <c r="Q185" s="9">
        <v>31.517700000000001</v>
      </c>
      <c r="R185" s="9"/>
      <c r="S185" s="11"/>
    </row>
    <row r="186" spans="1:19" ht="15.75">
      <c r="A186" s="13">
        <v>47150</v>
      </c>
      <c r="B186" s="8">
        <f>7.3243 * CHOOSE(CONTROL!$C$15, $D$11, 100%, $F$11)</f>
        <v>7.3243</v>
      </c>
      <c r="C186" s="8">
        <f>7.3295 * CHOOSE(CONTROL!$C$15, $D$11, 100%, $F$11)</f>
        <v>7.3295000000000003</v>
      </c>
      <c r="D186" s="8">
        <f>7.3096 * CHOOSE( CONTROL!$C$15, $D$11, 100%, $F$11)</f>
        <v>7.3095999999999997</v>
      </c>
      <c r="E186" s="12">
        <f>7.3163 * CHOOSE( CONTROL!$C$15, $D$11, 100%, $F$11)</f>
        <v>7.3163</v>
      </c>
      <c r="F186" s="4">
        <f>7.9748 * CHOOSE(CONTROL!$C$15, $D$11, 100%, $F$11)</f>
        <v>7.9748000000000001</v>
      </c>
      <c r="G186" s="8">
        <f>7.1375 * CHOOSE( CONTROL!$C$15, $D$11, 100%, $F$11)</f>
        <v>7.1375000000000002</v>
      </c>
      <c r="H186" s="4">
        <f>8.0237 * CHOOSE(CONTROL!$C$15, $D$11, 100%, $F$11)</f>
        <v>8.0236999999999998</v>
      </c>
      <c r="I186" s="8">
        <f>7.1269 * CHOOSE(CONTROL!$C$15, $D$11, 100%, $F$11)</f>
        <v>7.1269</v>
      </c>
      <c r="J186" s="4">
        <f>7.0049 * CHOOSE(CONTROL!$C$15, $D$11, 100%, $F$11)</f>
        <v>7.0049000000000001</v>
      </c>
      <c r="K186" s="4"/>
      <c r="L186" s="9">
        <v>26.469899999999999</v>
      </c>
      <c r="M186" s="9">
        <v>10.8962</v>
      </c>
      <c r="N186" s="9">
        <v>4.4660000000000002</v>
      </c>
      <c r="O186" s="9">
        <v>0.33789999999999998</v>
      </c>
      <c r="P186" s="9">
        <v>1.1676</v>
      </c>
      <c r="Q186" s="9">
        <v>28.467600000000001</v>
      </c>
      <c r="R186" s="9"/>
      <c r="S186" s="11"/>
    </row>
    <row r="187" spans="1:19" ht="15.75">
      <c r="A187" s="13">
        <v>47178</v>
      </c>
      <c r="B187" s="8">
        <f>7.169 * CHOOSE(CONTROL!$C$15, $D$11, 100%, $F$11)</f>
        <v>7.1689999999999996</v>
      </c>
      <c r="C187" s="8">
        <f>7.1742 * CHOOSE(CONTROL!$C$15, $D$11, 100%, $F$11)</f>
        <v>7.1741999999999999</v>
      </c>
      <c r="D187" s="8">
        <f>7.1539 * CHOOSE( CONTROL!$C$15, $D$11, 100%, $F$11)</f>
        <v>7.1539000000000001</v>
      </c>
      <c r="E187" s="12">
        <f>7.1608 * CHOOSE( CONTROL!$C$15, $D$11, 100%, $F$11)</f>
        <v>7.1608000000000001</v>
      </c>
      <c r="F187" s="4">
        <f>7.8194 * CHOOSE(CONTROL!$C$15, $D$11, 100%, $F$11)</f>
        <v>7.8193999999999999</v>
      </c>
      <c r="G187" s="8">
        <f>6.9856 * CHOOSE( CONTROL!$C$15, $D$11, 100%, $F$11)</f>
        <v>6.9855999999999998</v>
      </c>
      <c r="H187" s="4">
        <f>7.872 * CHOOSE(CONTROL!$C$15, $D$11, 100%, $F$11)</f>
        <v>7.8719999999999999</v>
      </c>
      <c r="I187" s="8">
        <f>6.9767 * CHOOSE(CONTROL!$C$15, $D$11, 100%, $F$11)</f>
        <v>6.9767000000000001</v>
      </c>
      <c r="J187" s="4">
        <f>6.8558 * CHOOSE(CONTROL!$C$15, $D$11, 100%, $F$11)</f>
        <v>6.8558000000000003</v>
      </c>
      <c r="K187" s="4"/>
      <c r="L187" s="9">
        <v>29.306000000000001</v>
      </c>
      <c r="M187" s="9">
        <v>12.063700000000001</v>
      </c>
      <c r="N187" s="9">
        <v>4.9444999999999997</v>
      </c>
      <c r="O187" s="9">
        <v>0.37409999999999999</v>
      </c>
      <c r="P187" s="9">
        <v>1.2927</v>
      </c>
      <c r="Q187" s="9">
        <v>31.517700000000001</v>
      </c>
      <c r="R187" s="9"/>
      <c r="S187" s="11"/>
    </row>
    <row r="188" spans="1:19" ht="15.75">
      <c r="A188" s="13">
        <v>47209</v>
      </c>
      <c r="B188" s="8">
        <f>7.2783 * CHOOSE(CONTROL!$C$15, $D$11, 100%, $F$11)</f>
        <v>7.2782999999999998</v>
      </c>
      <c r="C188" s="8">
        <f>7.2829 * CHOOSE(CONTROL!$C$15, $D$11, 100%, $F$11)</f>
        <v>7.2828999999999997</v>
      </c>
      <c r="D188" s="8">
        <f>7.3134 * CHOOSE( CONTROL!$C$15, $D$11, 100%, $F$11)</f>
        <v>7.3133999999999997</v>
      </c>
      <c r="E188" s="12">
        <f>7.3028 * CHOOSE( CONTROL!$C$15, $D$11, 100%, $F$11)</f>
        <v>7.3028000000000004</v>
      </c>
      <c r="F188" s="4">
        <f>7.9931 * CHOOSE(CONTROL!$C$15, $D$11, 100%, $F$11)</f>
        <v>7.9931000000000001</v>
      </c>
      <c r="G188" s="8">
        <f>7.0927 * CHOOSE( CONTROL!$C$15, $D$11, 100%, $F$11)</f>
        <v>7.0926999999999998</v>
      </c>
      <c r="H188" s="4">
        <f>8.0416 * CHOOSE(CONTROL!$C$15, $D$11, 100%, $F$11)</f>
        <v>8.0416000000000007</v>
      </c>
      <c r="I188" s="8">
        <f>7.0729 * CHOOSE(CONTROL!$C$15, $D$11, 100%, $F$11)</f>
        <v>7.0728999999999997</v>
      </c>
      <c r="J188" s="4">
        <f>6.96 * CHOOSE(CONTROL!$C$15, $D$11, 100%, $F$11)</f>
        <v>6.96</v>
      </c>
      <c r="K188" s="4"/>
      <c r="L188" s="9">
        <v>30.092199999999998</v>
      </c>
      <c r="M188" s="9">
        <v>11.6745</v>
      </c>
      <c r="N188" s="9">
        <v>4.7850000000000001</v>
      </c>
      <c r="O188" s="9">
        <v>0.36199999999999999</v>
      </c>
      <c r="P188" s="9">
        <v>1.1791</v>
      </c>
      <c r="Q188" s="9">
        <v>30.501000000000001</v>
      </c>
      <c r="R188" s="9"/>
      <c r="S188" s="11"/>
    </row>
    <row r="189" spans="1:19" ht="15.75">
      <c r="A189" s="13">
        <v>47239</v>
      </c>
      <c r="B189" s="8">
        <f>CHOOSE( CONTROL!$C$32, 7.4751, 7.4728) * CHOOSE(CONTROL!$C$15, $D$11, 100%, $F$11)</f>
        <v>7.4751000000000003</v>
      </c>
      <c r="C189" s="8">
        <f>CHOOSE( CONTROL!$C$32, 7.4832, 7.4809) * CHOOSE(CONTROL!$C$15, $D$11, 100%, $F$11)</f>
        <v>7.4832000000000001</v>
      </c>
      <c r="D189" s="8">
        <f>CHOOSE( CONTROL!$C$32, 7.5084, 7.5061) * CHOOSE( CONTROL!$C$15, $D$11, 100%, $F$11)</f>
        <v>7.5084</v>
      </c>
      <c r="E189" s="12">
        <f>CHOOSE( CONTROL!$C$32, 7.498, 7.4957) * CHOOSE( CONTROL!$C$15, $D$11, 100%, $F$11)</f>
        <v>7.4980000000000002</v>
      </c>
      <c r="F189" s="4">
        <f>CHOOSE( CONTROL!$C$32, 8.1886, 8.1862) * CHOOSE(CONTROL!$C$15, $D$11, 100%, $F$11)</f>
        <v>8.1885999999999992</v>
      </c>
      <c r="G189" s="8">
        <f>CHOOSE( CONTROL!$C$32, 7.2842, 7.282) * CHOOSE( CONTROL!$C$15, $D$11, 100%, $F$11)</f>
        <v>7.2842000000000002</v>
      </c>
      <c r="H189" s="4">
        <f>CHOOSE( CONTROL!$C$32, 8.2326, 8.2303) * CHOOSE(CONTROL!$C$15, $D$11, 100%, $F$11)</f>
        <v>8.2325999999999997</v>
      </c>
      <c r="I189" s="8">
        <f>CHOOSE( CONTROL!$C$32, 7.261, 7.2587) * CHOOSE(CONTROL!$C$15, $D$11, 100%, $F$11)</f>
        <v>7.2610000000000001</v>
      </c>
      <c r="J189" s="4">
        <f>CHOOSE( CONTROL!$C$32, 7.1477, 7.1454) * CHOOSE(CONTROL!$C$15, $D$11, 100%, $F$11)</f>
        <v>7.1477000000000004</v>
      </c>
      <c r="K189" s="4"/>
      <c r="L189" s="9">
        <v>30.7165</v>
      </c>
      <c r="M189" s="9">
        <v>12.063700000000001</v>
      </c>
      <c r="N189" s="9">
        <v>4.9444999999999997</v>
      </c>
      <c r="O189" s="9">
        <v>0.37409999999999999</v>
      </c>
      <c r="P189" s="9">
        <v>1.2183999999999999</v>
      </c>
      <c r="Q189" s="9">
        <v>31.517700000000001</v>
      </c>
      <c r="R189" s="9"/>
      <c r="S189" s="11"/>
    </row>
    <row r="190" spans="1:19" ht="15.75">
      <c r="A190" s="13">
        <v>47270</v>
      </c>
      <c r="B190" s="8">
        <f>CHOOSE( CONTROL!$C$32, 7.3555, 7.3531) * CHOOSE(CONTROL!$C$15, $D$11, 100%, $F$11)</f>
        <v>7.3555000000000001</v>
      </c>
      <c r="C190" s="8">
        <f>CHOOSE( CONTROL!$C$32, 7.3636, 7.3612) * CHOOSE(CONTROL!$C$15, $D$11, 100%, $F$11)</f>
        <v>7.3635999999999999</v>
      </c>
      <c r="D190" s="8">
        <f>CHOOSE( CONTROL!$C$32, 7.389, 7.3866) * CHOOSE( CONTROL!$C$15, $D$11, 100%, $F$11)</f>
        <v>7.3890000000000002</v>
      </c>
      <c r="E190" s="12">
        <f>CHOOSE( CONTROL!$C$32, 7.3786, 7.3762) * CHOOSE( CONTROL!$C$15, $D$11, 100%, $F$11)</f>
        <v>7.3785999999999996</v>
      </c>
      <c r="F190" s="4">
        <f>CHOOSE( CONTROL!$C$32, 8.0689, 8.0666) * CHOOSE(CONTROL!$C$15, $D$11, 100%, $F$11)</f>
        <v>8.0688999999999993</v>
      </c>
      <c r="G190" s="8">
        <f>CHOOSE( CONTROL!$C$32, 7.1677, 7.1654) * CHOOSE( CONTROL!$C$15, $D$11, 100%, $F$11)</f>
        <v>7.1677</v>
      </c>
      <c r="H190" s="4">
        <f>CHOOSE( CONTROL!$C$32, 8.1157, 8.1134) * CHOOSE(CONTROL!$C$15, $D$11, 100%, $F$11)</f>
        <v>8.1157000000000004</v>
      </c>
      <c r="I190" s="8">
        <f>CHOOSE( CONTROL!$C$32, 7.147, 7.1448) * CHOOSE(CONTROL!$C$15, $D$11, 100%, $F$11)</f>
        <v>7.1470000000000002</v>
      </c>
      <c r="J190" s="4">
        <f>CHOOSE( CONTROL!$C$32, 7.0328, 7.0305) * CHOOSE(CONTROL!$C$15, $D$11, 100%, $F$11)</f>
        <v>7.0327999999999999</v>
      </c>
      <c r="K190" s="4"/>
      <c r="L190" s="9">
        <v>29.7257</v>
      </c>
      <c r="M190" s="9">
        <v>11.6745</v>
      </c>
      <c r="N190" s="9">
        <v>4.7850000000000001</v>
      </c>
      <c r="O190" s="9">
        <v>0.36199999999999999</v>
      </c>
      <c r="P190" s="9">
        <v>1.1791</v>
      </c>
      <c r="Q190" s="9">
        <v>30.501000000000001</v>
      </c>
      <c r="R190" s="9"/>
      <c r="S190" s="11"/>
    </row>
    <row r="191" spans="1:19" ht="15.75">
      <c r="A191" s="13">
        <v>47300</v>
      </c>
      <c r="B191" s="8">
        <f>CHOOSE( CONTROL!$C$32, 7.6706, 7.6682) * CHOOSE(CONTROL!$C$15, $D$11, 100%, $F$11)</f>
        <v>7.6706000000000003</v>
      </c>
      <c r="C191" s="8">
        <f>CHOOSE( CONTROL!$C$32, 7.6787, 7.6763) * CHOOSE(CONTROL!$C$15, $D$11, 100%, $F$11)</f>
        <v>7.6787000000000001</v>
      </c>
      <c r="D191" s="8">
        <f>CHOOSE( CONTROL!$C$32, 7.7043, 7.702) * CHOOSE( CONTROL!$C$15, $D$11, 100%, $F$11)</f>
        <v>7.7042999999999999</v>
      </c>
      <c r="E191" s="12">
        <f>CHOOSE( CONTROL!$C$32, 7.6938, 7.6915) * CHOOSE( CONTROL!$C$15, $D$11, 100%, $F$11)</f>
        <v>7.6938000000000004</v>
      </c>
      <c r="F191" s="4">
        <f>CHOOSE( CONTROL!$C$32, 8.384, 8.3817) * CHOOSE(CONTROL!$C$15, $D$11, 100%, $F$11)</f>
        <v>8.3840000000000003</v>
      </c>
      <c r="G191" s="8">
        <f>CHOOSE( CONTROL!$C$32, 7.4758, 7.4735) * CHOOSE( CONTROL!$C$15, $D$11, 100%, $F$11)</f>
        <v>7.4757999999999996</v>
      </c>
      <c r="H191" s="4">
        <f>CHOOSE( CONTROL!$C$32, 8.4235, 8.4212) * CHOOSE(CONTROL!$C$15, $D$11, 100%, $F$11)</f>
        <v>8.4235000000000007</v>
      </c>
      <c r="I191" s="8">
        <f>CHOOSE( CONTROL!$C$32, 7.4509, 7.4487) * CHOOSE(CONTROL!$C$15, $D$11, 100%, $F$11)</f>
        <v>7.4508999999999999</v>
      </c>
      <c r="J191" s="4">
        <f>CHOOSE( CONTROL!$C$32, 7.3353, 7.333) * CHOOSE(CONTROL!$C$15, $D$11, 100%, $F$11)</f>
        <v>7.3353000000000002</v>
      </c>
      <c r="K191" s="4"/>
      <c r="L191" s="9">
        <v>30.7165</v>
      </c>
      <c r="M191" s="9">
        <v>12.063700000000001</v>
      </c>
      <c r="N191" s="9">
        <v>4.9444999999999997</v>
      </c>
      <c r="O191" s="9">
        <v>0.37409999999999999</v>
      </c>
      <c r="P191" s="9">
        <v>1.2183999999999999</v>
      </c>
      <c r="Q191" s="9">
        <v>31.517700000000001</v>
      </c>
      <c r="R191" s="9"/>
      <c r="S191" s="11"/>
    </row>
    <row r="192" spans="1:19" ht="15.75">
      <c r="A192" s="13">
        <v>47331</v>
      </c>
      <c r="B192" s="8">
        <f>CHOOSE( CONTROL!$C$32, 7.081, 7.0787) * CHOOSE(CONTROL!$C$15, $D$11, 100%, $F$11)</f>
        <v>7.0810000000000004</v>
      </c>
      <c r="C192" s="8">
        <f>CHOOSE( CONTROL!$C$32, 7.0891, 7.0867) * CHOOSE(CONTROL!$C$15, $D$11, 100%, $F$11)</f>
        <v>7.0891000000000002</v>
      </c>
      <c r="D192" s="8">
        <f>CHOOSE( CONTROL!$C$32, 7.1148, 7.1125) * CHOOSE( CONTROL!$C$15, $D$11, 100%, $F$11)</f>
        <v>7.1147999999999998</v>
      </c>
      <c r="E192" s="12">
        <f>CHOOSE( CONTROL!$C$32, 7.1043, 7.1019) * CHOOSE( CONTROL!$C$15, $D$11, 100%, $F$11)</f>
        <v>7.1043000000000003</v>
      </c>
      <c r="F192" s="4">
        <f>CHOOSE( CONTROL!$C$32, 7.7944, 7.7921) * CHOOSE(CONTROL!$C$15, $D$11, 100%, $F$11)</f>
        <v>7.7944000000000004</v>
      </c>
      <c r="G192" s="8">
        <f>CHOOSE( CONTROL!$C$32, 6.9001, 6.8978) * CHOOSE( CONTROL!$C$15, $D$11, 100%, $F$11)</f>
        <v>6.9001000000000001</v>
      </c>
      <c r="H192" s="4">
        <f>CHOOSE( CONTROL!$C$32, 7.8476, 7.8453) * CHOOSE(CONTROL!$C$15, $D$11, 100%, $F$11)</f>
        <v>7.8475999999999999</v>
      </c>
      <c r="I192" s="8">
        <f>CHOOSE( CONTROL!$C$32, 6.8849, 6.8827) * CHOOSE(CONTROL!$C$15, $D$11, 100%, $F$11)</f>
        <v>6.8849</v>
      </c>
      <c r="J192" s="4">
        <f>CHOOSE( CONTROL!$C$32, 6.7692, 6.767) * CHOOSE(CONTROL!$C$15, $D$11, 100%, $F$11)</f>
        <v>6.7691999999999997</v>
      </c>
      <c r="K192" s="4"/>
      <c r="L192" s="9">
        <v>30.7165</v>
      </c>
      <c r="M192" s="9">
        <v>12.063700000000001</v>
      </c>
      <c r="N192" s="9">
        <v>4.9444999999999997</v>
      </c>
      <c r="O192" s="9">
        <v>0.37409999999999999</v>
      </c>
      <c r="P192" s="9">
        <v>1.2183999999999999</v>
      </c>
      <c r="Q192" s="9">
        <v>31.517700000000001</v>
      </c>
      <c r="R192" s="9"/>
      <c r="S192" s="11"/>
    </row>
    <row r="193" spans="1:19" ht="15.75">
      <c r="A193" s="13">
        <v>47362</v>
      </c>
      <c r="B193" s="8">
        <f>CHOOSE( CONTROL!$C$32, 6.9334, 6.931) * CHOOSE(CONTROL!$C$15, $D$11, 100%, $F$11)</f>
        <v>6.9333999999999998</v>
      </c>
      <c r="C193" s="8">
        <f>CHOOSE( CONTROL!$C$32, 6.9414, 6.9391) * CHOOSE(CONTROL!$C$15, $D$11, 100%, $F$11)</f>
        <v>6.9413999999999998</v>
      </c>
      <c r="D193" s="8">
        <f>CHOOSE( CONTROL!$C$32, 6.9672, 6.9648) * CHOOSE( CONTROL!$C$15, $D$11, 100%, $F$11)</f>
        <v>6.9672000000000001</v>
      </c>
      <c r="E193" s="12">
        <f>CHOOSE( CONTROL!$C$32, 6.9566, 6.9543) * CHOOSE( CONTROL!$C$15, $D$11, 100%, $F$11)</f>
        <v>6.9565999999999999</v>
      </c>
      <c r="F193" s="4">
        <f>CHOOSE( CONTROL!$C$32, 7.6468, 7.6444) * CHOOSE(CONTROL!$C$15, $D$11, 100%, $F$11)</f>
        <v>7.6467999999999998</v>
      </c>
      <c r="G193" s="8">
        <f>CHOOSE( CONTROL!$C$32, 6.7559, 6.7536) * CHOOSE( CONTROL!$C$15, $D$11, 100%, $F$11)</f>
        <v>6.7558999999999996</v>
      </c>
      <c r="H193" s="4">
        <f>CHOOSE( CONTROL!$C$32, 7.7034, 7.7011) * CHOOSE(CONTROL!$C$15, $D$11, 100%, $F$11)</f>
        <v>7.7034000000000002</v>
      </c>
      <c r="I193" s="8">
        <f>CHOOSE( CONTROL!$C$32, 6.743, 6.7408) * CHOOSE(CONTROL!$C$15, $D$11, 100%, $F$11)</f>
        <v>6.7430000000000003</v>
      </c>
      <c r="J193" s="4">
        <f>CHOOSE( CONTROL!$C$32, 6.6275, 6.6252) * CHOOSE(CONTROL!$C$15, $D$11, 100%, $F$11)</f>
        <v>6.6275000000000004</v>
      </c>
      <c r="K193" s="4"/>
      <c r="L193" s="9">
        <v>29.7257</v>
      </c>
      <c r="M193" s="9">
        <v>11.6745</v>
      </c>
      <c r="N193" s="9">
        <v>4.7850000000000001</v>
      </c>
      <c r="O193" s="9">
        <v>0.36199999999999999</v>
      </c>
      <c r="P193" s="9">
        <v>1.1791</v>
      </c>
      <c r="Q193" s="9">
        <v>30.501000000000001</v>
      </c>
      <c r="R193" s="9"/>
      <c r="S193" s="11"/>
    </row>
    <row r="194" spans="1:19" ht="15.75">
      <c r="A194" s="13">
        <v>47392</v>
      </c>
      <c r="B194" s="8">
        <f>7.2358 * CHOOSE(CONTROL!$C$15, $D$11, 100%, $F$11)</f>
        <v>7.2358000000000002</v>
      </c>
      <c r="C194" s="8">
        <f>7.2413 * CHOOSE(CONTROL!$C$15, $D$11, 100%, $F$11)</f>
        <v>7.2412999999999998</v>
      </c>
      <c r="D194" s="8">
        <f>7.2721 * CHOOSE( CONTROL!$C$15, $D$11, 100%, $F$11)</f>
        <v>7.2721</v>
      </c>
      <c r="E194" s="12">
        <f>7.2613 * CHOOSE( CONTROL!$C$15, $D$11, 100%, $F$11)</f>
        <v>7.2613000000000003</v>
      </c>
      <c r="F194" s="4">
        <f>7.951 * CHOOSE(CONTROL!$C$15, $D$11, 100%, $F$11)</f>
        <v>7.9509999999999996</v>
      </c>
      <c r="G194" s="8">
        <f>7.0528 * CHOOSE( CONTROL!$C$15, $D$11, 100%, $F$11)</f>
        <v>7.0528000000000004</v>
      </c>
      <c r="H194" s="4">
        <f>8.0005 * CHOOSE(CONTROL!$C$15, $D$11, 100%, $F$11)</f>
        <v>8.0005000000000006</v>
      </c>
      <c r="I194" s="8">
        <f>7.0361 * CHOOSE(CONTROL!$C$15, $D$11, 100%, $F$11)</f>
        <v>7.0361000000000002</v>
      </c>
      <c r="J194" s="4">
        <f>6.9196 * CHOOSE(CONTROL!$C$15, $D$11, 100%, $F$11)</f>
        <v>6.9196</v>
      </c>
      <c r="K194" s="4"/>
      <c r="L194" s="9">
        <v>31.095300000000002</v>
      </c>
      <c r="M194" s="9">
        <v>12.063700000000001</v>
      </c>
      <c r="N194" s="9">
        <v>4.9444999999999997</v>
      </c>
      <c r="O194" s="9">
        <v>0.37409999999999999</v>
      </c>
      <c r="P194" s="9">
        <v>1.2183999999999999</v>
      </c>
      <c r="Q194" s="9">
        <v>31.517700000000001</v>
      </c>
      <c r="R194" s="9"/>
      <c r="S194" s="11"/>
    </row>
    <row r="195" spans="1:19" ht="15.75">
      <c r="A195" s="13">
        <v>47423</v>
      </c>
      <c r="B195" s="8">
        <f>7.8013 * CHOOSE(CONTROL!$C$15, $D$11, 100%, $F$11)</f>
        <v>7.8013000000000003</v>
      </c>
      <c r="C195" s="8">
        <f>7.8064 * CHOOSE(CONTROL!$C$15, $D$11, 100%, $F$11)</f>
        <v>7.8064</v>
      </c>
      <c r="D195" s="8">
        <f>7.7895 * CHOOSE( CONTROL!$C$15, $D$11, 100%, $F$11)</f>
        <v>7.7895000000000003</v>
      </c>
      <c r="E195" s="12">
        <f>7.7951 * CHOOSE( CONTROL!$C$15, $D$11, 100%, $F$11)</f>
        <v>7.7950999999999997</v>
      </c>
      <c r="F195" s="4">
        <f>8.4517 * CHOOSE(CONTROL!$C$15, $D$11, 100%, $F$11)</f>
        <v>8.4517000000000007</v>
      </c>
      <c r="G195" s="8">
        <f>7.6116 * CHOOSE( CONTROL!$C$15, $D$11, 100%, $F$11)</f>
        <v>7.6116000000000001</v>
      </c>
      <c r="H195" s="4">
        <f>8.4896 * CHOOSE(CONTROL!$C$15, $D$11, 100%, $F$11)</f>
        <v>8.4895999999999994</v>
      </c>
      <c r="I195" s="8">
        <f>7.6214 * CHOOSE(CONTROL!$C$15, $D$11, 100%, $F$11)</f>
        <v>7.6214000000000004</v>
      </c>
      <c r="J195" s="4">
        <f>7.4628 * CHOOSE(CONTROL!$C$15, $D$11, 100%, $F$11)</f>
        <v>7.4627999999999997</v>
      </c>
      <c r="K195" s="4"/>
      <c r="L195" s="9">
        <v>28.360600000000002</v>
      </c>
      <c r="M195" s="9">
        <v>11.6745</v>
      </c>
      <c r="N195" s="9">
        <v>4.7850000000000001</v>
      </c>
      <c r="O195" s="9">
        <v>0.36199999999999999</v>
      </c>
      <c r="P195" s="9">
        <v>1.2509999999999999</v>
      </c>
      <c r="Q195" s="9">
        <v>30.501000000000001</v>
      </c>
      <c r="R195" s="9"/>
      <c r="S195" s="11"/>
    </row>
    <row r="196" spans="1:19" ht="15.75">
      <c r="A196" s="13">
        <v>47453</v>
      </c>
      <c r="B196" s="8">
        <f>7.7871 * CHOOSE(CONTROL!$C$15, $D$11, 100%, $F$11)</f>
        <v>7.7870999999999997</v>
      </c>
      <c r="C196" s="8">
        <f>7.7923 * CHOOSE(CONTROL!$C$15, $D$11, 100%, $F$11)</f>
        <v>7.7923</v>
      </c>
      <c r="D196" s="8">
        <f>7.7768 * CHOOSE( CONTROL!$C$15, $D$11, 100%, $F$11)</f>
        <v>7.7767999999999997</v>
      </c>
      <c r="E196" s="12">
        <f>7.7819 * CHOOSE( CONTROL!$C$15, $D$11, 100%, $F$11)</f>
        <v>7.7819000000000003</v>
      </c>
      <c r="F196" s="4">
        <f>8.4376 * CHOOSE(CONTROL!$C$15, $D$11, 100%, $F$11)</f>
        <v>8.4375999999999998</v>
      </c>
      <c r="G196" s="8">
        <f>7.5989 * CHOOSE( CONTROL!$C$15, $D$11, 100%, $F$11)</f>
        <v>7.5989000000000004</v>
      </c>
      <c r="H196" s="4">
        <f>8.4758 * CHOOSE(CONTROL!$C$15, $D$11, 100%, $F$11)</f>
        <v>8.4757999999999996</v>
      </c>
      <c r="I196" s="8">
        <f>7.6125 * CHOOSE(CONTROL!$C$15, $D$11, 100%, $F$11)</f>
        <v>7.6124999999999998</v>
      </c>
      <c r="J196" s="4">
        <f>7.4492 * CHOOSE(CONTROL!$C$15, $D$11, 100%, $F$11)</f>
        <v>7.4492000000000003</v>
      </c>
      <c r="K196" s="4"/>
      <c r="L196" s="9">
        <v>29.306000000000001</v>
      </c>
      <c r="M196" s="9">
        <v>12.063700000000001</v>
      </c>
      <c r="N196" s="9">
        <v>4.9444999999999997</v>
      </c>
      <c r="O196" s="9">
        <v>0.37409999999999999</v>
      </c>
      <c r="P196" s="9">
        <v>1.2927</v>
      </c>
      <c r="Q196" s="9">
        <v>31.517700000000001</v>
      </c>
      <c r="R196" s="9"/>
      <c r="S196" s="11"/>
    </row>
    <row r="197" spans="1:19" ht="15.75">
      <c r="A197" s="13">
        <v>47484</v>
      </c>
      <c r="B197" s="8">
        <f>8.0626 * CHOOSE(CONTROL!$C$15, $D$11, 100%, $F$11)</f>
        <v>8.0625999999999998</v>
      </c>
      <c r="C197" s="8">
        <f>8.0678 * CHOOSE(CONTROL!$C$15, $D$11, 100%, $F$11)</f>
        <v>8.0678000000000001</v>
      </c>
      <c r="D197" s="8">
        <f>8.0479 * CHOOSE( CONTROL!$C$15, $D$11, 100%, $F$11)</f>
        <v>8.0479000000000003</v>
      </c>
      <c r="E197" s="12">
        <f>8.0546 * CHOOSE( CONTROL!$C$15, $D$11, 100%, $F$11)</f>
        <v>8.0546000000000006</v>
      </c>
      <c r="F197" s="4">
        <f>8.713 * CHOOSE(CONTROL!$C$15, $D$11, 100%, $F$11)</f>
        <v>8.7129999999999992</v>
      </c>
      <c r="G197" s="8">
        <f>7.8586 * CHOOSE( CONTROL!$C$15, $D$11, 100%, $F$11)</f>
        <v>7.8586</v>
      </c>
      <c r="H197" s="4">
        <f>8.7448 * CHOOSE(CONTROL!$C$15, $D$11, 100%, $F$11)</f>
        <v>8.7447999999999997</v>
      </c>
      <c r="I197" s="8">
        <f>7.8362 * CHOOSE(CONTROL!$C$15, $D$11, 100%, $F$11)</f>
        <v>7.8361999999999998</v>
      </c>
      <c r="J197" s="4">
        <f>7.7137 * CHOOSE(CONTROL!$C$15, $D$11, 100%, $F$11)</f>
        <v>7.7137000000000002</v>
      </c>
      <c r="K197" s="4"/>
      <c r="L197" s="9">
        <v>29.306000000000001</v>
      </c>
      <c r="M197" s="9">
        <v>12.063700000000001</v>
      </c>
      <c r="N197" s="9">
        <v>4.9444999999999997</v>
      </c>
      <c r="O197" s="9">
        <v>0.37409999999999999</v>
      </c>
      <c r="P197" s="9">
        <v>1.2927</v>
      </c>
      <c r="Q197" s="9">
        <v>31.333600000000001</v>
      </c>
      <c r="R197" s="9"/>
      <c r="S197" s="11"/>
    </row>
    <row r="198" spans="1:19" ht="15.75">
      <c r="A198" s="13">
        <v>47515</v>
      </c>
      <c r="B198" s="8">
        <f>7.5432 * CHOOSE(CONTROL!$C$15, $D$11, 100%, $F$11)</f>
        <v>7.5431999999999997</v>
      </c>
      <c r="C198" s="8">
        <f>7.5484 * CHOOSE(CONTROL!$C$15, $D$11, 100%, $F$11)</f>
        <v>7.5484</v>
      </c>
      <c r="D198" s="8">
        <f>7.5285 * CHOOSE( CONTROL!$C$15, $D$11, 100%, $F$11)</f>
        <v>7.5285000000000002</v>
      </c>
      <c r="E198" s="12">
        <f>7.5352 * CHOOSE( CONTROL!$C$15, $D$11, 100%, $F$11)</f>
        <v>7.5351999999999997</v>
      </c>
      <c r="F198" s="4">
        <f>8.1936 * CHOOSE(CONTROL!$C$15, $D$11, 100%, $F$11)</f>
        <v>8.1936</v>
      </c>
      <c r="G198" s="8">
        <f>7.3513 * CHOOSE( CONTROL!$C$15, $D$11, 100%, $F$11)</f>
        <v>7.3513000000000002</v>
      </c>
      <c r="H198" s="4">
        <f>8.2375 * CHOOSE(CONTROL!$C$15, $D$11, 100%, $F$11)</f>
        <v>8.2375000000000007</v>
      </c>
      <c r="I198" s="8">
        <f>7.3372 * CHOOSE(CONTROL!$C$15, $D$11, 100%, $F$11)</f>
        <v>7.3372000000000002</v>
      </c>
      <c r="J198" s="4">
        <f>7.215 * CHOOSE(CONTROL!$C$15, $D$11, 100%, $F$11)</f>
        <v>7.2149999999999999</v>
      </c>
      <c r="K198" s="4"/>
      <c r="L198" s="9">
        <v>26.469899999999999</v>
      </c>
      <c r="M198" s="9">
        <v>10.8962</v>
      </c>
      <c r="N198" s="9">
        <v>4.4660000000000002</v>
      </c>
      <c r="O198" s="9">
        <v>0.33789999999999998</v>
      </c>
      <c r="P198" s="9">
        <v>1.1676</v>
      </c>
      <c r="Q198" s="9">
        <v>28.301300000000001</v>
      </c>
      <c r="R198" s="9"/>
      <c r="S198" s="11"/>
    </row>
    <row r="199" spans="1:19" ht="15.75">
      <c r="A199" s="13">
        <v>47543</v>
      </c>
      <c r="B199" s="8">
        <f>7.3832 * CHOOSE(CONTROL!$C$15, $D$11, 100%, $F$11)</f>
        <v>7.3832000000000004</v>
      </c>
      <c r="C199" s="8">
        <f>7.3884 * CHOOSE(CONTROL!$C$15, $D$11, 100%, $F$11)</f>
        <v>7.3883999999999999</v>
      </c>
      <c r="D199" s="8">
        <f>7.3682 * CHOOSE( CONTROL!$C$15, $D$11, 100%, $F$11)</f>
        <v>7.3681999999999999</v>
      </c>
      <c r="E199" s="12">
        <f>7.375 * CHOOSE( CONTROL!$C$15, $D$11, 100%, $F$11)</f>
        <v>7.375</v>
      </c>
      <c r="F199" s="4">
        <f>8.0337 * CHOOSE(CONTROL!$C$15, $D$11, 100%, $F$11)</f>
        <v>8.0336999999999996</v>
      </c>
      <c r="G199" s="8">
        <f>7.1948 * CHOOSE( CONTROL!$C$15, $D$11, 100%, $F$11)</f>
        <v>7.1947999999999999</v>
      </c>
      <c r="H199" s="4">
        <f>8.0813 * CHOOSE(CONTROL!$C$15, $D$11, 100%, $F$11)</f>
        <v>8.0813000000000006</v>
      </c>
      <c r="I199" s="8">
        <f>7.1824 * CHOOSE(CONTROL!$C$15, $D$11, 100%, $F$11)</f>
        <v>7.1824000000000003</v>
      </c>
      <c r="J199" s="4">
        <f>7.0614 * CHOOSE(CONTROL!$C$15, $D$11, 100%, $F$11)</f>
        <v>7.0613999999999999</v>
      </c>
      <c r="K199" s="4"/>
      <c r="L199" s="9">
        <v>29.306000000000001</v>
      </c>
      <c r="M199" s="9">
        <v>12.063700000000001</v>
      </c>
      <c r="N199" s="9">
        <v>4.9444999999999997</v>
      </c>
      <c r="O199" s="9">
        <v>0.37409999999999999</v>
      </c>
      <c r="P199" s="9">
        <v>1.2927</v>
      </c>
      <c r="Q199" s="9">
        <v>31.333600000000001</v>
      </c>
      <c r="R199" s="9"/>
      <c r="S199" s="11"/>
    </row>
    <row r="200" spans="1:19" ht="15.75">
      <c r="A200" s="13">
        <v>47574</v>
      </c>
      <c r="B200" s="8">
        <f>7.4957 * CHOOSE(CONTROL!$C$15, $D$11, 100%, $F$11)</f>
        <v>7.4957000000000003</v>
      </c>
      <c r="C200" s="8">
        <f>7.5004 * CHOOSE(CONTROL!$C$15, $D$11, 100%, $F$11)</f>
        <v>7.5004</v>
      </c>
      <c r="D200" s="8">
        <f>7.5309 * CHOOSE( CONTROL!$C$15, $D$11, 100%, $F$11)</f>
        <v>7.5308999999999999</v>
      </c>
      <c r="E200" s="12">
        <f>7.5203 * CHOOSE( CONTROL!$C$15, $D$11, 100%, $F$11)</f>
        <v>7.5202999999999998</v>
      </c>
      <c r="F200" s="4">
        <f>8.2105 * CHOOSE(CONTROL!$C$15, $D$11, 100%, $F$11)</f>
        <v>8.2104999999999997</v>
      </c>
      <c r="G200" s="8">
        <f>7.3051 * CHOOSE( CONTROL!$C$15, $D$11, 100%, $F$11)</f>
        <v>7.3051000000000004</v>
      </c>
      <c r="H200" s="4">
        <f>8.254 * CHOOSE(CONTROL!$C$15, $D$11, 100%, $F$11)</f>
        <v>8.2539999999999996</v>
      </c>
      <c r="I200" s="8">
        <f>7.2818 * CHOOSE(CONTROL!$C$15, $D$11, 100%, $F$11)</f>
        <v>7.2817999999999996</v>
      </c>
      <c r="J200" s="4">
        <f>7.1687 * CHOOSE(CONTROL!$C$15, $D$11, 100%, $F$11)</f>
        <v>7.1687000000000003</v>
      </c>
      <c r="K200" s="4"/>
      <c r="L200" s="9">
        <v>30.092199999999998</v>
      </c>
      <c r="M200" s="9">
        <v>11.6745</v>
      </c>
      <c r="N200" s="9">
        <v>4.7850000000000001</v>
      </c>
      <c r="O200" s="9">
        <v>0.36199999999999999</v>
      </c>
      <c r="P200" s="9">
        <v>1.1791</v>
      </c>
      <c r="Q200" s="9">
        <v>30.322800000000001</v>
      </c>
      <c r="R200" s="9"/>
      <c r="S200" s="11"/>
    </row>
    <row r="201" spans="1:19" ht="15.75">
      <c r="A201" s="13">
        <v>47604</v>
      </c>
      <c r="B201" s="8">
        <f>CHOOSE( CONTROL!$C$32, 7.6984, 7.6961) * CHOOSE(CONTROL!$C$15, $D$11, 100%, $F$11)</f>
        <v>7.6984000000000004</v>
      </c>
      <c r="C201" s="8">
        <f>CHOOSE( CONTROL!$C$32, 7.7065, 7.7041) * CHOOSE(CONTROL!$C$15, $D$11, 100%, $F$11)</f>
        <v>7.7065000000000001</v>
      </c>
      <c r="D201" s="8">
        <f>CHOOSE( CONTROL!$C$32, 7.7317, 7.7293) * CHOOSE( CONTROL!$C$15, $D$11, 100%, $F$11)</f>
        <v>7.7317</v>
      </c>
      <c r="E201" s="12">
        <f>CHOOSE( CONTROL!$C$32, 7.7213, 7.7189) * CHOOSE( CONTROL!$C$15, $D$11, 100%, $F$11)</f>
        <v>7.7213000000000003</v>
      </c>
      <c r="F201" s="4">
        <f>CHOOSE( CONTROL!$C$32, 8.4118, 8.4095) * CHOOSE(CONTROL!$C$15, $D$11, 100%, $F$11)</f>
        <v>8.4117999999999995</v>
      </c>
      <c r="G201" s="8">
        <f>CHOOSE( CONTROL!$C$32, 7.5023, 7.5) * CHOOSE( CONTROL!$C$15, $D$11, 100%, $F$11)</f>
        <v>7.5023</v>
      </c>
      <c r="H201" s="4">
        <f>CHOOSE( CONTROL!$C$32, 8.4506, 8.4483) * CHOOSE(CONTROL!$C$15, $D$11, 100%, $F$11)</f>
        <v>8.4505999999999997</v>
      </c>
      <c r="I201" s="8">
        <f>CHOOSE( CONTROL!$C$32, 7.4755, 7.4732) * CHOOSE(CONTROL!$C$15, $D$11, 100%, $F$11)</f>
        <v>7.4755000000000003</v>
      </c>
      <c r="J201" s="4">
        <f>CHOOSE( CONTROL!$C$32, 7.362, 7.3598) * CHOOSE(CONTROL!$C$15, $D$11, 100%, $F$11)</f>
        <v>7.3620000000000001</v>
      </c>
      <c r="K201" s="4"/>
      <c r="L201" s="9">
        <v>30.7165</v>
      </c>
      <c r="M201" s="9">
        <v>12.063700000000001</v>
      </c>
      <c r="N201" s="9">
        <v>4.9444999999999997</v>
      </c>
      <c r="O201" s="9">
        <v>0.37409999999999999</v>
      </c>
      <c r="P201" s="9">
        <v>1.2183999999999999</v>
      </c>
      <c r="Q201" s="9">
        <v>31.333600000000001</v>
      </c>
      <c r="R201" s="9"/>
      <c r="S201" s="11"/>
    </row>
    <row r="202" spans="1:19" ht="15.75">
      <c r="A202" s="13">
        <v>47635</v>
      </c>
      <c r="B202" s="8">
        <f>CHOOSE( CONTROL!$C$32, 7.5752, 7.5728) * CHOOSE(CONTROL!$C$15, $D$11, 100%, $F$11)</f>
        <v>7.5751999999999997</v>
      </c>
      <c r="C202" s="8">
        <f>CHOOSE( CONTROL!$C$32, 7.5832, 7.5809) * CHOOSE(CONTROL!$C$15, $D$11, 100%, $F$11)</f>
        <v>7.5831999999999997</v>
      </c>
      <c r="D202" s="8">
        <f>CHOOSE( CONTROL!$C$32, 7.6087, 7.6063) * CHOOSE( CONTROL!$C$15, $D$11, 100%, $F$11)</f>
        <v>7.6086999999999998</v>
      </c>
      <c r="E202" s="12">
        <f>CHOOSE( CONTROL!$C$32, 7.5982, 7.5959) * CHOOSE( CONTROL!$C$15, $D$11, 100%, $F$11)</f>
        <v>7.5982000000000003</v>
      </c>
      <c r="F202" s="4">
        <f>CHOOSE( CONTROL!$C$32, 8.2886, 8.2862) * CHOOSE(CONTROL!$C$15, $D$11, 100%, $F$11)</f>
        <v>8.2886000000000006</v>
      </c>
      <c r="G202" s="8">
        <f>CHOOSE( CONTROL!$C$32, 7.3822, 7.38) * CHOOSE( CONTROL!$C$15, $D$11, 100%, $F$11)</f>
        <v>7.3822000000000001</v>
      </c>
      <c r="H202" s="4">
        <f>CHOOSE( CONTROL!$C$32, 8.3303, 8.328) * CHOOSE(CONTROL!$C$15, $D$11, 100%, $F$11)</f>
        <v>8.3302999999999994</v>
      </c>
      <c r="I202" s="8">
        <f>CHOOSE( CONTROL!$C$32, 7.358, 7.3558) * CHOOSE(CONTROL!$C$15, $D$11, 100%, $F$11)</f>
        <v>7.3579999999999997</v>
      </c>
      <c r="J202" s="4">
        <f>CHOOSE( CONTROL!$C$32, 7.2437, 7.2414) * CHOOSE(CONTROL!$C$15, $D$11, 100%, $F$11)</f>
        <v>7.2436999999999996</v>
      </c>
      <c r="K202" s="4"/>
      <c r="L202" s="9">
        <v>29.7257</v>
      </c>
      <c r="M202" s="9">
        <v>11.6745</v>
      </c>
      <c r="N202" s="9">
        <v>4.7850000000000001</v>
      </c>
      <c r="O202" s="9">
        <v>0.36199999999999999</v>
      </c>
      <c r="P202" s="9">
        <v>1.1791</v>
      </c>
      <c r="Q202" s="9">
        <v>30.322800000000001</v>
      </c>
      <c r="R202" s="9"/>
      <c r="S202" s="11"/>
    </row>
    <row r="203" spans="1:19" ht="15.75">
      <c r="A203" s="13">
        <v>47665</v>
      </c>
      <c r="B203" s="8">
        <f>CHOOSE( CONTROL!$C$32, 7.8997, 7.8974) * CHOOSE(CONTROL!$C$15, $D$11, 100%, $F$11)</f>
        <v>7.8997000000000002</v>
      </c>
      <c r="C203" s="8">
        <f>CHOOSE( CONTROL!$C$32, 7.9078, 7.9055) * CHOOSE(CONTROL!$C$15, $D$11, 100%, $F$11)</f>
        <v>7.9077999999999999</v>
      </c>
      <c r="D203" s="8">
        <f>CHOOSE( CONTROL!$C$32, 7.9335, 7.9311) * CHOOSE( CONTROL!$C$15, $D$11, 100%, $F$11)</f>
        <v>7.9335000000000004</v>
      </c>
      <c r="E203" s="12">
        <f>CHOOSE( CONTROL!$C$32, 7.923, 7.9206) * CHOOSE( CONTROL!$C$15, $D$11, 100%, $F$11)</f>
        <v>7.923</v>
      </c>
      <c r="F203" s="4">
        <f>CHOOSE( CONTROL!$C$32, 8.6131, 8.6108) * CHOOSE(CONTROL!$C$15, $D$11, 100%, $F$11)</f>
        <v>8.6130999999999993</v>
      </c>
      <c r="G203" s="8">
        <f>CHOOSE( CONTROL!$C$32, 7.6996, 7.6973) * CHOOSE( CONTROL!$C$15, $D$11, 100%, $F$11)</f>
        <v>7.6996000000000002</v>
      </c>
      <c r="H203" s="4">
        <f>CHOOSE( CONTROL!$C$32, 8.6473, 8.645) * CHOOSE(CONTROL!$C$15, $D$11, 100%, $F$11)</f>
        <v>8.6472999999999995</v>
      </c>
      <c r="I203" s="8">
        <f>CHOOSE( CONTROL!$C$32, 7.671, 7.6688) * CHOOSE(CONTROL!$C$15, $D$11, 100%, $F$11)</f>
        <v>7.6710000000000003</v>
      </c>
      <c r="J203" s="4">
        <f>CHOOSE( CONTROL!$C$32, 7.5553, 7.553) * CHOOSE(CONTROL!$C$15, $D$11, 100%, $F$11)</f>
        <v>7.5552999999999999</v>
      </c>
      <c r="K203" s="4"/>
      <c r="L203" s="9">
        <v>30.7165</v>
      </c>
      <c r="M203" s="9">
        <v>12.063700000000001</v>
      </c>
      <c r="N203" s="9">
        <v>4.9444999999999997</v>
      </c>
      <c r="O203" s="9">
        <v>0.37409999999999999</v>
      </c>
      <c r="P203" s="9">
        <v>1.2183999999999999</v>
      </c>
      <c r="Q203" s="9">
        <v>31.333600000000001</v>
      </c>
      <c r="R203" s="9"/>
      <c r="S203" s="11"/>
    </row>
    <row r="204" spans="1:19" ht="15.75">
      <c r="A204" s="13">
        <v>47696</v>
      </c>
      <c r="B204" s="8">
        <f>CHOOSE( CONTROL!$C$32, 7.2924, 7.2901) * CHOOSE(CONTROL!$C$15, $D$11, 100%, $F$11)</f>
        <v>7.2923999999999998</v>
      </c>
      <c r="C204" s="8">
        <f>CHOOSE( CONTROL!$C$32, 7.3005, 7.2982) * CHOOSE(CONTROL!$C$15, $D$11, 100%, $F$11)</f>
        <v>7.3005000000000004</v>
      </c>
      <c r="D204" s="8">
        <f>CHOOSE( CONTROL!$C$32, 7.3263, 7.3239) * CHOOSE( CONTROL!$C$15, $D$11, 100%, $F$11)</f>
        <v>7.3262999999999998</v>
      </c>
      <c r="E204" s="12">
        <f>CHOOSE( CONTROL!$C$32, 7.3157, 7.3134) * CHOOSE( CONTROL!$C$15, $D$11, 100%, $F$11)</f>
        <v>7.3156999999999996</v>
      </c>
      <c r="F204" s="4">
        <f>CHOOSE( CONTROL!$C$32, 8.0059, 8.0035) * CHOOSE(CONTROL!$C$15, $D$11, 100%, $F$11)</f>
        <v>8.0059000000000005</v>
      </c>
      <c r="G204" s="8">
        <f>CHOOSE( CONTROL!$C$32, 7.1066, 7.1043) * CHOOSE( CONTROL!$C$15, $D$11, 100%, $F$11)</f>
        <v>7.1066000000000003</v>
      </c>
      <c r="H204" s="4">
        <f>CHOOSE( CONTROL!$C$32, 8.0541, 8.0518) * CHOOSE(CONTROL!$C$15, $D$11, 100%, $F$11)</f>
        <v>8.0541</v>
      </c>
      <c r="I204" s="8">
        <f>CHOOSE( CONTROL!$C$32, 7.0881, 7.0858) * CHOOSE(CONTROL!$C$15, $D$11, 100%, $F$11)</f>
        <v>7.0880999999999998</v>
      </c>
      <c r="J204" s="4">
        <f>CHOOSE( CONTROL!$C$32, 6.9723, 6.97) * CHOOSE(CONTROL!$C$15, $D$11, 100%, $F$11)</f>
        <v>6.9722999999999997</v>
      </c>
      <c r="K204" s="4"/>
      <c r="L204" s="9">
        <v>30.7165</v>
      </c>
      <c r="M204" s="9">
        <v>12.063700000000001</v>
      </c>
      <c r="N204" s="9">
        <v>4.9444999999999997</v>
      </c>
      <c r="O204" s="9">
        <v>0.37409999999999999</v>
      </c>
      <c r="P204" s="9">
        <v>1.2183999999999999</v>
      </c>
      <c r="Q204" s="9">
        <v>31.333600000000001</v>
      </c>
      <c r="R204" s="9"/>
      <c r="S204" s="11"/>
    </row>
    <row r="205" spans="1:19" ht="15.75">
      <c r="A205" s="13">
        <v>47727</v>
      </c>
      <c r="B205" s="8">
        <f>CHOOSE( CONTROL!$C$32, 7.1404, 7.138) * CHOOSE(CONTROL!$C$15, $D$11, 100%, $F$11)</f>
        <v>7.1403999999999996</v>
      </c>
      <c r="C205" s="8">
        <f>CHOOSE( CONTROL!$C$32, 7.1485, 7.1461) * CHOOSE(CONTROL!$C$15, $D$11, 100%, $F$11)</f>
        <v>7.1485000000000003</v>
      </c>
      <c r="D205" s="8">
        <f>CHOOSE( CONTROL!$C$32, 7.1742, 7.1718) * CHOOSE( CONTROL!$C$15, $D$11, 100%, $F$11)</f>
        <v>7.1741999999999999</v>
      </c>
      <c r="E205" s="12">
        <f>CHOOSE( CONTROL!$C$32, 7.1637, 7.1613) * CHOOSE( CONTROL!$C$15, $D$11, 100%, $F$11)</f>
        <v>7.1637000000000004</v>
      </c>
      <c r="F205" s="4">
        <f>CHOOSE( CONTROL!$C$32, 7.8538, 7.8515) * CHOOSE(CONTROL!$C$15, $D$11, 100%, $F$11)</f>
        <v>7.8537999999999997</v>
      </c>
      <c r="G205" s="8">
        <f>CHOOSE( CONTROL!$C$32, 6.958, 6.9558) * CHOOSE( CONTROL!$C$15, $D$11, 100%, $F$11)</f>
        <v>6.9580000000000002</v>
      </c>
      <c r="H205" s="4">
        <f>CHOOSE( CONTROL!$C$32, 7.9056, 7.9033) * CHOOSE(CONTROL!$C$15, $D$11, 100%, $F$11)</f>
        <v>7.9055999999999997</v>
      </c>
      <c r="I205" s="8">
        <f>CHOOSE( CONTROL!$C$32, 6.9419, 6.9396) * CHOOSE(CONTROL!$C$15, $D$11, 100%, $F$11)</f>
        <v>6.9419000000000004</v>
      </c>
      <c r="J205" s="4">
        <f>CHOOSE( CONTROL!$C$32, 6.8263, 6.824) * CHOOSE(CONTROL!$C$15, $D$11, 100%, $F$11)</f>
        <v>6.8262999999999998</v>
      </c>
      <c r="K205" s="4"/>
      <c r="L205" s="9">
        <v>29.7257</v>
      </c>
      <c r="M205" s="9">
        <v>11.6745</v>
      </c>
      <c r="N205" s="9">
        <v>4.7850000000000001</v>
      </c>
      <c r="O205" s="9">
        <v>0.36199999999999999</v>
      </c>
      <c r="P205" s="9">
        <v>1.1791</v>
      </c>
      <c r="Q205" s="9">
        <v>30.322800000000001</v>
      </c>
      <c r="R205" s="9"/>
      <c r="S205" s="11"/>
    </row>
    <row r="206" spans="1:19" ht="15.75">
      <c r="A206" s="13">
        <v>47757</v>
      </c>
      <c r="B206" s="8">
        <f>7.4521 * CHOOSE(CONTROL!$C$15, $D$11, 100%, $F$11)</f>
        <v>7.4520999999999997</v>
      </c>
      <c r="C206" s="8">
        <f>7.4575 * CHOOSE(CONTROL!$C$15, $D$11, 100%, $F$11)</f>
        <v>7.4574999999999996</v>
      </c>
      <c r="D206" s="8">
        <f>7.4883 * CHOOSE( CONTROL!$C$15, $D$11, 100%, $F$11)</f>
        <v>7.4882999999999997</v>
      </c>
      <c r="E206" s="12">
        <f>7.4776 * CHOOSE( CONTROL!$C$15, $D$11, 100%, $F$11)</f>
        <v>7.4775999999999998</v>
      </c>
      <c r="F206" s="4">
        <f>8.1672 * CHOOSE(CONTROL!$C$15, $D$11, 100%, $F$11)</f>
        <v>8.1671999999999993</v>
      </c>
      <c r="G206" s="8">
        <f>7.2639 * CHOOSE( CONTROL!$C$15, $D$11, 100%, $F$11)</f>
        <v>7.2638999999999996</v>
      </c>
      <c r="H206" s="4">
        <f>8.2117 * CHOOSE(CONTROL!$C$15, $D$11, 100%, $F$11)</f>
        <v>8.2117000000000004</v>
      </c>
      <c r="I206" s="8">
        <f>7.2437 * CHOOSE(CONTROL!$C$15, $D$11, 100%, $F$11)</f>
        <v>7.2436999999999996</v>
      </c>
      <c r="J206" s="4">
        <f>7.1271 * CHOOSE(CONTROL!$C$15, $D$11, 100%, $F$11)</f>
        <v>7.1271000000000004</v>
      </c>
      <c r="K206" s="4"/>
      <c r="L206" s="9">
        <v>31.095300000000002</v>
      </c>
      <c r="M206" s="9">
        <v>12.063700000000001</v>
      </c>
      <c r="N206" s="9">
        <v>4.9444999999999997</v>
      </c>
      <c r="O206" s="9">
        <v>0.37409999999999999</v>
      </c>
      <c r="P206" s="9">
        <v>1.2183999999999999</v>
      </c>
      <c r="Q206" s="9">
        <v>31.333600000000001</v>
      </c>
      <c r="R206" s="9"/>
      <c r="S206" s="11"/>
    </row>
    <row r="207" spans="1:19" ht="15.75">
      <c r="A207" s="13">
        <v>47788</v>
      </c>
      <c r="B207" s="8">
        <f>8.0344 * CHOOSE(CONTROL!$C$15, $D$11, 100%, $F$11)</f>
        <v>8.0343999999999998</v>
      </c>
      <c r="C207" s="8">
        <f>8.0396 * CHOOSE(CONTROL!$C$15, $D$11, 100%, $F$11)</f>
        <v>8.0396000000000001</v>
      </c>
      <c r="D207" s="8">
        <f>8.0227 * CHOOSE( CONTROL!$C$15, $D$11, 100%, $F$11)</f>
        <v>8.0227000000000004</v>
      </c>
      <c r="E207" s="12">
        <f>8.0283 * CHOOSE( CONTROL!$C$15, $D$11, 100%, $F$11)</f>
        <v>8.0282999999999998</v>
      </c>
      <c r="F207" s="4">
        <f>8.6849 * CHOOSE(CONTROL!$C$15, $D$11, 100%, $F$11)</f>
        <v>8.6849000000000007</v>
      </c>
      <c r="G207" s="8">
        <f>7.8393 * CHOOSE( CONTROL!$C$15, $D$11, 100%, $F$11)</f>
        <v>7.8392999999999997</v>
      </c>
      <c r="H207" s="4">
        <f>8.7173 * CHOOSE(CONTROL!$C$15, $D$11, 100%, $F$11)</f>
        <v>8.7172999999999998</v>
      </c>
      <c r="I207" s="8">
        <f>7.8454 * CHOOSE(CONTROL!$C$15, $D$11, 100%, $F$11)</f>
        <v>7.8453999999999997</v>
      </c>
      <c r="J207" s="4">
        <f>7.6867 * CHOOSE(CONTROL!$C$15, $D$11, 100%, $F$11)</f>
        <v>7.6867000000000001</v>
      </c>
      <c r="K207" s="4"/>
      <c r="L207" s="9">
        <v>28.360600000000002</v>
      </c>
      <c r="M207" s="9">
        <v>11.6745</v>
      </c>
      <c r="N207" s="9">
        <v>4.7850000000000001</v>
      </c>
      <c r="O207" s="9">
        <v>0.36199999999999999</v>
      </c>
      <c r="P207" s="9">
        <v>1.2509999999999999</v>
      </c>
      <c r="Q207" s="9">
        <v>30.322800000000001</v>
      </c>
      <c r="R207" s="9"/>
      <c r="S207" s="11"/>
    </row>
    <row r="208" spans="1:19" ht="15.75">
      <c r="A208" s="13">
        <v>47818</v>
      </c>
      <c r="B208" s="8">
        <f>8.0199 * CHOOSE(CONTROL!$C$15, $D$11, 100%, $F$11)</f>
        <v>8.0198999999999998</v>
      </c>
      <c r="C208" s="8">
        <f>8.0251 * CHOOSE(CONTROL!$C$15, $D$11, 100%, $F$11)</f>
        <v>8.0251000000000001</v>
      </c>
      <c r="D208" s="8">
        <f>8.0096 * CHOOSE( CONTROL!$C$15, $D$11, 100%, $F$11)</f>
        <v>8.0096000000000007</v>
      </c>
      <c r="E208" s="12">
        <f>8.0147 * CHOOSE( CONTROL!$C$15, $D$11, 100%, $F$11)</f>
        <v>8.0146999999999995</v>
      </c>
      <c r="F208" s="4">
        <f>8.6703 * CHOOSE(CONTROL!$C$15, $D$11, 100%, $F$11)</f>
        <v>8.6702999999999992</v>
      </c>
      <c r="G208" s="8">
        <f>7.8262 * CHOOSE( CONTROL!$C$15, $D$11, 100%, $F$11)</f>
        <v>7.8262</v>
      </c>
      <c r="H208" s="4">
        <f>8.7031 * CHOOSE(CONTROL!$C$15, $D$11, 100%, $F$11)</f>
        <v>8.7030999999999992</v>
      </c>
      <c r="I208" s="8">
        <f>7.8361 * CHOOSE(CONTROL!$C$15, $D$11, 100%, $F$11)</f>
        <v>7.8361000000000001</v>
      </c>
      <c r="J208" s="4">
        <f>7.6727 * CHOOSE(CONTROL!$C$15, $D$11, 100%, $F$11)</f>
        <v>7.6726999999999999</v>
      </c>
      <c r="K208" s="4"/>
      <c r="L208" s="9">
        <v>29.306000000000001</v>
      </c>
      <c r="M208" s="9">
        <v>12.063700000000001</v>
      </c>
      <c r="N208" s="9">
        <v>4.9444999999999997</v>
      </c>
      <c r="O208" s="9">
        <v>0.37409999999999999</v>
      </c>
      <c r="P208" s="9">
        <v>1.2927</v>
      </c>
      <c r="Q208" s="9">
        <v>31.333600000000001</v>
      </c>
      <c r="R208" s="9"/>
      <c r="S208" s="11"/>
    </row>
    <row r="209" spans="1:19" ht="15.75">
      <c r="A209" s="13">
        <v>47849</v>
      </c>
      <c r="B209" s="8">
        <f>8.3028 * CHOOSE(CONTROL!$C$15, $D$11, 100%, $F$11)</f>
        <v>8.3027999999999995</v>
      </c>
      <c r="C209" s="8">
        <f>8.308 * CHOOSE(CONTROL!$C$15, $D$11, 100%, $F$11)</f>
        <v>8.3079999999999998</v>
      </c>
      <c r="D209" s="8">
        <f>8.2882 * CHOOSE( CONTROL!$C$15, $D$11, 100%, $F$11)</f>
        <v>8.2881999999999998</v>
      </c>
      <c r="E209" s="12">
        <f>8.2949 * CHOOSE( CONTROL!$C$15, $D$11, 100%, $F$11)</f>
        <v>8.2949000000000002</v>
      </c>
      <c r="F209" s="4">
        <f>8.9533 * CHOOSE(CONTROL!$C$15, $D$11, 100%, $F$11)</f>
        <v>8.9533000000000005</v>
      </c>
      <c r="G209" s="8">
        <f>8.0933 * CHOOSE( CONTROL!$C$15, $D$11, 100%, $F$11)</f>
        <v>8.0932999999999993</v>
      </c>
      <c r="H209" s="4">
        <f>8.9795 * CHOOSE(CONTROL!$C$15, $D$11, 100%, $F$11)</f>
        <v>8.9794999999999998</v>
      </c>
      <c r="I209" s="8">
        <f>8.067 * CHOOSE(CONTROL!$C$15, $D$11, 100%, $F$11)</f>
        <v>8.0670000000000002</v>
      </c>
      <c r="J209" s="4">
        <f>7.9444 * CHOOSE(CONTROL!$C$15, $D$11, 100%, $F$11)</f>
        <v>7.9443999999999999</v>
      </c>
      <c r="K209" s="4"/>
      <c r="L209" s="9">
        <v>29.306000000000001</v>
      </c>
      <c r="M209" s="9">
        <v>12.063700000000001</v>
      </c>
      <c r="N209" s="9">
        <v>4.9444999999999997</v>
      </c>
      <c r="O209" s="9">
        <v>0.37409999999999999</v>
      </c>
      <c r="P209" s="9">
        <v>1.2927</v>
      </c>
      <c r="Q209" s="9">
        <v>31.026700000000002</v>
      </c>
      <c r="R209" s="9"/>
      <c r="S209" s="11"/>
    </row>
    <row r="210" spans="1:19" ht="15.75">
      <c r="A210" s="13">
        <v>47880</v>
      </c>
      <c r="B210" s="8">
        <f>7.7679 * CHOOSE(CONTROL!$C$15, $D$11, 100%, $F$11)</f>
        <v>7.7679</v>
      </c>
      <c r="C210" s="8">
        <f>7.7731 * CHOOSE(CONTROL!$C$15, $D$11, 100%, $F$11)</f>
        <v>7.7731000000000003</v>
      </c>
      <c r="D210" s="8">
        <f>7.7532 * CHOOSE( CONTROL!$C$15, $D$11, 100%, $F$11)</f>
        <v>7.7531999999999996</v>
      </c>
      <c r="E210" s="12">
        <f>7.7599 * CHOOSE( CONTROL!$C$15, $D$11, 100%, $F$11)</f>
        <v>7.7599</v>
      </c>
      <c r="F210" s="4">
        <f>8.4183 * CHOOSE(CONTROL!$C$15, $D$11, 100%, $F$11)</f>
        <v>8.4183000000000003</v>
      </c>
      <c r="G210" s="8">
        <f>7.5708 * CHOOSE( CONTROL!$C$15, $D$11, 100%, $F$11)</f>
        <v>7.5708000000000002</v>
      </c>
      <c r="H210" s="4">
        <f>8.457 * CHOOSE(CONTROL!$C$15, $D$11, 100%, $F$11)</f>
        <v>8.4570000000000007</v>
      </c>
      <c r="I210" s="8">
        <f>7.553 * CHOOSE(CONTROL!$C$15, $D$11, 100%, $F$11)</f>
        <v>7.5529999999999999</v>
      </c>
      <c r="J210" s="4">
        <f>7.4308 * CHOOSE(CONTROL!$C$15, $D$11, 100%, $F$11)</f>
        <v>7.4307999999999996</v>
      </c>
      <c r="K210" s="4"/>
      <c r="L210" s="9">
        <v>26.469899999999999</v>
      </c>
      <c r="M210" s="9">
        <v>10.8962</v>
      </c>
      <c r="N210" s="9">
        <v>4.4660000000000002</v>
      </c>
      <c r="O210" s="9">
        <v>0.33789999999999998</v>
      </c>
      <c r="P210" s="9">
        <v>1.1676</v>
      </c>
      <c r="Q210" s="9">
        <v>28.024100000000001</v>
      </c>
      <c r="R210" s="9"/>
      <c r="S210" s="11"/>
    </row>
    <row r="211" spans="1:19" ht="15.75">
      <c r="A211" s="13">
        <v>47908</v>
      </c>
      <c r="B211" s="8">
        <f>7.6031 * CHOOSE(CONTROL!$C$15, $D$11, 100%, $F$11)</f>
        <v>7.6031000000000004</v>
      </c>
      <c r="C211" s="8">
        <f>7.6083 * CHOOSE(CONTROL!$C$15, $D$11, 100%, $F$11)</f>
        <v>7.6082999999999998</v>
      </c>
      <c r="D211" s="8">
        <f>7.5881 * CHOOSE( CONTROL!$C$15, $D$11, 100%, $F$11)</f>
        <v>7.5880999999999998</v>
      </c>
      <c r="E211" s="12">
        <f>7.5949 * CHOOSE( CONTROL!$C$15, $D$11, 100%, $F$11)</f>
        <v>7.5949</v>
      </c>
      <c r="F211" s="4">
        <f>8.2536 * CHOOSE(CONTROL!$C$15, $D$11, 100%, $F$11)</f>
        <v>8.2536000000000005</v>
      </c>
      <c r="G211" s="8">
        <f>7.4096 * CHOOSE( CONTROL!$C$15, $D$11, 100%, $F$11)</f>
        <v>7.4096000000000002</v>
      </c>
      <c r="H211" s="4">
        <f>8.2961 * CHOOSE(CONTROL!$C$15, $D$11, 100%, $F$11)</f>
        <v>8.2960999999999991</v>
      </c>
      <c r="I211" s="8">
        <f>7.3937 * CHOOSE(CONTROL!$C$15, $D$11, 100%, $F$11)</f>
        <v>7.3936999999999999</v>
      </c>
      <c r="J211" s="4">
        <f>7.2726 * CHOOSE(CONTROL!$C$15, $D$11, 100%, $F$11)</f>
        <v>7.2725999999999997</v>
      </c>
      <c r="K211" s="4"/>
      <c r="L211" s="9">
        <v>29.306000000000001</v>
      </c>
      <c r="M211" s="9">
        <v>12.063700000000001</v>
      </c>
      <c r="N211" s="9">
        <v>4.9444999999999997</v>
      </c>
      <c r="O211" s="9">
        <v>0.37409999999999999</v>
      </c>
      <c r="P211" s="9">
        <v>1.2927</v>
      </c>
      <c r="Q211" s="9">
        <v>31.026700000000002</v>
      </c>
      <c r="R211" s="9"/>
      <c r="S211" s="11"/>
    </row>
    <row r="212" spans="1:19" ht="15.75">
      <c r="A212" s="13">
        <v>47939</v>
      </c>
      <c r="B212" s="8">
        <f>7.719 * CHOOSE(CONTROL!$C$15, $D$11, 100%, $F$11)</f>
        <v>7.7190000000000003</v>
      </c>
      <c r="C212" s="8">
        <f>7.7236 * CHOOSE(CONTROL!$C$15, $D$11, 100%, $F$11)</f>
        <v>7.7236000000000002</v>
      </c>
      <c r="D212" s="8">
        <f>7.7542 * CHOOSE( CONTROL!$C$15, $D$11, 100%, $F$11)</f>
        <v>7.7542</v>
      </c>
      <c r="E212" s="12">
        <f>7.7436 * CHOOSE( CONTROL!$C$15, $D$11, 100%, $F$11)</f>
        <v>7.7435999999999998</v>
      </c>
      <c r="F212" s="4">
        <f>8.4338 * CHOOSE(CONTROL!$C$15, $D$11, 100%, $F$11)</f>
        <v>8.4337999999999997</v>
      </c>
      <c r="G212" s="8">
        <f>7.5232 * CHOOSE( CONTROL!$C$15, $D$11, 100%, $F$11)</f>
        <v>7.5232000000000001</v>
      </c>
      <c r="H212" s="4">
        <f>8.4721 * CHOOSE(CONTROL!$C$15, $D$11, 100%, $F$11)</f>
        <v>8.4720999999999993</v>
      </c>
      <c r="I212" s="8">
        <f>7.4963 * CHOOSE(CONTROL!$C$15, $D$11, 100%, $F$11)</f>
        <v>7.4962999999999997</v>
      </c>
      <c r="J212" s="4">
        <f>7.3831 * CHOOSE(CONTROL!$C$15, $D$11, 100%, $F$11)</f>
        <v>7.3830999999999998</v>
      </c>
      <c r="K212" s="4"/>
      <c r="L212" s="9">
        <v>30.092199999999998</v>
      </c>
      <c r="M212" s="9">
        <v>11.6745</v>
      </c>
      <c r="N212" s="9">
        <v>4.7850000000000001</v>
      </c>
      <c r="O212" s="9">
        <v>0.36199999999999999</v>
      </c>
      <c r="P212" s="9">
        <v>1.1791</v>
      </c>
      <c r="Q212" s="9">
        <v>30.0258</v>
      </c>
      <c r="R212" s="9"/>
      <c r="S212" s="11"/>
    </row>
    <row r="213" spans="1:19" ht="15.75">
      <c r="A213" s="13">
        <v>47969</v>
      </c>
      <c r="B213" s="8">
        <f>CHOOSE( CONTROL!$C$32, 7.9276, 7.9253) * CHOOSE(CONTROL!$C$15, $D$11, 100%, $F$11)</f>
        <v>7.9276</v>
      </c>
      <c r="C213" s="8">
        <f>CHOOSE( CONTROL!$C$32, 7.9357, 7.9334) * CHOOSE(CONTROL!$C$15, $D$11, 100%, $F$11)</f>
        <v>7.9356999999999998</v>
      </c>
      <c r="D213" s="8">
        <f>CHOOSE( CONTROL!$C$32, 7.9609, 7.9586) * CHOOSE( CONTROL!$C$15, $D$11, 100%, $F$11)</f>
        <v>7.9608999999999996</v>
      </c>
      <c r="E213" s="12">
        <f>CHOOSE( CONTROL!$C$32, 7.9505, 7.9482) * CHOOSE( CONTROL!$C$15, $D$11, 100%, $F$11)</f>
        <v>7.9504999999999999</v>
      </c>
      <c r="F213" s="4">
        <f>CHOOSE( CONTROL!$C$32, 8.6411, 8.6387) * CHOOSE(CONTROL!$C$15, $D$11, 100%, $F$11)</f>
        <v>8.6410999999999998</v>
      </c>
      <c r="G213" s="8">
        <f>CHOOSE( CONTROL!$C$32, 7.7262, 7.7239) * CHOOSE( CONTROL!$C$15, $D$11, 100%, $F$11)</f>
        <v>7.7262000000000004</v>
      </c>
      <c r="H213" s="4">
        <f>CHOOSE( CONTROL!$C$32, 8.6745, 8.6722) * CHOOSE(CONTROL!$C$15, $D$11, 100%, $F$11)</f>
        <v>8.6745000000000001</v>
      </c>
      <c r="I213" s="8">
        <f>CHOOSE( CONTROL!$C$32, 7.6956, 7.6934) * CHOOSE(CONTROL!$C$15, $D$11, 100%, $F$11)</f>
        <v>7.6955999999999998</v>
      </c>
      <c r="J213" s="4">
        <f>CHOOSE( CONTROL!$C$32, 7.5821, 7.5798) * CHOOSE(CONTROL!$C$15, $D$11, 100%, $F$11)</f>
        <v>7.5820999999999996</v>
      </c>
      <c r="K213" s="4"/>
      <c r="L213" s="9">
        <v>30.7165</v>
      </c>
      <c r="M213" s="9">
        <v>12.063700000000001</v>
      </c>
      <c r="N213" s="9">
        <v>4.9444999999999997</v>
      </c>
      <c r="O213" s="9">
        <v>0.37409999999999999</v>
      </c>
      <c r="P213" s="9">
        <v>1.2183999999999999</v>
      </c>
      <c r="Q213" s="9">
        <v>31.026700000000002</v>
      </c>
      <c r="R213" s="9"/>
      <c r="S213" s="11"/>
    </row>
    <row r="214" spans="1:19" ht="15.75">
      <c r="A214" s="13">
        <v>48000</v>
      </c>
      <c r="B214" s="8">
        <f>CHOOSE( CONTROL!$C$32, 7.8007, 7.7984) * CHOOSE(CONTROL!$C$15, $D$11, 100%, $F$11)</f>
        <v>7.8007</v>
      </c>
      <c r="C214" s="8">
        <f>CHOOSE( CONTROL!$C$32, 7.8088, 7.8064) * CHOOSE(CONTROL!$C$15, $D$11, 100%, $F$11)</f>
        <v>7.8087999999999997</v>
      </c>
      <c r="D214" s="8">
        <f>CHOOSE( CONTROL!$C$32, 7.8342, 7.8318) * CHOOSE( CONTROL!$C$15, $D$11, 100%, $F$11)</f>
        <v>7.8342000000000001</v>
      </c>
      <c r="E214" s="12">
        <f>CHOOSE( CONTROL!$C$32, 7.8238, 7.8214) * CHOOSE( CONTROL!$C$15, $D$11, 100%, $F$11)</f>
        <v>7.8238000000000003</v>
      </c>
      <c r="F214" s="4">
        <f>CHOOSE( CONTROL!$C$32, 8.5141, 8.5118) * CHOOSE(CONTROL!$C$15, $D$11, 100%, $F$11)</f>
        <v>8.5140999999999991</v>
      </c>
      <c r="G214" s="8">
        <f>CHOOSE( CONTROL!$C$32, 7.6025, 7.6002) * CHOOSE( CONTROL!$C$15, $D$11, 100%, $F$11)</f>
        <v>7.6025</v>
      </c>
      <c r="H214" s="4">
        <f>CHOOSE( CONTROL!$C$32, 8.5505, 8.5483) * CHOOSE(CONTROL!$C$15, $D$11, 100%, $F$11)</f>
        <v>8.5504999999999995</v>
      </c>
      <c r="I214" s="8">
        <f>CHOOSE( CONTROL!$C$32, 7.5747, 7.5724) * CHOOSE(CONTROL!$C$15, $D$11, 100%, $F$11)</f>
        <v>7.5747</v>
      </c>
      <c r="J214" s="4">
        <f>CHOOSE( CONTROL!$C$32, 7.4602, 7.458) * CHOOSE(CONTROL!$C$15, $D$11, 100%, $F$11)</f>
        <v>7.4602000000000004</v>
      </c>
      <c r="K214" s="4"/>
      <c r="L214" s="9">
        <v>29.7257</v>
      </c>
      <c r="M214" s="9">
        <v>11.6745</v>
      </c>
      <c r="N214" s="9">
        <v>4.7850000000000001</v>
      </c>
      <c r="O214" s="9">
        <v>0.36199999999999999</v>
      </c>
      <c r="P214" s="9">
        <v>1.1791</v>
      </c>
      <c r="Q214" s="9">
        <v>30.0258</v>
      </c>
      <c r="R214" s="9"/>
      <c r="S214" s="11"/>
    </row>
    <row r="215" spans="1:19" ht="15.75">
      <c r="A215" s="13">
        <v>48030</v>
      </c>
      <c r="B215" s="8">
        <f>CHOOSE( CONTROL!$C$32, 8.135, 8.1326) * CHOOSE(CONTROL!$C$15, $D$11, 100%, $F$11)</f>
        <v>8.1349999999999998</v>
      </c>
      <c r="C215" s="8">
        <f>CHOOSE( CONTROL!$C$32, 8.143, 8.1407) * CHOOSE(CONTROL!$C$15, $D$11, 100%, $F$11)</f>
        <v>8.1430000000000007</v>
      </c>
      <c r="D215" s="8">
        <f>CHOOSE( CONTROL!$C$32, 8.1687, 8.1664) * CHOOSE( CONTROL!$C$15, $D$11, 100%, $F$11)</f>
        <v>8.1686999999999994</v>
      </c>
      <c r="E215" s="12">
        <f>CHOOSE( CONTROL!$C$32, 8.1582, 8.1559) * CHOOSE( CONTROL!$C$15, $D$11, 100%, $F$11)</f>
        <v>8.1582000000000008</v>
      </c>
      <c r="F215" s="4">
        <f>CHOOSE( CONTROL!$C$32, 8.8484, 8.846) * CHOOSE(CONTROL!$C$15, $D$11, 100%, $F$11)</f>
        <v>8.8483999999999998</v>
      </c>
      <c r="G215" s="8">
        <f>CHOOSE( CONTROL!$C$32, 7.9294, 7.9271) * CHOOSE( CONTROL!$C$15, $D$11, 100%, $F$11)</f>
        <v>7.9294000000000002</v>
      </c>
      <c r="H215" s="4">
        <f>CHOOSE( CONTROL!$C$32, 8.877, 8.8747) * CHOOSE(CONTROL!$C$15, $D$11, 100%, $F$11)</f>
        <v>8.8770000000000007</v>
      </c>
      <c r="I215" s="8">
        <f>CHOOSE( CONTROL!$C$32, 7.897, 7.8947) * CHOOSE(CONTROL!$C$15, $D$11, 100%, $F$11)</f>
        <v>7.8970000000000002</v>
      </c>
      <c r="J215" s="4">
        <f>CHOOSE( CONTROL!$C$32, 7.7811, 7.7789) * CHOOSE(CONTROL!$C$15, $D$11, 100%, $F$11)</f>
        <v>7.7811000000000003</v>
      </c>
      <c r="K215" s="4"/>
      <c r="L215" s="9">
        <v>30.7165</v>
      </c>
      <c r="M215" s="9">
        <v>12.063700000000001</v>
      </c>
      <c r="N215" s="9">
        <v>4.9444999999999997</v>
      </c>
      <c r="O215" s="9">
        <v>0.37409999999999999</v>
      </c>
      <c r="P215" s="9">
        <v>1.2183999999999999</v>
      </c>
      <c r="Q215" s="9">
        <v>31.026700000000002</v>
      </c>
      <c r="R215" s="9"/>
      <c r="S215" s="11"/>
    </row>
    <row r="216" spans="1:19" ht="15.75">
      <c r="A216" s="13">
        <v>48061</v>
      </c>
      <c r="B216" s="8">
        <f>CHOOSE( CONTROL!$C$32, 7.5095, 7.5072) * CHOOSE(CONTROL!$C$15, $D$11, 100%, $F$11)</f>
        <v>7.5095000000000001</v>
      </c>
      <c r="C216" s="8">
        <f>CHOOSE( CONTROL!$C$32, 7.5176, 7.5153) * CHOOSE(CONTROL!$C$15, $D$11, 100%, $F$11)</f>
        <v>7.5175999999999998</v>
      </c>
      <c r="D216" s="8">
        <f>CHOOSE( CONTROL!$C$32, 7.5433, 7.541) * CHOOSE( CONTROL!$C$15, $D$11, 100%, $F$11)</f>
        <v>7.5433000000000003</v>
      </c>
      <c r="E216" s="12">
        <f>CHOOSE( CONTROL!$C$32, 7.5328, 7.5305) * CHOOSE( CONTROL!$C$15, $D$11, 100%, $F$11)</f>
        <v>7.5327999999999999</v>
      </c>
      <c r="F216" s="4">
        <f>CHOOSE( CONTROL!$C$32, 8.223, 8.2206) * CHOOSE(CONTROL!$C$15, $D$11, 100%, $F$11)</f>
        <v>8.2230000000000008</v>
      </c>
      <c r="G216" s="8">
        <f>CHOOSE( CONTROL!$C$32, 7.3186, 7.3163) * CHOOSE( CONTROL!$C$15, $D$11, 100%, $F$11)</f>
        <v>7.3186</v>
      </c>
      <c r="H216" s="4">
        <f>CHOOSE( CONTROL!$C$32, 8.2662, 8.2639) * CHOOSE(CONTROL!$C$15, $D$11, 100%, $F$11)</f>
        <v>8.2661999999999995</v>
      </c>
      <c r="I216" s="8">
        <f>CHOOSE( CONTROL!$C$32, 7.2966, 7.2943) * CHOOSE(CONTROL!$C$15, $D$11, 100%, $F$11)</f>
        <v>7.2965999999999998</v>
      </c>
      <c r="J216" s="4">
        <f>CHOOSE( CONTROL!$C$32, 7.1807, 7.1784) * CHOOSE(CONTROL!$C$15, $D$11, 100%, $F$11)</f>
        <v>7.1806999999999999</v>
      </c>
      <c r="K216" s="4"/>
      <c r="L216" s="9">
        <v>30.7165</v>
      </c>
      <c r="M216" s="9">
        <v>12.063700000000001</v>
      </c>
      <c r="N216" s="9">
        <v>4.9444999999999997</v>
      </c>
      <c r="O216" s="9">
        <v>0.37409999999999999</v>
      </c>
      <c r="P216" s="9">
        <v>1.2183999999999999</v>
      </c>
      <c r="Q216" s="9">
        <v>31.026700000000002</v>
      </c>
      <c r="R216" s="9"/>
      <c r="S216" s="11"/>
    </row>
    <row r="217" spans="1:19" ht="15.75">
      <c r="A217" s="13">
        <v>48092</v>
      </c>
      <c r="B217" s="8">
        <f>CHOOSE( CONTROL!$C$32, 7.3529, 7.3506) * CHOOSE(CONTROL!$C$15, $D$11, 100%, $F$11)</f>
        <v>7.3529</v>
      </c>
      <c r="C217" s="8">
        <f>CHOOSE( CONTROL!$C$32, 7.361, 7.3587) * CHOOSE(CONTROL!$C$15, $D$11, 100%, $F$11)</f>
        <v>7.3609999999999998</v>
      </c>
      <c r="D217" s="8">
        <f>CHOOSE( CONTROL!$C$32, 7.3867, 7.3844) * CHOOSE( CONTROL!$C$15, $D$11, 100%, $F$11)</f>
        <v>7.3867000000000003</v>
      </c>
      <c r="E217" s="12">
        <f>CHOOSE( CONTROL!$C$32, 7.3762, 7.3739) * CHOOSE( CONTROL!$C$15, $D$11, 100%, $F$11)</f>
        <v>7.3761999999999999</v>
      </c>
      <c r="F217" s="4">
        <f>CHOOSE( CONTROL!$C$32, 8.0663, 8.064) * CHOOSE(CONTROL!$C$15, $D$11, 100%, $F$11)</f>
        <v>8.0663</v>
      </c>
      <c r="G217" s="8">
        <f>CHOOSE( CONTROL!$C$32, 7.1656, 7.1633) * CHOOSE( CONTROL!$C$15, $D$11, 100%, $F$11)</f>
        <v>7.1656000000000004</v>
      </c>
      <c r="H217" s="4">
        <f>CHOOSE( CONTROL!$C$32, 8.1132, 8.1109) * CHOOSE(CONTROL!$C$15, $D$11, 100%, $F$11)</f>
        <v>8.1132000000000009</v>
      </c>
      <c r="I217" s="8">
        <f>CHOOSE( CONTROL!$C$32, 7.146, 7.1438) * CHOOSE(CONTROL!$C$15, $D$11, 100%, $F$11)</f>
        <v>7.1459999999999999</v>
      </c>
      <c r="J217" s="4">
        <f>CHOOSE( CONTROL!$C$32, 7.0303, 7.0281) * CHOOSE(CONTROL!$C$15, $D$11, 100%, $F$11)</f>
        <v>7.0303000000000004</v>
      </c>
      <c r="K217" s="4"/>
      <c r="L217" s="9">
        <v>29.7257</v>
      </c>
      <c r="M217" s="9">
        <v>11.6745</v>
      </c>
      <c r="N217" s="9">
        <v>4.7850000000000001</v>
      </c>
      <c r="O217" s="9">
        <v>0.36199999999999999</v>
      </c>
      <c r="P217" s="9">
        <v>1.1791</v>
      </c>
      <c r="Q217" s="9">
        <v>30.0258</v>
      </c>
      <c r="R217" s="9"/>
      <c r="S217" s="11"/>
    </row>
    <row r="218" spans="1:19" ht="15.75">
      <c r="A218" s="13">
        <v>48122</v>
      </c>
      <c r="B218" s="8">
        <f>7.674 * CHOOSE(CONTROL!$C$15, $D$11, 100%, $F$11)</f>
        <v>7.6740000000000004</v>
      </c>
      <c r="C218" s="8">
        <f>7.6795 * CHOOSE(CONTROL!$C$15, $D$11, 100%, $F$11)</f>
        <v>7.6795</v>
      </c>
      <c r="D218" s="8">
        <f>7.7103 * CHOOSE( CONTROL!$C$15, $D$11, 100%, $F$11)</f>
        <v>7.7103000000000002</v>
      </c>
      <c r="E218" s="12">
        <f>7.6995 * CHOOSE( CONTROL!$C$15, $D$11, 100%, $F$11)</f>
        <v>7.6994999999999996</v>
      </c>
      <c r="F218" s="4">
        <f>8.3892 * CHOOSE(CONTROL!$C$15, $D$11, 100%, $F$11)</f>
        <v>8.3892000000000007</v>
      </c>
      <c r="G218" s="8">
        <f>7.4807 * CHOOSE( CONTROL!$C$15, $D$11, 100%, $F$11)</f>
        <v>7.4806999999999997</v>
      </c>
      <c r="H218" s="4">
        <f>8.4285 * CHOOSE(CONTROL!$C$15, $D$11, 100%, $F$11)</f>
        <v>8.4284999999999997</v>
      </c>
      <c r="I218" s="8">
        <f>7.457 * CHOOSE(CONTROL!$C$15, $D$11, 100%, $F$11)</f>
        <v>7.4569999999999999</v>
      </c>
      <c r="J218" s="4">
        <f>7.3403 * CHOOSE(CONTROL!$C$15, $D$11, 100%, $F$11)</f>
        <v>7.3403</v>
      </c>
      <c r="K218" s="4"/>
      <c r="L218" s="9">
        <v>31.095300000000002</v>
      </c>
      <c r="M218" s="9">
        <v>12.063700000000001</v>
      </c>
      <c r="N218" s="9">
        <v>4.9444999999999997</v>
      </c>
      <c r="O218" s="9">
        <v>0.37409999999999999</v>
      </c>
      <c r="P218" s="9">
        <v>1.2183999999999999</v>
      </c>
      <c r="Q218" s="9">
        <v>31.026700000000002</v>
      </c>
      <c r="R218" s="9"/>
      <c r="S218" s="11"/>
    </row>
    <row r="219" spans="1:19" ht="15.75">
      <c r="A219" s="13">
        <v>48153</v>
      </c>
      <c r="B219" s="8">
        <f>8.2738 * CHOOSE(CONTROL!$C$15, $D$11, 100%, $F$11)</f>
        <v>8.2737999999999996</v>
      </c>
      <c r="C219" s="8">
        <f>8.279 * CHOOSE(CONTROL!$C$15, $D$11, 100%, $F$11)</f>
        <v>8.2789999999999999</v>
      </c>
      <c r="D219" s="8">
        <f>8.2621 * CHOOSE( CONTROL!$C$15, $D$11, 100%, $F$11)</f>
        <v>8.2621000000000002</v>
      </c>
      <c r="E219" s="12">
        <f>8.2677 * CHOOSE( CONTROL!$C$15, $D$11, 100%, $F$11)</f>
        <v>8.2676999999999996</v>
      </c>
      <c r="F219" s="4">
        <f>8.9243 * CHOOSE(CONTROL!$C$15, $D$11, 100%, $F$11)</f>
        <v>8.9243000000000006</v>
      </c>
      <c r="G219" s="8">
        <f>8.0732 * CHOOSE( CONTROL!$C$15, $D$11, 100%, $F$11)</f>
        <v>8.0731999999999999</v>
      </c>
      <c r="H219" s="4">
        <f>8.9512 * CHOOSE(CONTROL!$C$15, $D$11, 100%, $F$11)</f>
        <v>8.9512</v>
      </c>
      <c r="I219" s="8">
        <f>8.0754 * CHOOSE(CONTROL!$C$15, $D$11, 100%, $F$11)</f>
        <v>8.0754000000000001</v>
      </c>
      <c r="J219" s="4">
        <f>7.9165 * CHOOSE(CONTROL!$C$15, $D$11, 100%, $F$11)</f>
        <v>7.9165000000000001</v>
      </c>
      <c r="K219" s="4"/>
      <c r="L219" s="9">
        <v>28.360600000000002</v>
      </c>
      <c r="M219" s="9">
        <v>11.6745</v>
      </c>
      <c r="N219" s="9">
        <v>4.7850000000000001</v>
      </c>
      <c r="O219" s="9">
        <v>0.36199999999999999</v>
      </c>
      <c r="P219" s="9">
        <v>1.2509999999999999</v>
      </c>
      <c r="Q219" s="9">
        <v>30.0258</v>
      </c>
      <c r="R219" s="9"/>
      <c r="S219" s="11"/>
    </row>
    <row r="220" spans="1:19" ht="15.75">
      <c r="A220" s="13">
        <v>48183</v>
      </c>
      <c r="B220" s="8">
        <f>8.2589 * CHOOSE(CONTROL!$C$15, $D$11, 100%, $F$11)</f>
        <v>8.2589000000000006</v>
      </c>
      <c r="C220" s="8">
        <f>8.264 * CHOOSE(CONTROL!$C$15, $D$11, 100%, $F$11)</f>
        <v>8.2639999999999993</v>
      </c>
      <c r="D220" s="8">
        <f>8.2485 * CHOOSE( CONTROL!$C$15, $D$11, 100%, $F$11)</f>
        <v>8.2484999999999999</v>
      </c>
      <c r="E220" s="12">
        <f>8.2536 * CHOOSE( CONTROL!$C$15, $D$11, 100%, $F$11)</f>
        <v>8.2536000000000005</v>
      </c>
      <c r="F220" s="4">
        <f>8.9093 * CHOOSE(CONTROL!$C$15, $D$11, 100%, $F$11)</f>
        <v>8.9093</v>
      </c>
      <c r="G220" s="8">
        <f>8.0596 * CHOOSE( CONTROL!$C$15, $D$11, 100%, $F$11)</f>
        <v>8.0595999999999997</v>
      </c>
      <c r="H220" s="4">
        <f>8.9365 * CHOOSE(CONTROL!$C$15, $D$11, 100%, $F$11)</f>
        <v>8.9365000000000006</v>
      </c>
      <c r="I220" s="8">
        <f>8.0657 * CHOOSE(CONTROL!$C$15, $D$11, 100%, $F$11)</f>
        <v>8.0656999999999996</v>
      </c>
      <c r="J220" s="4">
        <f>7.9021 * CHOOSE(CONTROL!$C$15, $D$11, 100%, $F$11)</f>
        <v>7.9020999999999999</v>
      </c>
      <c r="K220" s="4"/>
      <c r="L220" s="9">
        <v>29.306000000000001</v>
      </c>
      <c r="M220" s="9">
        <v>12.063700000000001</v>
      </c>
      <c r="N220" s="9">
        <v>4.9444999999999997</v>
      </c>
      <c r="O220" s="9">
        <v>0.37409999999999999</v>
      </c>
      <c r="P220" s="9">
        <v>1.2927</v>
      </c>
      <c r="Q220" s="9">
        <v>31.026700000000002</v>
      </c>
      <c r="R220" s="9"/>
      <c r="S220" s="11"/>
    </row>
    <row r="221" spans="1:19" ht="15.75">
      <c r="A221" s="13">
        <v>48214</v>
      </c>
      <c r="B221" s="8">
        <f>8.5495 * CHOOSE(CONTROL!$C$15, $D$11, 100%, $F$11)</f>
        <v>8.5495000000000001</v>
      </c>
      <c r="C221" s="8">
        <f>8.5546 * CHOOSE(CONTROL!$C$15, $D$11, 100%, $F$11)</f>
        <v>8.5546000000000006</v>
      </c>
      <c r="D221" s="8">
        <f>8.5348 * CHOOSE( CONTROL!$C$15, $D$11, 100%, $F$11)</f>
        <v>8.5348000000000006</v>
      </c>
      <c r="E221" s="12">
        <f>8.5415 * CHOOSE( CONTROL!$C$15, $D$11, 100%, $F$11)</f>
        <v>8.5414999999999992</v>
      </c>
      <c r="F221" s="4">
        <f>9.1999 * CHOOSE(CONTROL!$C$15, $D$11, 100%, $F$11)</f>
        <v>9.1998999999999995</v>
      </c>
      <c r="G221" s="8">
        <f>8.3342 * CHOOSE( CONTROL!$C$15, $D$11, 100%, $F$11)</f>
        <v>8.3341999999999992</v>
      </c>
      <c r="H221" s="4">
        <f>9.2204 * CHOOSE(CONTROL!$C$15, $D$11, 100%, $F$11)</f>
        <v>9.2203999999999997</v>
      </c>
      <c r="I221" s="8">
        <f>8.3039 * CHOOSE(CONTROL!$C$15, $D$11, 100%, $F$11)</f>
        <v>8.3039000000000005</v>
      </c>
      <c r="J221" s="4">
        <f>8.1812 * CHOOSE(CONTROL!$C$15, $D$11, 100%, $F$11)</f>
        <v>8.1812000000000005</v>
      </c>
      <c r="K221" s="4"/>
      <c r="L221" s="9">
        <v>29.306000000000001</v>
      </c>
      <c r="M221" s="9">
        <v>12.063700000000001</v>
      </c>
      <c r="N221" s="9">
        <v>4.9444999999999997</v>
      </c>
      <c r="O221" s="9">
        <v>0.37409999999999999</v>
      </c>
      <c r="P221" s="9">
        <v>1.2927</v>
      </c>
      <c r="Q221" s="9">
        <v>30.8704</v>
      </c>
      <c r="R221" s="9"/>
      <c r="S221" s="11"/>
    </row>
    <row r="222" spans="1:19" ht="15.75">
      <c r="A222" s="13">
        <v>48245</v>
      </c>
      <c r="B222" s="8">
        <f>7.9986 * CHOOSE(CONTROL!$C$15, $D$11, 100%, $F$11)</f>
        <v>7.9985999999999997</v>
      </c>
      <c r="C222" s="8">
        <f>8.0038 * CHOOSE(CONTROL!$C$15, $D$11, 100%, $F$11)</f>
        <v>8.0038</v>
      </c>
      <c r="D222" s="8">
        <f>7.9839 * CHOOSE( CONTROL!$C$15, $D$11, 100%, $F$11)</f>
        <v>7.9839000000000002</v>
      </c>
      <c r="E222" s="12">
        <f>7.9906 * CHOOSE( CONTROL!$C$15, $D$11, 100%, $F$11)</f>
        <v>7.9905999999999997</v>
      </c>
      <c r="F222" s="4">
        <f>8.649 * CHOOSE(CONTROL!$C$15, $D$11, 100%, $F$11)</f>
        <v>8.6489999999999991</v>
      </c>
      <c r="G222" s="8">
        <f>7.7961 * CHOOSE( CONTROL!$C$15, $D$11, 100%, $F$11)</f>
        <v>7.7961</v>
      </c>
      <c r="H222" s="4">
        <f>8.6823 * CHOOSE(CONTROL!$C$15, $D$11, 100%, $F$11)</f>
        <v>8.6822999999999997</v>
      </c>
      <c r="I222" s="8">
        <f>7.7746 * CHOOSE(CONTROL!$C$15, $D$11, 100%, $F$11)</f>
        <v>7.7746000000000004</v>
      </c>
      <c r="J222" s="4">
        <f>7.6523 * CHOOSE(CONTROL!$C$15, $D$11, 100%, $F$11)</f>
        <v>7.6523000000000003</v>
      </c>
      <c r="K222" s="4"/>
      <c r="L222" s="9">
        <v>27.415299999999998</v>
      </c>
      <c r="M222" s="9">
        <v>11.285299999999999</v>
      </c>
      <c r="N222" s="9">
        <v>4.6254999999999997</v>
      </c>
      <c r="O222" s="9">
        <v>0.34989999999999999</v>
      </c>
      <c r="P222" s="9">
        <v>1.2093</v>
      </c>
      <c r="Q222" s="9">
        <v>28.878799999999998</v>
      </c>
      <c r="R222" s="9"/>
      <c r="S222" s="11"/>
    </row>
    <row r="223" spans="1:19" ht="15.75">
      <c r="A223" s="13">
        <v>48274</v>
      </c>
      <c r="B223" s="8">
        <f>7.8289 * CHOOSE(CONTROL!$C$15, $D$11, 100%, $F$11)</f>
        <v>7.8289</v>
      </c>
      <c r="C223" s="8">
        <f>7.8341 * CHOOSE(CONTROL!$C$15, $D$11, 100%, $F$11)</f>
        <v>7.8341000000000003</v>
      </c>
      <c r="D223" s="8">
        <f>7.8139 * CHOOSE( CONTROL!$C$15, $D$11, 100%, $F$11)</f>
        <v>7.8139000000000003</v>
      </c>
      <c r="E223" s="12">
        <f>7.8207 * CHOOSE( CONTROL!$C$15, $D$11, 100%, $F$11)</f>
        <v>7.8207000000000004</v>
      </c>
      <c r="F223" s="4">
        <f>8.4794 * CHOOSE(CONTROL!$C$15, $D$11, 100%, $F$11)</f>
        <v>8.4794</v>
      </c>
      <c r="G223" s="8">
        <f>7.6301 * CHOOSE( CONTROL!$C$15, $D$11, 100%, $F$11)</f>
        <v>7.6300999999999997</v>
      </c>
      <c r="H223" s="4">
        <f>8.5166 * CHOOSE(CONTROL!$C$15, $D$11, 100%, $F$11)</f>
        <v>8.5166000000000004</v>
      </c>
      <c r="I223" s="8">
        <f>7.6106 * CHOOSE(CONTROL!$C$15, $D$11, 100%, $F$11)</f>
        <v>7.6105999999999998</v>
      </c>
      <c r="J223" s="4">
        <f>7.4894 * CHOOSE(CONTROL!$C$15, $D$11, 100%, $F$11)</f>
        <v>7.4893999999999998</v>
      </c>
      <c r="K223" s="4"/>
      <c r="L223" s="9">
        <v>29.306000000000001</v>
      </c>
      <c r="M223" s="9">
        <v>12.063700000000001</v>
      </c>
      <c r="N223" s="9">
        <v>4.9444999999999997</v>
      </c>
      <c r="O223" s="9">
        <v>0.37409999999999999</v>
      </c>
      <c r="P223" s="9">
        <v>1.2927</v>
      </c>
      <c r="Q223" s="9">
        <v>30.8704</v>
      </c>
      <c r="R223" s="9"/>
      <c r="S223" s="11"/>
    </row>
    <row r="224" spans="1:19" ht="15.75">
      <c r="A224" s="13">
        <v>48305</v>
      </c>
      <c r="B224" s="8">
        <f>7.9482 * CHOOSE(CONTROL!$C$15, $D$11, 100%, $F$11)</f>
        <v>7.9481999999999999</v>
      </c>
      <c r="C224" s="8">
        <f>7.9529 * CHOOSE(CONTROL!$C$15, $D$11, 100%, $F$11)</f>
        <v>7.9528999999999996</v>
      </c>
      <c r="D224" s="8">
        <f>7.9834 * CHOOSE( CONTROL!$C$15, $D$11, 100%, $F$11)</f>
        <v>7.9833999999999996</v>
      </c>
      <c r="E224" s="12">
        <f>7.9728 * CHOOSE( CONTROL!$C$15, $D$11, 100%, $F$11)</f>
        <v>7.9728000000000003</v>
      </c>
      <c r="F224" s="4">
        <f>8.663 * CHOOSE(CONTROL!$C$15, $D$11, 100%, $F$11)</f>
        <v>8.6630000000000003</v>
      </c>
      <c r="G224" s="8">
        <f>7.7471 * CHOOSE( CONTROL!$C$15, $D$11, 100%, $F$11)</f>
        <v>7.7470999999999997</v>
      </c>
      <c r="H224" s="4">
        <f>8.696 * CHOOSE(CONTROL!$C$15, $D$11, 100%, $F$11)</f>
        <v>8.6959999999999997</v>
      </c>
      <c r="I224" s="8">
        <f>7.7165 * CHOOSE(CONTROL!$C$15, $D$11, 100%, $F$11)</f>
        <v>7.7164999999999999</v>
      </c>
      <c r="J224" s="4">
        <f>7.6032 * CHOOSE(CONTROL!$C$15, $D$11, 100%, $F$11)</f>
        <v>7.6032000000000002</v>
      </c>
      <c r="K224" s="4"/>
      <c r="L224" s="9">
        <v>30.092199999999998</v>
      </c>
      <c r="M224" s="9">
        <v>11.6745</v>
      </c>
      <c r="N224" s="9">
        <v>4.7850000000000001</v>
      </c>
      <c r="O224" s="9">
        <v>0.36199999999999999</v>
      </c>
      <c r="P224" s="9">
        <v>1.1791</v>
      </c>
      <c r="Q224" s="9">
        <v>29.874600000000001</v>
      </c>
      <c r="R224" s="9"/>
      <c r="S224" s="11"/>
    </row>
    <row r="225" spans="1:19" ht="15.75">
      <c r="A225" s="13">
        <v>48335</v>
      </c>
      <c r="B225" s="8">
        <f>CHOOSE( CONTROL!$C$32, 8.163, 8.1606) * CHOOSE(CONTROL!$C$15, $D$11, 100%, $F$11)</f>
        <v>8.1630000000000003</v>
      </c>
      <c r="C225" s="8">
        <f>CHOOSE( CONTROL!$C$32, 8.171, 8.1687) * CHOOSE(CONTROL!$C$15, $D$11, 100%, $F$11)</f>
        <v>8.1709999999999994</v>
      </c>
      <c r="D225" s="8">
        <f>CHOOSE( CONTROL!$C$32, 8.1962, 8.1939) * CHOOSE( CONTROL!$C$15, $D$11, 100%, $F$11)</f>
        <v>8.1961999999999993</v>
      </c>
      <c r="E225" s="12">
        <f>CHOOSE( CONTROL!$C$32, 8.1858, 8.1835) * CHOOSE( CONTROL!$C$15, $D$11, 100%, $F$11)</f>
        <v>8.1858000000000004</v>
      </c>
      <c r="F225" s="4">
        <f>CHOOSE( CONTROL!$C$32, 8.8764, 8.874) * CHOOSE(CONTROL!$C$15, $D$11, 100%, $F$11)</f>
        <v>8.8764000000000003</v>
      </c>
      <c r="G225" s="8">
        <f>CHOOSE( CONTROL!$C$32, 7.956, 7.9538) * CHOOSE( CONTROL!$C$15, $D$11, 100%, $F$11)</f>
        <v>7.9560000000000004</v>
      </c>
      <c r="H225" s="4">
        <f>CHOOSE( CONTROL!$C$32, 8.9044, 8.9021) * CHOOSE(CONTROL!$C$15, $D$11, 100%, $F$11)</f>
        <v>8.9044000000000008</v>
      </c>
      <c r="I225" s="8">
        <f>CHOOSE( CONTROL!$C$32, 7.9217, 7.9194) * CHOOSE(CONTROL!$C$15, $D$11, 100%, $F$11)</f>
        <v>7.9217000000000004</v>
      </c>
      <c r="J225" s="4">
        <f>CHOOSE( CONTROL!$C$32, 7.808, 7.8058) * CHOOSE(CONTROL!$C$15, $D$11, 100%, $F$11)</f>
        <v>7.8079999999999998</v>
      </c>
      <c r="K225" s="4"/>
      <c r="L225" s="9">
        <v>30.7165</v>
      </c>
      <c r="M225" s="9">
        <v>12.063700000000001</v>
      </c>
      <c r="N225" s="9">
        <v>4.9444999999999997</v>
      </c>
      <c r="O225" s="9">
        <v>0.37409999999999999</v>
      </c>
      <c r="P225" s="9">
        <v>1.2183999999999999</v>
      </c>
      <c r="Q225" s="9">
        <v>30.8704</v>
      </c>
      <c r="R225" s="9"/>
      <c r="S225" s="11"/>
    </row>
    <row r="226" spans="1:19" ht="15.75">
      <c r="A226" s="13">
        <v>48366</v>
      </c>
      <c r="B226" s="8">
        <f>CHOOSE( CONTROL!$C$32, 8.0322, 8.0299) * CHOOSE(CONTROL!$C$15, $D$11, 100%, $F$11)</f>
        <v>8.0321999999999996</v>
      </c>
      <c r="C226" s="8">
        <f>CHOOSE( CONTROL!$C$32, 8.0403, 8.038) * CHOOSE(CONTROL!$C$15, $D$11, 100%, $F$11)</f>
        <v>8.0403000000000002</v>
      </c>
      <c r="D226" s="8">
        <f>CHOOSE( CONTROL!$C$32, 8.0657, 8.0634) * CHOOSE( CONTROL!$C$15, $D$11, 100%, $F$11)</f>
        <v>8.0656999999999996</v>
      </c>
      <c r="E226" s="12">
        <f>CHOOSE( CONTROL!$C$32, 8.0553, 8.053) * CHOOSE( CONTROL!$C$15, $D$11, 100%, $F$11)</f>
        <v>8.0553000000000008</v>
      </c>
      <c r="F226" s="4">
        <f>CHOOSE( CONTROL!$C$32, 8.7457, 8.7433) * CHOOSE(CONTROL!$C$15, $D$11, 100%, $F$11)</f>
        <v>8.7456999999999994</v>
      </c>
      <c r="G226" s="8">
        <f>CHOOSE( CONTROL!$C$32, 7.8287, 7.8264) * CHOOSE( CONTROL!$C$15, $D$11, 100%, $F$11)</f>
        <v>7.8287000000000004</v>
      </c>
      <c r="H226" s="4">
        <f>CHOOSE( CONTROL!$C$32, 8.7767, 8.7744) * CHOOSE(CONTROL!$C$15, $D$11, 100%, $F$11)</f>
        <v>8.7766999999999999</v>
      </c>
      <c r="I226" s="8">
        <f>CHOOSE( CONTROL!$C$32, 7.7971, 7.7949) * CHOOSE(CONTROL!$C$15, $D$11, 100%, $F$11)</f>
        <v>7.7971000000000004</v>
      </c>
      <c r="J226" s="4">
        <f>CHOOSE( CONTROL!$C$32, 7.6825, 7.6803) * CHOOSE(CONTROL!$C$15, $D$11, 100%, $F$11)</f>
        <v>7.6825000000000001</v>
      </c>
      <c r="K226" s="4"/>
      <c r="L226" s="9">
        <v>29.7257</v>
      </c>
      <c r="M226" s="9">
        <v>11.6745</v>
      </c>
      <c r="N226" s="9">
        <v>4.7850000000000001</v>
      </c>
      <c r="O226" s="9">
        <v>0.36199999999999999</v>
      </c>
      <c r="P226" s="9">
        <v>1.1791</v>
      </c>
      <c r="Q226" s="9">
        <v>29.874600000000001</v>
      </c>
      <c r="R226" s="9"/>
      <c r="S226" s="11"/>
    </row>
    <row r="227" spans="1:19" ht="15.75">
      <c r="A227" s="13">
        <v>48396</v>
      </c>
      <c r="B227" s="8">
        <f>CHOOSE( CONTROL!$C$32, 8.3765, 8.3741) * CHOOSE(CONTROL!$C$15, $D$11, 100%, $F$11)</f>
        <v>8.3765000000000001</v>
      </c>
      <c r="C227" s="8">
        <f>CHOOSE( CONTROL!$C$32, 8.3845, 8.3822) * CHOOSE(CONTROL!$C$15, $D$11, 100%, $F$11)</f>
        <v>8.3844999999999992</v>
      </c>
      <c r="D227" s="8">
        <f>CHOOSE( CONTROL!$C$32, 8.4102, 8.4079) * CHOOSE( CONTROL!$C$15, $D$11, 100%, $F$11)</f>
        <v>8.4101999999999997</v>
      </c>
      <c r="E227" s="12">
        <f>CHOOSE( CONTROL!$C$32, 8.3997, 8.3974) * CHOOSE( CONTROL!$C$15, $D$11, 100%, $F$11)</f>
        <v>8.3996999999999993</v>
      </c>
      <c r="F227" s="4">
        <f>CHOOSE( CONTROL!$C$32, 9.0899, 9.0875) * CHOOSE(CONTROL!$C$15, $D$11, 100%, $F$11)</f>
        <v>9.0899000000000001</v>
      </c>
      <c r="G227" s="8">
        <f>CHOOSE( CONTROL!$C$32, 8.1653, 8.163) * CHOOSE( CONTROL!$C$15, $D$11, 100%, $F$11)</f>
        <v>8.1653000000000002</v>
      </c>
      <c r="H227" s="4">
        <f>CHOOSE( CONTROL!$C$32, 9.1129, 9.1106) * CHOOSE(CONTROL!$C$15, $D$11, 100%, $F$11)</f>
        <v>9.1128999999999998</v>
      </c>
      <c r="I227" s="8">
        <f>CHOOSE( CONTROL!$C$32, 8.129, 8.1267) * CHOOSE(CONTROL!$C$15, $D$11, 100%, $F$11)</f>
        <v>8.1289999999999996</v>
      </c>
      <c r="J227" s="4">
        <f>CHOOSE( CONTROL!$C$32, 8.013, 8.0108) * CHOOSE(CONTROL!$C$15, $D$11, 100%, $F$11)</f>
        <v>8.0129999999999999</v>
      </c>
      <c r="K227" s="4"/>
      <c r="L227" s="9">
        <v>30.7165</v>
      </c>
      <c r="M227" s="9">
        <v>12.063700000000001</v>
      </c>
      <c r="N227" s="9">
        <v>4.9444999999999997</v>
      </c>
      <c r="O227" s="9">
        <v>0.37409999999999999</v>
      </c>
      <c r="P227" s="9">
        <v>1.2183999999999999</v>
      </c>
      <c r="Q227" s="9">
        <v>30.8704</v>
      </c>
      <c r="R227" s="9"/>
      <c r="S227" s="11"/>
    </row>
    <row r="228" spans="1:19" ht="15.75">
      <c r="A228" s="13">
        <v>48427</v>
      </c>
      <c r="B228" s="8">
        <f>CHOOSE( CONTROL!$C$32, 7.7324, 7.73) * CHOOSE(CONTROL!$C$15, $D$11, 100%, $F$11)</f>
        <v>7.7324000000000002</v>
      </c>
      <c r="C228" s="8">
        <f>CHOOSE( CONTROL!$C$32, 7.7405, 7.7381) * CHOOSE(CONTROL!$C$15, $D$11, 100%, $F$11)</f>
        <v>7.7404999999999999</v>
      </c>
      <c r="D228" s="8">
        <f>CHOOSE( CONTROL!$C$32, 7.7662, 7.7639) * CHOOSE( CONTROL!$C$15, $D$11, 100%, $F$11)</f>
        <v>7.7662000000000004</v>
      </c>
      <c r="E228" s="12">
        <f>CHOOSE( CONTROL!$C$32, 7.7557, 7.7533) * CHOOSE( CONTROL!$C$15, $D$11, 100%, $F$11)</f>
        <v>7.7557</v>
      </c>
      <c r="F228" s="4">
        <f>CHOOSE( CONTROL!$C$32, 8.4458, 8.4435) * CHOOSE(CONTROL!$C$15, $D$11, 100%, $F$11)</f>
        <v>8.4458000000000002</v>
      </c>
      <c r="G228" s="8">
        <f>CHOOSE( CONTROL!$C$32, 7.5363, 7.534) * CHOOSE( CONTROL!$C$15, $D$11, 100%, $F$11)</f>
        <v>7.5362999999999998</v>
      </c>
      <c r="H228" s="4">
        <f>CHOOSE( CONTROL!$C$32, 8.4838, 8.4815) * CHOOSE(CONTROL!$C$15, $D$11, 100%, $F$11)</f>
        <v>8.4838000000000005</v>
      </c>
      <c r="I228" s="8">
        <f>CHOOSE( CONTROL!$C$32, 7.5107, 7.5084) * CHOOSE(CONTROL!$C$15, $D$11, 100%, $F$11)</f>
        <v>7.5106999999999999</v>
      </c>
      <c r="J228" s="4">
        <f>CHOOSE( CONTROL!$C$32, 7.3946, 7.3924) * CHOOSE(CONTROL!$C$15, $D$11, 100%, $F$11)</f>
        <v>7.3945999999999996</v>
      </c>
      <c r="K228" s="4"/>
      <c r="L228" s="9">
        <v>30.7165</v>
      </c>
      <c r="M228" s="9">
        <v>12.063700000000001</v>
      </c>
      <c r="N228" s="9">
        <v>4.9444999999999997</v>
      </c>
      <c r="O228" s="9">
        <v>0.37409999999999999</v>
      </c>
      <c r="P228" s="9">
        <v>1.2183999999999999</v>
      </c>
      <c r="Q228" s="9">
        <v>30.8704</v>
      </c>
      <c r="R228" s="9"/>
      <c r="S228" s="11"/>
    </row>
    <row r="229" spans="1:19" ht="15.75">
      <c r="A229" s="13">
        <v>48458</v>
      </c>
      <c r="B229" s="8">
        <f>CHOOSE( CONTROL!$C$32, 7.5711, 7.5688) * CHOOSE(CONTROL!$C$15, $D$11, 100%, $F$11)</f>
        <v>7.5711000000000004</v>
      </c>
      <c r="C229" s="8">
        <f>CHOOSE( CONTROL!$C$32, 7.5792, 7.5768) * CHOOSE(CONTROL!$C$15, $D$11, 100%, $F$11)</f>
        <v>7.5792000000000002</v>
      </c>
      <c r="D229" s="8">
        <f>CHOOSE( CONTROL!$C$32, 7.6049, 7.6026) * CHOOSE( CONTROL!$C$15, $D$11, 100%, $F$11)</f>
        <v>7.6048999999999998</v>
      </c>
      <c r="E229" s="12">
        <f>CHOOSE( CONTROL!$C$32, 7.5944, 7.592) * CHOOSE( CONTROL!$C$15, $D$11, 100%, $F$11)</f>
        <v>7.5944000000000003</v>
      </c>
      <c r="F229" s="4">
        <f>CHOOSE( CONTROL!$C$32, 8.2845, 8.2822) * CHOOSE(CONTROL!$C$15, $D$11, 100%, $F$11)</f>
        <v>8.2844999999999995</v>
      </c>
      <c r="G229" s="8">
        <f>CHOOSE( CONTROL!$C$32, 7.3787, 7.3765) * CHOOSE( CONTROL!$C$15, $D$11, 100%, $F$11)</f>
        <v>7.3787000000000003</v>
      </c>
      <c r="H229" s="4">
        <f>CHOOSE( CONTROL!$C$32, 8.3263, 8.324) * CHOOSE(CONTROL!$C$15, $D$11, 100%, $F$11)</f>
        <v>8.3262999999999998</v>
      </c>
      <c r="I229" s="8">
        <f>CHOOSE( CONTROL!$C$32, 7.3556, 7.3534) * CHOOSE(CONTROL!$C$15, $D$11, 100%, $F$11)</f>
        <v>7.3555999999999999</v>
      </c>
      <c r="J229" s="4">
        <f>CHOOSE( CONTROL!$C$32, 7.2398, 7.2375) * CHOOSE(CONTROL!$C$15, $D$11, 100%, $F$11)</f>
        <v>7.2397999999999998</v>
      </c>
      <c r="K229" s="4"/>
      <c r="L229" s="9">
        <v>29.7257</v>
      </c>
      <c r="M229" s="9">
        <v>11.6745</v>
      </c>
      <c r="N229" s="9">
        <v>4.7850000000000001</v>
      </c>
      <c r="O229" s="9">
        <v>0.36199999999999999</v>
      </c>
      <c r="P229" s="9">
        <v>1.1791</v>
      </c>
      <c r="Q229" s="9">
        <v>29.874600000000001</v>
      </c>
      <c r="R229" s="9"/>
      <c r="S229" s="11"/>
    </row>
    <row r="230" spans="1:19" ht="15.75">
      <c r="A230" s="13">
        <v>48488</v>
      </c>
      <c r="B230" s="8">
        <f>7.9019 * CHOOSE(CONTROL!$C$15, $D$11, 100%, $F$11)</f>
        <v>7.9019000000000004</v>
      </c>
      <c r="C230" s="8">
        <f>7.9074 * CHOOSE(CONTROL!$C$15, $D$11, 100%, $F$11)</f>
        <v>7.9074</v>
      </c>
      <c r="D230" s="8">
        <f>7.9381 * CHOOSE( CONTROL!$C$15, $D$11, 100%, $F$11)</f>
        <v>7.9381000000000004</v>
      </c>
      <c r="E230" s="12">
        <f>7.9274 * CHOOSE( CONTROL!$C$15, $D$11, 100%, $F$11)</f>
        <v>7.9273999999999996</v>
      </c>
      <c r="F230" s="4">
        <f>8.6171 * CHOOSE(CONTROL!$C$15, $D$11, 100%, $F$11)</f>
        <v>8.6171000000000006</v>
      </c>
      <c r="G230" s="8">
        <f>7.7033 * CHOOSE( CONTROL!$C$15, $D$11, 100%, $F$11)</f>
        <v>7.7032999999999996</v>
      </c>
      <c r="H230" s="4">
        <f>8.6511 * CHOOSE(CONTROL!$C$15, $D$11, 100%, $F$11)</f>
        <v>8.6510999999999996</v>
      </c>
      <c r="I230" s="8">
        <f>7.6759 * CHOOSE(CONTROL!$C$15, $D$11, 100%, $F$11)</f>
        <v>7.6759000000000004</v>
      </c>
      <c r="J230" s="4">
        <f>7.5591 * CHOOSE(CONTROL!$C$15, $D$11, 100%, $F$11)</f>
        <v>7.5590999999999999</v>
      </c>
      <c r="K230" s="4"/>
      <c r="L230" s="9">
        <v>31.095300000000002</v>
      </c>
      <c r="M230" s="9">
        <v>12.063700000000001</v>
      </c>
      <c r="N230" s="9">
        <v>4.9444999999999997</v>
      </c>
      <c r="O230" s="9">
        <v>0.37409999999999999</v>
      </c>
      <c r="P230" s="9">
        <v>1.2183999999999999</v>
      </c>
      <c r="Q230" s="9">
        <v>30.8704</v>
      </c>
      <c r="R230" s="9"/>
      <c r="S230" s="11"/>
    </row>
    <row r="231" spans="1:19" ht="15.75">
      <c r="A231" s="13">
        <v>48519</v>
      </c>
      <c r="B231" s="8">
        <f>8.5196 * CHOOSE(CONTROL!$C$15, $D$11, 100%, $F$11)</f>
        <v>8.5196000000000005</v>
      </c>
      <c r="C231" s="8">
        <f>8.5248 * CHOOSE(CONTROL!$C$15, $D$11, 100%, $F$11)</f>
        <v>8.5248000000000008</v>
      </c>
      <c r="D231" s="8">
        <f>8.5078 * CHOOSE( CONTROL!$C$15, $D$11, 100%, $F$11)</f>
        <v>8.5077999999999996</v>
      </c>
      <c r="E231" s="12">
        <f>8.5135 * CHOOSE( CONTROL!$C$15, $D$11, 100%, $F$11)</f>
        <v>8.5135000000000005</v>
      </c>
      <c r="F231" s="4">
        <f>9.1701 * CHOOSE(CONTROL!$C$15, $D$11, 100%, $F$11)</f>
        <v>9.1700999999999997</v>
      </c>
      <c r="G231" s="8">
        <f>8.3132 * CHOOSE( CONTROL!$C$15, $D$11, 100%, $F$11)</f>
        <v>8.3132000000000001</v>
      </c>
      <c r="H231" s="4">
        <f>9.1912 * CHOOSE(CONTROL!$C$15, $D$11, 100%, $F$11)</f>
        <v>9.1912000000000003</v>
      </c>
      <c r="I231" s="8">
        <f>8.3115 * CHOOSE(CONTROL!$C$15, $D$11, 100%, $F$11)</f>
        <v>8.3115000000000006</v>
      </c>
      <c r="J231" s="4">
        <f>8.1525 * CHOOSE(CONTROL!$C$15, $D$11, 100%, $F$11)</f>
        <v>8.1524999999999999</v>
      </c>
      <c r="K231" s="4"/>
      <c r="L231" s="9">
        <v>28.360600000000002</v>
      </c>
      <c r="M231" s="9">
        <v>11.6745</v>
      </c>
      <c r="N231" s="9">
        <v>4.7850000000000001</v>
      </c>
      <c r="O231" s="9">
        <v>0.36199999999999999</v>
      </c>
      <c r="P231" s="9">
        <v>1.2509999999999999</v>
      </c>
      <c r="Q231" s="9">
        <v>29.874600000000001</v>
      </c>
      <c r="R231" s="9"/>
      <c r="S231" s="11"/>
    </row>
    <row r="232" spans="1:19" ht="15.75">
      <c r="A232" s="13">
        <v>48549</v>
      </c>
      <c r="B232" s="8">
        <f>8.5042 * CHOOSE(CONTROL!$C$15, $D$11, 100%, $F$11)</f>
        <v>8.5042000000000009</v>
      </c>
      <c r="C232" s="8">
        <f>8.5094 * CHOOSE(CONTROL!$C$15, $D$11, 100%, $F$11)</f>
        <v>8.5093999999999994</v>
      </c>
      <c r="D232" s="8">
        <f>8.4939 * CHOOSE( CONTROL!$C$15, $D$11, 100%, $F$11)</f>
        <v>8.4939</v>
      </c>
      <c r="E232" s="12">
        <f>8.499 * CHOOSE( CONTROL!$C$15, $D$11, 100%, $F$11)</f>
        <v>8.4990000000000006</v>
      </c>
      <c r="F232" s="4">
        <f>9.1547 * CHOOSE(CONTROL!$C$15, $D$11, 100%, $F$11)</f>
        <v>9.1547000000000001</v>
      </c>
      <c r="G232" s="8">
        <f>8.2992 * CHOOSE( CONTROL!$C$15, $D$11, 100%, $F$11)</f>
        <v>8.2992000000000008</v>
      </c>
      <c r="H232" s="4">
        <f>9.1761 * CHOOSE(CONTROL!$C$15, $D$11, 100%, $F$11)</f>
        <v>9.1760999999999999</v>
      </c>
      <c r="I232" s="8">
        <f>8.3013 * CHOOSE(CONTROL!$C$15, $D$11, 100%, $F$11)</f>
        <v>8.3012999999999995</v>
      </c>
      <c r="J232" s="4">
        <f>8.1377 * CHOOSE(CONTROL!$C$15, $D$11, 100%, $F$11)</f>
        <v>8.1377000000000006</v>
      </c>
      <c r="K232" s="4"/>
      <c r="L232" s="9">
        <v>29.306000000000001</v>
      </c>
      <c r="M232" s="9">
        <v>12.063700000000001</v>
      </c>
      <c r="N232" s="9">
        <v>4.9444999999999997</v>
      </c>
      <c r="O232" s="9">
        <v>0.37409999999999999</v>
      </c>
      <c r="P232" s="9">
        <v>1.2927</v>
      </c>
      <c r="Q232" s="9">
        <v>30.8704</v>
      </c>
      <c r="R232" s="9"/>
      <c r="S232" s="11"/>
    </row>
    <row r="233" spans="1:19" ht="15.75">
      <c r="A233" s="13">
        <v>48580</v>
      </c>
      <c r="B233" s="8">
        <f>8.8027 * CHOOSE(CONTROL!$C$15, $D$11, 100%, $F$11)</f>
        <v>8.8026999999999997</v>
      </c>
      <c r="C233" s="8">
        <f>8.8078 * CHOOSE(CONTROL!$C$15, $D$11, 100%, $F$11)</f>
        <v>8.8078000000000003</v>
      </c>
      <c r="D233" s="8">
        <f>8.788 * CHOOSE( CONTROL!$C$15, $D$11, 100%, $F$11)</f>
        <v>8.7880000000000003</v>
      </c>
      <c r="E233" s="12">
        <f>8.7947 * CHOOSE( CONTROL!$C$15, $D$11, 100%, $F$11)</f>
        <v>8.7947000000000006</v>
      </c>
      <c r="F233" s="4">
        <f>9.4531 * CHOOSE(CONTROL!$C$15, $D$11, 100%, $F$11)</f>
        <v>9.4530999999999992</v>
      </c>
      <c r="G233" s="8">
        <f>8.5815 * CHOOSE( CONTROL!$C$15, $D$11, 100%, $F$11)</f>
        <v>8.5815000000000001</v>
      </c>
      <c r="H233" s="4">
        <f>9.4677 * CHOOSE(CONTROL!$C$15, $D$11, 100%, $F$11)</f>
        <v>9.4677000000000007</v>
      </c>
      <c r="I233" s="8">
        <f>8.5471 * CHOOSE(CONTROL!$C$15, $D$11, 100%, $F$11)</f>
        <v>8.5471000000000004</v>
      </c>
      <c r="J233" s="4">
        <f>8.4243 * CHOOSE(CONTROL!$C$15, $D$11, 100%, $F$11)</f>
        <v>8.4243000000000006</v>
      </c>
      <c r="K233" s="4"/>
      <c r="L233" s="9">
        <v>29.306000000000001</v>
      </c>
      <c r="M233" s="9">
        <v>12.063700000000001</v>
      </c>
      <c r="N233" s="9">
        <v>4.9444999999999997</v>
      </c>
      <c r="O233" s="9">
        <v>0.37409999999999999</v>
      </c>
      <c r="P233" s="9">
        <v>1.2927</v>
      </c>
      <c r="Q233" s="9">
        <v>30.773700000000002</v>
      </c>
      <c r="R233" s="9"/>
      <c r="S233" s="11"/>
    </row>
    <row r="234" spans="1:19" ht="15.75">
      <c r="A234" s="13">
        <v>48611</v>
      </c>
      <c r="B234" s="8">
        <f>8.2354 * CHOOSE(CONTROL!$C$15, $D$11, 100%, $F$11)</f>
        <v>8.2354000000000003</v>
      </c>
      <c r="C234" s="8">
        <f>8.2406 * CHOOSE(CONTROL!$C$15, $D$11, 100%, $F$11)</f>
        <v>8.2406000000000006</v>
      </c>
      <c r="D234" s="8">
        <f>8.2207 * CHOOSE( CONTROL!$C$15, $D$11, 100%, $F$11)</f>
        <v>8.2207000000000008</v>
      </c>
      <c r="E234" s="12">
        <f>8.2274 * CHOOSE( CONTROL!$C$15, $D$11, 100%, $F$11)</f>
        <v>8.2273999999999994</v>
      </c>
      <c r="F234" s="4">
        <f>8.8859 * CHOOSE(CONTROL!$C$15, $D$11, 100%, $F$11)</f>
        <v>8.8858999999999995</v>
      </c>
      <c r="G234" s="8">
        <f>8.0274 * CHOOSE( CONTROL!$C$15, $D$11, 100%, $F$11)</f>
        <v>8.0274000000000001</v>
      </c>
      <c r="H234" s="4">
        <f>8.9136 * CHOOSE(CONTROL!$C$15, $D$11, 100%, $F$11)</f>
        <v>8.9136000000000006</v>
      </c>
      <c r="I234" s="8">
        <f>8.0021 * CHOOSE(CONTROL!$C$15, $D$11, 100%, $F$11)</f>
        <v>8.0021000000000004</v>
      </c>
      <c r="J234" s="4">
        <f>7.8796 * CHOOSE(CONTROL!$C$15, $D$11, 100%, $F$11)</f>
        <v>7.8795999999999999</v>
      </c>
      <c r="K234" s="4"/>
      <c r="L234" s="9">
        <v>26.469899999999999</v>
      </c>
      <c r="M234" s="9">
        <v>10.8962</v>
      </c>
      <c r="N234" s="9">
        <v>4.4660000000000002</v>
      </c>
      <c r="O234" s="9">
        <v>0.33789999999999998</v>
      </c>
      <c r="P234" s="9">
        <v>1.1676</v>
      </c>
      <c r="Q234" s="9">
        <v>27.7956</v>
      </c>
      <c r="R234" s="9"/>
      <c r="S234" s="11"/>
    </row>
    <row r="235" spans="1:19" ht="15.75">
      <c r="A235" s="13">
        <v>48639</v>
      </c>
      <c r="B235" s="8">
        <f>8.0607 * CHOOSE(CONTROL!$C$15, $D$11, 100%, $F$11)</f>
        <v>8.0607000000000006</v>
      </c>
      <c r="C235" s="8">
        <f>8.0659 * CHOOSE(CONTROL!$C$15, $D$11, 100%, $F$11)</f>
        <v>8.0658999999999992</v>
      </c>
      <c r="D235" s="8">
        <f>8.0457 * CHOOSE( CONTROL!$C$15, $D$11, 100%, $F$11)</f>
        <v>8.0457000000000001</v>
      </c>
      <c r="E235" s="12">
        <f>8.0525 * CHOOSE( CONTROL!$C$15, $D$11, 100%, $F$11)</f>
        <v>8.0525000000000002</v>
      </c>
      <c r="F235" s="4">
        <f>8.7112 * CHOOSE(CONTROL!$C$15, $D$11, 100%, $F$11)</f>
        <v>8.7111999999999998</v>
      </c>
      <c r="G235" s="8">
        <f>7.8565 * CHOOSE( CONTROL!$C$15, $D$11, 100%, $F$11)</f>
        <v>7.8564999999999996</v>
      </c>
      <c r="H235" s="4">
        <f>8.743 * CHOOSE(CONTROL!$C$15, $D$11, 100%, $F$11)</f>
        <v>8.7430000000000003</v>
      </c>
      <c r="I235" s="8">
        <f>7.8332 * CHOOSE(CONTROL!$C$15, $D$11, 100%, $F$11)</f>
        <v>7.8331999999999997</v>
      </c>
      <c r="J235" s="4">
        <f>7.7119 * CHOOSE(CONTROL!$C$15, $D$11, 100%, $F$11)</f>
        <v>7.7119</v>
      </c>
      <c r="K235" s="4"/>
      <c r="L235" s="9">
        <v>29.306000000000001</v>
      </c>
      <c r="M235" s="9">
        <v>12.063700000000001</v>
      </c>
      <c r="N235" s="9">
        <v>4.9444999999999997</v>
      </c>
      <c r="O235" s="9">
        <v>0.37409999999999999</v>
      </c>
      <c r="P235" s="9">
        <v>1.2927</v>
      </c>
      <c r="Q235" s="9">
        <v>30.773700000000002</v>
      </c>
      <c r="R235" s="9"/>
      <c r="S235" s="11"/>
    </row>
    <row r="236" spans="1:19" ht="15.75">
      <c r="A236" s="13">
        <v>48670</v>
      </c>
      <c r="B236" s="8">
        <f>8.1835 * CHOOSE(CONTROL!$C$15, $D$11, 100%, $F$11)</f>
        <v>8.1835000000000004</v>
      </c>
      <c r="C236" s="8">
        <f>8.1882 * CHOOSE(CONTROL!$C$15, $D$11, 100%, $F$11)</f>
        <v>8.1882000000000001</v>
      </c>
      <c r="D236" s="8">
        <f>8.2187 * CHOOSE( CONTROL!$C$15, $D$11, 100%, $F$11)</f>
        <v>8.2187000000000001</v>
      </c>
      <c r="E236" s="12">
        <f>8.2081 * CHOOSE( CONTROL!$C$15, $D$11, 100%, $F$11)</f>
        <v>8.2081</v>
      </c>
      <c r="F236" s="4">
        <f>8.8983 * CHOOSE(CONTROL!$C$15, $D$11, 100%, $F$11)</f>
        <v>8.8983000000000008</v>
      </c>
      <c r="G236" s="8">
        <f>7.9769 * CHOOSE( CONTROL!$C$15, $D$11, 100%, $F$11)</f>
        <v>7.9768999999999997</v>
      </c>
      <c r="H236" s="4">
        <f>8.9258 * CHOOSE(CONTROL!$C$15, $D$11, 100%, $F$11)</f>
        <v>8.9258000000000006</v>
      </c>
      <c r="I236" s="8">
        <f>7.9425 * CHOOSE(CONTROL!$C$15, $D$11, 100%, $F$11)</f>
        <v>7.9424999999999999</v>
      </c>
      <c r="J236" s="4">
        <f>7.8291 * CHOOSE(CONTROL!$C$15, $D$11, 100%, $F$11)</f>
        <v>7.8291000000000004</v>
      </c>
      <c r="K236" s="4"/>
      <c r="L236" s="9">
        <v>30.092199999999998</v>
      </c>
      <c r="M236" s="9">
        <v>11.6745</v>
      </c>
      <c r="N236" s="9">
        <v>4.7850000000000001</v>
      </c>
      <c r="O236" s="9">
        <v>0.36199999999999999</v>
      </c>
      <c r="P236" s="9">
        <v>1.1791</v>
      </c>
      <c r="Q236" s="9">
        <v>29.780999999999999</v>
      </c>
      <c r="R236" s="9"/>
      <c r="S236" s="11"/>
    </row>
    <row r="237" spans="1:19" ht="15.75">
      <c r="A237" s="13">
        <v>48700</v>
      </c>
      <c r="B237" s="8">
        <f>CHOOSE( CONTROL!$C$32, 8.4045, 8.4022) * CHOOSE(CONTROL!$C$15, $D$11, 100%, $F$11)</f>
        <v>8.4045000000000005</v>
      </c>
      <c r="C237" s="8">
        <f>CHOOSE( CONTROL!$C$32, 8.4126, 8.4103) * CHOOSE(CONTROL!$C$15, $D$11, 100%, $F$11)</f>
        <v>8.4125999999999994</v>
      </c>
      <c r="D237" s="8">
        <f>CHOOSE( CONTROL!$C$32, 8.4378, 8.4355) * CHOOSE( CONTROL!$C$15, $D$11, 100%, $F$11)</f>
        <v>8.4377999999999993</v>
      </c>
      <c r="E237" s="12">
        <f>CHOOSE( CONTROL!$C$32, 8.4274, 8.4251) * CHOOSE( CONTROL!$C$15, $D$11, 100%, $F$11)</f>
        <v>8.4274000000000004</v>
      </c>
      <c r="F237" s="4">
        <f>CHOOSE( CONTROL!$C$32, 9.118, 9.1156) * CHOOSE(CONTROL!$C$15, $D$11, 100%, $F$11)</f>
        <v>9.1180000000000003</v>
      </c>
      <c r="G237" s="8">
        <f>CHOOSE( CONTROL!$C$32, 8.192, 8.1897) * CHOOSE( CONTROL!$C$15, $D$11, 100%, $F$11)</f>
        <v>8.1920000000000002</v>
      </c>
      <c r="H237" s="4">
        <f>CHOOSE( CONTROL!$C$32, 9.1403, 9.138) * CHOOSE(CONTROL!$C$15, $D$11, 100%, $F$11)</f>
        <v>9.1402999999999999</v>
      </c>
      <c r="I237" s="8">
        <f>CHOOSE( CONTROL!$C$32, 8.1537, 8.1515) * CHOOSE(CONTROL!$C$15, $D$11, 100%, $F$11)</f>
        <v>8.1537000000000006</v>
      </c>
      <c r="J237" s="4">
        <f>CHOOSE( CONTROL!$C$32, 8.04, 8.0377) * CHOOSE(CONTROL!$C$15, $D$11, 100%, $F$11)</f>
        <v>8.0399999999999991</v>
      </c>
      <c r="K237" s="4"/>
      <c r="L237" s="9">
        <v>30.7165</v>
      </c>
      <c r="M237" s="9">
        <v>12.063700000000001</v>
      </c>
      <c r="N237" s="9">
        <v>4.9444999999999997</v>
      </c>
      <c r="O237" s="9">
        <v>0.37409999999999999</v>
      </c>
      <c r="P237" s="9">
        <v>1.2183999999999999</v>
      </c>
      <c r="Q237" s="9">
        <v>30.773700000000002</v>
      </c>
      <c r="R237" s="9"/>
      <c r="S237" s="11"/>
    </row>
    <row r="238" spans="1:19" ht="15.75">
      <c r="A238" s="13">
        <v>48731</v>
      </c>
      <c r="B238" s="8">
        <f>CHOOSE( CONTROL!$C$32, 8.2699, 8.2676) * CHOOSE(CONTROL!$C$15, $D$11, 100%, $F$11)</f>
        <v>8.2698999999999998</v>
      </c>
      <c r="C238" s="8">
        <f>CHOOSE( CONTROL!$C$32, 8.278, 8.2757) * CHOOSE(CONTROL!$C$15, $D$11, 100%, $F$11)</f>
        <v>8.2780000000000005</v>
      </c>
      <c r="D238" s="8">
        <f>CHOOSE( CONTROL!$C$32, 8.3034, 8.3011) * CHOOSE( CONTROL!$C$15, $D$11, 100%, $F$11)</f>
        <v>8.3033999999999999</v>
      </c>
      <c r="E238" s="12">
        <f>CHOOSE( CONTROL!$C$32, 8.293, 8.2907) * CHOOSE( CONTROL!$C$15, $D$11, 100%, $F$11)</f>
        <v>8.2929999999999993</v>
      </c>
      <c r="F238" s="4">
        <f>CHOOSE( CONTROL!$C$32, 8.9834, 8.981) * CHOOSE(CONTROL!$C$15, $D$11, 100%, $F$11)</f>
        <v>8.9833999999999996</v>
      </c>
      <c r="G238" s="8">
        <f>CHOOSE( CONTROL!$C$32, 8.0608, 8.0585) * CHOOSE( CONTROL!$C$15, $D$11, 100%, $F$11)</f>
        <v>8.0608000000000004</v>
      </c>
      <c r="H238" s="4">
        <f>CHOOSE( CONTROL!$C$32, 9.0089, 9.0066) * CHOOSE(CONTROL!$C$15, $D$11, 100%, $F$11)</f>
        <v>9.0089000000000006</v>
      </c>
      <c r="I238" s="8">
        <f>CHOOSE( CONTROL!$C$32, 8.0254, 8.0232) * CHOOSE(CONTROL!$C$15, $D$11, 100%, $F$11)</f>
        <v>8.0253999999999994</v>
      </c>
      <c r="J238" s="4">
        <f>CHOOSE( CONTROL!$C$32, 7.9107, 7.9085) * CHOOSE(CONTROL!$C$15, $D$11, 100%, $F$11)</f>
        <v>7.9107000000000003</v>
      </c>
      <c r="K238" s="4"/>
      <c r="L238" s="9">
        <v>29.7257</v>
      </c>
      <c r="M238" s="9">
        <v>11.6745</v>
      </c>
      <c r="N238" s="9">
        <v>4.7850000000000001</v>
      </c>
      <c r="O238" s="9">
        <v>0.36199999999999999</v>
      </c>
      <c r="P238" s="9">
        <v>1.1791</v>
      </c>
      <c r="Q238" s="9">
        <v>29.780999999999999</v>
      </c>
      <c r="R238" s="9"/>
      <c r="S238" s="11"/>
    </row>
    <row r="239" spans="1:19" ht="15.75">
      <c r="A239" s="13">
        <v>48761</v>
      </c>
      <c r="B239" s="8">
        <f>CHOOSE( CONTROL!$C$32, 8.6244, 8.622) * CHOOSE(CONTROL!$C$15, $D$11, 100%, $F$11)</f>
        <v>8.6243999999999996</v>
      </c>
      <c r="C239" s="8">
        <f>CHOOSE( CONTROL!$C$32, 8.6325, 8.6301) * CHOOSE(CONTROL!$C$15, $D$11, 100%, $F$11)</f>
        <v>8.6325000000000003</v>
      </c>
      <c r="D239" s="8">
        <f>CHOOSE( CONTROL!$C$32, 8.6581, 8.6558) * CHOOSE( CONTROL!$C$15, $D$11, 100%, $F$11)</f>
        <v>8.6580999999999992</v>
      </c>
      <c r="E239" s="12">
        <f>CHOOSE( CONTROL!$C$32, 8.6476, 8.6453) * CHOOSE( CONTROL!$C$15, $D$11, 100%, $F$11)</f>
        <v>8.6476000000000006</v>
      </c>
      <c r="F239" s="4">
        <f>CHOOSE( CONTROL!$C$32, 9.3378, 9.3355) * CHOOSE(CONTROL!$C$15, $D$11, 100%, $F$11)</f>
        <v>9.3377999999999997</v>
      </c>
      <c r="G239" s="8">
        <f>CHOOSE( CONTROL!$C$32, 8.4074, 8.4051) * CHOOSE( CONTROL!$C$15, $D$11, 100%, $F$11)</f>
        <v>8.4074000000000009</v>
      </c>
      <c r="H239" s="4">
        <f>CHOOSE( CONTROL!$C$32, 9.355, 9.3528) * CHOOSE(CONTROL!$C$15, $D$11, 100%, $F$11)</f>
        <v>9.3550000000000004</v>
      </c>
      <c r="I239" s="8">
        <f>CHOOSE( CONTROL!$C$32, 8.3671, 8.3649) * CHOOSE(CONTROL!$C$15, $D$11, 100%, $F$11)</f>
        <v>8.3671000000000006</v>
      </c>
      <c r="J239" s="4">
        <f>CHOOSE( CONTROL!$C$32, 8.2511, 8.2488) * CHOOSE(CONTROL!$C$15, $D$11, 100%, $F$11)</f>
        <v>8.2510999999999992</v>
      </c>
      <c r="K239" s="4"/>
      <c r="L239" s="9">
        <v>30.7165</v>
      </c>
      <c r="M239" s="9">
        <v>12.063700000000001</v>
      </c>
      <c r="N239" s="9">
        <v>4.9444999999999997</v>
      </c>
      <c r="O239" s="9">
        <v>0.37409999999999999</v>
      </c>
      <c r="P239" s="9">
        <v>1.2183999999999999</v>
      </c>
      <c r="Q239" s="9">
        <v>30.773700000000002</v>
      </c>
      <c r="R239" s="9"/>
      <c r="S239" s="11"/>
    </row>
    <row r="240" spans="1:19" ht="15.75">
      <c r="A240" s="13">
        <v>48792</v>
      </c>
      <c r="B240" s="8">
        <f>CHOOSE( CONTROL!$C$32, 7.9612, 7.9588) * CHOOSE(CONTROL!$C$15, $D$11, 100%, $F$11)</f>
        <v>7.9611999999999998</v>
      </c>
      <c r="C240" s="8">
        <f>CHOOSE( CONTROL!$C$32, 7.9693, 7.9669) * CHOOSE(CONTROL!$C$15, $D$11, 100%, $F$11)</f>
        <v>7.9692999999999996</v>
      </c>
      <c r="D240" s="8">
        <f>CHOOSE( CONTROL!$C$32, 7.995, 7.9927) * CHOOSE( CONTROL!$C$15, $D$11, 100%, $F$11)</f>
        <v>7.9950000000000001</v>
      </c>
      <c r="E240" s="12">
        <f>CHOOSE( CONTROL!$C$32, 7.9845, 7.9821) * CHOOSE( CONTROL!$C$15, $D$11, 100%, $F$11)</f>
        <v>7.9844999999999997</v>
      </c>
      <c r="F240" s="4">
        <f>CHOOSE( CONTROL!$C$32, 8.6746, 8.6723) * CHOOSE(CONTROL!$C$15, $D$11, 100%, $F$11)</f>
        <v>8.6745999999999999</v>
      </c>
      <c r="G240" s="8">
        <f>CHOOSE( CONTROL!$C$32, 7.7598, 7.7575) * CHOOSE( CONTROL!$C$15, $D$11, 100%, $F$11)</f>
        <v>7.7598000000000003</v>
      </c>
      <c r="H240" s="4">
        <f>CHOOSE( CONTROL!$C$32, 8.7073, 8.705) * CHOOSE(CONTROL!$C$15, $D$11, 100%, $F$11)</f>
        <v>8.7073</v>
      </c>
      <c r="I240" s="8">
        <f>CHOOSE( CONTROL!$C$32, 7.7304, 7.7282) * CHOOSE(CONTROL!$C$15, $D$11, 100%, $F$11)</f>
        <v>7.7304000000000004</v>
      </c>
      <c r="J240" s="4">
        <f>CHOOSE( CONTROL!$C$32, 7.6143, 7.6121) * CHOOSE(CONTROL!$C$15, $D$11, 100%, $F$11)</f>
        <v>7.6143000000000001</v>
      </c>
      <c r="K240" s="4"/>
      <c r="L240" s="9">
        <v>30.7165</v>
      </c>
      <c r="M240" s="9">
        <v>12.063700000000001</v>
      </c>
      <c r="N240" s="9">
        <v>4.9444999999999997</v>
      </c>
      <c r="O240" s="9">
        <v>0.37409999999999999</v>
      </c>
      <c r="P240" s="9">
        <v>1.2183999999999999</v>
      </c>
      <c r="Q240" s="9">
        <v>30.773700000000002</v>
      </c>
      <c r="R240" s="9"/>
      <c r="S240" s="11"/>
    </row>
    <row r="241" spans="1:19" ht="15.75">
      <c r="A241" s="13">
        <v>48823</v>
      </c>
      <c r="B241" s="8">
        <f>CHOOSE( CONTROL!$C$32, 7.7951, 7.7928) * CHOOSE(CONTROL!$C$15, $D$11, 100%, $F$11)</f>
        <v>7.7950999999999997</v>
      </c>
      <c r="C241" s="8">
        <f>CHOOSE( CONTROL!$C$32, 7.8032, 7.8008) * CHOOSE(CONTROL!$C$15, $D$11, 100%, $F$11)</f>
        <v>7.8032000000000004</v>
      </c>
      <c r="D241" s="8">
        <f>CHOOSE( CONTROL!$C$32, 7.8289, 7.8266) * CHOOSE( CONTROL!$C$15, $D$11, 100%, $F$11)</f>
        <v>7.8289</v>
      </c>
      <c r="E241" s="12">
        <f>CHOOSE( CONTROL!$C$32, 7.8184, 7.816) * CHOOSE( CONTROL!$C$15, $D$11, 100%, $F$11)</f>
        <v>7.8183999999999996</v>
      </c>
      <c r="F241" s="4">
        <f>CHOOSE( CONTROL!$C$32, 8.5085, 8.5062) * CHOOSE(CONTROL!$C$15, $D$11, 100%, $F$11)</f>
        <v>8.5084999999999997</v>
      </c>
      <c r="G241" s="8">
        <f>CHOOSE( CONTROL!$C$32, 7.5975, 7.5952) * CHOOSE( CONTROL!$C$15, $D$11, 100%, $F$11)</f>
        <v>7.5975000000000001</v>
      </c>
      <c r="H241" s="4">
        <f>CHOOSE( CONTROL!$C$32, 8.5451, 8.5428) * CHOOSE(CONTROL!$C$15, $D$11, 100%, $F$11)</f>
        <v>8.5450999999999997</v>
      </c>
      <c r="I241" s="8">
        <f>CHOOSE( CONTROL!$C$32, 7.5708, 7.5685) * CHOOSE(CONTROL!$C$15, $D$11, 100%, $F$11)</f>
        <v>7.5708000000000002</v>
      </c>
      <c r="J241" s="4">
        <f>CHOOSE( CONTROL!$C$32, 7.4549, 7.4526) * CHOOSE(CONTROL!$C$15, $D$11, 100%, $F$11)</f>
        <v>7.4549000000000003</v>
      </c>
      <c r="K241" s="4"/>
      <c r="L241" s="9">
        <v>29.7257</v>
      </c>
      <c r="M241" s="9">
        <v>11.6745</v>
      </c>
      <c r="N241" s="9">
        <v>4.7850000000000001</v>
      </c>
      <c r="O241" s="9">
        <v>0.36199999999999999</v>
      </c>
      <c r="P241" s="9">
        <v>1.1791</v>
      </c>
      <c r="Q241" s="9">
        <v>29.780999999999999</v>
      </c>
      <c r="R241" s="9"/>
      <c r="S241" s="11"/>
    </row>
    <row r="242" spans="1:19" ht="15.75">
      <c r="A242" s="13">
        <v>48853</v>
      </c>
      <c r="B242" s="8">
        <f>8.1359 * CHOOSE(CONTROL!$C$15, $D$11, 100%, $F$11)</f>
        <v>8.1358999999999995</v>
      </c>
      <c r="C242" s="8">
        <f>8.1413 * CHOOSE(CONTROL!$C$15, $D$11, 100%, $F$11)</f>
        <v>8.1412999999999993</v>
      </c>
      <c r="D242" s="8">
        <f>8.1721 * CHOOSE( CONTROL!$C$15, $D$11, 100%, $F$11)</f>
        <v>8.1721000000000004</v>
      </c>
      <c r="E242" s="12">
        <f>8.1614 * CHOOSE( CONTROL!$C$15, $D$11, 100%, $F$11)</f>
        <v>8.1614000000000004</v>
      </c>
      <c r="F242" s="4">
        <f>8.851 * CHOOSE(CONTROL!$C$15, $D$11, 100%, $F$11)</f>
        <v>8.8510000000000009</v>
      </c>
      <c r="G242" s="8">
        <f>7.9318 * CHOOSE( CONTROL!$C$15, $D$11, 100%, $F$11)</f>
        <v>7.9318</v>
      </c>
      <c r="H242" s="4">
        <f>8.8796 * CHOOSE(CONTROL!$C$15, $D$11, 100%, $F$11)</f>
        <v>8.8795999999999999</v>
      </c>
      <c r="I242" s="8">
        <f>7.9006 * CHOOSE(CONTROL!$C$15, $D$11, 100%, $F$11)</f>
        <v>7.9005999999999998</v>
      </c>
      <c r="J242" s="4">
        <f>7.7837 * CHOOSE(CONTROL!$C$15, $D$11, 100%, $F$11)</f>
        <v>7.7836999999999996</v>
      </c>
      <c r="K242" s="4"/>
      <c r="L242" s="9">
        <v>31.095300000000002</v>
      </c>
      <c r="M242" s="9">
        <v>12.063700000000001</v>
      </c>
      <c r="N242" s="9">
        <v>4.9444999999999997</v>
      </c>
      <c r="O242" s="9">
        <v>0.37409999999999999</v>
      </c>
      <c r="P242" s="9">
        <v>1.2183999999999999</v>
      </c>
      <c r="Q242" s="9">
        <v>30.773700000000002</v>
      </c>
      <c r="R242" s="9"/>
      <c r="S242" s="11"/>
    </row>
    <row r="243" spans="1:19" ht="15.75">
      <c r="A243" s="13">
        <v>48884</v>
      </c>
      <c r="B243" s="8">
        <f>8.7719 * CHOOSE(CONTROL!$C$15, $D$11, 100%, $F$11)</f>
        <v>8.7719000000000005</v>
      </c>
      <c r="C243" s="8">
        <f>8.7771 * CHOOSE(CONTROL!$C$15, $D$11, 100%, $F$11)</f>
        <v>8.7771000000000008</v>
      </c>
      <c r="D243" s="8">
        <f>8.7602 * CHOOSE( CONTROL!$C$15, $D$11, 100%, $F$11)</f>
        <v>8.7601999999999993</v>
      </c>
      <c r="E243" s="12">
        <f>8.7658 * CHOOSE( CONTROL!$C$15, $D$11, 100%, $F$11)</f>
        <v>8.7658000000000005</v>
      </c>
      <c r="F243" s="4">
        <f>9.4224 * CHOOSE(CONTROL!$C$15, $D$11, 100%, $F$11)</f>
        <v>9.4223999999999997</v>
      </c>
      <c r="G243" s="8">
        <f>8.5597 * CHOOSE( CONTROL!$C$15, $D$11, 100%, $F$11)</f>
        <v>8.5596999999999994</v>
      </c>
      <c r="H243" s="4">
        <f>9.4377 * CHOOSE(CONTROL!$C$15, $D$11, 100%, $F$11)</f>
        <v>9.4376999999999995</v>
      </c>
      <c r="I243" s="8">
        <f>8.5538 * CHOOSE(CONTROL!$C$15, $D$11, 100%, $F$11)</f>
        <v>8.5538000000000007</v>
      </c>
      <c r="J243" s="4">
        <f>8.3948 * CHOOSE(CONTROL!$C$15, $D$11, 100%, $F$11)</f>
        <v>8.3948</v>
      </c>
      <c r="K243" s="4"/>
      <c r="L243" s="9">
        <v>28.360600000000002</v>
      </c>
      <c r="M243" s="9">
        <v>11.6745</v>
      </c>
      <c r="N243" s="9">
        <v>4.7850000000000001</v>
      </c>
      <c r="O243" s="9">
        <v>0.36199999999999999</v>
      </c>
      <c r="P243" s="9">
        <v>1.2509999999999999</v>
      </c>
      <c r="Q243" s="9">
        <v>29.780999999999999</v>
      </c>
      <c r="R243" s="9"/>
      <c r="S243" s="11"/>
    </row>
    <row r="244" spans="1:19" ht="15.75">
      <c r="A244" s="13">
        <v>48914</v>
      </c>
      <c r="B244" s="8">
        <f>8.756 * CHOOSE(CONTROL!$C$15, $D$11, 100%, $F$11)</f>
        <v>8.7560000000000002</v>
      </c>
      <c r="C244" s="8">
        <f>8.7612 * CHOOSE(CONTROL!$C$15, $D$11, 100%, $F$11)</f>
        <v>8.7612000000000005</v>
      </c>
      <c r="D244" s="8">
        <f>8.7457 * CHOOSE( CONTROL!$C$15, $D$11, 100%, $F$11)</f>
        <v>8.7456999999999994</v>
      </c>
      <c r="E244" s="12">
        <f>8.7508 * CHOOSE( CONTROL!$C$15, $D$11, 100%, $F$11)</f>
        <v>8.7507999999999999</v>
      </c>
      <c r="F244" s="4">
        <f>9.4065 * CHOOSE(CONTROL!$C$15, $D$11, 100%, $F$11)</f>
        <v>9.4064999999999994</v>
      </c>
      <c r="G244" s="8">
        <f>8.5452 * CHOOSE( CONTROL!$C$15, $D$11, 100%, $F$11)</f>
        <v>8.5451999999999995</v>
      </c>
      <c r="H244" s="4">
        <f>9.4221 * CHOOSE(CONTROL!$C$15, $D$11, 100%, $F$11)</f>
        <v>9.4221000000000004</v>
      </c>
      <c r="I244" s="8">
        <f>8.5433 * CHOOSE(CONTROL!$C$15, $D$11, 100%, $F$11)</f>
        <v>8.5433000000000003</v>
      </c>
      <c r="J244" s="4">
        <f>8.3795 * CHOOSE(CONTROL!$C$15, $D$11, 100%, $F$11)</f>
        <v>8.3795000000000002</v>
      </c>
      <c r="K244" s="4"/>
      <c r="L244" s="9">
        <v>29.306000000000001</v>
      </c>
      <c r="M244" s="9">
        <v>12.063700000000001</v>
      </c>
      <c r="N244" s="9">
        <v>4.9444999999999997</v>
      </c>
      <c r="O244" s="9">
        <v>0.37409999999999999</v>
      </c>
      <c r="P244" s="9">
        <v>1.2927</v>
      </c>
      <c r="Q244" s="9">
        <v>30.773700000000002</v>
      </c>
      <c r="R244" s="9"/>
      <c r="S244" s="11"/>
    </row>
    <row r="245" spans="1:19" ht="15.75">
      <c r="A245" s="13">
        <v>48945</v>
      </c>
      <c r="B245" s="8">
        <f>8.9781 * CHOOSE(CONTROL!$C$15, $D$11, 100%, $F$11)</f>
        <v>8.9780999999999995</v>
      </c>
      <c r="C245" s="8">
        <f>8.9833 * CHOOSE(CONTROL!$C$15, $D$11, 100%, $F$11)</f>
        <v>8.9832999999999998</v>
      </c>
      <c r="D245" s="8">
        <f>8.9635 * CHOOSE( CONTROL!$C$15, $D$11, 100%, $F$11)</f>
        <v>8.9634999999999998</v>
      </c>
      <c r="E245" s="12">
        <f>8.9702 * CHOOSE( CONTROL!$C$15, $D$11, 100%, $F$11)</f>
        <v>8.9702000000000002</v>
      </c>
      <c r="F245" s="4">
        <f>9.6286 * CHOOSE(CONTROL!$C$15, $D$11, 100%, $F$11)</f>
        <v>9.6286000000000005</v>
      </c>
      <c r="G245" s="8">
        <f>8.7529 * CHOOSE( CONTROL!$C$15, $D$11, 100%, $F$11)</f>
        <v>8.7529000000000003</v>
      </c>
      <c r="H245" s="4">
        <f>9.6391 * CHOOSE(CONTROL!$C$15, $D$11, 100%, $F$11)</f>
        <v>9.6390999999999991</v>
      </c>
      <c r="I245" s="8">
        <f>8.7157 * CHOOSE(CONTROL!$C$15, $D$11, 100%, $F$11)</f>
        <v>8.7157</v>
      </c>
      <c r="J245" s="4">
        <f>8.5927 * CHOOSE(CONTROL!$C$15, $D$11, 100%, $F$11)</f>
        <v>8.5927000000000007</v>
      </c>
      <c r="K245" s="4"/>
      <c r="L245" s="9">
        <v>29.306000000000001</v>
      </c>
      <c r="M245" s="9">
        <v>12.063700000000001</v>
      </c>
      <c r="N245" s="9">
        <v>4.9444999999999997</v>
      </c>
      <c r="O245" s="9">
        <v>0.37409999999999999</v>
      </c>
      <c r="P245" s="9">
        <v>1.2927</v>
      </c>
      <c r="Q245" s="9">
        <v>30.7105</v>
      </c>
      <c r="R245" s="9"/>
      <c r="S245" s="11"/>
    </row>
    <row r="246" spans="1:19" ht="15.75">
      <c r="A246" s="13">
        <v>48976</v>
      </c>
      <c r="B246" s="8">
        <f>8.3995 * CHOOSE(CONTROL!$C$15, $D$11, 100%, $F$11)</f>
        <v>8.3994999999999997</v>
      </c>
      <c r="C246" s="8">
        <f>8.4047 * CHOOSE(CONTROL!$C$15, $D$11, 100%, $F$11)</f>
        <v>8.4047000000000001</v>
      </c>
      <c r="D246" s="8">
        <f>8.3849 * CHOOSE( CONTROL!$C$15, $D$11, 100%, $F$11)</f>
        <v>8.3849</v>
      </c>
      <c r="E246" s="12">
        <f>8.3916 * CHOOSE( CONTROL!$C$15, $D$11, 100%, $F$11)</f>
        <v>8.3916000000000004</v>
      </c>
      <c r="F246" s="4">
        <f>9.05 * CHOOSE(CONTROL!$C$15, $D$11, 100%, $F$11)</f>
        <v>9.0500000000000007</v>
      </c>
      <c r="G246" s="8">
        <f>8.1877 * CHOOSE( CONTROL!$C$15, $D$11, 100%, $F$11)</f>
        <v>8.1876999999999995</v>
      </c>
      <c r="H246" s="4">
        <f>9.0739 * CHOOSE(CONTROL!$C$15, $D$11, 100%, $F$11)</f>
        <v>9.0739000000000001</v>
      </c>
      <c r="I246" s="8">
        <f>8.1598 * CHOOSE(CONTROL!$C$15, $D$11, 100%, $F$11)</f>
        <v>8.1598000000000006</v>
      </c>
      <c r="J246" s="4">
        <f>8.0372 * CHOOSE(CONTROL!$C$15, $D$11, 100%, $F$11)</f>
        <v>8.0372000000000003</v>
      </c>
      <c r="K246" s="4"/>
      <c r="L246" s="9">
        <v>26.469899999999999</v>
      </c>
      <c r="M246" s="9">
        <v>10.8962</v>
      </c>
      <c r="N246" s="9">
        <v>4.4660000000000002</v>
      </c>
      <c r="O246" s="9">
        <v>0.33789999999999998</v>
      </c>
      <c r="P246" s="9">
        <v>1.1676</v>
      </c>
      <c r="Q246" s="9">
        <v>27.738499999999998</v>
      </c>
      <c r="R246" s="9"/>
      <c r="S246" s="11"/>
    </row>
    <row r="247" spans="1:19" ht="15.75">
      <c r="A247" s="13">
        <v>49004</v>
      </c>
      <c r="B247" s="8">
        <f>8.2213 * CHOOSE(CONTROL!$C$15, $D$11, 100%, $F$11)</f>
        <v>8.2212999999999994</v>
      </c>
      <c r="C247" s="8">
        <f>8.2265 * CHOOSE(CONTROL!$C$15, $D$11, 100%, $F$11)</f>
        <v>8.2264999999999997</v>
      </c>
      <c r="D247" s="8">
        <f>8.2063 * CHOOSE( CONTROL!$C$15, $D$11, 100%, $F$11)</f>
        <v>8.2063000000000006</v>
      </c>
      <c r="E247" s="12">
        <f>8.2131 * CHOOSE( CONTROL!$C$15, $D$11, 100%, $F$11)</f>
        <v>8.2131000000000007</v>
      </c>
      <c r="F247" s="4">
        <f>8.8718 * CHOOSE(CONTROL!$C$15, $D$11, 100%, $F$11)</f>
        <v>8.8718000000000004</v>
      </c>
      <c r="G247" s="8">
        <f>8.0134 * CHOOSE( CONTROL!$C$15, $D$11, 100%, $F$11)</f>
        <v>8.0134000000000007</v>
      </c>
      <c r="H247" s="4">
        <f>8.8999 * CHOOSE(CONTROL!$C$15, $D$11, 100%, $F$11)</f>
        <v>8.8999000000000006</v>
      </c>
      <c r="I247" s="8">
        <f>7.9875 * CHOOSE(CONTROL!$C$15, $D$11, 100%, $F$11)</f>
        <v>7.9874999999999998</v>
      </c>
      <c r="J247" s="4">
        <f>7.8661 * CHOOSE(CONTROL!$C$15, $D$11, 100%, $F$11)</f>
        <v>7.8661000000000003</v>
      </c>
      <c r="K247" s="4"/>
      <c r="L247" s="9">
        <v>29.306000000000001</v>
      </c>
      <c r="M247" s="9">
        <v>12.063700000000001</v>
      </c>
      <c r="N247" s="9">
        <v>4.9444999999999997</v>
      </c>
      <c r="O247" s="9">
        <v>0.37409999999999999</v>
      </c>
      <c r="P247" s="9">
        <v>1.2927</v>
      </c>
      <c r="Q247" s="9">
        <v>30.7105</v>
      </c>
      <c r="R247" s="9"/>
      <c r="S247" s="11"/>
    </row>
    <row r="248" spans="1:19" ht="15.75">
      <c r="A248" s="13">
        <v>49035</v>
      </c>
      <c r="B248" s="8">
        <f>8.3466 * CHOOSE(CONTROL!$C$15, $D$11, 100%, $F$11)</f>
        <v>8.3466000000000005</v>
      </c>
      <c r="C248" s="8">
        <f>8.3513 * CHOOSE(CONTROL!$C$15, $D$11, 100%, $F$11)</f>
        <v>8.3513000000000002</v>
      </c>
      <c r="D248" s="8">
        <f>8.3818 * CHOOSE( CONTROL!$C$15, $D$11, 100%, $F$11)</f>
        <v>8.3818000000000001</v>
      </c>
      <c r="E248" s="12">
        <f>8.3712 * CHOOSE( CONTROL!$C$15, $D$11, 100%, $F$11)</f>
        <v>8.3712</v>
      </c>
      <c r="F248" s="4">
        <f>9.0614 * CHOOSE(CONTROL!$C$15, $D$11, 100%, $F$11)</f>
        <v>9.0614000000000008</v>
      </c>
      <c r="G248" s="8">
        <f>8.1362 * CHOOSE( CONTROL!$C$15, $D$11, 100%, $F$11)</f>
        <v>8.1362000000000005</v>
      </c>
      <c r="H248" s="4">
        <f>9.0851 * CHOOSE(CONTROL!$C$15, $D$11, 100%, $F$11)</f>
        <v>9.0851000000000006</v>
      </c>
      <c r="I248" s="8">
        <f>8.0991 * CHOOSE(CONTROL!$C$15, $D$11, 100%, $F$11)</f>
        <v>8.0991</v>
      </c>
      <c r="J248" s="4">
        <f>7.9857 * CHOOSE(CONTROL!$C$15, $D$11, 100%, $F$11)</f>
        <v>7.9856999999999996</v>
      </c>
      <c r="K248" s="4"/>
      <c r="L248" s="9">
        <v>30.092199999999998</v>
      </c>
      <c r="M248" s="9">
        <v>11.6745</v>
      </c>
      <c r="N248" s="9">
        <v>4.7850000000000001</v>
      </c>
      <c r="O248" s="9">
        <v>0.36199999999999999</v>
      </c>
      <c r="P248" s="9">
        <v>1.1791</v>
      </c>
      <c r="Q248" s="9">
        <v>29.719799999999999</v>
      </c>
      <c r="R248" s="9"/>
      <c r="S248" s="11"/>
    </row>
    <row r="249" spans="1:19" ht="15.75">
      <c r="A249" s="13">
        <v>49065</v>
      </c>
      <c r="B249" s="8">
        <f>CHOOSE( CONTROL!$C$32, 8.572, 8.5696) * CHOOSE(CONTROL!$C$15, $D$11, 100%, $F$11)</f>
        <v>8.5719999999999992</v>
      </c>
      <c r="C249" s="8">
        <f>CHOOSE( CONTROL!$C$32, 8.5801, 8.5777) * CHOOSE(CONTROL!$C$15, $D$11, 100%, $F$11)</f>
        <v>8.5800999999999998</v>
      </c>
      <c r="D249" s="8">
        <f>CHOOSE( CONTROL!$C$32, 8.6053, 8.6029) * CHOOSE( CONTROL!$C$15, $D$11, 100%, $F$11)</f>
        <v>8.6052999999999997</v>
      </c>
      <c r="E249" s="12">
        <f>CHOOSE( CONTROL!$C$32, 8.5949, 8.5925) * CHOOSE( CONTROL!$C$15, $D$11, 100%, $F$11)</f>
        <v>8.5949000000000009</v>
      </c>
      <c r="F249" s="4">
        <f>CHOOSE( CONTROL!$C$32, 9.2854, 9.2831) * CHOOSE(CONTROL!$C$15, $D$11, 100%, $F$11)</f>
        <v>9.2853999999999992</v>
      </c>
      <c r="G249" s="8">
        <f>CHOOSE( CONTROL!$C$32, 8.3555, 8.3532) * CHOOSE( CONTROL!$C$15, $D$11, 100%, $F$11)</f>
        <v>8.3554999999999993</v>
      </c>
      <c r="H249" s="4">
        <f>CHOOSE( CONTROL!$C$32, 9.3039, 9.3016) * CHOOSE(CONTROL!$C$15, $D$11, 100%, $F$11)</f>
        <v>9.3039000000000005</v>
      </c>
      <c r="I249" s="8">
        <f>CHOOSE( CONTROL!$C$32, 8.3146, 8.3123) * CHOOSE(CONTROL!$C$15, $D$11, 100%, $F$11)</f>
        <v>8.3146000000000004</v>
      </c>
      <c r="J249" s="4">
        <f>CHOOSE( CONTROL!$C$32, 8.2007, 8.1985) * CHOOSE(CONTROL!$C$15, $D$11, 100%, $F$11)</f>
        <v>8.2006999999999994</v>
      </c>
      <c r="K249" s="4"/>
      <c r="L249" s="9">
        <v>30.7165</v>
      </c>
      <c r="M249" s="9">
        <v>12.063700000000001</v>
      </c>
      <c r="N249" s="9">
        <v>4.9444999999999997</v>
      </c>
      <c r="O249" s="9">
        <v>0.37409999999999999</v>
      </c>
      <c r="P249" s="9">
        <v>1.2183999999999999</v>
      </c>
      <c r="Q249" s="9">
        <v>30.7105</v>
      </c>
      <c r="R249" s="9"/>
      <c r="S249" s="11"/>
    </row>
    <row r="250" spans="1:19" ht="15.75">
      <c r="A250" s="13">
        <v>49096</v>
      </c>
      <c r="B250" s="8">
        <f>CHOOSE( CONTROL!$C$32, 8.4347, 8.4323) * CHOOSE(CONTROL!$C$15, $D$11, 100%, $F$11)</f>
        <v>8.4346999999999994</v>
      </c>
      <c r="C250" s="8">
        <f>CHOOSE( CONTROL!$C$32, 8.4428, 8.4404) * CHOOSE(CONTROL!$C$15, $D$11, 100%, $F$11)</f>
        <v>8.4428000000000001</v>
      </c>
      <c r="D250" s="8">
        <f>CHOOSE( CONTROL!$C$32, 8.4682, 8.4658) * CHOOSE( CONTROL!$C$15, $D$11, 100%, $F$11)</f>
        <v>8.4681999999999995</v>
      </c>
      <c r="E250" s="12">
        <f>CHOOSE( CONTROL!$C$32, 8.4578, 8.4554) * CHOOSE( CONTROL!$C$15, $D$11, 100%, $F$11)</f>
        <v>8.4578000000000007</v>
      </c>
      <c r="F250" s="4">
        <f>CHOOSE( CONTROL!$C$32, 9.1481, 9.1458) * CHOOSE(CONTROL!$C$15, $D$11, 100%, $F$11)</f>
        <v>9.1480999999999995</v>
      </c>
      <c r="G250" s="8">
        <f>CHOOSE( CONTROL!$C$32, 8.2217, 8.2195) * CHOOSE( CONTROL!$C$15, $D$11, 100%, $F$11)</f>
        <v>8.2217000000000002</v>
      </c>
      <c r="H250" s="4">
        <f>CHOOSE( CONTROL!$C$32, 9.1698, 9.1675) * CHOOSE(CONTROL!$C$15, $D$11, 100%, $F$11)</f>
        <v>9.1698000000000004</v>
      </c>
      <c r="I250" s="8">
        <f>CHOOSE( CONTROL!$C$32, 8.1837, 8.1814) * CHOOSE(CONTROL!$C$15, $D$11, 100%, $F$11)</f>
        <v>8.1837</v>
      </c>
      <c r="J250" s="4">
        <f>CHOOSE( CONTROL!$C$32, 8.0689, 8.0667) * CHOOSE(CONTROL!$C$15, $D$11, 100%, $F$11)</f>
        <v>8.0688999999999993</v>
      </c>
      <c r="K250" s="4"/>
      <c r="L250" s="9">
        <v>29.7257</v>
      </c>
      <c r="M250" s="9">
        <v>11.6745</v>
      </c>
      <c r="N250" s="9">
        <v>4.7850000000000001</v>
      </c>
      <c r="O250" s="9">
        <v>0.36199999999999999</v>
      </c>
      <c r="P250" s="9">
        <v>1.1791</v>
      </c>
      <c r="Q250" s="9">
        <v>29.719799999999999</v>
      </c>
      <c r="R250" s="9"/>
      <c r="S250" s="11"/>
    </row>
    <row r="251" spans="1:19" ht="15.75">
      <c r="A251" s="13">
        <v>49126</v>
      </c>
      <c r="B251" s="8">
        <f>CHOOSE( CONTROL!$C$32, 8.7962, 8.7939) * CHOOSE(CONTROL!$C$15, $D$11, 100%, $F$11)</f>
        <v>8.7962000000000007</v>
      </c>
      <c r="C251" s="8">
        <f>CHOOSE( CONTROL!$C$32, 8.8043, 8.802) * CHOOSE(CONTROL!$C$15, $D$11, 100%, $F$11)</f>
        <v>8.8042999999999996</v>
      </c>
      <c r="D251" s="8">
        <f>CHOOSE( CONTROL!$C$32, 8.83, 8.8276) * CHOOSE( CONTROL!$C$15, $D$11, 100%, $F$11)</f>
        <v>8.83</v>
      </c>
      <c r="E251" s="12">
        <f>CHOOSE( CONTROL!$C$32, 8.8195, 8.8171) * CHOOSE( CONTROL!$C$15, $D$11, 100%, $F$11)</f>
        <v>8.8194999999999997</v>
      </c>
      <c r="F251" s="4">
        <f>CHOOSE( CONTROL!$C$32, 9.5097, 9.5073) * CHOOSE(CONTROL!$C$15, $D$11, 100%, $F$11)</f>
        <v>9.5097000000000005</v>
      </c>
      <c r="G251" s="8">
        <f>CHOOSE( CONTROL!$C$32, 8.5752, 8.5729) * CHOOSE( CONTROL!$C$15, $D$11, 100%, $F$11)</f>
        <v>8.5752000000000006</v>
      </c>
      <c r="H251" s="4">
        <f>CHOOSE( CONTROL!$C$32, 9.5229, 9.5206) * CHOOSE(CONTROL!$C$15, $D$11, 100%, $F$11)</f>
        <v>9.5228999999999999</v>
      </c>
      <c r="I251" s="8">
        <f>CHOOSE( CONTROL!$C$32, 8.5322, 8.5299) * CHOOSE(CONTROL!$C$15, $D$11, 100%, $F$11)</f>
        <v>8.5321999999999996</v>
      </c>
      <c r="J251" s="4">
        <f>CHOOSE( CONTROL!$C$32, 8.416, 8.4138) * CHOOSE(CONTROL!$C$15, $D$11, 100%, $F$11)</f>
        <v>8.4160000000000004</v>
      </c>
      <c r="K251" s="4"/>
      <c r="L251" s="9">
        <v>30.7165</v>
      </c>
      <c r="M251" s="9">
        <v>12.063700000000001</v>
      </c>
      <c r="N251" s="9">
        <v>4.9444999999999997</v>
      </c>
      <c r="O251" s="9">
        <v>0.37409999999999999</v>
      </c>
      <c r="P251" s="9">
        <v>1.2183999999999999</v>
      </c>
      <c r="Q251" s="9">
        <v>30.7105</v>
      </c>
      <c r="R251" s="9"/>
      <c r="S251" s="11"/>
    </row>
    <row r="252" spans="1:19" ht="15.75">
      <c r="A252" s="13">
        <v>49157</v>
      </c>
      <c r="B252" s="8">
        <f>CHOOSE( CONTROL!$C$32, 8.1197, 8.1174) * CHOOSE(CONTROL!$C$15, $D$11, 100%, $F$11)</f>
        <v>8.1196999999999999</v>
      </c>
      <c r="C252" s="8">
        <f>CHOOSE( CONTROL!$C$32, 8.1278, 8.1255) * CHOOSE(CONTROL!$C$15, $D$11, 100%, $F$11)</f>
        <v>8.1278000000000006</v>
      </c>
      <c r="D252" s="8">
        <f>CHOOSE( CONTROL!$C$32, 8.1536, 8.1512) * CHOOSE( CONTROL!$C$15, $D$11, 100%, $F$11)</f>
        <v>8.1536000000000008</v>
      </c>
      <c r="E252" s="12">
        <f>CHOOSE( CONTROL!$C$32, 8.143, 8.1407) * CHOOSE( CONTROL!$C$15, $D$11, 100%, $F$11)</f>
        <v>8.1430000000000007</v>
      </c>
      <c r="F252" s="4">
        <f>CHOOSE( CONTROL!$C$32, 8.8332, 8.8308) * CHOOSE(CONTROL!$C$15, $D$11, 100%, $F$11)</f>
        <v>8.8331999999999997</v>
      </c>
      <c r="G252" s="8">
        <f>CHOOSE( CONTROL!$C$32, 7.9146, 7.9123) * CHOOSE( CONTROL!$C$15, $D$11, 100%, $F$11)</f>
        <v>7.9146000000000001</v>
      </c>
      <c r="H252" s="4">
        <f>CHOOSE( CONTROL!$C$32, 8.8622, 8.8599) * CHOOSE(CONTROL!$C$15, $D$11, 100%, $F$11)</f>
        <v>8.8621999999999996</v>
      </c>
      <c r="I252" s="8">
        <f>CHOOSE( CONTROL!$C$32, 7.8827, 7.8805) * CHOOSE(CONTROL!$C$15, $D$11, 100%, $F$11)</f>
        <v>7.8826999999999998</v>
      </c>
      <c r="J252" s="4">
        <f>CHOOSE( CONTROL!$C$32, 7.7665, 7.7643) * CHOOSE(CONTROL!$C$15, $D$11, 100%, $F$11)</f>
        <v>7.7664999999999997</v>
      </c>
      <c r="K252" s="4"/>
      <c r="L252" s="9">
        <v>30.7165</v>
      </c>
      <c r="M252" s="9">
        <v>12.063700000000001</v>
      </c>
      <c r="N252" s="9">
        <v>4.9444999999999997</v>
      </c>
      <c r="O252" s="9">
        <v>0.37409999999999999</v>
      </c>
      <c r="P252" s="9">
        <v>1.2183999999999999</v>
      </c>
      <c r="Q252" s="9">
        <v>30.7105</v>
      </c>
      <c r="R252" s="9"/>
      <c r="S252" s="11"/>
    </row>
    <row r="253" spans="1:19" ht="15.75">
      <c r="A253" s="13">
        <v>49188</v>
      </c>
      <c r="B253" s="8">
        <f>CHOOSE( CONTROL!$C$32, 7.9504, 7.948) * CHOOSE(CONTROL!$C$15, $D$11, 100%, $F$11)</f>
        <v>7.9504000000000001</v>
      </c>
      <c r="C253" s="8">
        <f>CHOOSE( CONTROL!$C$32, 7.9584, 7.9561) * CHOOSE(CONTROL!$C$15, $D$11, 100%, $F$11)</f>
        <v>7.9584000000000001</v>
      </c>
      <c r="D253" s="8">
        <f>CHOOSE( CONTROL!$C$32, 7.9841, 7.9818) * CHOOSE( CONTROL!$C$15, $D$11, 100%, $F$11)</f>
        <v>7.9840999999999998</v>
      </c>
      <c r="E253" s="12">
        <f>CHOOSE( CONTROL!$C$32, 7.9736, 7.9713) * CHOOSE( CONTROL!$C$15, $D$11, 100%, $F$11)</f>
        <v>7.9736000000000002</v>
      </c>
      <c r="F253" s="4">
        <f>CHOOSE( CONTROL!$C$32, 8.6638, 8.6614) * CHOOSE(CONTROL!$C$15, $D$11, 100%, $F$11)</f>
        <v>8.6638000000000002</v>
      </c>
      <c r="G253" s="8">
        <f>CHOOSE( CONTROL!$C$32, 7.7492, 7.7469) * CHOOSE( CONTROL!$C$15, $D$11, 100%, $F$11)</f>
        <v>7.7492000000000001</v>
      </c>
      <c r="H253" s="4">
        <f>CHOOSE( CONTROL!$C$32, 8.6967, 8.6944) * CHOOSE(CONTROL!$C$15, $D$11, 100%, $F$11)</f>
        <v>8.6966999999999999</v>
      </c>
      <c r="I253" s="8">
        <f>CHOOSE( CONTROL!$C$32, 7.7199, 7.7177) * CHOOSE(CONTROL!$C$15, $D$11, 100%, $F$11)</f>
        <v>7.7199</v>
      </c>
      <c r="J253" s="4">
        <f>CHOOSE( CONTROL!$C$32, 7.6039, 7.6017) * CHOOSE(CONTROL!$C$15, $D$11, 100%, $F$11)</f>
        <v>7.6039000000000003</v>
      </c>
      <c r="K253" s="4"/>
      <c r="L253" s="9">
        <v>29.7257</v>
      </c>
      <c r="M253" s="9">
        <v>11.6745</v>
      </c>
      <c r="N253" s="9">
        <v>4.7850000000000001</v>
      </c>
      <c r="O253" s="9">
        <v>0.36199999999999999</v>
      </c>
      <c r="P253" s="9">
        <v>1.1791</v>
      </c>
      <c r="Q253" s="9">
        <v>29.719799999999999</v>
      </c>
      <c r="R253" s="9"/>
      <c r="S253" s="11"/>
    </row>
    <row r="254" spans="1:19" ht="15.75">
      <c r="A254" s="13">
        <v>49218</v>
      </c>
      <c r="B254" s="8">
        <f>8.298 * CHOOSE(CONTROL!$C$15, $D$11, 100%, $F$11)</f>
        <v>8.298</v>
      </c>
      <c r="C254" s="8">
        <f>8.3034 * CHOOSE(CONTROL!$C$15, $D$11, 100%, $F$11)</f>
        <v>8.3033999999999999</v>
      </c>
      <c r="D254" s="8">
        <f>8.3342 * CHOOSE( CONTROL!$C$15, $D$11, 100%, $F$11)</f>
        <v>8.3341999999999992</v>
      </c>
      <c r="E254" s="12">
        <f>8.3235 * CHOOSE( CONTROL!$C$15, $D$11, 100%, $F$11)</f>
        <v>8.3234999999999992</v>
      </c>
      <c r="F254" s="4">
        <f>9.0132 * CHOOSE(CONTROL!$C$15, $D$11, 100%, $F$11)</f>
        <v>9.0131999999999994</v>
      </c>
      <c r="G254" s="8">
        <f>8.0902 * CHOOSE( CONTROL!$C$15, $D$11, 100%, $F$11)</f>
        <v>8.0901999999999994</v>
      </c>
      <c r="H254" s="4">
        <f>9.038 * CHOOSE(CONTROL!$C$15, $D$11, 100%, $F$11)</f>
        <v>9.0380000000000003</v>
      </c>
      <c r="I254" s="8">
        <f>8.0564 * CHOOSE(CONTROL!$C$15, $D$11, 100%, $F$11)</f>
        <v>8.0564</v>
      </c>
      <c r="J254" s="4">
        <f>7.9393 * CHOOSE(CONTROL!$C$15, $D$11, 100%, $F$11)</f>
        <v>7.9393000000000002</v>
      </c>
      <c r="K254" s="4"/>
      <c r="L254" s="9">
        <v>31.095300000000002</v>
      </c>
      <c r="M254" s="9">
        <v>12.063700000000001</v>
      </c>
      <c r="N254" s="9">
        <v>4.9444999999999997</v>
      </c>
      <c r="O254" s="9">
        <v>0.37409999999999999</v>
      </c>
      <c r="P254" s="9">
        <v>1.2183999999999999</v>
      </c>
      <c r="Q254" s="9">
        <v>30.7105</v>
      </c>
      <c r="R254" s="9"/>
      <c r="S254" s="11"/>
    </row>
    <row r="255" spans="1:19" ht="15.75">
      <c r="A255" s="13">
        <v>49249</v>
      </c>
      <c r="B255" s="8">
        <f>8.9468 * CHOOSE(CONTROL!$C$15, $D$11, 100%, $F$11)</f>
        <v>8.9467999999999996</v>
      </c>
      <c r="C255" s="8">
        <f>8.952 * CHOOSE(CONTROL!$C$15, $D$11, 100%, $F$11)</f>
        <v>8.952</v>
      </c>
      <c r="D255" s="8">
        <f>8.935 * CHOOSE( CONTROL!$C$15, $D$11, 100%, $F$11)</f>
        <v>8.9350000000000005</v>
      </c>
      <c r="E255" s="12">
        <f>8.9407 * CHOOSE( CONTROL!$C$15, $D$11, 100%, $F$11)</f>
        <v>8.9406999999999996</v>
      </c>
      <c r="F255" s="4">
        <f>9.5973 * CHOOSE(CONTROL!$C$15, $D$11, 100%, $F$11)</f>
        <v>9.5973000000000006</v>
      </c>
      <c r="G255" s="8">
        <f>8.7305 * CHOOSE( CONTROL!$C$15, $D$11, 100%, $F$11)</f>
        <v>8.7304999999999993</v>
      </c>
      <c r="H255" s="4">
        <f>9.6085 * CHOOSE(CONTROL!$C$15, $D$11, 100%, $F$11)</f>
        <v>9.6084999999999994</v>
      </c>
      <c r="I255" s="8">
        <f>8.7218 * CHOOSE(CONTROL!$C$15, $D$11, 100%, $F$11)</f>
        <v>8.7218</v>
      </c>
      <c r="J255" s="4">
        <f>8.5627 * CHOOSE(CONTROL!$C$15, $D$11, 100%, $F$11)</f>
        <v>8.5626999999999995</v>
      </c>
      <c r="K255" s="4"/>
      <c r="L255" s="9">
        <v>28.360600000000002</v>
      </c>
      <c r="M255" s="9">
        <v>11.6745</v>
      </c>
      <c r="N255" s="9">
        <v>4.7850000000000001</v>
      </c>
      <c r="O255" s="9">
        <v>0.36199999999999999</v>
      </c>
      <c r="P255" s="9">
        <v>1.2509999999999999</v>
      </c>
      <c r="Q255" s="9">
        <v>29.719799999999999</v>
      </c>
      <c r="R255" s="9"/>
      <c r="S255" s="11"/>
    </row>
    <row r="256" spans="1:19" ht="15.75">
      <c r="A256" s="13">
        <v>49279</v>
      </c>
      <c r="B256" s="8">
        <f>8.9306 * CHOOSE(CONTROL!$C$15, $D$11, 100%, $F$11)</f>
        <v>8.9306000000000001</v>
      </c>
      <c r="C256" s="8">
        <f>8.9358 * CHOOSE(CONTROL!$C$15, $D$11, 100%, $F$11)</f>
        <v>8.9358000000000004</v>
      </c>
      <c r="D256" s="8">
        <f>8.9203 * CHOOSE( CONTROL!$C$15, $D$11, 100%, $F$11)</f>
        <v>8.9202999999999992</v>
      </c>
      <c r="E256" s="12">
        <f>8.9254 * CHOOSE( CONTROL!$C$15, $D$11, 100%, $F$11)</f>
        <v>8.9253999999999998</v>
      </c>
      <c r="F256" s="4">
        <f>9.5811 * CHOOSE(CONTROL!$C$15, $D$11, 100%, $F$11)</f>
        <v>9.5810999999999993</v>
      </c>
      <c r="G256" s="8">
        <f>8.7157 * CHOOSE( CONTROL!$C$15, $D$11, 100%, $F$11)</f>
        <v>8.7157</v>
      </c>
      <c r="H256" s="4">
        <f>9.5926 * CHOOSE(CONTROL!$C$15, $D$11, 100%, $F$11)</f>
        <v>9.5925999999999991</v>
      </c>
      <c r="I256" s="8">
        <f>8.7109 * CHOOSE(CONTROL!$C$15, $D$11, 100%, $F$11)</f>
        <v>8.7109000000000005</v>
      </c>
      <c r="J256" s="4">
        <f>8.5471 * CHOOSE(CONTROL!$C$15, $D$11, 100%, $F$11)</f>
        <v>8.5471000000000004</v>
      </c>
      <c r="K256" s="4"/>
      <c r="L256" s="9">
        <v>29.306000000000001</v>
      </c>
      <c r="M256" s="9">
        <v>12.063700000000001</v>
      </c>
      <c r="N256" s="9">
        <v>4.9444999999999997</v>
      </c>
      <c r="O256" s="9">
        <v>0.37409999999999999</v>
      </c>
      <c r="P256" s="9">
        <v>1.2927</v>
      </c>
      <c r="Q256" s="9">
        <v>30.7105</v>
      </c>
      <c r="R256" s="9"/>
      <c r="S256" s="11"/>
    </row>
    <row r="257" spans="1:19" ht="15.75">
      <c r="A257" s="13">
        <v>49310</v>
      </c>
      <c r="B257" s="8">
        <f>9.1571 * CHOOSE(CONTROL!$C$15, $D$11, 100%, $F$11)</f>
        <v>9.1570999999999998</v>
      </c>
      <c r="C257" s="8">
        <f>9.1623 * CHOOSE(CONTROL!$C$15, $D$11, 100%, $F$11)</f>
        <v>9.1623000000000001</v>
      </c>
      <c r="D257" s="8">
        <f>9.1425 * CHOOSE( CONTROL!$C$15, $D$11, 100%, $F$11)</f>
        <v>9.1425000000000001</v>
      </c>
      <c r="E257" s="12">
        <f>9.1492 * CHOOSE( CONTROL!$C$15, $D$11, 100%, $F$11)</f>
        <v>9.1492000000000004</v>
      </c>
      <c r="F257" s="4">
        <f>9.8076 * CHOOSE(CONTROL!$C$15, $D$11, 100%, $F$11)</f>
        <v>9.8076000000000008</v>
      </c>
      <c r="G257" s="8">
        <f>8.9277 * CHOOSE( CONTROL!$C$15, $D$11, 100%, $F$11)</f>
        <v>8.9276999999999997</v>
      </c>
      <c r="H257" s="4">
        <f>9.8139 * CHOOSE(CONTROL!$C$15, $D$11, 100%, $F$11)</f>
        <v>9.8139000000000003</v>
      </c>
      <c r="I257" s="8">
        <f>8.8877 * CHOOSE(CONTROL!$C$15, $D$11, 100%, $F$11)</f>
        <v>8.8877000000000006</v>
      </c>
      <c r="J257" s="4">
        <f>8.7646 * CHOOSE(CONTROL!$C$15, $D$11, 100%, $F$11)</f>
        <v>8.7645999999999997</v>
      </c>
      <c r="K257" s="4"/>
      <c r="L257" s="9">
        <v>29.306000000000001</v>
      </c>
      <c r="M257" s="9">
        <v>12.063700000000001</v>
      </c>
      <c r="N257" s="9">
        <v>4.9444999999999997</v>
      </c>
      <c r="O257" s="9">
        <v>0.37409999999999999</v>
      </c>
      <c r="P257" s="9">
        <v>1.2927</v>
      </c>
      <c r="Q257" s="9">
        <v>30.645399999999999</v>
      </c>
      <c r="R257" s="9"/>
      <c r="S257" s="11"/>
    </row>
    <row r="258" spans="1:19" ht="15.75">
      <c r="A258" s="13">
        <v>49341</v>
      </c>
      <c r="B258" s="8">
        <f>8.567 * CHOOSE(CONTROL!$C$15, $D$11, 100%, $F$11)</f>
        <v>8.5670000000000002</v>
      </c>
      <c r="C258" s="8">
        <f>8.5722 * CHOOSE(CONTROL!$C$15, $D$11, 100%, $F$11)</f>
        <v>8.5722000000000005</v>
      </c>
      <c r="D258" s="8">
        <f>8.5523 * CHOOSE( CONTROL!$C$15, $D$11, 100%, $F$11)</f>
        <v>8.5523000000000007</v>
      </c>
      <c r="E258" s="12">
        <f>8.559 * CHOOSE( CONTROL!$C$15, $D$11, 100%, $F$11)</f>
        <v>8.5589999999999993</v>
      </c>
      <c r="F258" s="4">
        <f>9.2174 * CHOOSE(CONTROL!$C$15, $D$11, 100%, $F$11)</f>
        <v>9.2173999999999996</v>
      </c>
      <c r="G258" s="8">
        <f>8.3512 * CHOOSE( CONTROL!$C$15, $D$11, 100%, $F$11)</f>
        <v>8.3512000000000004</v>
      </c>
      <c r="H258" s="4">
        <f>9.2375 * CHOOSE(CONTROL!$C$15, $D$11, 100%, $F$11)</f>
        <v>9.2375000000000007</v>
      </c>
      <c r="I258" s="8">
        <f>8.3206 * CHOOSE(CONTROL!$C$15, $D$11, 100%, $F$11)</f>
        <v>8.3206000000000007</v>
      </c>
      <c r="J258" s="4">
        <f>8.198 * CHOOSE(CONTROL!$C$15, $D$11, 100%, $F$11)</f>
        <v>8.1980000000000004</v>
      </c>
      <c r="K258" s="4"/>
      <c r="L258" s="9">
        <v>26.469899999999999</v>
      </c>
      <c r="M258" s="9">
        <v>10.8962</v>
      </c>
      <c r="N258" s="9">
        <v>4.4660000000000002</v>
      </c>
      <c r="O258" s="9">
        <v>0.33789999999999998</v>
      </c>
      <c r="P258" s="9">
        <v>1.1676</v>
      </c>
      <c r="Q258" s="9">
        <v>27.6797</v>
      </c>
      <c r="R258" s="9"/>
      <c r="S258" s="11"/>
    </row>
    <row r="259" spans="1:19" ht="15.75">
      <c r="A259" s="13">
        <v>49369</v>
      </c>
      <c r="B259" s="8">
        <f>8.3852 * CHOOSE(CONTROL!$C$15, $D$11, 100%, $F$11)</f>
        <v>8.3851999999999993</v>
      </c>
      <c r="C259" s="8">
        <f>8.3904 * CHOOSE(CONTROL!$C$15, $D$11, 100%, $F$11)</f>
        <v>8.3903999999999996</v>
      </c>
      <c r="D259" s="8">
        <f>8.3702 * CHOOSE( CONTROL!$C$15, $D$11, 100%, $F$11)</f>
        <v>8.3702000000000005</v>
      </c>
      <c r="E259" s="12">
        <f>8.377 * CHOOSE( CONTROL!$C$15, $D$11, 100%, $F$11)</f>
        <v>8.3770000000000007</v>
      </c>
      <c r="F259" s="4">
        <f>9.0357 * CHOOSE(CONTROL!$C$15, $D$11, 100%, $F$11)</f>
        <v>9.0357000000000003</v>
      </c>
      <c r="G259" s="8">
        <f>8.1735 * CHOOSE( CONTROL!$C$15, $D$11, 100%, $F$11)</f>
        <v>8.1735000000000007</v>
      </c>
      <c r="H259" s="4">
        <f>9.0599 * CHOOSE(CONTROL!$C$15, $D$11, 100%, $F$11)</f>
        <v>9.0599000000000007</v>
      </c>
      <c r="I259" s="8">
        <f>8.1449 * CHOOSE(CONTROL!$C$15, $D$11, 100%, $F$11)</f>
        <v>8.1448999999999998</v>
      </c>
      <c r="J259" s="4">
        <f>8.0235 * CHOOSE(CONTROL!$C$15, $D$11, 100%, $F$11)</f>
        <v>8.0235000000000003</v>
      </c>
      <c r="K259" s="4"/>
      <c r="L259" s="9">
        <v>29.306000000000001</v>
      </c>
      <c r="M259" s="9">
        <v>12.063700000000001</v>
      </c>
      <c r="N259" s="9">
        <v>4.9444999999999997</v>
      </c>
      <c r="O259" s="9">
        <v>0.37409999999999999</v>
      </c>
      <c r="P259" s="9">
        <v>1.2927</v>
      </c>
      <c r="Q259" s="9">
        <v>30.645399999999999</v>
      </c>
      <c r="R259" s="9"/>
      <c r="S259" s="11"/>
    </row>
    <row r="260" spans="1:19" ht="15.75">
      <c r="A260" s="13">
        <v>49400</v>
      </c>
      <c r="B260" s="8">
        <f>8.513 * CHOOSE(CONTROL!$C$15, $D$11, 100%, $F$11)</f>
        <v>8.5129999999999999</v>
      </c>
      <c r="C260" s="8">
        <f>8.5176 * CHOOSE(CONTROL!$C$15, $D$11, 100%, $F$11)</f>
        <v>8.5175999999999998</v>
      </c>
      <c r="D260" s="8">
        <f>8.5481 * CHOOSE( CONTROL!$C$15, $D$11, 100%, $F$11)</f>
        <v>8.5480999999999998</v>
      </c>
      <c r="E260" s="12">
        <f>8.5375 * CHOOSE( CONTROL!$C$15, $D$11, 100%, $F$11)</f>
        <v>8.5374999999999996</v>
      </c>
      <c r="F260" s="4">
        <f>9.2278 * CHOOSE(CONTROL!$C$15, $D$11, 100%, $F$11)</f>
        <v>9.2278000000000002</v>
      </c>
      <c r="G260" s="8">
        <f>8.2987 * CHOOSE( CONTROL!$C$15, $D$11, 100%, $F$11)</f>
        <v>8.2987000000000002</v>
      </c>
      <c r="H260" s="4">
        <f>9.2476 * CHOOSE(CONTROL!$C$15, $D$11, 100%, $F$11)</f>
        <v>9.2476000000000003</v>
      </c>
      <c r="I260" s="8">
        <f>8.2589 * CHOOSE(CONTROL!$C$15, $D$11, 100%, $F$11)</f>
        <v>8.2589000000000006</v>
      </c>
      <c r="J260" s="4">
        <f>8.1454 * CHOOSE(CONTROL!$C$15, $D$11, 100%, $F$11)</f>
        <v>8.1454000000000004</v>
      </c>
      <c r="K260" s="4"/>
      <c r="L260" s="9">
        <v>30.092199999999998</v>
      </c>
      <c r="M260" s="9">
        <v>11.6745</v>
      </c>
      <c r="N260" s="9">
        <v>4.7850000000000001</v>
      </c>
      <c r="O260" s="9">
        <v>0.36199999999999999</v>
      </c>
      <c r="P260" s="9">
        <v>1.1791</v>
      </c>
      <c r="Q260" s="9">
        <v>29.6568</v>
      </c>
      <c r="R260" s="9"/>
      <c r="S260" s="11"/>
    </row>
    <row r="261" spans="1:19" ht="15.75">
      <c r="A261" s="13">
        <v>49430</v>
      </c>
      <c r="B261" s="8">
        <f>CHOOSE( CONTROL!$C$32, 8.7428, 8.7404) * CHOOSE(CONTROL!$C$15, $D$11, 100%, $F$11)</f>
        <v>8.7428000000000008</v>
      </c>
      <c r="C261" s="8">
        <f>CHOOSE( CONTROL!$C$32, 8.7508, 8.7485) * CHOOSE(CONTROL!$C$15, $D$11, 100%, $F$11)</f>
        <v>8.7507999999999999</v>
      </c>
      <c r="D261" s="8">
        <f>CHOOSE( CONTROL!$C$32, 8.776, 8.7737) * CHOOSE( CONTROL!$C$15, $D$11, 100%, $F$11)</f>
        <v>8.7759999999999998</v>
      </c>
      <c r="E261" s="12">
        <f>CHOOSE( CONTROL!$C$32, 8.7656, 8.7633) * CHOOSE( CONTROL!$C$15, $D$11, 100%, $F$11)</f>
        <v>8.7655999999999992</v>
      </c>
      <c r="F261" s="4">
        <f>CHOOSE( CONTROL!$C$32, 9.4562, 9.4538) * CHOOSE(CONTROL!$C$15, $D$11, 100%, $F$11)</f>
        <v>9.4562000000000008</v>
      </c>
      <c r="G261" s="8">
        <f>CHOOSE( CONTROL!$C$32, 8.5223, 8.52) * CHOOSE( CONTROL!$C$15, $D$11, 100%, $F$11)</f>
        <v>8.5222999999999995</v>
      </c>
      <c r="H261" s="4">
        <f>CHOOSE( CONTROL!$C$32, 9.4707, 9.4684) * CHOOSE(CONTROL!$C$15, $D$11, 100%, $F$11)</f>
        <v>9.4707000000000008</v>
      </c>
      <c r="I261" s="8">
        <f>CHOOSE( CONTROL!$C$32, 8.4786, 8.4764) * CHOOSE(CONTROL!$C$15, $D$11, 100%, $F$11)</f>
        <v>8.4786000000000001</v>
      </c>
      <c r="J261" s="4">
        <f>CHOOSE( CONTROL!$C$32, 8.3647, 8.3624) * CHOOSE(CONTROL!$C$15, $D$11, 100%, $F$11)</f>
        <v>8.3646999999999991</v>
      </c>
      <c r="K261" s="4"/>
      <c r="L261" s="9">
        <v>30.7165</v>
      </c>
      <c r="M261" s="9">
        <v>12.063700000000001</v>
      </c>
      <c r="N261" s="9">
        <v>4.9444999999999997</v>
      </c>
      <c r="O261" s="9">
        <v>0.37409999999999999</v>
      </c>
      <c r="P261" s="9">
        <v>1.2183999999999999</v>
      </c>
      <c r="Q261" s="9">
        <v>30.645399999999999</v>
      </c>
      <c r="R261" s="9"/>
      <c r="S261" s="11"/>
    </row>
    <row r="262" spans="1:19" ht="15.75">
      <c r="A262" s="14">
        <v>49461</v>
      </c>
      <c r="B262" s="8">
        <f>CHOOSE( CONTROL!$C$32, 8.6027, 8.6004) * CHOOSE(CONTROL!$C$15, $D$11, 100%, $F$11)</f>
        <v>8.6027000000000005</v>
      </c>
      <c r="C262" s="8">
        <f>CHOOSE( CONTROL!$C$32, 8.6108, 8.6085) * CHOOSE(CONTROL!$C$15, $D$11, 100%, $F$11)</f>
        <v>8.6107999999999993</v>
      </c>
      <c r="D262" s="8">
        <f>CHOOSE( CONTROL!$C$32, 8.6362, 8.6339) * CHOOSE( CONTROL!$C$15, $D$11, 100%, $F$11)</f>
        <v>8.6362000000000005</v>
      </c>
      <c r="E262" s="12">
        <f>CHOOSE( CONTROL!$C$32, 8.6258, 8.6235) * CHOOSE( CONTROL!$C$15, $D$11, 100%, $F$11)</f>
        <v>8.6257999999999999</v>
      </c>
      <c r="F262" s="4">
        <f>CHOOSE( CONTROL!$C$32, 9.3162, 9.3138) * CHOOSE(CONTROL!$C$15, $D$11, 100%, $F$11)</f>
        <v>9.3162000000000003</v>
      </c>
      <c r="G262" s="8">
        <f>CHOOSE( CONTROL!$C$32, 8.3859, 8.3836) * CHOOSE( CONTROL!$C$15, $D$11, 100%, $F$11)</f>
        <v>8.3858999999999995</v>
      </c>
      <c r="H262" s="4">
        <f>CHOOSE( CONTROL!$C$32, 9.3339, 9.3316) * CHOOSE(CONTROL!$C$15, $D$11, 100%, $F$11)</f>
        <v>9.3338999999999999</v>
      </c>
      <c r="I262" s="8">
        <f>CHOOSE( CONTROL!$C$32, 8.3451, 8.3428) * CHOOSE(CONTROL!$C$15, $D$11, 100%, $F$11)</f>
        <v>8.3451000000000004</v>
      </c>
      <c r="J262" s="4">
        <f>CHOOSE( CONTROL!$C$32, 8.2302, 8.228) * CHOOSE(CONTROL!$C$15, $D$11, 100%, $F$11)</f>
        <v>8.2302</v>
      </c>
      <c r="K262" s="4"/>
      <c r="L262" s="9">
        <v>29.7257</v>
      </c>
      <c r="M262" s="9">
        <v>11.6745</v>
      </c>
      <c r="N262" s="9">
        <v>4.7850000000000001</v>
      </c>
      <c r="O262" s="9">
        <v>0.36199999999999999</v>
      </c>
      <c r="P262" s="9">
        <v>1.1791</v>
      </c>
      <c r="Q262" s="9">
        <v>29.6568</v>
      </c>
      <c r="R262" s="9"/>
      <c r="S262" s="11"/>
    </row>
    <row r="263" spans="1:19" ht="15.75">
      <c r="A263" s="14">
        <v>49491</v>
      </c>
      <c r="B263" s="8">
        <f>CHOOSE( CONTROL!$C$32, 8.9715, 8.9691) * CHOOSE(CONTROL!$C$15, $D$11, 100%, $F$11)</f>
        <v>8.9715000000000007</v>
      </c>
      <c r="C263" s="8">
        <f>CHOOSE( CONTROL!$C$32, 8.9796, 8.9772) * CHOOSE(CONTROL!$C$15, $D$11, 100%, $F$11)</f>
        <v>8.9795999999999996</v>
      </c>
      <c r="D263" s="8">
        <f>CHOOSE( CONTROL!$C$32, 9.0052, 9.0029) * CHOOSE( CONTROL!$C$15, $D$11, 100%, $F$11)</f>
        <v>9.0052000000000003</v>
      </c>
      <c r="E263" s="12">
        <f>CHOOSE( CONTROL!$C$32, 8.9947, 8.9924) * CHOOSE( CONTROL!$C$15, $D$11, 100%, $F$11)</f>
        <v>8.9946999999999999</v>
      </c>
      <c r="F263" s="4">
        <f>CHOOSE( CONTROL!$C$32, 9.6849, 9.6826) * CHOOSE(CONTROL!$C$15, $D$11, 100%, $F$11)</f>
        <v>9.6849000000000007</v>
      </c>
      <c r="G263" s="8">
        <f>CHOOSE( CONTROL!$C$32, 8.7464, 8.7441) * CHOOSE( CONTROL!$C$15, $D$11, 100%, $F$11)</f>
        <v>8.7463999999999995</v>
      </c>
      <c r="H263" s="4">
        <f>CHOOSE( CONTROL!$C$32, 9.6941, 9.6918) * CHOOSE(CONTROL!$C$15, $D$11, 100%, $F$11)</f>
        <v>9.6941000000000006</v>
      </c>
      <c r="I263" s="8">
        <f>CHOOSE( CONTROL!$C$32, 8.7005, 8.6983) * CHOOSE(CONTROL!$C$15, $D$11, 100%, $F$11)</f>
        <v>8.7004999999999999</v>
      </c>
      <c r="J263" s="4">
        <f>CHOOSE( CONTROL!$C$32, 8.5843, 8.582) * CHOOSE(CONTROL!$C$15, $D$11, 100%, $F$11)</f>
        <v>8.5843000000000007</v>
      </c>
      <c r="K263" s="4"/>
      <c r="L263" s="9">
        <v>30.7165</v>
      </c>
      <c r="M263" s="9">
        <v>12.063700000000001</v>
      </c>
      <c r="N263" s="9">
        <v>4.9444999999999997</v>
      </c>
      <c r="O263" s="9">
        <v>0.37409999999999999</v>
      </c>
      <c r="P263" s="9">
        <v>1.2183999999999999</v>
      </c>
      <c r="Q263" s="9">
        <v>30.645399999999999</v>
      </c>
      <c r="R263" s="9"/>
      <c r="S263" s="11"/>
    </row>
    <row r="264" spans="1:19" ht="15.75">
      <c r="A264" s="14">
        <v>49522</v>
      </c>
      <c r="B264" s="8">
        <f>CHOOSE( CONTROL!$C$32, 8.2815, 8.2791) * CHOOSE(CONTROL!$C$15, $D$11, 100%, $F$11)</f>
        <v>8.2814999999999994</v>
      </c>
      <c r="C264" s="8">
        <f>CHOOSE( CONTROL!$C$32, 8.2896, 8.2872) * CHOOSE(CONTROL!$C$15, $D$11, 100%, $F$11)</f>
        <v>8.2896000000000001</v>
      </c>
      <c r="D264" s="8">
        <f>CHOOSE( CONTROL!$C$32, 8.3153, 8.313) * CHOOSE( CONTROL!$C$15, $D$11, 100%, $F$11)</f>
        <v>8.3153000000000006</v>
      </c>
      <c r="E264" s="12">
        <f>CHOOSE( CONTROL!$C$32, 8.3048, 8.3024) * CHOOSE( CONTROL!$C$15, $D$11, 100%, $F$11)</f>
        <v>8.3048000000000002</v>
      </c>
      <c r="F264" s="4">
        <f>CHOOSE( CONTROL!$C$32, 8.9949, 8.9926) * CHOOSE(CONTROL!$C$15, $D$11, 100%, $F$11)</f>
        <v>8.9948999999999995</v>
      </c>
      <c r="G264" s="8">
        <f>CHOOSE( CONTROL!$C$32, 8.0726, 8.0703) * CHOOSE( CONTROL!$C$15, $D$11, 100%, $F$11)</f>
        <v>8.0725999999999996</v>
      </c>
      <c r="H264" s="4">
        <f>CHOOSE( CONTROL!$C$32, 9.0201, 9.0178) * CHOOSE(CONTROL!$C$15, $D$11, 100%, $F$11)</f>
        <v>9.0200999999999993</v>
      </c>
      <c r="I264" s="8">
        <f>CHOOSE( CONTROL!$C$32, 8.0381, 8.0359) * CHOOSE(CONTROL!$C$15, $D$11, 100%, $F$11)</f>
        <v>8.0381</v>
      </c>
      <c r="J264" s="4">
        <f>CHOOSE( CONTROL!$C$32, 7.9218, 7.9196) * CHOOSE(CONTROL!$C$15, $D$11, 100%, $F$11)</f>
        <v>7.9218000000000002</v>
      </c>
      <c r="K264" s="4"/>
      <c r="L264" s="9">
        <v>30.7165</v>
      </c>
      <c r="M264" s="9">
        <v>12.063700000000001</v>
      </c>
      <c r="N264" s="9">
        <v>4.9444999999999997</v>
      </c>
      <c r="O264" s="9">
        <v>0.37409999999999999</v>
      </c>
      <c r="P264" s="9">
        <v>1.2183999999999999</v>
      </c>
      <c r="Q264" s="9">
        <v>30.645399999999999</v>
      </c>
      <c r="R264" s="9"/>
      <c r="S264" s="11"/>
    </row>
    <row r="265" spans="1:19" ht="15.75">
      <c r="A265" s="14">
        <v>49553</v>
      </c>
      <c r="B265" s="8">
        <f>CHOOSE( CONTROL!$C$32, 8.1087, 8.1064) * CHOOSE(CONTROL!$C$15, $D$11, 100%, $F$11)</f>
        <v>8.1087000000000007</v>
      </c>
      <c r="C265" s="8">
        <f>CHOOSE( CONTROL!$C$32, 8.1168, 8.1144) * CHOOSE(CONTROL!$C$15, $D$11, 100%, $F$11)</f>
        <v>8.1167999999999996</v>
      </c>
      <c r="D265" s="8">
        <f>CHOOSE( CONTROL!$C$32, 8.1425, 8.1401) * CHOOSE( CONTROL!$C$15, $D$11, 100%, $F$11)</f>
        <v>8.1425000000000001</v>
      </c>
      <c r="E265" s="12">
        <f>CHOOSE( CONTROL!$C$32, 8.132, 8.1296) * CHOOSE( CONTROL!$C$15, $D$11, 100%, $F$11)</f>
        <v>8.1319999999999997</v>
      </c>
      <c r="F265" s="4">
        <f>CHOOSE( CONTROL!$C$32, 8.8221, 8.8198) * CHOOSE(CONTROL!$C$15, $D$11, 100%, $F$11)</f>
        <v>8.8221000000000007</v>
      </c>
      <c r="G265" s="8">
        <f>CHOOSE( CONTROL!$C$32, 7.9038, 7.9015) * CHOOSE( CONTROL!$C$15, $D$11, 100%, $F$11)</f>
        <v>7.9038000000000004</v>
      </c>
      <c r="H265" s="4">
        <f>CHOOSE( CONTROL!$C$32, 8.8514, 8.8491) * CHOOSE(CONTROL!$C$15, $D$11, 100%, $F$11)</f>
        <v>8.8513999999999999</v>
      </c>
      <c r="I265" s="8">
        <f>CHOOSE( CONTROL!$C$32, 7.872, 7.8698) * CHOOSE(CONTROL!$C$15, $D$11, 100%, $F$11)</f>
        <v>7.8719999999999999</v>
      </c>
      <c r="J265" s="4">
        <f>CHOOSE( CONTROL!$C$32, 7.7559, 7.7537) * CHOOSE(CONTROL!$C$15, $D$11, 100%, $F$11)</f>
        <v>7.7558999999999996</v>
      </c>
      <c r="K265" s="4"/>
      <c r="L265" s="9">
        <v>29.7257</v>
      </c>
      <c r="M265" s="9">
        <v>11.6745</v>
      </c>
      <c r="N265" s="9">
        <v>4.7850000000000001</v>
      </c>
      <c r="O265" s="9">
        <v>0.36199999999999999</v>
      </c>
      <c r="P265" s="9">
        <v>1.1791</v>
      </c>
      <c r="Q265" s="9">
        <v>29.6568</v>
      </c>
      <c r="R265" s="9"/>
      <c r="S265" s="11"/>
    </row>
    <row r="266" spans="1:19" ht="15.75">
      <c r="A266" s="14">
        <v>49583</v>
      </c>
      <c r="B266" s="8">
        <f>8.4634 * CHOOSE(CONTROL!$C$15, $D$11, 100%, $F$11)</f>
        <v>8.4634</v>
      </c>
      <c r="C266" s="8">
        <f>8.4688 * CHOOSE(CONTROL!$C$15, $D$11, 100%, $F$11)</f>
        <v>8.4687999999999999</v>
      </c>
      <c r="D266" s="8">
        <f>8.4996 * CHOOSE( CONTROL!$C$15, $D$11, 100%, $F$11)</f>
        <v>8.4995999999999992</v>
      </c>
      <c r="E266" s="12">
        <f>8.4889 * CHOOSE( CONTROL!$C$15, $D$11, 100%, $F$11)</f>
        <v>8.4888999999999992</v>
      </c>
      <c r="F266" s="4">
        <f>9.1785 * CHOOSE(CONTROL!$C$15, $D$11, 100%, $F$11)</f>
        <v>9.1784999999999997</v>
      </c>
      <c r="G266" s="8">
        <f>8.2517 * CHOOSE( CONTROL!$C$15, $D$11, 100%, $F$11)</f>
        <v>8.2516999999999996</v>
      </c>
      <c r="H266" s="4">
        <f>9.1995 * CHOOSE(CONTROL!$C$15, $D$11, 100%, $F$11)</f>
        <v>9.1995000000000005</v>
      </c>
      <c r="I266" s="8">
        <f>8.2152 * CHOOSE(CONTROL!$C$15, $D$11, 100%, $F$11)</f>
        <v>8.2151999999999994</v>
      </c>
      <c r="J266" s="4">
        <f>8.0981 * CHOOSE(CONTROL!$C$15, $D$11, 100%, $F$11)</f>
        <v>8.0981000000000005</v>
      </c>
      <c r="K266" s="4"/>
      <c r="L266" s="9">
        <v>31.095300000000002</v>
      </c>
      <c r="M266" s="9">
        <v>12.063700000000001</v>
      </c>
      <c r="N266" s="9">
        <v>4.9444999999999997</v>
      </c>
      <c r="O266" s="9">
        <v>0.37409999999999999</v>
      </c>
      <c r="P266" s="9">
        <v>1.2183999999999999</v>
      </c>
      <c r="Q266" s="9">
        <v>30.645399999999999</v>
      </c>
      <c r="R266" s="9"/>
      <c r="S266" s="11"/>
    </row>
    <row r="267" spans="1:19" ht="15.75">
      <c r="A267" s="14">
        <v>49614</v>
      </c>
      <c r="B267" s="8">
        <f>9.1252 * CHOOSE(CONTROL!$C$15, $D$11, 100%, $F$11)</f>
        <v>9.1251999999999995</v>
      </c>
      <c r="C267" s="8">
        <f>9.1304 * CHOOSE(CONTROL!$C$15, $D$11, 100%, $F$11)</f>
        <v>9.1303999999999998</v>
      </c>
      <c r="D267" s="8">
        <f>9.1134 * CHOOSE( CONTROL!$C$15, $D$11, 100%, $F$11)</f>
        <v>9.1134000000000004</v>
      </c>
      <c r="E267" s="12">
        <f>9.1191 * CHOOSE( CONTROL!$C$15, $D$11, 100%, $F$11)</f>
        <v>9.1190999999999995</v>
      </c>
      <c r="F267" s="4">
        <f>9.7756 * CHOOSE(CONTROL!$C$15, $D$11, 100%, $F$11)</f>
        <v>9.7756000000000007</v>
      </c>
      <c r="G267" s="8">
        <f>8.9047 * CHOOSE( CONTROL!$C$15, $D$11, 100%, $F$11)</f>
        <v>8.9047000000000001</v>
      </c>
      <c r="H267" s="4">
        <f>9.7827 * CHOOSE(CONTROL!$C$15, $D$11, 100%, $F$11)</f>
        <v>9.7827000000000002</v>
      </c>
      <c r="I267" s="8">
        <f>8.8931 * CHOOSE(CONTROL!$C$15, $D$11, 100%, $F$11)</f>
        <v>8.8931000000000004</v>
      </c>
      <c r="J267" s="4">
        <f>8.7339 * CHOOSE(CONTROL!$C$15, $D$11, 100%, $F$11)</f>
        <v>8.7339000000000002</v>
      </c>
      <c r="K267" s="4"/>
      <c r="L267" s="9">
        <v>28.360600000000002</v>
      </c>
      <c r="M267" s="9">
        <v>11.6745</v>
      </c>
      <c r="N267" s="9">
        <v>4.7850000000000001</v>
      </c>
      <c r="O267" s="9">
        <v>0.36199999999999999</v>
      </c>
      <c r="P267" s="9">
        <v>1.2509999999999999</v>
      </c>
      <c r="Q267" s="9">
        <v>29.6568</v>
      </c>
      <c r="R267" s="9"/>
      <c r="S267" s="11"/>
    </row>
    <row r="268" spans="1:19" ht="15.75">
      <c r="A268" s="14">
        <v>49644</v>
      </c>
      <c r="B268" s="8">
        <f>9.1086 * CHOOSE(CONTROL!$C$15, $D$11, 100%, $F$11)</f>
        <v>9.1085999999999991</v>
      </c>
      <c r="C268" s="8">
        <f>9.1138 * CHOOSE(CONTROL!$C$15, $D$11, 100%, $F$11)</f>
        <v>9.1137999999999995</v>
      </c>
      <c r="D268" s="8">
        <f>9.0983 * CHOOSE( CONTROL!$C$15, $D$11, 100%, $F$11)</f>
        <v>9.0983000000000001</v>
      </c>
      <c r="E268" s="12">
        <f>9.1034 * CHOOSE( CONTROL!$C$15, $D$11, 100%, $F$11)</f>
        <v>9.1034000000000006</v>
      </c>
      <c r="F268" s="4">
        <f>9.7591 * CHOOSE(CONTROL!$C$15, $D$11, 100%, $F$11)</f>
        <v>9.7591000000000001</v>
      </c>
      <c r="G268" s="8">
        <f>8.8896 * CHOOSE( CONTROL!$C$15, $D$11, 100%, $F$11)</f>
        <v>8.8895999999999997</v>
      </c>
      <c r="H268" s="4">
        <f>9.7665 * CHOOSE(CONTROL!$C$15, $D$11, 100%, $F$11)</f>
        <v>9.7665000000000006</v>
      </c>
      <c r="I268" s="8">
        <f>8.882 * CHOOSE(CONTROL!$C$15, $D$11, 100%, $F$11)</f>
        <v>8.8819999999999997</v>
      </c>
      <c r="J268" s="4">
        <f>8.718 * CHOOSE(CONTROL!$C$15, $D$11, 100%, $F$11)</f>
        <v>8.718</v>
      </c>
      <c r="K268" s="4"/>
      <c r="L268" s="9">
        <v>29.306000000000001</v>
      </c>
      <c r="M268" s="9">
        <v>12.063700000000001</v>
      </c>
      <c r="N268" s="9">
        <v>4.9444999999999997</v>
      </c>
      <c r="O268" s="9">
        <v>0.37409999999999999</v>
      </c>
      <c r="P268" s="9">
        <v>1.2927</v>
      </c>
      <c r="Q268" s="9">
        <v>30.645399999999999</v>
      </c>
      <c r="R268" s="9"/>
      <c r="S268" s="11"/>
    </row>
    <row r="269" spans="1:19" ht="15.75">
      <c r="A269" s="14">
        <v>49675</v>
      </c>
      <c r="B269" s="8">
        <f>9.3765 * CHOOSE(CONTROL!$C$15, $D$11, 100%, $F$11)</f>
        <v>9.3765000000000001</v>
      </c>
      <c r="C269" s="8">
        <f>9.3817 * CHOOSE(CONTROL!$C$15, $D$11, 100%, $F$11)</f>
        <v>9.3817000000000004</v>
      </c>
      <c r="D269" s="8">
        <f>9.3618 * CHOOSE( CONTROL!$C$15, $D$11, 100%, $F$11)</f>
        <v>9.3618000000000006</v>
      </c>
      <c r="E269" s="12">
        <f>9.3685 * CHOOSE( CONTROL!$C$15, $D$11, 100%, $F$11)</f>
        <v>9.3684999999999992</v>
      </c>
      <c r="F269" s="4">
        <f>10.0269 * CHOOSE(CONTROL!$C$15, $D$11, 100%, $F$11)</f>
        <v>10.026899999999999</v>
      </c>
      <c r="G269" s="8">
        <f>9.1419 * CHOOSE( CONTROL!$C$15, $D$11, 100%, $F$11)</f>
        <v>9.1418999999999997</v>
      </c>
      <c r="H269" s="4">
        <f>10.0281 * CHOOSE(CONTROL!$C$15, $D$11, 100%, $F$11)</f>
        <v>10.0281</v>
      </c>
      <c r="I269" s="8">
        <f>9.0983 * CHOOSE(CONTROL!$C$15, $D$11, 100%, $F$11)</f>
        <v>9.0983000000000001</v>
      </c>
      <c r="J269" s="4">
        <f>8.9752 * CHOOSE(CONTROL!$C$15, $D$11, 100%, $F$11)</f>
        <v>8.9751999999999992</v>
      </c>
      <c r="K269" s="4"/>
      <c r="L269" s="9">
        <v>29.306000000000001</v>
      </c>
      <c r="M269" s="9">
        <v>12.063700000000001</v>
      </c>
      <c r="N269" s="9">
        <v>4.9444999999999997</v>
      </c>
      <c r="O269" s="9">
        <v>0.37409999999999999</v>
      </c>
      <c r="P269" s="9">
        <v>1.2927</v>
      </c>
      <c r="Q269" s="9">
        <v>30.580300000000001</v>
      </c>
      <c r="R269" s="9"/>
      <c r="S269" s="11"/>
    </row>
    <row r="270" spans="1:19" ht="15.75">
      <c r="A270" s="14">
        <v>49706</v>
      </c>
      <c r="B270" s="8">
        <f>8.7721 * CHOOSE(CONTROL!$C$15, $D$11, 100%, $F$11)</f>
        <v>8.7721</v>
      </c>
      <c r="C270" s="8">
        <f>8.7773 * CHOOSE(CONTROL!$C$15, $D$11, 100%, $F$11)</f>
        <v>8.7773000000000003</v>
      </c>
      <c r="D270" s="8">
        <f>8.7574 * CHOOSE( CONTROL!$C$15, $D$11, 100%, $F$11)</f>
        <v>8.7574000000000005</v>
      </c>
      <c r="E270" s="12">
        <f>8.7641 * CHOOSE( CONTROL!$C$15, $D$11, 100%, $F$11)</f>
        <v>8.7640999999999991</v>
      </c>
      <c r="F270" s="4">
        <f>9.4226 * CHOOSE(CONTROL!$C$15, $D$11, 100%, $F$11)</f>
        <v>9.4225999999999992</v>
      </c>
      <c r="G270" s="8">
        <f>8.5516 * CHOOSE( CONTROL!$C$15, $D$11, 100%, $F$11)</f>
        <v>8.5516000000000005</v>
      </c>
      <c r="H270" s="4">
        <f>9.4379 * CHOOSE(CONTROL!$C$15, $D$11, 100%, $F$11)</f>
        <v>9.4379000000000008</v>
      </c>
      <c r="I270" s="8">
        <f>8.5177 * CHOOSE(CONTROL!$C$15, $D$11, 100%, $F$11)</f>
        <v>8.5176999999999996</v>
      </c>
      <c r="J270" s="4">
        <f>8.3949 * CHOOSE(CONTROL!$C$15, $D$11, 100%, $F$11)</f>
        <v>8.3948999999999998</v>
      </c>
      <c r="K270" s="4"/>
      <c r="L270" s="9">
        <v>27.415299999999998</v>
      </c>
      <c r="M270" s="9">
        <v>11.285299999999999</v>
      </c>
      <c r="N270" s="9">
        <v>4.6254999999999997</v>
      </c>
      <c r="O270" s="9">
        <v>0.34989999999999999</v>
      </c>
      <c r="P270" s="9">
        <v>1.2093</v>
      </c>
      <c r="Q270" s="9">
        <v>28.607299999999999</v>
      </c>
      <c r="R270" s="9"/>
      <c r="S270" s="11"/>
    </row>
    <row r="271" spans="1:19" ht="15.75">
      <c r="A271" s="14">
        <v>49735</v>
      </c>
      <c r="B271" s="8">
        <f>8.586 * CHOOSE(CONTROL!$C$15, $D$11, 100%, $F$11)</f>
        <v>8.5860000000000003</v>
      </c>
      <c r="C271" s="8">
        <f>8.5912 * CHOOSE(CONTROL!$C$15, $D$11, 100%, $F$11)</f>
        <v>8.5912000000000006</v>
      </c>
      <c r="D271" s="8">
        <f>8.571 * CHOOSE( CONTROL!$C$15, $D$11, 100%, $F$11)</f>
        <v>8.5709999999999997</v>
      </c>
      <c r="E271" s="12">
        <f>8.5778 * CHOOSE( CONTROL!$C$15, $D$11, 100%, $F$11)</f>
        <v>8.5777999999999999</v>
      </c>
      <c r="F271" s="4">
        <f>9.2365 * CHOOSE(CONTROL!$C$15, $D$11, 100%, $F$11)</f>
        <v>9.2364999999999995</v>
      </c>
      <c r="G271" s="8">
        <f>8.3696 * CHOOSE( CONTROL!$C$15, $D$11, 100%, $F$11)</f>
        <v>8.3696000000000002</v>
      </c>
      <c r="H271" s="4">
        <f>9.2561 * CHOOSE(CONTROL!$C$15, $D$11, 100%, $F$11)</f>
        <v>9.2561</v>
      </c>
      <c r="I271" s="8">
        <f>8.3378 * CHOOSE(CONTROL!$C$15, $D$11, 100%, $F$11)</f>
        <v>8.3377999999999997</v>
      </c>
      <c r="J271" s="4">
        <f>8.2162 * CHOOSE(CONTROL!$C$15, $D$11, 100%, $F$11)</f>
        <v>8.2162000000000006</v>
      </c>
      <c r="K271" s="4"/>
      <c r="L271" s="9">
        <v>29.306000000000001</v>
      </c>
      <c r="M271" s="9">
        <v>12.063700000000001</v>
      </c>
      <c r="N271" s="9">
        <v>4.9444999999999997</v>
      </c>
      <c r="O271" s="9">
        <v>0.37409999999999999</v>
      </c>
      <c r="P271" s="9">
        <v>1.2927</v>
      </c>
      <c r="Q271" s="9">
        <v>30.580300000000001</v>
      </c>
      <c r="R271" s="9"/>
      <c r="S271" s="11"/>
    </row>
    <row r="272" spans="1:19" ht="15.75">
      <c r="A272" s="14">
        <v>49766</v>
      </c>
      <c r="B272" s="8">
        <f>8.7168 * CHOOSE(CONTROL!$C$15, $D$11, 100%, $F$11)</f>
        <v>8.7167999999999992</v>
      </c>
      <c r="C272" s="8">
        <f>8.7214 * CHOOSE(CONTROL!$C$15, $D$11, 100%, $F$11)</f>
        <v>8.7213999999999992</v>
      </c>
      <c r="D272" s="8">
        <f>8.752 * CHOOSE( CONTROL!$C$15, $D$11, 100%, $F$11)</f>
        <v>8.7520000000000007</v>
      </c>
      <c r="E272" s="12">
        <f>8.7414 * CHOOSE( CONTROL!$C$15, $D$11, 100%, $F$11)</f>
        <v>8.7414000000000005</v>
      </c>
      <c r="F272" s="4">
        <f>9.4316 * CHOOSE(CONTROL!$C$15, $D$11, 100%, $F$11)</f>
        <v>9.4315999999999995</v>
      </c>
      <c r="G272" s="8">
        <f>8.4978 * CHOOSE( CONTROL!$C$15, $D$11, 100%, $F$11)</f>
        <v>8.4977999999999998</v>
      </c>
      <c r="H272" s="4">
        <f>9.4467 * CHOOSE(CONTROL!$C$15, $D$11, 100%, $F$11)</f>
        <v>9.4466999999999999</v>
      </c>
      <c r="I272" s="8">
        <f>8.4548 * CHOOSE(CONTROL!$C$15, $D$11, 100%, $F$11)</f>
        <v>8.4548000000000005</v>
      </c>
      <c r="J272" s="4">
        <f>8.3411 * CHOOSE(CONTROL!$C$15, $D$11, 100%, $F$11)</f>
        <v>8.3411000000000008</v>
      </c>
      <c r="K272" s="4"/>
      <c r="L272" s="9">
        <v>30.092199999999998</v>
      </c>
      <c r="M272" s="9">
        <v>11.6745</v>
      </c>
      <c r="N272" s="9">
        <v>4.7850000000000001</v>
      </c>
      <c r="O272" s="9">
        <v>0.36199999999999999</v>
      </c>
      <c r="P272" s="9">
        <v>1.1791</v>
      </c>
      <c r="Q272" s="9">
        <v>29.593800000000002</v>
      </c>
      <c r="R272" s="9"/>
      <c r="S272" s="11"/>
    </row>
    <row r="273" spans="1:19" ht="15.75">
      <c r="A273" s="14">
        <v>49796</v>
      </c>
      <c r="B273" s="8">
        <f>CHOOSE( CONTROL!$C$32, 8.952, 8.9497) * CHOOSE(CONTROL!$C$15, $D$11, 100%, $F$11)</f>
        <v>8.952</v>
      </c>
      <c r="C273" s="8">
        <f>CHOOSE( CONTROL!$C$32, 8.9601, 8.9578) * CHOOSE(CONTROL!$C$15, $D$11, 100%, $F$11)</f>
        <v>8.9601000000000006</v>
      </c>
      <c r="D273" s="8">
        <f>CHOOSE( CONTROL!$C$32, 8.9853, 8.983) * CHOOSE( CONTROL!$C$15, $D$11, 100%, $F$11)</f>
        <v>8.9853000000000005</v>
      </c>
      <c r="E273" s="12">
        <f>CHOOSE( CONTROL!$C$32, 8.9749, 8.9726) * CHOOSE( CONTROL!$C$15, $D$11, 100%, $F$11)</f>
        <v>8.9748999999999999</v>
      </c>
      <c r="F273" s="4">
        <f>CHOOSE( CONTROL!$C$32, 9.6655, 9.6631) * CHOOSE(CONTROL!$C$15, $D$11, 100%, $F$11)</f>
        <v>9.6654999999999998</v>
      </c>
      <c r="G273" s="8">
        <f>CHOOSE( CONTROL!$C$32, 8.7267, 8.7244) * CHOOSE( CONTROL!$C$15, $D$11, 100%, $F$11)</f>
        <v>8.7266999999999992</v>
      </c>
      <c r="H273" s="4">
        <f>CHOOSE( CONTROL!$C$32, 9.6751, 9.6728) * CHOOSE(CONTROL!$C$15, $D$11, 100%, $F$11)</f>
        <v>9.6751000000000005</v>
      </c>
      <c r="I273" s="8">
        <f>CHOOSE( CONTROL!$C$32, 8.6797, 8.6774) * CHOOSE(CONTROL!$C$15, $D$11, 100%, $F$11)</f>
        <v>8.6797000000000004</v>
      </c>
      <c r="J273" s="4">
        <f>CHOOSE( CONTROL!$C$32, 8.5656, 8.5634) * CHOOSE(CONTROL!$C$15, $D$11, 100%, $F$11)</f>
        <v>8.5655999999999999</v>
      </c>
      <c r="K273" s="4"/>
      <c r="L273" s="9">
        <v>30.7165</v>
      </c>
      <c r="M273" s="9">
        <v>12.063700000000001</v>
      </c>
      <c r="N273" s="9">
        <v>4.9444999999999997</v>
      </c>
      <c r="O273" s="9">
        <v>0.37409999999999999</v>
      </c>
      <c r="P273" s="9">
        <v>1.2183999999999999</v>
      </c>
      <c r="Q273" s="9">
        <v>30.580300000000001</v>
      </c>
      <c r="R273" s="9"/>
      <c r="S273" s="11"/>
    </row>
    <row r="274" spans="1:19" ht="15.75">
      <c r="A274" s="14">
        <v>49827</v>
      </c>
      <c r="B274" s="8">
        <f>CHOOSE( CONTROL!$C$32, 8.8086, 8.8063) * CHOOSE(CONTROL!$C$15, $D$11, 100%, $F$11)</f>
        <v>8.8086000000000002</v>
      </c>
      <c r="C274" s="8">
        <f>CHOOSE( CONTROL!$C$32, 8.8167, 8.8144) * CHOOSE(CONTROL!$C$15, $D$11, 100%, $F$11)</f>
        <v>8.8167000000000009</v>
      </c>
      <c r="D274" s="8">
        <f>CHOOSE( CONTROL!$C$32, 8.8421, 8.8398) * CHOOSE( CONTROL!$C$15, $D$11, 100%, $F$11)</f>
        <v>8.8421000000000003</v>
      </c>
      <c r="E274" s="12">
        <f>CHOOSE( CONTROL!$C$32, 8.8317, 8.8294) * CHOOSE( CONTROL!$C$15, $D$11, 100%, $F$11)</f>
        <v>8.8316999999999997</v>
      </c>
      <c r="F274" s="4">
        <f>CHOOSE( CONTROL!$C$32, 9.5221, 9.5197) * CHOOSE(CONTROL!$C$15, $D$11, 100%, $F$11)</f>
        <v>9.5221</v>
      </c>
      <c r="G274" s="8">
        <f>CHOOSE( CONTROL!$C$32, 8.587, 8.5847) * CHOOSE( CONTROL!$C$15, $D$11, 100%, $F$11)</f>
        <v>8.5869999999999997</v>
      </c>
      <c r="H274" s="4">
        <f>CHOOSE( CONTROL!$C$32, 9.535, 9.5327) * CHOOSE(CONTROL!$C$15, $D$11, 100%, $F$11)</f>
        <v>9.5350000000000001</v>
      </c>
      <c r="I274" s="8">
        <f>CHOOSE( CONTROL!$C$32, 8.5429, 8.5406) * CHOOSE(CONTROL!$C$15, $D$11, 100%, $F$11)</f>
        <v>8.5428999999999995</v>
      </c>
      <c r="J274" s="4">
        <f>CHOOSE( CONTROL!$C$32, 8.4279, 8.4257) * CHOOSE(CONTROL!$C$15, $D$11, 100%, $F$11)</f>
        <v>8.4278999999999993</v>
      </c>
      <c r="K274" s="4"/>
      <c r="L274" s="9">
        <v>29.7257</v>
      </c>
      <c r="M274" s="9">
        <v>11.6745</v>
      </c>
      <c r="N274" s="9">
        <v>4.7850000000000001</v>
      </c>
      <c r="O274" s="9">
        <v>0.36199999999999999</v>
      </c>
      <c r="P274" s="9">
        <v>1.1791</v>
      </c>
      <c r="Q274" s="9">
        <v>29.593800000000002</v>
      </c>
      <c r="R274" s="9"/>
      <c r="S274" s="11"/>
    </row>
    <row r="275" spans="1:19" ht="15.75">
      <c r="A275" s="14">
        <v>49857</v>
      </c>
      <c r="B275" s="8">
        <f>CHOOSE( CONTROL!$C$32, 9.1863, 9.1839) * CHOOSE(CONTROL!$C$15, $D$11, 100%, $F$11)</f>
        <v>9.1862999999999992</v>
      </c>
      <c r="C275" s="8">
        <f>CHOOSE( CONTROL!$C$32, 9.1943, 9.192) * CHOOSE(CONTROL!$C$15, $D$11, 100%, $F$11)</f>
        <v>9.1943000000000001</v>
      </c>
      <c r="D275" s="8">
        <f>CHOOSE( CONTROL!$C$32, 9.22, 9.2177) * CHOOSE( CONTROL!$C$15, $D$11, 100%, $F$11)</f>
        <v>9.2200000000000006</v>
      </c>
      <c r="E275" s="12">
        <f>CHOOSE( CONTROL!$C$32, 9.2095, 9.2072) * CHOOSE( CONTROL!$C$15, $D$11, 100%, $F$11)</f>
        <v>9.2095000000000002</v>
      </c>
      <c r="F275" s="4">
        <f>CHOOSE( CONTROL!$C$32, 9.8997, 9.8973) * CHOOSE(CONTROL!$C$15, $D$11, 100%, $F$11)</f>
        <v>9.8996999999999993</v>
      </c>
      <c r="G275" s="8">
        <f>CHOOSE( CONTROL!$C$32, 8.9562, 8.9539) * CHOOSE( CONTROL!$C$15, $D$11, 100%, $F$11)</f>
        <v>8.9562000000000008</v>
      </c>
      <c r="H275" s="4">
        <f>CHOOSE( CONTROL!$C$32, 9.9038, 9.9015) * CHOOSE(CONTROL!$C$15, $D$11, 100%, $F$11)</f>
        <v>9.9038000000000004</v>
      </c>
      <c r="I275" s="8">
        <f>CHOOSE( CONTROL!$C$32, 8.9068, 8.9046) * CHOOSE(CONTROL!$C$15, $D$11, 100%, $F$11)</f>
        <v>8.9068000000000005</v>
      </c>
      <c r="J275" s="4">
        <f>CHOOSE( CONTROL!$C$32, 8.7905, 8.7883) * CHOOSE(CONTROL!$C$15, $D$11, 100%, $F$11)</f>
        <v>8.7904999999999998</v>
      </c>
      <c r="K275" s="4"/>
      <c r="L275" s="9">
        <v>30.7165</v>
      </c>
      <c r="M275" s="9">
        <v>12.063700000000001</v>
      </c>
      <c r="N275" s="9">
        <v>4.9444999999999997</v>
      </c>
      <c r="O275" s="9">
        <v>0.37409999999999999</v>
      </c>
      <c r="P275" s="9">
        <v>1.2183999999999999</v>
      </c>
      <c r="Q275" s="9">
        <v>30.580300000000001</v>
      </c>
      <c r="R275" s="9"/>
      <c r="S275" s="11"/>
    </row>
    <row r="276" spans="1:19" ht="15.75">
      <c r="A276" s="14">
        <v>49888</v>
      </c>
      <c r="B276" s="8">
        <f>CHOOSE( CONTROL!$C$32, 8.4797, 8.4773) * CHOOSE(CONTROL!$C$15, $D$11, 100%, $F$11)</f>
        <v>8.4796999999999993</v>
      </c>
      <c r="C276" s="8">
        <f>CHOOSE( CONTROL!$C$32, 8.4878, 8.4854) * CHOOSE(CONTROL!$C$15, $D$11, 100%, $F$11)</f>
        <v>8.4878</v>
      </c>
      <c r="D276" s="8">
        <f>CHOOSE( CONTROL!$C$32, 8.5135, 8.5112) * CHOOSE( CONTROL!$C$15, $D$11, 100%, $F$11)</f>
        <v>8.5135000000000005</v>
      </c>
      <c r="E276" s="12">
        <f>CHOOSE( CONTROL!$C$32, 8.503, 8.5006) * CHOOSE( CONTROL!$C$15, $D$11, 100%, $F$11)</f>
        <v>8.5030000000000001</v>
      </c>
      <c r="F276" s="4">
        <f>CHOOSE( CONTROL!$C$32, 9.1931, 9.1908) * CHOOSE(CONTROL!$C$15, $D$11, 100%, $F$11)</f>
        <v>9.1930999999999994</v>
      </c>
      <c r="G276" s="8">
        <f>CHOOSE( CONTROL!$C$32, 8.2662, 8.2639) * CHOOSE( CONTROL!$C$15, $D$11, 100%, $F$11)</f>
        <v>8.2661999999999995</v>
      </c>
      <c r="H276" s="4">
        <f>CHOOSE( CONTROL!$C$32, 9.2137, 9.2114) * CHOOSE(CONTROL!$C$15, $D$11, 100%, $F$11)</f>
        <v>9.2136999999999993</v>
      </c>
      <c r="I276" s="8">
        <f>CHOOSE( CONTROL!$C$32, 8.2285, 8.2262) * CHOOSE(CONTROL!$C$15, $D$11, 100%, $F$11)</f>
        <v>8.2285000000000004</v>
      </c>
      <c r="J276" s="4">
        <f>CHOOSE( CONTROL!$C$32, 8.1121, 8.1099) * CHOOSE(CONTROL!$C$15, $D$11, 100%, $F$11)</f>
        <v>8.1120999999999999</v>
      </c>
      <c r="K276" s="4"/>
      <c r="L276" s="9">
        <v>30.7165</v>
      </c>
      <c r="M276" s="9">
        <v>12.063700000000001</v>
      </c>
      <c r="N276" s="9">
        <v>4.9444999999999997</v>
      </c>
      <c r="O276" s="9">
        <v>0.37409999999999999</v>
      </c>
      <c r="P276" s="9">
        <v>1.2183999999999999</v>
      </c>
      <c r="Q276" s="9">
        <v>30.580300000000001</v>
      </c>
      <c r="R276" s="9"/>
      <c r="S276" s="11"/>
    </row>
    <row r="277" spans="1:19" ht="15.75">
      <c r="A277" s="14">
        <v>49919</v>
      </c>
      <c r="B277" s="8">
        <f>CHOOSE( CONTROL!$C$32, 8.3027, 8.3004) * CHOOSE(CONTROL!$C$15, $D$11, 100%, $F$11)</f>
        <v>8.3026999999999997</v>
      </c>
      <c r="C277" s="8">
        <f>CHOOSE( CONTROL!$C$32, 8.3108, 8.3085) * CHOOSE(CONTROL!$C$15, $D$11, 100%, $F$11)</f>
        <v>8.3108000000000004</v>
      </c>
      <c r="D277" s="8">
        <f>CHOOSE( CONTROL!$C$32, 8.3365, 8.3342) * CHOOSE( CONTROL!$C$15, $D$11, 100%, $F$11)</f>
        <v>8.3364999999999991</v>
      </c>
      <c r="E277" s="12">
        <f>CHOOSE( CONTROL!$C$32, 8.326, 8.3237) * CHOOSE( CONTROL!$C$15, $D$11, 100%, $F$11)</f>
        <v>8.3260000000000005</v>
      </c>
      <c r="F277" s="4">
        <f>CHOOSE( CONTROL!$C$32, 9.0162, 9.0138) * CHOOSE(CONTROL!$C$15, $D$11, 100%, $F$11)</f>
        <v>9.0161999999999995</v>
      </c>
      <c r="G277" s="8">
        <f>CHOOSE( CONTROL!$C$32, 8.0933, 8.091) * CHOOSE( CONTROL!$C$15, $D$11, 100%, $F$11)</f>
        <v>8.0932999999999993</v>
      </c>
      <c r="H277" s="4">
        <f>CHOOSE( CONTROL!$C$32, 9.0409, 9.0386) * CHOOSE(CONTROL!$C$15, $D$11, 100%, $F$11)</f>
        <v>9.0409000000000006</v>
      </c>
      <c r="I277" s="8">
        <f>CHOOSE( CONTROL!$C$32, 8.0584, 8.0562) * CHOOSE(CONTROL!$C$15, $D$11, 100%, $F$11)</f>
        <v>8.0584000000000007</v>
      </c>
      <c r="J277" s="4">
        <f>CHOOSE( CONTROL!$C$32, 7.9422, 7.94) * CHOOSE(CONTROL!$C$15, $D$11, 100%, $F$11)</f>
        <v>7.9421999999999997</v>
      </c>
      <c r="K277" s="4"/>
      <c r="L277" s="9">
        <v>29.7257</v>
      </c>
      <c r="M277" s="9">
        <v>11.6745</v>
      </c>
      <c r="N277" s="9">
        <v>4.7850000000000001</v>
      </c>
      <c r="O277" s="9">
        <v>0.36199999999999999</v>
      </c>
      <c r="P277" s="9">
        <v>1.1791</v>
      </c>
      <c r="Q277" s="9">
        <v>29.593800000000002</v>
      </c>
      <c r="R277" s="9"/>
      <c r="S277" s="11"/>
    </row>
    <row r="278" spans="1:19" ht="15.75">
      <c r="A278" s="14">
        <v>49949</v>
      </c>
      <c r="B278" s="8">
        <f>8.6661 * CHOOSE(CONTROL!$C$15, $D$11, 100%, $F$11)</f>
        <v>8.6661000000000001</v>
      </c>
      <c r="C278" s="8">
        <f>8.6715 * CHOOSE(CONTROL!$C$15, $D$11, 100%, $F$11)</f>
        <v>8.6715</v>
      </c>
      <c r="D278" s="8">
        <f>8.7023 * CHOOSE( CONTROL!$C$15, $D$11, 100%, $F$11)</f>
        <v>8.7022999999999993</v>
      </c>
      <c r="E278" s="12">
        <f>8.6916 * CHOOSE( CONTROL!$C$15, $D$11, 100%, $F$11)</f>
        <v>8.6915999999999993</v>
      </c>
      <c r="F278" s="4">
        <f>9.3812 * CHOOSE(CONTROL!$C$15, $D$11, 100%, $F$11)</f>
        <v>9.3811999999999998</v>
      </c>
      <c r="G278" s="8">
        <f>8.4496 * CHOOSE( CONTROL!$C$15, $D$11, 100%, $F$11)</f>
        <v>8.4496000000000002</v>
      </c>
      <c r="H278" s="4">
        <f>9.3974 * CHOOSE(CONTROL!$C$15, $D$11, 100%, $F$11)</f>
        <v>9.3973999999999993</v>
      </c>
      <c r="I278" s="8">
        <f>8.4099 * CHOOSE(CONTROL!$C$15, $D$11, 100%, $F$11)</f>
        <v>8.4099000000000004</v>
      </c>
      <c r="J278" s="4">
        <f>8.2927 * CHOOSE(CONTROL!$C$15, $D$11, 100%, $F$11)</f>
        <v>8.2927</v>
      </c>
      <c r="K278" s="4"/>
      <c r="L278" s="9">
        <v>31.095300000000002</v>
      </c>
      <c r="M278" s="9">
        <v>12.063700000000001</v>
      </c>
      <c r="N278" s="9">
        <v>4.9444999999999997</v>
      </c>
      <c r="O278" s="9">
        <v>0.37409999999999999</v>
      </c>
      <c r="P278" s="9">
        <v>1.2183999999999999</v>
      </c>
      <c r="Q278" s="9">
        <v>30.580300000000001</v>
      </c>
      <c r="R278" s="9"/>
      <c r="S278" s="11"/>
    </row>
    <row r="279" spans="1:19" ht="15.75">
      <c r="A279" s="14">
        <v>49980</v>
      </c>
      <c r="B279" s="8">
        <f>9.3438 * CHOOSE(CONTROL!$C$15, $D$11, 100%, $F$11)</f>
        <v>9.3437999999999999</v>
      </c>
      <c r="C279" s="8">
        <f>9.3489 * CHOOSE(CONTROL!$C$15, $D$11, 100%, $F$11)</f>
        <v>9.3489000000000004</v>
      </c>
      <c r="D279" s="8">
        <f>9.332 * CHOOSE( CONTROL!$C$15, $D$11, 100%, $F$11)</f>
        <v>9.3320000000000007</v>
      </c>
      <c r="E279" s="12">
        <f>9.3376 * CHOOSE( CONTROL!$C$15, $D$11, 100%, $F$11)</f>
        <v>9.3376000000000001</v>
      </c>
      <c r="F279" s="4">
        <f>9.9942 * CHOOSE(CONTROL!$C$15, $D$11, 100%, $F$11)</f>
        <v>9.9941999999999993</v>
      </c>
      <c r="G279" s="8">
        <f>9.1182 * CHOOSE( CONTROL!$C$15, $D$11, 100%, $F$11)</f>
        <v>9.1181999999999999</v>
      </c>
      <c r="H279" s="4">
        <f>9.9962 * CHOOSE(CONTROL!$C$15, $D$11, 100%, $F$11)</f>
        <v>9.9962</v>
      </c>
      <c r="I279" s="8">
        <f>9.1031 * CHOOSE(CONTROL!$C$15, $D$11, 100%, $F$11)</f>
        <v>9.1030999999999995</v>
      </c>
      <c r="J279" s="4">
        <f>8.9438 * CHOOSE(CONTROL!$C$15, $D$11, 100%, $F$11)</f>
        <v>8.9437999999999995</v>
      </c>
      <c r="K279" s="4"/>
      <c r="L279" s="9">
        <v>28.360600000000002</v>
      </c>
      <c r="M279" s="9">
        <v>11.6745</v>
      </c>
      <c r="N279" s="9">
        <v>4.7850000000000001</v>
      </c>
      <c r="O279" s="9">
        <v>0.36199999999999999</v>
      </c>
      <c r="P279" s="9">
        <v>1.2509999999999999</v>
      </c>
      <c r="Q279" s="9">
        <v>29.593800000000002</v>
      </c>
      <c r="R279" s="9"/>
      <c r="S279" s="11"/>
    </row>
    <row r="280" spans="1:19" ht="15.75">
      <c r="A280" s="14">
        <v>50010</v>
      </c>
      <c r="B280" s="8">
        <f>9.3268 * CHOOSE(CONTROL!$C$15, $D$11, 100%, $F$11)</f>
        <v>9.3268000000000004</v>
      </c>
      <c r="C280" s="8">
        <f>9.332 * CHOOSE(CONTROL!$C$15, $D$11, 100%, $F$11)</f>
        <v>9.3320000000000007</v>
      </c>
      <c r="D280" s="8">
        <f>9.3165 * CHOOSE( CONTROL!$C$15, $D$11, 100%, $F$11)</f>
        <v>9.3164999999999996</v>
      </c>
      <c r="E280" s="12">
        <f>9.3216 * CHOOSE( CONTROL!$C$15, $D$11, 100%, $F$11)</f>
        <v>9.3216000000000001</v>
      </c>
      <c r="F280" s="4">
        <f>9.9773 * CHOOSE(CONTROL!$C$15, $D$11, 100%, $F$11)</f>
        <v>9.9772999999999996</v>
      </c>
      <c r="G280" s="8">
        <f>9.1027 * CHOOSE( CONTROL!$C$15, $D$11, 100%, $F$11)</f>
        <v>9.1027000000000005</v>
      </c>
      <c r="H280" s="4">
        <f>9.9796 * CHOOSE(CONTROL!$C$15, $D$11, 100%, $F$11)</f>
        <v>9.9795999999999996</v>
      </c>
      <c r="I280" s="8">
        <f>9.0915 * CHOOSE(CONTROL!$C$15, $D$11, 100%, $F$11)</f>
        <v>9.0914999999999999</v>
      </c>
      <c r="J280" s="4">
        <f>8.9275 * CHOOSE(CONTROL!$C$15, $D$11, 100%, $F$11)</f>
        <v>8.9275000000000002</v>
      </c>
      <c r="K280" s="4"/>
      <c r="L280" s="9">
        <v>29.306000000000001</v>
      </c>
      <c r="M280" s="9">
        <v>12.063700000000001</v>
      </c>
      <c r="N280" s="9">
        <v>4.9444999999999997</v>
      </c>
      <c r="O280" s="9">
        <v>0.37409999999999999</v>
      </c>
      <c r="P280" s="9">
        <v>1.2927</v>
      </c>
      <c r="Q280" s="9">
        <v>30.580300000000001</v>
      </c>
      <c r="R280" s="9"/>
      <c r="S280" s="11"/>
    </row>
    <row r="281" spans="1:19" ht="15.75">
      <c r="A281" s="14">
        <v>50041</v>
      </c>
      <c r="B281" s="8">
        <f>9.6011 * CHOOSE(CONTROL!$C$15, $D$11, 100%, $F$11)</f>
        <v>9.6011000000000006</v>
      </c>
      <c r="C281" s="8">
        <f>9.6063 * CHOOSE(CONTROL!$C$15, $D$11, 100%, $F$11)</f>
        <v>9.6062999999999992</v>
      </c>
      <c r="D281" s="8">
        <f>9.5864 * CHOOSE( CONTROL!$C$15, $D$11, 100%, $F$11)</f>
        <v>9.5863999999999994</v>
      </c>
      <c r="E281" s="12">
        <f>9.5931 * CHOOSE( CONTROL!$C$15, $D$11, 100%, $F$11)</f>
        <v>9.5930999999999997</v>
      </c>
      <c r="F281" s="4">
        <f>10.2516 * CHOOSE(CONTROL!$C$15, $D$11, 100%, $F$11)</f>
        <v>10.2516</v>
      </c>
      <c r="G281" s="8">
        <f>9.3613 * CHOOSE( CONTROL!$C$15, $D$11, 100%, $F$11)</f>
        <v>9.3613</v>
      </c>
      <c r="H281" s="4">
        <f>10.2475 * CHOOSE(CONTROL!$C$15, $D$11, 100%, $F$11)</f>
        <v>10.2475</v>
      </c>
      <c r="I281" s="8">
        <f>9.3141 * CHOOSE(CONTROL!$C$15, $D$11, 100%, $F$11)</f>
        <v>9.3140999999999998</v>
      </c>
      <c r="J281" s="4">
        <f>9.1908 * CHOOSE(CONTROL!$C$15, $D$11, 100%, $F$11)</f>
        <v>9.1907999999999994</v>
      </c>
      <c r="K281" s="4"/>
      <c r="L281" s="9">
        <v>29.306000000000001</v>
      </c>
      <c r="M281" s="9">
        <v>12.063700000000001</v>
      </c>
      <c r="N281" s="9">
        <v>4.9444999999999997</v>
      </c>
      <c r="O281" s="9">
        <v>0.37409999999999999</v>
      </c>
      <c r="P281" s="9">
        <v>1.2927</v>
      </c>
      <c r="Q281" s="9">
        <v>30.5152</v>
      </c>
      <c r="R281" s="9"/>
      <c r="S281" s="11"/>
    </row>
    <row r="282" spans="1:19" ht="15.75">
      <c r="A282" s="14">
        <v>50072</v>
      </c>
      <c r="B282" s="8">
        <f>8.9822 * CHOOSE(CONTROL!$C$15, $D$11, 100%, $F$11)</f>
        <v>8.9822000000000006</v>
      </c>
      <c r="C282" s="8">
        <f>8.9874 * CHOOSE(CONTROL!$C$15, $D$11, 100%, $F$11)</f>
        <v>8.9873999999999992</v>
      </c>
      <c r="D282" s="8">
        <f>8.9675 * CHOOSE( CONTROL!$C$15, $D$11, 100%, $F$11)</f>
        <v>8.9674999999999994</v>
      </c>
      <c r="E282" s="12">
        <f>8.9742 * CHOOSE( CONTROL!$C$15, $D$11, 100%, $F$11)</f>
        <v>8.9741999999999997</v>
      </c>
      <c r="F282" s="4">
        <f>9.6327 * CHOOSE(CONTROL!$C$15, $D$11, 100%, $F$11)</f>
        <v>9.6326999999999998</v>
      </c>
      <c r="G282" s="8">
        <f>8.7568 * CHOOSE( CONTROL!$C$15, $D$11, 100%, $F$11)</f>
        <v>8.7568000000000001</v>
      </c>
      <c r="H282" s="4">
        <f>9.643 * CHOOSE(CONTROL!$C$15, $D$11, 100%, $F$11)</f>
        <v>9.6430000000000007</v>
      </c>
      <c r="I282" s="8">
        <f>8.7195 * CHOOSE(CONTROL!$C$15, $D$11, 100%, $F$11)</f>
        <v>8.7195</v>
      </c>
      <c r="J282" s="4">
        <f>8.5967 * CHOOSE(CONTROL!$C$15, $D$11, 100%, $F$11)</f>
        <v>8.5967000000000002</v>
      </c>
      <c r="K282" s="4"/>
      <c r="L282" s="9">
        <v>26.469899999999999</v>
      </c>
      <c r="M282" s="9">
        <v>10.8962</v>
      </c>
      <c r="N282" s="9">
        <v>4.4660000000000002</v>
      </c>
      <c r="O282" s="9">
        <v>0.33789999999999998</v>
      </c>
      <c r="P282" s="9">
        <v>1.1676</v>
      </c>
      <c r="Q282" s="9">
        <v>27.562100000000001</v>
      </c>
      <c r="R282" s="9"/>
      <c r="S282" s="11"/>
    </row>
    <row r="283" spans="1:19" ht="15.75">
      <c r="A283" s="14">
        <v>50100</v>
      </c>
      <c r="B283" s="8">
        <f>8.7916 * CHOOSE(CONTROL!$C$15, $D$11, 100%, $F$11)</f>
        <v>8.7916000000000007</v>
      </c>
      <c r="C283" s="8">
        <f>8.7968 * CHOOSE(CONTROL!$C$15, $D$11, 100%, $F$11)</f>
        <v>8.7967999999999993</v>
      </c>
      <c r="D283" s="8">
        <f>8.7766 * CHOOSE( CONTROL!$C$15, $D$11, 100%, $F$11)</f>
        <v>8.7766000000000002</v>
      </c>
      <c r="E283" s="12">
        <f>8.7834 * CHOOSE( CONTROL!$C$15, $D$11, 100%, $F$11)</f>
        <v>8.7834000000000003</v>
      </c>
      <c r="F283" s="4">
        <f>9.4421 * CHOOSE(CONTROL!$C$15, $D$11, 100%, $F$11)</f>
        <v>9.4420999999999999</v>
      </c>
      <c r="G283" s="8">
        <f>8.5704 * CHOOSE( CONTROL!$C$15, $D$11, 100%, $F$11)</f>
        <v>8.5703999999999994</v>
      </c>
      <c r="H283" s="4">
        <f>9.4569 * CHOOSE(CONTROL!$C$15, $D$11, 100%, $F$11)</f>
        <v>9.4568999999999992</v>
      </c>
      <c r="I283" s="8">
        <f>8.5353 * CHOOSE(CONTROL!$C$15, $D$11, 100%, $F$11)</f>
        <v>8.5352999999999994</v>
      </c>
      <c r="J283" s="4">
        <f>8.4137 * CHOOSE(CONTROL!$C$15, $D$11, 100%, $F$11)</f>
        <v>8.4137000000000004</v>
      </c>
      <c r="K283" s="4"/>
      <c r="L283" s="9">
        <v>29.306000000000001</v>
      </c>
      <c r="M283" s="9">
        <v>12.063700000000001</v>
      </c>
      <c r="N283" s="9">
        <v>4.9444999999999997</v>
      </c>
      <c r="O283" s="9">
        <v>0.37409999999999999</v>
      </c>
      <c r="P283" s="9">
        <v>1.2927</v>
      </c>
      <c r="Q283" s="9">
        <v>30.5152</v>
      </c>
      <c r="R283" s="9"/>
      <c r="S283" s="11"/>
    </row>
    <row r="284" spans="1:19" ht="15.75">
      <c r="A284" s="14">
        <v>50131</v>
      </c>
      <c r="B284" s="8">
        <f>8.9256 * CHOOSE(CONTROL!$C$15, $D$11, 100%, $F$11)</f>
        <v>8.9255999999999993</v>
      </c>
      <c r="C284" s="8">
        <f>8.9302 * CHOOSE(CONTROL!$C$15, $D$11, 100%, $F$11)</f>
        <v>8.9301999999999992</v>
      </c>
      <c r="D284" s="8">
        <f>8.9607 * CHOOSE( CONTROL!$C$15, $D$11, 100%, $F$11)</f>
        <v>8.9606999999999992</v>
      </c>
      <c r="E284" s="12">
        <f>8.9501 * CHOOSE( CONTROL!$C$15, $D$11, 100%, $F$11)</f>
        <v>8.9501000000000008</v>
      </c>
      <c r="F284" s="4">
        <f>9.6404 * CHOOSE(CONTROL!$C$15, $D$11, 100%, $F$11)</f>
        <v>9.6403999999999996</v>
      </c>
      <c r="G284" s="8">
        <f>8.7017 * CHOOSE( CONTROL!$C$15, $D$11, 100%, $F$11)</f>
        <v>8.7017000000000007</v>
      </c>
      <c r="H284" s="4">
        <f>9.6506 * CHOOSE(CONTROL!$C$15, $D$11, 100%, $F$11)</f>
        <v>9.6506000000000007</v>
      </c>
      <c r="I284" s="8">
        <f>8.6553 * CHOOSE(CONTROL!$C$15, $D$11, 100%, $F$11)</f>
        <v>8.6553000000000004</v>
      </c>
      <c r="J284" s="4">
        <f>8.5415 * CHOOSE(CONTROL!$C$15, $D$11, 100%, $F$11)</f>
        <v>8.5414999999999992</v>
      </c>
      <c r="K284" s="4"/>
      <c r="L284" s="9">
        <v>30.092199999999998</v>
      </c>
      <c r="M284" s="9">
        <v>11.6745</v>
      </c>
      <c r="N284" s="9">
        <v>4.7850000000000001</v>
      </c>
      <c r="O284" s="9">
        <v>0.36199999999999999</v>
      </c>
      <c r="P284" s="9">
        <v>1.1791</v>
      </c>
      <c r="Q284" s="9">
        <v>29.530799999999999</v>
      </c>
      <c r="R284" s="9"/>
      <c r="S284" s="11"/>
    </row>
    <row r="285" spans="1:19" ht="15.75">
      <c r="A285" s="14">
        <v>50161</v>
      </c>
      <c r="B285" s="8">
        <f>CHOOSE( CONTROL!$C$32, 9.1663, 9.164) * CHOOSE(CONTROL!$C$15, $D$11, 100%, $F$11)</f>
        <v>9.1662999999999997</v>
      </c>
      <c r="C285" s="8">
        <f>CHOOSE( CONTROL!$C$32, 9.1744, 9.1721) * CHOOSE(CONTROL!$C$15, $D$11, 100%, $F$11)</f>
        <v>9.1744000000000003</v>
      </c>
      <c r="D285" s="8">
        <f>CHOOSE( CONTROL!$C$32, 9.1996, 9.1973) * CHOOSE( CONTROL!$C$15, $D$11, 100%, $F$11)</f>
        <v>9.1996000000000002</v>
      </c>
      <c r="E285" s="12">
        <f>CHOOSE( CONTROL!$C$32, 9.1892, 9.1869) * CHOOSE( CONTROL!$C$15, $D$11, 100%, $F$11)</f>
        <v>9.1891999999999996</v>
      </c>
      <c r="F285" s="4">
        <f>CHOOSE( CONTROL!$C$32, 9.8798, 9.8774) * CHOOSE(CONTROL!$C$15, $D$11, 100%, $F$11)</f>
        <v>9.8797999999999995</v>
      </c>
      <c r="G285" s="8">
        <f>CHOOSE( CONTROL!$C$32, 8.9361, 8.9338) * CHOOSE( CONTROL!$C$15, $D$11, 100%, $F$11)</f>
        <v>8.9360999999999997</v>
      </c>
      <c r="H285" s="4">
        <f>CHOOSE( CONTROL!$C$32, 9.8844, 9.8821) * CHOOSE(CONTROL!$C$15, $D$11, 100%, $F$11)</f>
        <v>9.8843999999999994</v>
      </c>
      <c r="I285" s="8">
        <f>CHOOSE( CONTROL!$C$32, 8.8855, 8.8833) * CHOOSE(CONTROL!$C$15, $D$11, 100%, $F$11)</f>
        <v>8.8855000000000004</v>
      </c>
      <c r="J285" s="4">
        <f>CHOOSE( CONTROL!$C$32, 8.7714, 8.7691) * CHOOSE(CONTROL!$C$15, $D$11, 100%, $F$11)</f>
        <v>8.7713999999999999</v>
      </c>
      <c r="K285" s="4"/>
      <c r="L285" s="9">
        <v>30.7165</v>
      </c>
      <c r="M285" s="9">
        <v>12.063700000000001</v>
      </c>
      <c r="N285" s="9">
        <v>4.9444999999999997</v>
      </c>
      <c r="O285" s="9">
        <v>0.37409999999999999</v>
      </c>
      <c r="P285" s="9">
        <v>1.2183999999999999</v>
      </c>
      <c r="Q285" s="9">
        <v>30.5152</v>
      </c>
      <c r="R285" s="9"/>
      <c r="S285" s="11"/>
    </row>
    <row r="286" spans="1:19" ht="15.75">
      <c r="A286" s="14">
        <v>50192</v>
      </c>
      <c r="B286" s="8">
        <f>CHOOSE( CONTROL!$C$32, 9.0195, 9.0171) * CHOOSE(CONTROL!$C$15, $D$11, 100%, $F$11)</f>
        <v>9.0195000000000007</v>
      </c>
      <c r="C286" s="8">
        <f>CHOOSE( CONTROL!$C$32, 9.0276, 9.0252) * CHOOSE(CONTROL!$C$15, $D$11, 100%, $F$11)</f>
        <v>9.0275999999999996</v>
      </c>
      <c r="D286" s="8">
        <f>CHOOSE( CONTROL!$C$32, 9.053, 9.0506) * CHOOSE( CONTROL!$C$15, $D$11, 100%, $F$11)</f>
        <v>9.0530000000000008</v>
      </c>
      <c r="E286" s="12">
        <f>CHOOSE( CONTROL!$C$32, 9.0426, 9.0402) * CHOOSE( CONTROL!$C$15, $D$11, 100%, $F$11)</f>
        <v>9.0426000000000002</v>
      </c>
      <c r="F286" s="4">
        <f>CHOOSE( CONTROL!$C$32, 9.7329, 9.7306) * CHOOSE(CONTROL!$C$15, $D$11, 100%, $F$11)</f>
        <v>9.7329000000000008</v>
      </c>
      <c r="G286" s="8">
        <f>CHOOSE( CONTROL!$C$32, 8.7929, 8.7906) * CHOOSE( CONTROL!$C$15, $D$11, 100%, $F$11)</f>
        <v>8.7928999999999995</v>
      </c>
      <c r="H286" s="4">
        <f>CHOOSE( CONTROL!$C$32, 9.741, 9.7387) * CHOOSE(CONTROL!$C$15, $D$11, 100%, $F$11)</f>
        <v>9.7409999999999997</v>
      </c>
      <c r="I286" s="8">
        <f>CHOOSE( CONTROL!$C$32, 8.7454, 8.7432) * CHOOSE(CONTROL!$C$15, $D$11, 100%, $F$11)</f>
        <v>8.7454000000000001</v>
      </c>
      <c r="J286" s="4">
        <f>CHOOSE( CONTROL!$C$32, 8.6304, 8.6281) * CHOOSE(CONTROL!$C$15, $D$11, 100%, $F$11)</f>
        <v>8.6303999999999998</v>
      </c>
      <c r="K286" s="4"/>
      <c r="L286" s="9">
        <v>29.7257</v>
      </c>
      <c r="M286" s="9">
        <v>11.6745</v>
      </c>
      <c r="N286" s="9">
        <v>4.7850000000000001</v>
      </c>
      <c r="O286" s="9">
        <v>0.36199999999999999</v>
      </c>
      <c r="P286" s="9">
        <v>1.1791</v>
      </c>
      <c r="Q286" s="9">
        <v>29.530799999999999</v>
      </c>
      <c r="R286" s="9"/>
      <c r="S286" s="11"/>
    </row>
    <row r="287" spans="1:19" ht="15.75">
      <c r="A287" s="14">
        <v>50222</v>
      </c>
      <c r="B287" s="8">
        <f>CHOOSE( CONTROL!$C$32, 9.4062, 9.4038) * CHOOSE(CONTROL!$C$15, $D$11, 100%, $F$11)</f>
        <v>9.4062000000000001</v>
      </c>
      <c r="C287" s="8">
        <f>CHOOSE( CONTROL!$C$32, 9.4143, 9.4119) * CHOOSE(CONTROL!$C$15, $D$11, 100%, $F$11)</f>
        <v>9.4143000000000008</v>
      </c>
      <c r="D287" s="8">
        <f>CHOOSE( CONTROL!$C$32, 9.4399, 9.4376) * CHOOSE( CONTROL!$C$15, $D$11, 100%, $F$11)</f>
        <v>9.4398999999999997</v>
      </c>
      <c r="E287" s="12">
        <f>CHOOSE( CONTROL!$C$32, 9.4294, 9.4271) * CHOOSE( CONTROL!$C$15, $D$11, 100%, $F$11)</f>
        <v>9.4293999999999993</v>
      </c>
      <c r="F287" s="4">
        <f>CHOOSE( CONTROL!$C$32, 10.1196, 10.1173) * CHOOSE(CONTROL!$C$15, $D$11, 100%, $F$11)</f>
        <v>10.1196</v>
      </c>
      <c r="G287" s="8">
        <f>CHOOSE( CONTROL!$C$32, 9.171, 9.1687) * CHOOSE( CONTROL!$C$15, $D$11, 100%, $F$11)</f>
        <v>9.1709999999999994</v>
      </c>
      <c r="H287" s="4">
        <f>CHOOSE( CONTROL!$C$32, 10.1186, 10.1163) * CHOOSE(CONTROL!$C$15, $D$11, 100%, $F$11)</f>
        <v>10.118600000000001</v>
      </c>
      <c r="I287" s="8">
        <f>CHOOSE( CONTROL!$C$32, 9.1181, 9.1159) * CHOOSE(CONTROL!$C$15, $D$11, 100%, $F$11)</f>
        <v>9.1181000000000001</v>
      </c>
      <c r="J287" s="4">
        <f>CHOOSE( CONTROL!$C$32, 9.0017, 8.9994) * CHOOSE(CONTROL!$C$15, $D$11, 100%, $F$11)</f>
        <v>9.0016999999999996</v>
      </c>
      <c r="K287" s="4"/>
      <c r="L287" s="9">
        <v>30.7165</v>
      </c>
      <c r="M287" s="9">
        <v>12.063700000000001</v>
      </c>
      <c r="N287" s="9">
        <v>4.9444999999999997</v>
      </c>
      <c r="O287" s="9">
        <v>0.37409999999999999</v>
      </c>
      <c r="P287" s="9">
        <v>1.2183999999999999</v>
      </c>
      <c r="Q287" s="9">
        <v>30.5152</v>
      </c>
      <c r="R287" s="9"/>
      <c r="S287" s="11"/>
    </row>
    <row r="288" spans="1:19" ht="15.75">
      <c r="A288" s="14">
        <v>50253</v>
      </c>
      <c r="B288" s="8">
        <f>CHOOSE( CONTROL!$C$32, 8.6826, 8.6803) * CHOOSE(CONTROL!$C$15, $D$11, 100%, $F$11)</f>
        <v>8.6826000000000008</v>
      </c>
      <c r="C288" s="8">
        <f>CHOOSE( CONTROL!$C$32, 8.6907, 8.6884) * CHOOSE(CONTROL!$C$15, $D$11, 100%, $F$11)</f>
        <v>8.6906999999999996</v>
      </c>
      <c r="D288" s="8">
        <f>CHOOSE( CONTROL!$C$32, 8.7165, 8.7141) * CHOOSE( CONTROL!$C$15, $D$11, 100%, $F$11)</f>
        <v>8.7164999999999999</v>
      </c>
      <c r="E288" s="12">
        <f>CHOOSE( CONTROL!$C$32, 8.7059, 8.7036) * CHOOSE( CONTROL!$C$15, $D$11, 100%, $F$11)</f>
        <v>8.7058999999999997</v>
      </c>
      <c r="F288" s="4">
        <f>CHOOSE( CONTROL!$C$32, 9.3961, 9.3937) * CHOOSE(CONTROL!$C$15, $D$11, 100%, $F$11)</f>
        <v>9.3961000000000006</v>
      </c>
      <c r="G288" s="8">
        <f>CHOOSE( CONTROL!$C$32, 8.4644, 8.4621) * CHOOSE( CONTROL!$C$15, $D$11, 100%, $F$11)</f>
        <v>8.4643999999999995</v>
      </c>
      <c r="H288" s="4">
        <f>CHOOSE( CONTROL!$C$32, 9.4119, 9.4096) * CHOOSE(CONTROL!$C$15, $D$11, 100%, $F$11)</f>
        <v>9.4118999999999993</v>
      </c>
      <c r="I288" s="8">
        <f>CHOOSE( CONTROL!$C$32, 8.4234, 8.4212) * CHOOSE(CONTROL!$C$15, $D$11, 100%, $F$11)</f>
        <v>8.4234000000000009</v>
      </c>
      <c r="J288" s="4">
        <f>CHOOSE( CONTROL!$C$32, 8.307, 8.3047) * CHOOSE(CONTROL!$C$15, $D$11, 100%, $F$11)</f>
        <v>8.3070000000000004</v>
      </c>
      <c r="K288" s="4"/>
      <c r="L288" s="9">
        <v>30.7165</v>
      </c>
      <c r="M288" s="9">
        <v>12.063700000000001</v>
      </c>
      <c r="N288" s="9">
        <v>4.9444999999999997</v>
      </c>
      <c r="O288" s="9">
        <v>0.37409999999999999</v>
      </c>
      <c r="P288" s="9">
        <v>1.2183999999999999</v>
      </c>
      <c r="Q288" s="9">
        <v>30.5152</v>
      </c>
      <c r="R288" s="9"/>
      <c r="S288" s="11"/>
    </row>
    <row r="289" spans="1:19" ht="15.75">
      <c r="A289" s="14">
        <v>50284</v>
      </c>
      <c r="B289" s="8">
        <f>CHOOSE( CONTROL!$C$32, 8.5014, 8.4991) * CHOOSE(CONTROL!$C$15, $D$11, 100%, $F$11)</f>
        <v>8.5014000000000003</v>
      </c>
      <c r="C289" s="8">
        <f>CHOOSE( CONTROL!$C$32, 8.5095, 8.5072) * CHOOSE(CONTROL!$C$15, $D$11, 100%, $F$11)</f>
        <v>8.5094999999999992</v>
      </c>
      <c r="D289" s="8">
        <f>CHOOSE( CONTROL!$C$32, 8.5352, 8.5329) * CHOOSE( CONTROL!$C$15, $D$11, 100%, $F$11)</f>
        <v>8.5351999999999997</v>
      </c>
      <c r="E289" s="12">
        <f>CHOOSE( CONTROL!$C$32, 8.5247, 8.5224) * CHOOSE( CONTROL!$C$15, $D$11, 100%, $F$11)</f>
        <v>8.5246999999999993</v>
      </c>
      <c r="F289" s="4">
        <f>CHOOSE( CONTROL!$C$32, 9.2149, 9.2125) * CHOOSE(CONTROL!$C$15, $D$11, 100%, $F$11)</f>
        <v>9.2149000000000001</v>
      </c>
      <c r="G289" s="8">
        <f>CHOOSE( CONTROL!$C$32, 8.2874, 8.2851) * CHOOSE( CONTROL!$C$15, $D$11, 100%, $F$11)</f>
        <v>8.2873999999999999</v>
      </c>
      <c r="H289" s="4">
        <f>CHOOSE( CONTROL!$C$32, 9.235, 9.2327) * CHOOSE(CONTROL!$C$15, $D$11, 100%, $F$11)</f>
        <v>9.2349999999999994</v>
      </c>
      <c r="I289" s="8">
        <f>CHOOSE( CONTROL!$C$32, 8.2493, 8.247) * CHOOSE(CONTROL!$C$15, $D$11, 100%, $F$11)</f>
        <v>8.2492999999999999</v>
      </c>
      <c r="J289" s="4">
        <f>CHOOSE( CONTROL!$C$32, 8.133, 8.1308) * CHOOSE(CONTROL!$C$15, $D$11, 100%, $F$11)</f>
        <v>8.1329999999999991</v>
      </c>
      <c r="K289" s="4"/>
      <c r="L289" s="9">
        <v>29.7257</v>
      </c>
      <c r="M289" s="9">
        <v>11.6745</v>
      </c>
      <c r="N289" s="9">
        <v>4.7850000000000001</v>
      </c>
      <c r="O289" s="9">
        <v>0.36199999999999999</v>
      </c>
      <c r="P289" s="9">
        <v>1.1791</v>
      </c>
      <c r="Q289" s="9">
        <v>29.530799999999999</v>
      </c>
      <c r="R289" s="9"/>
      <c r="S289" s="11"/>
    </row>
    <row r="290" spans="1:19" ht="15.75">
      <c r="A290" s="14">
        <v>50314</v>
      </c>
      <c r="B290" s="8">
        <f>8.8736 * CHOOSE(CONTROL!$C$15, $D$11, 100%, $F$11)</f>
        <v>8.8735999999999997</v>
      </c>
      <c r="C290" s="8">
        <f>8.879 * CHOOSE(CONTROL!$C$15, $D$11, 100%, $F$11)</f>
        <v>8.8789999999999996</v>
      </c>
      <c r="D290" s="8">
        <f>8.9098 * CHOOSE( CONTROL!$C$15, $D$11, 100%, $F$11)</f>
        <v>8.9098000000000006</v>
      </c>
      <c r="E290" s="12">
        <f>8.8991 * CHOOSE( CONTROL!$C$15, $D$11, 100%, $F$11)</f>
        <v>8.8991000000000007</v>
      </c>
      <c r="F290" s="4">
        <f>9.5887 * CHOOSE(CONTROL!$C$15, $D$11, 100%, $F$11)</f>
        <v>9.5886999999999993</v>
      </c>
      <c r="G290" s="8">
        <f>8.6523 * CHOOSE( CONTROL!$C$15, $D$11, 100%, $F$11)</f>
        <v>8.6523000000000003</v>
      </c>
      <c r="H290" s="4">
        <f>9.6001 * CHOOSE(CONTROL!$C$15, $D$11, 100%, $F$11)</f>
        <v>9.6000999999999994</v>
      </c>
      <c r="I290" s="8">
        <f>8.6092 * CHOOSE(CONTROL!$C$15, $D$11, 100%, $F$11)</f>
        <v>8.6091999999999995</v>
      </c>
      <c r="J290" s="4">
        <f>8.492 * CHOOSE(CONTROL!$C$15, $D$11, 100%, $F$11)</f>
        <v>8.4920000000000009</v>
      </c>
      <c r="K290" s="4"/>
      <c r="L290" s="9">
        <v>31.095300000000002</v>
      </c>
      <c r="M290" s="9">
        <v>12.063700000000001</v>
      </c>
      <c r="N290" s="9">
        <v>4.9444999999999997</v>
      </c>
      <c r="O290" s="9">
        <v>0.37409999999999999</v>
      </c>
      <c r="P290" s="9">
        <v>1.2183999999999999</v>
      </c>
      <c r="Q290" s="9">
        <v>30.5152</v>
      </c>
      <c r="R290" s="9"/>
      <c r="S290" s="11"/>
    </row>
    <row r="291" spans="1:19" ht="15.75">
      <c r="A291" s="14">
        <v>50345</v>
      </c>
      <c r="B291" s="8">
        <f>9.5676 * CHOOSE(CONTROL!$C$15, $D$11, 100%, $F$11)</f>
        <v>9.5676000000000005</v>
      </c>
      <c r="C291" s="8">
        <f>9.5728 * CHOOSE(CONTROL!$C$15, $D$11, 100%, $F$11)</f>
        <v>9.5728000000000009</v>
      </c>
      <c r="D291" s="8">
        <f>9.5558 * CHOOSE( CONTROL!$C$15, $D$11, 100%, $F$11)</f>
        <v>9.5557999999999996</v>
      </c>
      <c r="E291" s="12">
        <f>9.5615 * CHOOSE( CONTROL!$C$15, $D$11, 100%, $F$11)</f>
        <v>9.5615000000000006</v>
      </c>
      <c r="F291" s="4">
        <f>10.2181 * CHOOSE(CONTROL!$C$15, $D$11, 100%, $F$11)</f>
        <v>10.2181</v>
      </c>
      <c r="G291" s="8">
        <f>9.3368 * CHOOSE( CONTROL!$C$15, $D$11, 100%, $F$11)</f>
        <v>9.3368000000000002</v>
      </c>
      <c r="H291" s="4">
        <f>10.2148 * CHOOSE(CONTROL!$C$15, $D$11, 100%, $F$11)</f>
        <v>10.2148</v>
      </c>
      <c r="I291" s="8">
        <f>9.3181 * CHOOSE(CONTROL!$C$15, $D$11, 100%, $F$11)</f>
        <v>9.3180999999999994</v>
      </c>
      <c r="J291" s="4">
        <f>9.1587 * CHOOSE(CONTROL!$C$15, $D$11, 100%, $F$11)</f>
        <v>9.1586999999999996</v>
      </c>
      <c r="K291" s="4"/>
      <c r="L291" s="9">
        <v>28.360600000000002</v>
      </c>
      <c r="M291" s="9">
        <v>11.6745</v>
      </c>
      <c r="N291" s="9">
        <v>4.7850000000000001</v>
      </c>
      <c r="O291" s="9">
        <v>0.36199999999999999</v>
      </c>
      <c r="P291" s="9">
        <v>1.2509999999999999</v>
      </c>
      <c r="Q291" s="9">
        <v>29.530799999999999</v>
      </c>
      <c r="R291" s="9"/>
      <c r="S291" s="11"/>
    </row>
    <row r="292" spans="1:19" ht="15.75">
      <c r="A292" s="14">
        <v>50375</v>
      </c>
      <c r="B292" s="8">
        <f>9.5502 * CHOOSE(CONTROL!$C$15, $D$11, 100%, $F$11)</f>
        <v>9.5502000000000002</v>
      </c>
      <c r="C292" s="8">
        <f>9.5554 * CHOOSE(CONTROL!$C$15, $D$11, 100%, $F$11)</f>
        <v>9.5554000000000006</v>
      </c>
      <c r="D292" s="8">
        <f>9.5399 * CHOOSE( CONTROL!$C$15, $D$11, 100%, $F$11)</f>
        <v>9.5398999999999994</v>
      </c>
      <c r="E292" s="12">
        <f>9.545 * CHOOSE( CONTROL!$C$15, $D$11, 100%, $F$11)</f>
        <v>9.5449999999999999</v>
      </c>
      <c r="F292" s="4">
        <f>10.2007 * CHOOSE(CONTROL!$C$15, $D$11, 100%, $F$11)</f>
        <v>10.200699999999999</v>
      </c>
      <c r="G292" s="8">
        <f>9.3209 * CHOOSE( CONTROL!$C$15, $D$11, 100%, $F$11)</f>
        <v>9.3209</v>
      </c>
      <c r="H292" s="4">
        <f>10.1978 * CHOOSE(CONTROL!$C$15, $D$11, 100%, $F$11)</f>
        <v>10.197800000000001</v>
      </c>
      <c r="I292" s="8">
        <f>9.3062 * CHOOSE(CONTROL!$C$15, $D$11, 100%, $F$11)</f>
        <v>9.3062000000000005</v>
      </c>
      <c r="J292" s="4">
        <f>9.142 * CHOOSE(CONTROL!$C$15, $D$11, 100%, $F$11)</f>
        <v>9.1419999999999995</v>
      </c>
      <c r="K292" s="4"/>
      <c r="L292" s="9">
        <v>29.306000000000001</v>
      </c>
      <c r="M292" s="9">
        <v>12.063700000000001</v>
      </c>
      <c r="N292" s="9">
        <v>4.9444999999999997</v>
      </c>
      <c r="O292" s="9">
        <v>0.37409999999999999</v>
      </c>
      <c r="P292" s="9">
        <v>1.2927</v>
      </c>
      <c r="Q292" s="9">
        <v>30.5152</v>
      </c>
      <c r="R292" s="9"/>
      <c r="S292" s="11"/>
    </row>
    <row r="293" spans="1:19" ht="15.75">
      <c r="A293" s="13">
        <v>50436</v>
      </c>
      <c r="B293" s="8">
        <f>9.8311 * CHOOSE(CONTROL!$C$15, $D$11, 100%, $F$11)</f>
        <v>9.8310999999999993</v>
      </c>
      <c r="C293" s="8">
        <f>9.8363 * CHOOSE(CONTROL!$C$15, $D$11, 100%, $F$11)</f>
        <v>9.8362999999999996</v>
      </c>
      <c r="D293" s="8">
        <f>9.8164 * CHOOSE( CONTROL!$C$15, $D$11, 100%, $F$11)</f>
        <v>9.8163999999999998</v>
      </c>
      <c r="E293" s="12">
        <f>9.8231 * CHOOSE( CONTROL!$C$15, $D$11, 100%, $F$11)</f>
        <v>9.8231000000000002</v>
      </c>
      <c r="F293" s="4">
        <f>10.4816 * CHOOSE(CONTROL!$C$15, $D$11, 100%, $F$11)</f>
        <v>10.4816</v>
      </c>
      <c r="G293" s="8">
        <f>9.5859 * CHOOSE( CONTROL!$C$15, $D$11, 100%, $F$11)</f>
        <v>9.5859000000000005</v>
      </c>
      <c r="H293" s="4">
        <f>10.4721 * CHOOSE(CONTROL!$C$15, $D$11, 100%, $F$11)</f>
        <v>10.472099999999999</v>
      </c>
      <c r="I293" s="8">
        <f>9.5351 * CHOOSE(CONTROL!$C$15, $D$11, 100%, $F$11)</f>
        <v>9.5350999999999999</v>
      </c>
      <c r="J293" s="4">
        <f>9.4117 * CHOOSE(CONTROL!$C$15, $D$11, 100%, $F$11)</f>
        <v>9.4116999999999997</v>
      </c>
      <c r="K293" s="4"/>
      <c r="L293" s="9">
        <v>29.306000000000001</v>
      </c>
      <c r="M293" s="9">
        <v>12.063700000000001</v>
      </c>
      <c r="N293" s="9">
        <v>4.9444999999999997</v>
      </c>
      <c r="O293" s="9">
        <v>0.37409999999999999</v>
      </c>
      <c r="P293" s="9">
        <v>1.2927</v>
      </c>
      <c r="Q293" s="9">
        <v>30.451899999999998</v>
      </c>
      <c r="R293" s="9"/>
      <c r="S293" s="11"/>
    </row>
    <row r="294" spans="1:19" ht="15.75">
      <c r="A294" s="13">
        <v>50464</v>
      </c>
      <c r="B294" s="8">
        <f>9.1974 * CHOOSE(CONTROL!$C$15, $D$11, 100%, $F$11)</f>
        <v>9.1974</v>
      </c>
      <c r="C294" s="8">
        <f>9.2026 * CHOOSE(CONTROL!$C$15, $D$11, 100%, $F$11)</f>
        <v>9.2026000000000003</v>
      </c>
      <c r="D294" s="8">
        <f>9.1827 * CHOOSE( CONTROL!$C$15, $D$11, 100%, $F$11)</f>
        <v>9.1827000000000005</v>
      </c>
      <c r="E294" s="12">
        <f>9.1894 * CHOOSE( CONTROL!$C$15, $D$11, 100%, $F$11)</f>
        <v>9.1893999999999991</v>
      </c>
      <c r="F294" s="4">
        <f>9.8478 * CHOOSE(CONTROL!$C$15, $D$11, 100%, $F$11)</f>
        <v>9.8477999999999994</v>
      </c>
      <c r="G294" s="8">
        <f>8.9669 * CHOOSE( CONTROL!$C$15, $D$11, 100%, $F$11)</f>
        <v>8.9669000000000008</v>
      </c>
      <c r="H294" s="4">
        <f>9.8532 * CHOOSE(CONTROL!$C$15, $D$11, 100%, $F$11)</f>
        <v>9.8531999999999993</v>
      </c>
      <c r="I294" s="8">
        <f>8.9262 * CHOOSE(CONTROL!$C$15, $D$11, 100%, $F$11)</f>
        <v>8.9261999999999997</v>
      </c>
      <c r="J294" s="4">
        <f>8.8032 * CHOOSE(CONTROL!$C$15, $D$11, 100%, $F$11)</f>
        <v>8.8032000000000004</v>
      </c>
      <c r="K294" s="4"/>
      <c r="L294" s="9">
        <v>26.469899999999999</v>
      </c>
      <c r="M294" s="9">
        <v>10.8962</v>
      </c>
      <c r="N294" s="9">
        <v>4.4660000000000002</v>
      </c>
      <c r="O294" s="9">
        <v>0.33789999999999998</v>
      </c>
      <c r="P294" s="9">
        <v>1.1676</v>
      </c>
      <c r="Q294" s="9">
        <v>27.504999999999999</v>
      </c>
      <c r="R294" s="9"/>
      <c r="S294" s="11"/>
    </row>
    <row r="295" spans="1:19" ht="15.75">
      <c r="A295" s="13">
        <v>50495</v>
      </c>
      <c r="B295" s="8">
        <f>9.0022 * CHOOSE(CONTROL!$C$15, $D$11, 100%, $F$11)</f>
        <v>9.0022000000000002</v>
      </c>
      <c r="C295" s="8">
        <f>9.0074 * CHOOSE(CONTROL!$C$15, $D$11, 100%, $F$11)</f>
        <v>9.0074000000000005</v>
      </c>
      <c r="D295" s="8">
        <f>8.9871 * CHOOSE( CONTROL!$C$15, $D$11, 100%, $F$11)</f>
        <v>8.9870999999999999</v>
      </c>
      <c r="E295" s="12">
        <f>8.994 * CHOOSE( CONTROL!$C$15, $D$11, 100%, $F$11)</f>
        <v>8.9939999999999998</v>
      </c>
      <c r="F295" s="4">
        <f>9.6526 * CHOOSE(CONTROL!$C$15, $D$11, 100%, $F$11)</f>
        <v>9.6525999999999996</v>
      </c>
      <c r="G295" s="8">
        <f>8.7761 * CHOOSE( CONTROL!$C$15, $D$11, 100%, $F$11)</f>
        <v>8.7760999999999996</v>
      </c>
      <c r="H295" s="4">
        <f>9.6625 * CHOOSE(CONTROL!$C$15, $D$11, 100%, $F$11)</f>
        <v>9.6624999999999996</v>
      </c>
      <c r="I295" s="8">
        <f>8.7376 * CHOOSE(CONTROL!$C$15, $D$11, 100%, $F$11)</f>
        <v>8.7376000000000005</v>
      </c>
      <c r="J295" s="4">
        <f>8.6158 * CHOOSE(CONTROL!$C$15, $D$11, 100%, $F$11)</f>
        <v>8.6158000000000001</v>
      </c>
      <c r="K295" s="4"/>
      <c r="L295" s="9">
        <v>29.306000000000001</v>
      </c>
      <c r="M295" s="9">
        <v>12.063700000000001</v>
      </c>
      <c r="N295" s="9">
        <v>4.9444999999999997</v>
      </c>
      <c r="O295" s="9">
        <v>0.37409999999999999</v>
      </c>
      <c r="P295" s="9">
        <v>1.2927</v>
      </c>
      <c r="Q295" s="9">
        <v>30.451899999999998</v>
      </c>
      <c r="R295" s="9"/>
      <c r="S295" s="11"/>
    </row>
    <row r="296" spans="1:19" ht="15.75">
      <c r="A296" s="13">
        <v>50525</v>
      </c>
      <c r="B296" s="8">
        <f>9.1393 * CHOOSE(CONTROL!$C$15, $D$11, 100%, $F$11)</f>
        <v>9.1393000000000004</v>
      </c>
      <c r="C296" s="8">
        <f>9.144 * CHOOSE(CONTROL!$C$15, $D$11, 100%, $F$11)</f>
        <v>9.1440000000000001</v>
      </c>
      <c r="D296" s="8">
        <f>9.1745 * CHOOSE( CONTROL!$C$15, $D$11, 100%, $F$11)</f>
        <v>9.1745000000000001</v>
      </c>
      <c r="E296" s="12">
        <f>9.1639 * CHOOSE( CONTROL!$C$15, $D$11, 100%, $F$11)</f>
        <v>9.1638999999999999</v>
      </c>
      <c r="F296" s="4">
        <f>9.8541 * CHOOSE(CONTROL!$C$15, $D$11, 100%, $F$11)</f>
        <v>9.8541000000000007</v>
      </c>
      <c r="G296" s="8">
        <f>8.9104 * CHOOSE( CONTROL!$C$15, $D$11, 100%, $F$11)</f>
        <v>8.9103999999999992</v>
      </c>
      <c r="H296" s="4">
        <f>9.8593 * CHOOSE(CONTROL!$C$15, $D$11, 100%, $F$11)</f>
        <v>9.8592999999999993</v>
      </c>
      <c r="I296" s="8">
        <f>8.8606 * CHOOSE(CONTROL!$C$15, $D$11, 100%, $F$11)</f>
        <v>8.8605999999999998</v>
      </c>
      <c r="J296" s="4">
        <f>8.7468 * CHOOSE(CONTROL!$C$15, $D$11, 100%, $F$11)</f>
        <v>8.7468000000000004</v>
      </c>
      <c r="K296" s="4"/>
      <c r="L296" s="9">
        <v>30.092199999999998</v>
      </c>
      <c r="M296" s="9">
        <v>11.6745</v>
      </c>
      <c r="N296" s="9">
        <v>4.7850000000000001</v>
      </c>
      <c r="O296" s="9">
        <v>0.36199999999999999</v>
      </c>
      <c r="P296" s="9">
        <v>1.1791</v>
      </c>
      <c r="Q296" s="9">
        <v>29.4696</v>
      </c>
      <c r="R296" s="9"/>
      <c r="S296" s="11"/>
    </row>
    <row r="297" spans="1:19" ht="15.75">
      <c r="A297" s="13">
        <v>50556</v>
      </c>
      <c r="B297" s="8">
        <f>CHOOSE( CONTROL!$C$32, 9.3858, 9.3835) * CHOOSE(CONTROL!$C$15, $D$11, 100%, $F$11)</f>
        <v>9.3857999999999997</v>
      </c>
      <c r="C297" s="8">
        <f>CHOOSE( CONTROL!$C$32, 9.3939, 9.3915) * CHOOSE(CONTROL!$C$15, $D$11, 100%, $F$11)</f>
        <v>9.3939000000000004</v>
      </c>
      <c r="D297" s="8">
        <f>CHOOSE( CONTROL!$C$32, 9.4191, 9.4167) * CHOOSE( CONTROL!$C$15, $D$11, 100%, $F$11)</f>
        <v>9.4191000000000003</v>
      </c>
      <c r="E297" s="12">
        <f>CHOOSE( CONTROL!$C$32, 9.4087, 9.4063) * CHOOSE( CONTROL!$C$15, $D$11, 100%, $F$11)</f>
        <v>9.4086999999999996</v>
      </c>
      <c r="F297" s="4">
        <f>CHOOSE( CONTROL!$C$32, 10.0992, 10.0969) * CHOOSE(CONTROL!$C$15, $D$11, 100%, $F$11)</f>
        <v>10.0992</v>
      </c>
      <c r="G297" s="8">
        <f>CHOOSE( CONTROL!$C$32, 9.1504, 9.1481) * CHOOSE( CONTROL!$C$15, $D$11, 100%, $F$11)</f>
        <v>9.1503999999999994</v>
      </c>
      <c r="H297" s="4">
        <f>CHOOSE( CONTROL!$C$32, 10.0987, 10.0964) * CHOOSE(CONTROL!$C$15, $D$11, 100%, $F$11)</f>
        <v>10.098699999999999</v>
      </c>
      <c r="I297" s="8">
        <f>CHOOSE( CONTROL!$C$32, 9.0963, 9.0941) * CHOOSE(CONTROL!$C$15, $D$11, 100%, $F$11)</f>
        <v>9.0962999999999994</v>
      </c>
      <c r="J297" s="4">
        <f>CHOOSE( CONTROL!$C$32, 8.9821, 8.9798) * CHOOSE(CONTROL!$C$15, $D$11, 100%, $F$11)</f>
        <v>8.9821000000000009</v>
      </c>
      <c r="K297" s="4"/>
      <c r="L297" s="9">
        <v>30.7165</v>
      </c>
      <c r="M297" s="9">
        <v>12.063700000000001</v>
      </c>
      <c r="N297" s="9">
        <v>4.9444999999999997</v>
      </c>
      <c r="O297" s="9">
        <v>0.37409999999999999</v>
      </c>
      <c r="P297" s="9">
        <v>1.2183999999999999</v>
      </c>
      <c r="Q297" s="9">
        <v>30.451899999999998</v>
      </c>
      <c r="R297" s="9"/>
      <c r="S297" s="11"/>
    </row>
    <row r="298" spans="1:19" ht="15.75">
      <c r="A298" s="13">
        <v>50586</v>
      </c>
      <c r="B298" s="8">
        <f>CHOOSE( CONTROL!$C$32, 9.2354, 9.2331) * CHOOSE(CONTROL!$C$15, $D$11, 100%, $F$11)</f>
        <v>9.2354000000000003</v>
      </c>
      <c r="C298" s="8">
        <f>CHOOSE( CONTROL!$C$32, 9.2435, 9.2412) * CHOOSE(CONTROL!$C$15, $D$11, 100%, $F$11)</f>
        <v>9.2434999999999992</v>
      </c>
      <c r="D298" s="8">
        <f>CHOOSE( CONTROL!$C$32, 9.2689, 9.2666) * CHOOSE( CONTROL!$C$15, $D$11, 100%, $F$11)</f>
        <v>9.2689000000000004</v>
      </c>
      <c r="E298" s="12">
        <f>CHOOSE( CONTROL!$C$32, 9.2585, 9.2562) * CHOOSE( CONTROL!$C$15, $D$11, 100%, $F$11)</f>
        <v>9.2584999999999997</v>
      </c>
      <c r="F298" s="4">
        <f>CHOOSE( CONTROL!$C$32, 9.9489, 9.9465) * CHOOSE(CONTROL!$C$15, $D$11, 100%, $F$11)</f>
        <v>9.9489000000000001</v>
      </c>
      <c r="G298" s="8">
        <f>CHOOSE( CONTROL!$C$32, 9.0038, 9.0015) * CHOOSE( CONTROL!$C$15, $D$11, 100%, $F$11)</f>
        <v>9.0038</v>
      </c>
      <c r="H298" s="4">
        <f>CHOOSE( CONTROL!$C$32, 9.9518, 9.9496) * CHOOSE(CONTROL!$C$15, $D$11, 100%, $F$11)</f>
        <v>9.9518000000000004</v>
      </c>
      <c r="I298" s="8">
        <f>CHOOSE( CONTROL!$C$32, 8.9529, 8.9506) * CHOOSE(CONTROL!$C$15, $D$11, 100%, $F$11)</f>
        <v>8.9528999999999996</v>
      </c>
      <c r="J298" s="4">
        <f>CHOOSE( CONTROL!$C$32, 8.8377, 8.8355) * CHOOSE(CONTROL!$C$15, $D$11, 100%, $F$11)</f>
        <v>8.8376999999999999</v>
      </c>
      <c r="K298" s="4"/>
      <c r="L298" s="9">
        <v>29.7257</v>
      </c>
      <c r="M298" s="9">
        <v>11.6745</v>
      </c>
      <c r="N298" s="9">
        <v>4.7850000000000001</v>
      </c>
      <c r="O298" s="9">
        <v>0.36199999999999999</v>
      </c>
      <c r="P298" s="9">
        <v>1.1791</v>
      </c>
      <c r="Q298" s="9">
        <v>29.4696</v>
      </c>
      <c r="R298" s="9"/>
      <c r="S298" s="11"/>
    </row>
    <row r="299" spans="1:19" ht="15.75">
      <c r="A299" s="13">
        <v>50617</v>
      </c>
      <c r="B299" s="8">
        <f>CHOOSE( CONTROL!$C$32, 9.6314, 9.6291) * CHOOSE(CONTROL!$C$15, $D$11, 100%, $F$11)</f>
        <v>9.6313999999999993</v>
      </c>
      <c r="C299" s="8">
        <f>CHOOSE( CONTROL!$C$32, 9.6395, 9.6372) * CHOOSE(CONTROL!$C$15, $D$11, 100%, $F$11)</f>
        <v>9.6395</v>
      </c>
      <c r="D299" s="8">
        <f>CHOOSE( CONTROL!$C$32, 9.6652, 9.6628) * CHOOSE( CONTROL!$C$15, $D$11, 100%, $F$11)</f>
        <v>9.6652000000000005</v>
      </c>
      <c r="E299" s="12">
        <f>CHOOSE( CONTROL!$C$32, 9.6547, 9.6523) * CHOOSE( CONTROL!$C$15, $D$11, 100%, $F$11)</f>
        <v>9.6547000000000001</v>
      </c>
      <c r="F299" s="4">
        <f>CHOOSE( CONTROL!$C$32, 10.3448, 10.3425) * CHOOSE(CONTROL!$C$15, $D$11, 100%, $F$11)</f>
        <v>10.344799999999999</v>
      </c>
      <c r="G299" s="8">
        <f>CHOOSE( CONTROL!$C$32, 9.391, 9.3887) * CHOOSE( CONTROL!$C$15, $D$11, 100%, $F$11)</f>
        <v>9.391</v>
      </c>
      <c r="H299" s="4">
        <f>CHOOSE( CONTROL!$C$32, 10.3386, 10.3363) * CHOOSE(CONTROL!$C$15, $D$11, 100%, $F$11)</f>
        <v>10.3386</v>
      </c>
      <c r="I299" s="8">
        <f>CHOOSE( CONTROL!$C$32, 9.3345, 9.3322) * CHOOSE(CONTROL!$C$15, $D$11, 100%, $F$11)</f>
        <v>9.3345000000000002</v>
      </c>
      <c r="J299" s="4">
        <f>CHOOSE( CONTROL!$C$32, 9.2179, 9.2156) * CHOOSE(CONTROL!$C$15, $D$11, 100%, $F$11)</f>
        <v>9.2179000000000002</v>
      </c>
      <c r="K299" s="4"/>
      <c r="L299" s="9">
        <v>30.7165</v>
      </c>
      <c r="M299" s="9">
        <v>12.063700000000001</v>
      </c>
      <c r="N299" s="9">
        <v>4.9444999999999997</v>
      </c>
      <c r="O299" s="9">
        <v>0.37409999999999999</v>
      </c>
      <c r="P299" s="9">
        <v>1.2183999999999999</v>
      </c>
      <c r="Q299" s="9">
        <v>30.451899999999998</v>
      </c>
      <c r="R299" s="9"/>
      <c r="S299" s="11"/>
    </row>
    <row r="300" spans="1:19" ht="15.75">
      <c r="A300" s="13">
        <v>50648</v>
      </c>
      <c r="B300" s="8">
        <f>CHOOSE( CONTROL!$C$32, 8.8905, 8.8881) * CHOOSE(CONTROL!$C$15, $D$11, 100%, $F$11)</f>
        <v>8.8904999999999994</v>
      </c>
      <c r="C300" s="8">
        <f>CHOOSE( CONTROL!$C$32, 8.8986, 8.8962) * CHOOSE(CONTROL!$C$15, $D$11, 100%, $F$11)</f>
        <v>8.8986000000000001</v>
      </c>
      <c r="D300" s="8">
        <f>CHOOSE( CONTROL!$C$32, 8.9243, 8.9219) * CHOOSE( CONTROL!$C$15, $D$11, 100%, $F$11)</f>
        <v>8.9243000000000006</v>
      </c>
      <c r="E300" s="12">
        <f>CHOOSE( CONTROL!$C$32, 8.9138, 8.9114) * CHOOSE( CONTROL!$C$15, $D$11, 100%, $F$11)</f>
        <v>8.9138000000000002</v>
      </c>
      <c r="F300" s="4">
        <f>CHOOSE( CONTROL!$C$32, 9.6039, 9.6016) * CHOOSE(CONTROL!$C$15, $D$11, 100%, $F$11)</f>
        <v>9.6038999999999994</v>
      </c>
      <c r="G300" s="8">
        <f>CHOOSE( CONTROL!$C$32, 8.6674, 8.6651) * CHOOSE( CONTROL!$C$15, $D$11, 100%, $F$11)</f>
        <v>8.6674000000000007</v>
      </c>
      <c r="H300" s="4">
        <f>CHOOSE( CONTROL!$C$32, 9.6149, 9.6126) * CHOOSE(CONTROL!$C$15, $D$11, 100%, $F$11)</f>
        <v>9.6149000000000004</v>
      </c>
      <c r="I300" s="8">
        <f>CHOOSE( CONTROL!$C$32, 8.6231, 8.6208) * CHOOSE(CONTROL!$C$15, $D$11, 100%, $F$11)</f>
        <v>8.6231000000000009</v>
      </c>
      <c r="J300" s="4">
        <f>CHOOSE( CONTROL!$C$32, 8.5065, 8.5043) * CHOOSE(CONTROL!$C$15, $D$11, 100%, $F$11)</f>
        <v>8.5065000000000008</v>
      </c>
      <c r="K300" s="4"/>
      <c r="L300" s="9">
        <v>30.7165</v>
      </c>
      <c r="M300" s="9">
        <v>12.063700000000001</v>
      </c>
      <c r="N300" s="9">
        <v>4.9444999999999997</v>
      </c>
      <c r="O300" s="9">
        <v>0.37409999999999999</v>
      </c>
      <c r="P300" s="9">
        <v>1.2183999999999999</v>
      </c>
      <c r="Q300" s="9">
        <v>30.451899999999998</v>
      </c>
      <c r="R300" s="9"/>
      <c r="S300" s="11"/>
    </row>
    <row r="301" spans="1:19" ht="15.75">
      <c r="A301" s="13">
        <v>50678</v>
      </c>
      <c r="B301" s="8">
        <f>CHOOSE( CONTROL!$C$32, 8.7049, 8.7026) * CHOOSE(CONTROL!$C$15, $D$11, 100%, $F$11)</f>
        <v>8.7049000000000003</v>
      </c>
      <c r="C301" s="8">
        <f>CHOOSE( CONTROL!$C$32, 8.713, 8.7107) * CHOOSE(CONTROL!$C$15, $D$11, 100%, $F$11)</f>
        <v>8.7129999999999992</v>
      </c>
      <c r="D301" s="8">
        <f>CHOOSE( CONTROL!$C$32, 8.7387, 8.7364) * CHOOSE( CONTROL!$C$15, $D$11, 100%, $F$11)</f>
        <v>8.7386999999999997</v>
      </c>
      <c r="E301" s="12">
        <f>CHOOSE( CONTROL!$C$32, 8.7282, 8.7259) * CHOOSE( CONTROL!$C$15, $D$11, 100%, $F$11)</f>
        <v>8.7281999999999993</v>
      </c>
      <c r="F301" s="4">
        <f>CHOOSE( CONTROL!$C$32, 9.4184, 9.416) * CHOOSE(CONTROL!$C$15, $D$11, 100%, $F$11)</f>
        <v>9.4184000000000001</v>
      </c>
      <c r="G301" s="8">
        <f>CHOOSE( CONTROL!$C$32, 8.4862, 8.4839) * CHOOSE( CONTROL!$C$15, $D$11, 100%, $F$11)</f>
        <v>8.4862000000000002</v>
      </c>
      <c r="H301" s="4">
        <f>CHOOSE( CONTROL!$C$32, 9.4337, 9.4314) * CHOOSE(CONTROL!$C$15, $D$11, 100%, $F$11)</f>
        <v>9.4337</v>
      </c>
      <c r="I301" s="8">
        <f>CHOOSE( CONTROL!$C$32, 8.4447, 8.4425) * CHOOSE(CONTROL!$C$15, $D$11, 100%, $F$11)</f>
        <v>8.4446999999999992</v>
      </c>
      <c r="J301" s="4">
        <f>CHOOSE( CONTROL!$C$32, 8.3284, 8.3261) * CHOOSE(CONTROL!$C$15, $D$11, 100%, $F$11)</f>
        <v>8.3284000000000002</v>
      </c>
      <c r="K301" s="4"/>
      <c r="L301" s="9">
        <v>29.7257</v>
      </c>
      <c r="M301" s="9">
        <v>11.6745</v>
      </c>
      <c r="N301" s="9">
        <v>4.7850000000000001</v>
      </c>
      <c r="O301" s="9">
        <v>0.36199999999999999</v>
      </c>
      <c r="P301" s="9">
        <v>1.1791</v>
      </c>
      <c r="Q301" s="9">
        <v>29.4696</v>
      </c>
      <c r="R301" s="9"/>
      <c r="S301" s="11"/>
    </row>
    <row r="302" spans="1:19" ht="15.75">
      <c r="A302" s="13">
        <v>50709</v>
      </c>
      <c r="B302" s="8">
        <f>9.0861 * CHOOSE(CONTROL!$C$15, $D$11, 100%, $F$11)</f>
        <v>9.0861000000000001</v>
      </c>
      <c r="C302" s="8">
        <f>9.0915 * CHOOSE(CONTROL!$C$15, $D$11, 100%, $F$11)</f>
        <v>9.0914999999999999</v>
      </c>
      <c r="D302" s="8">
        <f>9.1223 * CHOOSE( CONTROL!$C$15, $D$11, 100%, $F$11)</f>
        <v>9.1222999999999992</v>
      </c>
      <c r="E302" s="12">
        <f>9.1116 * CHOOSE( CONTROL!$C$15, $D$11, 100%, $F$11)</f>
        <v>9.1115999999999993</v>
      </c>
      <c r="F302" s="4">
        <f>9.8013 * CHOOSE(CONTROL!$C$15, $D$11, 100%, $F$11)</f>
        <v>9.8012999999999995</v>
      </c>
      <c r="G302" s="8">
        <f>8.8599 * CHOOSE( CONTROL!$C$15, $D$11, 100%, $F$11)</f>
        <v>8.8598999999999997</v>
      </c>
      <c r="H302" s="4">
        <f>9.8077 * CHOOSE(CONTROL!$C$15, $D$11, 100%, $F$11)</f>
        <v>9.8077000000000005</v>
      </c>
      <c r="I302" s="8">
        <f>8.8134 * CHOOSE(CONTROL!$C$15, $D$11, 100%, $F$11)</f>
        <v>8.8133999999999997</v>
      </c>
      <c r="J302" s="4">
        <f>8.696 * CHOOSE(CONTROL!$C$15, $D$11, 100%, $F$11)</f>
        <v>8.6959999999999997</v>
      </c>
      <c r="K302" s="4"/>
      <c r="L302" s="9">
        <v>31.095300000000002</v>
      </c>
      <c r="M302" s="9">
        <v>12.063700000000001</v>
      </c>
      <c r="N302" s="9">
        <v>4.9444999999999997</v>
      </c>
      <c r="O302" s="9">
        <v>0.37409999999999999</v>
      </c>
      <c r="P302" s="9">
        <v>1.2183999999999999</v>
      </c>
      <c r="Q302" s="9">
        <v>30.451899999999998</v>
      </c>
      <c r="R302" s="9"/>
      <c r="S302" s="11"/>
    </row>
    <row r="303" spans="1:19" ht="15.75">
      <c r="A303" s="13">
        <v>50739</v>
      </c>
      <c r="B303" s="8">
        <f>9.7968 * CHOOSE(CONTROL!$C$15, $D$11, 100%, $F$11)</f>
        <v>9.7967999999999993</v>
      </c>
      <c r="C303" s="8">
        <f>9.802 * CHOOSE(CONTROL!$C$15, $D$11, 100%, $F$11)</f>
        <v>9.8019999999999996</v>
      </c>
      <c r="D303" s="8">
        <f>9.785 * CHOOSE( CONTROL!$C$15, $D$11, 100%, $F$11)</f>
        <v>9.7850000000000001</v>
      </c>
      <c r="E303" s="12">
        <f>9.7907 * CHOOSE( CONTROL!$C$15, $D$11, 100%, $F$11)</f>
        <v>9.7906999999999993</v>
      </c>
      <c r="F303" s="4">
        <f>10.4473 * CHOOSE(CONTROL!$C$15, $D$11, 100%, $F$11)</f>
        <v>10.4473</v>
      </c>
      <c r="G303" s="8">
        <f>9.5606 * CHOOSE( CONTROL!$C$15, $D$11, 100%, $F$11)</f>
        <v>9.5606000000000009</v>
      </c>
      <c r="H303" s="4">
        <f>10.4386 * CHOOSE(CONTROL!$C$15, $D$11, 100%, $F$11)</f>
        <v>10.438599999999999</v>
      </c>
      <c r="I303" s="8">
        <f>9.5383 * CHOOSE(CONTROL!$C$15, $D$11, 100%, $F$11)</f>
        <v>9.5382999999999996</v>
      </c>
      <c r="J303" s="4">
        <f>9.3787 * CHOOSE(CONTROL!$C$15, $D$11, 100%, $F$11)</f>
        <v>9.3787000000000003</v>
      </c>
      <c r="K303" s="4"/>
      <c r="L303" s="9">
        <v>28.360600000000002</v>
      </c>
      <c r="M303" s="9">
        <v>11.6745</v>
      </c>
      <c r="N303" s="9">
        <v>4.7850000000000001</v>
      </c>
      <c r="O303" s="9">
        <v>0.36199999999999999</v>
      </c>
      <c r="P303" s="9">
        <v>1.2509999999999999</v>
      </c>
      <c r="Q303" s="9">
        <v>29.4696</v>
      </c>
      <c r="R303" s="9"/>
      <c r="S303" s="11"/>
    </row>
    <row r="304" spans="1:19" ht="15.75">
      <c r="A304" s="13">
        <v>50770</v>
      </c>
      <c r="B304" s="8">
        <f>9.779 * CHOOSE(CONTROL!$C$15, $D$11, 100%, $F$11)</f>
        <v>9.7789999999999999</v>
      </c>
      <c r="C304" s="8">
        <f>9.7842 * CHOOSE(CONTROL!$C$15, $D$11, 100%, $F$11)</f>
        <v>9.7842000000000002</v>
      </c>
      <c r="D304" s="8">
        <f>9.7687 * CHOOSE( CONTROL!$C$15, $D$11, 100%, $F$11)</f>
        <v>9.7687000000000008</v>
      </c>
      <c r="E304" s="12">
        <f>9.7738 * CHOOSE( CONTROL!$C$15, $D$11, 100%, $F$11)</f>
        <v>9.7737999999999996</v>
      </c>
      <c r="F304" s="4">
        <f>10.4295 * CHOOSE(CONTROL!$C$15, $D$11, 100%, $F$11)</f>
        <v>10.429500000000001</v>
      </c>
      <c r="G304" s="8">
        <f>9.5444 * CHOOSE( CONTROL!$C$15, $D$11, 100%, $F$11)</f>
        <v>9.5443999999999996</v>
      </c>
      <c r="H304" s="4">
        <f>10.4213 * CHOOSE(CONTROL!$C$15, $D$11, 100%, $F$11)</f>
        <v>10.4213</v>
      </c>
      <c r="I304" s="8">
        <f>9.5259 * CHOOSE(CONTROL!$C$15, $D$11, 100%, $F$11)</f>
        <v>9.5259</v>
      </c>
      <c r="J304" s="4">
        <f>9.3617 * CHOOSE(CONTROL!$C$15, $D$11, 100%, $F$11)</f>
        <v>9.3617000000000008</v>
      </c>
      <c r="K304" s="4"/>
      <c r="L304" s="9">
        <v>29.306000000000001</v>
      </c>
      <c r="M304" s="9">
        <v>12.063700000000001</v>
      </c>
      <c r="N304" s="9">
        <v>4.9444999999999997</v>
      </c>
      <c r="O304" s="9">
        <v>0.37409999999999999</v>
      </c>
      <c r="P304" s="9">
        <v>1.2927</v>
      </c>
      <c r="Q304" s="9">
        <v>30.451899999999998</v>
      </c>
      <c r="R304" s="9"/>
      <c r="S304" s="11"/>
    </row>
    <row r="305" spans="1:19" ht="15.75">
      <c r="A305" s="13">
        <v>50801</v>
      </c>
      <c r="B305" s="8">
        <f>10.0666 * CHOOSE(CONTROL!$C$15, $D$11, 100%, $F$11)</f>
        <v>10.066599999999999</v>
      </c>
      <c r="C305" s="8">
        <f>10.0718 * CHOOSE(CONTROL!$C$15, $D$11, 100%, $F$11)</f>
        <v>10.0718</v>
      </c>
      <c r="D305" s="8">
        <f>10.052 * CHOOSE( CONTROL!$C$15, $D$11, 100%, $F$11)</f>
        <v>10.052</v>
      </c>
      <c r="E305" s="12">
        <f>10.0587 * CHOOSE( CONTROL!$C$15, $D$11, 100%, $F$11)</f>
        <v>10.0587</v>
      </c>
      <c r="F305" s="4">
        <f>10.7171 * CHOOSE(CONTROL!$C$15, $D$11, 100%, $F$11)</f>
        <v>10.7171</v>
      </c>
      <c r="G305" s="8">
        <f>9.816 * CHOOSE( CONTROL!$C$15, $D$11, 100%, $F$11)</f>
        <v>9.8160000000000007</v>
      </c>
      <c r="H305" s="4">
        <f>10.7022 * CHOOSE(CONTROL!$C$15, $D$11, 100%, $F$11)</f>
        <v>10.702199999999999</v>
      </c>
      <c r="I305" s="8">
        <f>9.7613 * CHOOSE(CONTROL!$C$15, $D$11, 100%, $F$11)</f>
        <v>9.7613000000000003</v>
      </c>
      <c r="J305" s="4">
        <f>9.6378 * CHOOSE(CONTROL!$C$15, $D$11, 100%, $F$11)</f>
        <v>9.6378000000000004</v>
      </c>
      <c r="K305" s="4"/>
      <c r="L305" s="9">
        <v>29.306000000000001</v>
      </c>
      <c r="M305" s="9">
        <v>12.063700000000001</v>
      </c>
      <c r="N305" s="9">
        <v>4.9444999999999997</v>
      </c>
      <c r="O305" s="9">
        <v>0.37409999999999999</v>
      </c>
      <c r="P305" s="9">
        <v>1.2927</v>
      </c>
      <c r="Q305" s="9">
        <v>30.386800000000001</v>
      </c>
      <c r="R305" s="9"/>
      <c r="S305" s="11"/>
    </row>
    <row r="306" spans="1:19" ht="15.75">
      <c r="A306" s="13">
        <v>50829</v>
      </c>
      <c r="B306" s="8">
        <f>9.4177 * CHOOSE(CONTROL!$C$15, $D$11, 100%, $F$11)</f>
        <v>9.4177</v>
      </c>
      <c r="C306" s="8">
        <f>9.4229 * CHOOSE(CONTROL!$C$15, $D$11, 100%, $F$11)</f>
        <v>9.4229000000000003</v>
      </c>
      <c r="D306" s="8">
        <f>9.403 * CHOOSE( CONTROL!$C$15, $D$11, 100%, $F$11)</f>
        <v>9.4030000000000005</v>
      </c>
      <c r="E306" s="12">
        <f>9.4097 * CHOOSE( CONTROL!$C$15, $D$11, 100%, $F$11)</f>
        <v>9.4097000000000008</v>
      </c>
      <c r="F306" s="4">
        <f>10.0681 * CHOOSE(CONTROL!$C$15, $D$11, 100%, $F$11)</f>
        <v>10.068099999999999</v>
      </c>
      <c r="G306" s="8">
        <f>9.1821 * CHOOSE( CONTROL!$C$15, $D$11, 100%, $F$11)</f>
        <v>9.1821000000000002</v>
      </c>
      <c r="H306" s="4">
        <f>10.0684 * CHOOSE(CONTROL!$C$15, $D$11, 100%, $F$11)</f>
        <v>10.0684</v>
      </c>
      <c r="I306" s="8">
        <f>9.1378 * CHOOSE(CONTROL!$C$15, $D$11, 100%, $F$11)</f>
        <v>9.1378000000000004</v>
      </c>
      <c r="J306" s="4">
        <f>9.0147 * CHOOSE(CONTROL!$C$15, $D$11, 100%, $F$11)</f>
        <v>9.0146999999999995</v>
      </c>
      <c r="K306" s="4"/>
      <c r="L306" s="9">
        <v>26.469899999999999</v>
      </c>
      <c r="M306" s="9">
        <v>10.8962</v>
      </c>
      <c r="N306" s="9">
        <v>4.4660000000000002</v>
      </c>
      <c r="O306" s="9">
        <v>0.33789999999999998</v>
      </c>
      <c r="P306" s="9">
        <v>1.1676</v>
      </c>
      <c r="Q306" s="9">
        <v>27.446200000000001</v>
      </c>
      <c r="R306" s="9"/>
      <c r="S306" s="11"/>
    </row>
    <row r="307" spans="1:19" ht="15.75">
      <c r="A307" s="13">
        <v>50860</v>
      </c>
      <c r="B307" s="8">
        <f>9.2178 * CHOOSE(CONTROL!$C$15, $D$11, 100%, $F$11)</f>
        <v>9.2178000000000004</v>
      </c>
      <c r="C307" s="8">
        <f>9.223 * CHOOSE(CONTROL!$C$15, $D$11, 100%, $F$11)</f>
        <v>9.2230000000000008</v>
      </c>
      <c r="D307" s="8">
        <f>9.2028 * CHOOSE( CONTROL!$C$15, $D$11, 100%, $F$11)</f>
        <v>9.2027999999999999</v>
      </c>
      <c r="E307" s="12">
        <f>9.2096 * CHOOSE( CONTROL!$C$15, $D$11, 100%, $F$11)</f>
        <v>9.2096</v>
      </c>
      <c r="F307" s="4">
        <f>9.8683 * CHOOSE(CONTROL!$C$15, $D$11, 100%, $F$11)</f>
        <v>9.8682999999999996</v>
      </c>
      <c r="G307" s="8">
        <f>8.9867 * CHOOSE( CONTROL!$C$15, $D$11, 100%, $F$11)</f>
        <v>8.9867000000000008</v>
      </c>
      <c r="H307" s="4">
        <f>9.8731 * CHOOSE(CONTROL!$C$15, $D$11, 100%, $F$11)</f>
        <v>9.8731000000000009</v>
      </c>
      <c r="I307" s="8">
        <f>8.9447 * CHOOSE(CONTROL!$C$15, $D$11, 100%, $F$11)</f>
        <v>8.9446999999999992</v>
      </c>
      <c r="J307" s="4">
        <f>8.8228 * CHOOSE(CONTROL!$C$15, $D$11, 100%, $F$11)</f>
        <v>8.8228000000000009</v>
      </c>
      <c r="K307" s="4"/>
      <c r="L307" s="9">
        <v>29.306000000000001</v>
      </c>
      <c r="M307" s="9">
        <v>12.063700000000001</v>
      </c>
      <c r="N307" s="9">
        <v>4.9444999999999997</v>
      </c>
      <c r="O307" s="9">
        <v>0.37409999999999999</v>
      </c>
      <c r="P307" s="9">
        <v>1.2927</v>
      </c>
      <c r="Q307" s="9">
        <v>30.386800000000001</v>
      </c>
      <c r="R307" s="9"/>
      <c r="S307" s="11"/>
    </row>
    <row r="308" spans="1:19" ht="15.75">
      <c r="A308" s="13">
        <v>50890</v>
      </c>
      <c r="B308" s="8">
        <f>9.3582 * CHOOSE(CONTROL!$C$15, $D$11, 100%, $F$11)</f>
        <v>9.3582000000000001</v>
      </c>
      <c r="C308" s="8">
        <f>9.3629 * CHOOSE(CONTROL!$C$15, $D$11, 100%, $F$11)</f>
        <v>9.3628999999999998</v>
      </c>
      <c r="D308" s="8">
        <f>9.3934 * CHOOSE( CONTROL!$C$15, $D$11, 100%, $F$11)</f>
        <v>9.3933999999999997</v>
      </c>
      <c r="E308" s="12">
        <f>9.3828 * CHOOSE( CONTROL!$C$15, $D$11, 100%, $F$11)</f>
        <v>9.3827999999999996</v>
      </c>
      <c r="F308" s="4">
        <f>10.073 * CHOOSE(CONTROL!$C$15, $D$11, 100%, $F$11)</f>
        <v>10.073</v>
      </c>
      <c r="G308" s="8">
        <f>9.1242 * CHOOSE( CONTROL!$C$15, $D$11, 100%, $F$11)</f>
        <v>9.1242000000000001</v>
      </c>
      <c r="H308" s="4">
        <f>10.0731 * CHOOSE(CONTROL!$C$15, $D$11, 100%, $F$11)</f>
        <v>10.0731</v>
      </c>
      <c r="I308" s="8">
        <f>9.0709 * CHOOSE(CONTROL!$C$15, $D$11, 100%, $F$11)</f>
        <v>9.0709</v>
      </c>
      <c r="J308" s="4">
        <f>8.9569 * CHOOSE(CONTROL!$C$15, $D$11, 100%, $F$11)</f>
        <v>8.9568999999999992</v>
      </c>
      <c r="K308" s="4"/>
      <c r="L308" s="9">
        <v>30.092199999999998</v>
      </c>
      <c r="M308" s="9">
        <v>11.6745</v>
      </c>
      <c r="N308" s="9">
        <v>4.7850000000000001</v>
      </c>
      <c r="O308" s="9">
        <v>0.36199999999999999</v>
      </c>
      <c r="P308" s="9">
        <v>1.1791</v>
      </c>
      <c r="Q308" s="9">
        <v>29.406600000000001</v>
      </c>
      <c r="R308" s="9"/>
      <c r="S308" s="11"/>
    </row>
    <row r="309" spans="1:19" ht="15.75">
      <c r="A309" s="13">
        <v>50921</v>
      </c>
      <c r="B309" s="8">
        <f>CHOOSE( CONTROL!$C$32, 9.6105, 9.6082) * CHOOSE(CONTROL!$C$15, $D$11, 100%, $F$11)</f>
        <v>9.6105</v>
      </c>
      <c r="C309" s="8">
        <f>CHOOSE( CONTROL!$C$32, 9.6186, 9.6163) * CHOOSE(CONTROL!$C$15, $D$11, 100%, $F$11)</f>
        <v>9.6186000000000007</v>
      </c>
      <c r="D309" s="8">
        <f>CHOOSE( CONTROL!$C$32, 9.6438, 9.6415) * CHOOSE( CONTROL!$C$15, $D$11, 100%, $F$11)</f>
        <v>9.6438000000000006</v>
      </c>
      <c r="E309" s="12">
        <f>CHOOSE( CONTROL!$C$32, 9.6334, 9.6311) * CHOOSE( CONTROL!$C$15, $D$11, 100%, $F$11)</f>
        <v>9.6334</v>
      </c>
      <c r="F309" s="4">
        <f>CHOOSE( CONTROL!$C$32, 10.324, 10.3216) * CHOOSE(CONTROL!$C$15, $D$11, 100%, $F$11)</f>
        <v>10.324</v>
      </c>
      <c r="G309" s="8">
        <f>CHOOSE( CONTROL!$C$32, 9.3699, 9.3676) * CHOOSE( CONTROL!$C$15, $D$11, 100%, $F$11)</f>
        <v>9.3698999999999995</v>
      </c>
      <c r="H309" s="4">
        <f>CHOOSE( CONTROL!$C$32, 10.3182, 10.3159) * CHOOSE(CONTROL!$C$15, $D$11, 100%, $F$11)</f>
        <v>10.318199999999999</v>
      </c>
      <c r="I309" s="8">
        <f>CHOOSE( CONTROL!$C$32, 9.3122, 9.3099) * CHOOSE(CONTROL!$C$15, $D$11, 100%, $F$11)</f>
        <v>9.3122000000000007</v>
      </c>
      <c r="J309" s="4">
        <f>CHOOSE( CONTROL!$C$32, 9.1978, 9.1956) * CHOOSE(CONTROL!$C$15, $D$11, 100%, $F$11)</f>
        <v>9.1978000000000009</v>
      </c>
      <c r="K309" s="4"/>
      <c r="L309" s="9">
        <v>30.7165</v>
      </c>
      <c r="M309" s="9">
        <v>12.063700000000001</v>
      </c>
      <c r="N309" s="9">
        <v>4.9444999999999997</v>
      </c>
      <c r="O309" s="9">
        <v>0.37409999999999999</v>
      </c>
      <c r="P309" s="9">
        <v>1.2183999999999999</v>
      </c>
      <c r="Q309" s="9">
        <v>30.386800000000001</v>
      </c>
      <c r="R309" s="9"/>
      <c r="S309" s="11"/>
    </row>
    <row r="310" spans="1:19" ht="15.75">
      <c r="A310" s="13">
        <v>50951</v>
      </c>
      <c r="B310" s="8">
        <f>CHOOSE( CONTROL!$C$32, 9.4565, 9.4542) * CHOOSE(CONTROL!$C$15, $D$11, 100%, $F$11)</f>
        <v>9.4565000000000001</v>
      </c>
      <c r="C310" s="8">
        <f>CHOOSE( CONTROL!$C$32, 9.4646, 9.4623) * CHOOSE(CONTROL!$C$15, $D$11, 100%, $F$11)</f>
        <v>9.4646000000000008</v>
      </c>
      <c r="D310" s="8">
        <f>CHOOSE( CONTROL!$C$32, 9.49, 9.4877) * CHOOSE( CONTROL!$C$15, $D$11, 100%, $F$11)</f>
        <v>9.49</v>
      </c>
      <c r="E310" s="12">
        <f>CHOOSE( CONTROL!$C$32, 9.4796, 9.4773) * CHOOSE( CONTROL!$C$15, $D$11, 100%, $F$11)</f>
        <v>9.4795999999999996</v>
      </c>
      <c r="F310" s="4">
        <f>CHOOSE( CONTROL!$C$32, 10.17, 10.1676) * CHOOSE(CONTROL!$C$15, $D$11, 100%, $F$11)</f>
        <v>10.17</v>
      </c>
      <c r="G310" s="8">
        <f>CHOOSE( CONTROL!$C$32, 9.2198, 9.2175) * CHOOSE( CONTROL!$C$15, $D$11, 100%, $F$11)</f>
        <v>9.2197999999999993</v>
      </c>
      <c r="H310" s="4">
        <f>CHOOSE( CONTROL!$C$32, 10.1678, 10.1655) * CHOOSE(CONTROL!$C$15, $D$11, 100%, $F$11)</f>
        <v>10.1678</v>
      </c>
      <c r="I310" s="8">
        <f>CHOOSE( CONTROL!$C$32, 9.1653, 9.163) * CHOOSE(CONTROL!$C$15, $D$11, 100%, $F$11)</f>
        <v>9.1653000000000002</v>
      </c>
      <c r="J310" s="4">
        <f>CHOOSE( CONTROL!$C$32, 9.05, 9.0477) * CHOOSE(CONTROL!$C$15, $D$11, 100%, $F$11)</f>
        <v>9.0500000000000007</v>
      </c>
      <c r="K310" s="4"/>
      <c r="L310" s="9">
        <v>29.7257</v>
      </c>
      <c r="M310" s="9">
        <v>11.6745</v>
      </c>
      <c r="N310" s="9">
        <v>4.7850000000000001</v>
      </c>
      <c r="O310" s="9">
        <v>0.36199999999999999</v>
      </c>
      <c r="P310" s="9">
        <v>1.1791</v>
      </c>
      <c r="Q310" s="9">
        <v>29.406600000000001</v>
      </c>
      <c r="R310" s="9"/>
      <c r="S310" s="11"/>
    </row>
    <row r="311" spans="1:19" ht="15.75">
      <c r="A311" s="13">
        <v>50982</v>
      </c>
      <c r="B311" s="8">
        <f>CHOOSE( CONTROL!$C$32, 9.862, 9.8597) * CHOOSE(CONTROL!$C$15, $D$11, 100%, $F$11)</f>
        <v>9.8620000000000001</v>
      </c>
      <c r="C311" s="8">
        <f>CHOOSE( CONTROL!$C$32, 9.8701, 9.8678) * CHOOSE(CONTROL!$C$15, $D$11, 100%, $F$11)</f>
        <v>9.8701000000000008</v>
      </c>
      <c r="D311" s="8">
        <f>CHOOSE( CONTROL!$C$32, 9.8958, 9.8934) * CHOOSE( CONTROL!$C$15, $D$11, 100%, $F$11)</f>
        <v>9.8957999999999995</v>
      </c>
      <c r="E311" s="12">
        <f>CHOOSE( CONTROL!$C$32, 9.8853, 9.8829) * CHOOSE( CONTROL!$C$15, $D$11, 100%, $F$11)</f>
        <v>9.8853000000000009</v>
      </c>
      <c r="F311" s="4">
        <f>CHOOSE( CONTROL!$C$32, 10.5755, 10.5731) * CHOOSE(CONTROL!$C$15, $D$11, 100%, $F$11)</f>
        <v>10.5755</v>
      </c>
      <c r="G311" s="8">
        <f>CHOOSE( CONTROL!$C$32, 9.6162, 9.6139) * CHOOSE( CONTROL!$C$15, $D$11, 100%, $F$11)</f>
        <v>9.6161999999999992</v>
      </c>
      <c r="H311" s="4">
        <f>CHOOSE( CONTROL!$C$32, 10.5639, 10.5616) * CHOOSE(CONTROL!$C$15, $D$11, 100%, $F$11)</f>
        <v>10.5639</v>
      </c>
      <c r="I311" s="8">
        <f>CHOOSE( CONTROL!$C$32, 9.556, 9.5537) * CHOOSE(CONTROL!$C$15, $D$11, 100%, $F$11)</f>
        <v>9.5559999999999992</v>
      </c>
      <c r="J311" s="4">
        <f>CHOOSE( CONTROL!$C$32, 9.4393, 9.4371) * CHOOSE(CONTROL!$C$15, $D$11, 100%, $F$11)</f>
        <v>9.4392999999999994</v>
      </c>
      <c r="K311" s="4"/>
      <c r="L311" s="9">
        <v>30.7165</v>
      </c>
      <c r="M311" s="9">
        <v>12.063700000000001</v>
      </c>
      <c r="N311" s="9">
        <v>4.9444999999999997</v>
      </c>
      <c r="O311" s="9">
        <v>0.37409999999999999</v>
      </c>
      <c r="P311" s="9">
        <v>1.2183999999999999</v>
      </c>
      <c r="Q311" s="9">
        <v>30.386800000000001</v>
      </c>
      <c r="R311" s="9"/>
      <c r="S311" s="11"/>
    </row>
    <row r="312" spans="1:19" ht="15.75">
      <c r="A312" s="13">
        <v>51013</v>
      </c>
      <c r="B312" s="8">
        <f>CHOOSE( CONTROL!$C$32, 9.1033, 9.101) * CHOOSE(CONTROL!$C$15, $D$11, 100%, $F$11)</f>
        <v>9.1033000000000008</v>
      </c>
      <c r="C312" s="8">
        <f>CHOOSE( CONTROL!$C$32, 9.1114, 9.109) * CHOOSE(CONTROL!$C$15, $D$11, 100%, $F$11)</f>
        <v>9.1113999999999997</v>
      </c>
      <c r="D312" s="8">
        <f>CHOOSE( CONTROL!$C$32, 9.1371, 9.1348) * CHOOSE( CONTROL!$C$15, $D$11, 100%, $F$11)</f>
        <v>9.1371000000000002</v>
      </c>
      <c r="E312" s="12">
        <f>CHOOSE( CONTROL!$C$32, 9.1266, 9.1242) * CHOOSE( CONTROL!$C$15, $D$11, 100%, $F$11)</f>
        <v>9.1265999999999998</v>
      </c>
      <c r="F312" s="4">
        <f>CHOOSE( CONTROL!$C$32, 9.8167, 9.8144) * CHOOSE(CONTROL!$C$15, $D$11, 100%, $F$11)</f>
        <v>9.8167000000000009</v>
      </c>
      <c r="G312" s="8">
        <f>CHOOSE( CONTROL!$C$32, 8.8753, 8.873) * CHOOSE( CONTROL!$C$15, $D$11, 100%, $F$11)</f>
        <v>8.8752999999999993</v>
      </c>
      <c r="H312" s="4">
        <f>CHOOSE( CONTROL!$C$32, 9.8228, 9.8205) * CHOOSE(CONTROL!$C$15, $D$11, 100%, $F$11)</f>
        <v>9.8228000000000009</v>
      </c>
      <c r="I312" s="8">
        <f>CHOOSE( CONTROL!$C$32, 8.8275, 8.8253) * CHOOSE(CONTROL!$C$15, $D$11, 100%, $F$11)</f>
        <v>8.8275000000000006</v>
      </c>
      <c r="J312" s="4">
        <f>CHOOSE( CONTROL!$C$32, 8.7109, 8.7086) * CHOOSE(CONTROL!$C$15, $D$11, 100%, $F$11)</f>
        <v>8.7109000000000005</v>
      </c>
      <c r="K312" s="4"/>
      <c r="L312" s="9">
        <v>30.7165</v>
      </c>
      <c r="M312" s="9">
        <v>12.063700000000001</v>
      </c>
      <c r="N312" s="9">
        <v>4.9444999999999997</v>
      </c>
      <c r="O312" s="9">
        <v>0.37409999999999999</v>
      </c>
      <c r="P312" s="9">
        <v>1.2183999999999999</v>
      </c>
      <c r="Q312" s="9">
        <v>30.386800000000001</v>
      </c>
      <c r="R312" s="9"/>
      <c r="S312" s="11"/>
    </row>
    <row r="313" spans="1:19" ht="15.75">
      <c r="A313" s="13">
        <v>51043</v>
      </c>
      <c r="B313" s="8">
        <f>CHOOSE( CONTROL!$C$32, 8.9133, 8.911) * CHOOSE(CONTROL!$C$15, $D$11, 100%, $F$11)</f>
        <v>8.9132999999999996</v>
      </c>
      <c r="C313" s="8">
        <f>CHOOSE( CONTROL!$C$32, 8.9214, 8.919) * CHOOSE(CONTROL!$C$15, $D$11, 100%, $F$11)</f>
        <v>8.9214000000000002</v>
      </c>
      <c r="D313" s="8">
        <f>CHOOSE( CONTROL!$C$32, 8.9471, 8.9447) * CHOOSE( CONTROL!$C$15, $D$11, 100%, $F$11)</f>
        <v>8.9471000000000007</v>
      </c>
      <c r="E313" s="12">
        <f>CHOOSE( CONTROL!$C$32, 8.9366, 8.9342) * CHOOSE( CONTROL!$C$15, $D$11, 100%, $F$11)</f>
        <v>8.9366000000000003</v>
      </c>
      <c r="F313" s="4">
        <f>CHOOSE( CONTROL!$C$32, 9.6267, 9.6244) * CHOOSE(CONTROL!$C$15, $D$11, 100%, $F$11)</f>
        <v>9.6266999999999996</v>
      </c>
      <c r="G313" s="8">
        <f>CHOOSE( CONTROL!$C$32, 8.6897, 8.6874) * CHOOSE( CONTROL!$C$15, $D$11, 100%, $F$11)</f>
        <v>8.6897000000000002</v>
      </c>
      <c r="H313" s="4">
        <f>CHOOSE( CONTROL!$C$32, 9.6372, 9.6349) * CHOOSE(CONTROL!$C$15, $D$11, 100%, $F$11)</f>
        <v>9.6372</v>
      </c>
      <c r="I313" s="8">
        <f>CHOOSE( CONTROL!$C$32, 8.6449, 8.6426) * CHOOSE(CONTROL!$C$15, $D$11, 100%, $F$11)</f>
        <v>8.6448999999999998</v>
      </c>
      <c r="J313" s="4">
        <f>CHOOSE( CONTROL!$C$32, 8.5284, 8.5262) * CHOOSE(CONTROL!$C$15, $D$11, 100%, $F$11)</f>
        <v>8.5283999999999995</v>
      </c>
      <c r="K313" s="4"/>
      <c r="L313" s="9">
        <v>29.7257</v>
      </c>
      <c r="M313" s="9">
        <v>11.6745</v>
      </c>
      <c r="N313" s="9">
        <v>4.7850000000000001</v>
      </c>
      <c r="O313" s="9">
        <v>0.36199999999999999</v>
      </c>
      <c r="P313" s="9">
        <v>1.1791</v>
      </c>
      <c r="Q313" s="9">
        <v>29.406600000000001</v>
      </c>
      <c r="R313" s="9"/>
      <c r="S313" s="11"/>
    </row>
    <row r="314" spans="1:19" ht="15.75">
      <c r="A314" s="13">
        <v>51074</v>
      </c>
      <c r="B314" s="8">
        <f>9.3037 * CHOOSE(CONTROL!$C$15, $D$11, 100%, $F$11)</f>
        <v>9.3036999999999992</v>
      </c>
      <c r="C314" s="8">
        <f>9.3092 * CHOOSE(CONTROL!$C$15, $D$11, 100%, $F$11)</f>
        <v>9.3092000000000006</v>
      </c>
      <c r="D314" s="8">
        <f>9.34 * CHOOSE( CONTROL!$C$15, $D$11, 100%, $F$11)</f>
        <v>9.34</v>
      </c>
      <c r="E314" s="12">
        <f>9.3292 * CHOOSE( CONTROL!$C$15, $D$11, 100%, $F$11)</f>
        <v>9.3292000000000002</v>
      </c>
      <c r="F314" s="4">
        <f>10.0189 * CHOOSE(CONTROL!$C$15, $D$11, 100%, $F$11)</f>
        <v>10.0189</v>
      </c>
      <c r="G314" s="8">
        <f>9.0725 * CHOOSE( CONTROL!$C$15, $D$11, 100%, $F$11)</f>
        <v>9.0724999999999998</v>
      </c>
      <c r="H314" s="4">
        <f>10.0202 * CHOOSE(CONTROL!$C$15, $D$11, 100%, $F$11)</f>
        <v>10.020200000000001</v>
      </c>
      <c r="I314" s="8">
        <f>9.0224 * CHOOSE(CONTROL!$C$15, $D$11, 100%, $F$11)</f>
        <v>9.0223999999999993</v>
      </c>
      <c r="J314" s="4">
        <f>8.9049 * CHOOSE(CONTROL!$C$15, $D$11, 100%, $F$11)</f>
        <v>8.9048999999999996</v>
      </c>
      <c r="K314" s="4"/>
      <c r="L314" s="9">
        <v>31.095300000000002</v>
      </c>
      <c r="M314" s="9">
        <v>12.063700000000001</v>
      </c>
      <c r="N314" s="9">
        <v>4.9444999999999997</v>
      </c>
      <c r="O314" s="9">
        <v>0.37409999999999999</v>
      </c>
      <c r="P314" s="9">
        <v>1.2183999999999999</v>
      </c>
      <c r="Q314" s="9">
        <v>30.386800000000001</v>
      </c>
      <c r="R314" s="9"/>
      <c r="S314" s="11"/>
    </row>
    <row r="315" spans="1:19" ht="15.75">
      <c r="A315" s="13">
        <v>51104</v>
      </c>
      <c r="B315" s="8">
        <f>10.0315 * CHOOSE(CONTROL!$C$15, $D$11, 100%, $F$11)</f>
        <v>10.031499999999999</v>
      </c>
      <c r="C315" s="8">
        <f>10.0367 * CHOOSE(CONTROL!$C$15, $D$11, 100%, $F$11)</f>
        <v>10.0367</v>
      </c>
      <c r="D315" s="8">
        <f>10.0197 * CHOOSE( CONTROL!$C$15, $D$11, 100%, $F$11)</f>
        <v>10.0197</v>
      </c>
      <c r="E315" s="12">
        <f>10.0254 * CHOOSE( CONTROL!$C$15, $D$11, 100%, $F$11)</f>
        <v>10.025399999999999</v>
      </c>
      <c r="F315" s="4">
        <f>10.682 * CHOOSE(CONTROL!$C$15, $D$11, 100%, $F$11)</f>
        <v>10.682</v>
      </c>
      <c r="G315" s="8">
        <f>9.7899 * CHOOSE( CONTROL!$C$15, $D$11, 100%, $F$11)</f>
        <v>9.7898999999999994</v>
      </c>
      <c r="H315" s="4">
        <f>10.6679 * CHOOSE(CONTROL!$C$15, $D$11, 100%, $F$11)</f>
        <v>10.667899999999999</v>
      </c>
      <c r="I315" s="8">
        <f>9.7637 * CHOOSE(CONTROL!$C$15, $D$11, 100%, $F$11)</f>
        <v>9.7637</v>
      </c>
      <c r="J315" s="4">
        <f>9.6041 * CHOOSE(CONTROL!$C$15, $D$11, 100%, $F$11)</f>
        <v>9.6041000000000007</v>
      </c>
      <c r="K315" s="4"/>
      <c r="L315" s="9">
        <v>28.360600000000002</v>
      </c>
      <c r="M315" s="9">
        <v>11.6745</v>
      </c>
      <c r="N315" s="9">
        <v>4.7850000000000001</v>
      </c>
      <c r="O315" s="9">
        <v>0.36199999999999999</v>
      </c>
      <c r="P315" s="9">
        <v>1.2509999999999999</v>
      </c>
      <c r="Q315" s="9">
        <v>29.406600000000001</v>
      </c>
      <c r="R315" s="9"/>
      <c r="S315" s="11"/>
    </row>
    <row r="316" spans="1:19" ht="15.75">
      <c r="A316" s="13">
        <v>51135</v>
      </c>
      <c r="B316" s="8">
        <f>10.0133 * CHOOSE(CONTROL!$C$15, $D$11, 100%, $F$11)</f>
        <v>10.013299999999999</v>
      </c>
      <c r="C316" s="8">
        <f>10.0185 * CHOOSE(CONTROL!$C$15, $D$11, 100%, $F$11)</f>
        <v>10.0185</v>
      </c>
      <c r="D316" s="8">
        <f>10.003 * CHOOSE( CONTROL!$C$15, $D$11, 100%, $F$11)</f>
        <v>10.003</v>
      </c>
      <c r="E316" s="12">
        <f>10.0081 * CHOOSE( CONTROL!$C$15, $D$11, 100%, $F$11)</f>
        <v>10.008100000000001</v>
      </c>
      <c r="F316" s="4">
        <f>10.6638 * CHOOSE(CONTROL!$C$15, $D$11, 100%, $F$11)</f>
        <v>10.6638</v>
      </c>
      <c r="G316" s="8">
        <f>9.7732 * CHOOSE( CONTROL!$C$15, $D$11, 100%, $F$11)</f>
        <v>9.7731999999999992</v>
      </c>
      <c r="H316" s="4">
        <f>10.6501 * CHOOSE(CONTROL!$C$15, $D$11, 100%, $F$11)</f>
        <v>10.6501</v>
      </c>
      <c r="I316" s="8">
        <f>9.751 * CHOOSE(CONTROL!$C$15, $D$11, 100%, $F$11)</f>
        <v>9.7509999999999994</v>
      </c>
      <c r="J316" s="4">
        <f>9.5866 * CHOOSE(CONTROL!$C$15, $D$11, 100%, $F$11)</f>
        <v>9.5866000000000007</v>
      </c>
      <c r="K316" s="4"/>
      <c r="L316" s="9">
        <v>29.306000000000001</v>
      </c>
      <c r="M316" s="9">
        <v>12.063700000000001</v>
      </c>
      <c r="N316" s="9">
        <v>4.9444999999999997</v>
      </c>
      <c r="O316" s="9">
        <v>0.37409999999999999</v>
      </c>
      <c r="P316" s="9">
        <v>1.2927</v>
      </c>
      <c r="Q316" s="9">
        <v>30.386800000000001</v>
      </c>
      <c r="R316" s="9"/>
      <c r="S316" s="11"/>
    </row>
    <row r="317" spans="1:19" ht="15.75">
      <c r="A317" s="13">
        <v>51166</v>
      </c>
      <c r="B317" s="8">
        <f>10.3078 * CHOOSE(CONTROL!$C$15, $D$11, 100%, $F$11)</f>
        <v>10.3078</v>
      </c>
      <c r="C317" s="8">
        <f>10.313 * CHOOSE(CONTROL!$C$15, $D$11, 100%, $F$11)</f>
        <v>10.313000000000001</v>
      </c>
      <c r="D317" s="8">
        <f>10.2932 * CHOOSE( CONTROL!$C$15, $D$11, 100%, $F$11)</f>
        <v>10.293200000000001</v>
      </c>
      <c r="E317" s="12">
        <f>10.2999 * CHOOSE( CONTROL!$C$15, $D$11, 100%, $F$11)</f>
        <v>10.299899999999999</v>
      </c>
      <c r="F317" s="4">
        <f>10.9583 * CHOOSE(CONTROL!$C$15, $D$11, 100%, $F$11)</f>
        <v>10.958299999999999</v>
      </c>
      <c r="G317" s="8">
        <f>10.0516 * CHOOSE( CONTROL!$C$15, $D$11, 100%, $F$11)</f>
        <v>10.051600000000001</v>
      </c>
      <c r="H317" s="4">
        <f>10.9378 * CHOOSE(CONTROL!$C$15, $D$11, 100%, $F$11)</f>
        <v>10.937799999999999</v>
      </c>
      <c r="I317" s="8">
        <f>9.993 * CHOOSE(CONTROL!$C$15, $D$11, 100%, $F$11)</f>
        <v>9.9930000000000003</v>
      </c>
      <c r="J317" s="4">
        <f>9.8694 * CHOOSE(CONTROL!$C$15, $D$11, 100%, $F$11)</f>
        <v>9.8694000000000006</v>
      </c>
      <c r="K317" s="4"/>
      <c r="L317" s="9">
        <v>29.306000000000001</v>
      </c>
      <c r="M317" s="9">
        <v>12.063700000000001</v>
      </c>
      <c r="N317" s="9">
        <v>4.9444999999999997</v>
      </c>
      <c r="O317" s="9">
        <v>0.37409999999999999</v>
      </c>
      <c r="P317" s="9">
        <v>1.2927</v>
      </c>
      <c r="Q317" s="9">
        <v>30.3217</v>
      </c>
      <c r="R317" s="9"/>
      <c r="S317" s="11"/>
    </row>
    <row r="318" spans="1:19" ht="15.75">
      <c r="A318" s="13">
        <v>51194</v>
      </c>
      <c r="B318" s="8">
        <f>9.6433 * CHOOSE(CONTROL!$C$15, $D$11, 100%, $F$11)</f>
        <v>9.6433</v>
      </c>
      <c r="C318" s="8">
        <f>9.6485 * CHOOSE(CONTROL!$C$15, $D$11, 100%, $F$11)</f>
        <v>9.6485000000000003</v>
      </c>
      <c r="D318" s="8">
        <f>9.6286 * CHOOSE( CONTROL!$C$15, $D$11, 100%, $F$11)</f>
        <v>9.6286000000000005</v>
      </c>
      <c r="E318" s="12">
        <f>9.6353 * CHOOSE( CONTROL!$C$15, $D$11, 100%, $F$11)</f>
        <v>9.6353000000000009</v>
      </c>
      <c r="F318" s="4">
        <f>10.2937 * CHOOSE(CONTROL!$C$15, $D$11, 100%, $F$11)</f>
        <v>10.293699999999999</v>
      </c>
      <c r="G318" s="8">
        <f>9.4025 * CHOOSE( CONTROL!$C$15, $D$11, 100%, $F$11)</f>
        <v>9.4024999999999999</v>
      </c>
      <c r="H318" s="4">
        <f>10.2887 * CHOOSE(CONTROL!$C$15, $D$11, 100%, $F$11)</f>
        <v>10.2887</v>
      </c>
      <c r="I318" s="8">
        <f>9.3545 * CHOOSE(CONTROL!$C$15, $D$11, 100%, $F$11)</f>
        <v>9.3544999999999998</v>
      </c>
      <c r="J318" s="4">
        <f>9.2313 * CHOOSE(CONTROL!$C$15, $D$11, 100%, $F$11)</f>
        <v>9.2312999999999992</v>
      </c>
      <c r="K318" s="4"/>
      <c r="L318" s="9">
        <v>27.415299999999998</v>
      </c>
      <c r="M318" s="9">
        <v>11.285299999999999</v>
      </c>
      <c r="N318" s="9">
        <v>4.6254999999999997</v>
      </c>
      <c r="O318" s="9">
        <v>0.34989999999999999</v>
      </c>
      <c r="P318" s="9">
        <v>1.2093</v>
      </c>
      <c r="Q318" s="9">
        <v>28.365500000000001</v>
      </c>
      <c r="R318" s="9"/>
      <c r="S318" s="11"/>
    </row>
    <row r="319" spans="1:19" ht="15.75">
      <c r="A319" s="13">
        <v>51226</v>
      </c>
      <c r="B319" s="8">
        <f>9.4386 * CHOOSE(CONTROL!$C$15, $D$11, 100%, $F$11)</f>
        <v>9.4385999999999992</v>
      </c>
      <c r="C319" s="8">
        <f>9.4438 * CHOOSE(CONTROL!$C$15, $D$11, 100%, $F$11)</f>
        <v>9.4437999999999995</v>
      </c>
      <c r="D319" s="8">
        <f>9.4236 * CHOOSE( CONTROL!$C$15, $D$11, 100%, $F$11)</f>
        <v>9.4236000000000004</v>
      </c>
      <c r="E319" s="12">
        <f>9.4304 * CHOOSE( CONTROL!$C$15, $D$11, 100%, $F$11)</f>
        <v>9.4304000000000006</v>
      </c>
      <c r="F319" s="4">
        <f>10.0891 * CHOOSE(CONTROL!$C$15, $D$11, 100%, $F$11)</f>
        <v>10.0891</v>
      </c>
      <c r="G319" s="8">
        <f>9.2023 * CHOOSE( CONTROL!$C$15, $D$11, 100%, $F$11)</f>
        <v>9.2022999999999993</v>
      </c>
      <c r="H319" s="4">
        <f>10.0888 * CHOOSE(CONTROL!$C$15, $D$11, 100%, $F$11)</f>
        <v>10.088800000000001</v>
      </c>
      <c r="I319" s="8">
        <f>9.1568 * CHOOSE(CONTROL!$C$15, $D$11, 100%, $F$11)</f>
        <v>9.1568000000000005</v>
      </c>
      <c r="J319" s="4">
        <f>9.0348 * CHOOSE(CONTROL!$C$15, $D$11, 100%, $F$11)</f>
        <v>9.0348000000000006</v>
      </c>
      <c r="K319" s="4"/>
      <c r="L319" s="9">
        <v>29.306000000000001</v>
      </c>
      <c r="M319" s="9">
        <v>12.063700000000001</v>
      </c>
      <c r="N319" s="9">
        <v>4.9444999999999997</v>
      </c>
      <c r="O319" s="9">
        <v>0.37409999999999999</v>
      </c>
      <c r="P319" s="9">
        <v>1.2927</v>
      </c>
      <c r="Q319" s="9">
        <v>30.3217</v>
      </c>
      <c r="R319" s="9"/>
      <c r="S319" s="11"/>
    </row>
    <row r="320" spans="1:19" ht="15.75">
      <c r="A320" s="13">
        <v>51256</v>
      </c>
      <c r="B320" s="8">
        <f>9.5824 * CHOOSE(CONTROL!$C$15, $D$11, 100%, $F$11)</f>
        <v>9.5823999999999998</v>
      </c>
      <c r="C320" s="8">
        <f>9.587 * CHOOSE(CONTROL!$C$15, $D$11, 100%, $F$11)</f>
        <v>9.5869999999999997</v>
      </c>
      <c r="D320" s="8">
        <f>9.6175 * CHOOSE( CONTROL!$C$15, $D$11, 100%, $F$11)</f>
        <v>9.6174999999999997</v>
      </c>
      <c r="E320" s="12">
        <f>9.6069 * CHOOSE( CONTROL!$C$15, $D$11, 100%, $F$11)</f>
        <v>9.6068999999999996</v>
      </c>
      <c r="F320" s="4">
        <f>10.2972 * CHOOSE(CONTROL!$C$15, $D$11, 100%, $F$11)</f>
        <v>10.2972</v>
      </c>
      <c r="G320" s="8">
        <f>9.3432 * CHOOSE( CONTROL!$C$15, $D$11, 100%, $F$11)</f>
        <v>9.3431999999999995</v>
      </c>
      <c r="H320" s="4">
        <f>10.2921 * CHOOSE(CONTROL!$C$15, $D$11, 100%, $F$11)</f>
        <v>10.2921</v>
      </c>
      <c r="I320" s="8">
        <f>9.2862 * CHOOSE(CONTROL!$C$15, $D$11, 100%, $F$11)</f>
        <v>9.2861999999999991</v>
      </c>
      <c r="J320" s="4">
        <f>9.1721 * CHOOSE(CONTROL!$C$15, $D$11, 100%, $F$11)</f>
        <v>9.1721000000000004</v>
      </c>
      <c r="K320" s="4"/>
      <c r="L320" s="9">
        <v>30.092199999999998</v>
      </c>
      <c r="M320" s="9">
        <v>11.6745</v>
      </c>
      <c r="N320" s="9">
        <v>4.7850000000000001</v>
      </c>
      <c r="O320" s="9">
        <v>0.36199999999999999</v>
      </c>
      <c r="P320" s="9">
        <v>1.1791</v>
      </c>
      <c r="Q320" s="9">
        <v>29.343599999999999</v>
      </c>
      <c r="R320" s="9"/>
      <c r="S320" s="11"/>
    </row>
    <row r="321" spans="1:19" ht="15.75">
      <c r="A321" s="13">
        <v>51287</v>
      </c>
      <c r="B321" s="8">
        <f>CHOOSE( CONTROL!$C$32, 9.8407, 9.8383) * CHOOSE(CONTROL!$C$15, $D$11, 100%, $F$11)</f>
        <v>9.8407</v>
      </c>
      <c r="C321" s="8">
        <f>CHOOSE( CONTROL!$C$32, 9.8487, 9.8464) * CHOOSE(CONTROL!$C$15, $D$11, 100%, $F$11)</f>
        <v>9.8486999999999991</v>
      </c>
      <c r="D321" s="8">
        <f>CHOOSE( CONTROL!$C$32, 9.8739, 9.8716) * CHOOSE( CONTROL!$C$15, $D$11, 100%, $F$11)</f>
        <v>9.8739000000000008</v>
      </c>
      <c r="E321" s="12">
        <f>CHOOSE( CONTROL!$C$32, 9.8635, 9.8612) * CHOOSE( CONTROL!$C$15, $D$11, 100%, $F$11)</f>
        <v>9.8635000000000002</v>
      </c>
      <c r="F321" s="4">
        <f>CHOOSE( CONTROL!$C$32, 10.5541, 10.5517) * CHOOSE(CONTROL!$C$15, $D$11, 100%, $F$11)</f>
        <v>10.5541</v>
      </c>
      <c r="G321" s="8">
        <f>CHOOSE( CONTROL!$C$32, 9.5947, 9.5924) * CHOOSE( CONTROL!$C$15, $D$11, 100%, $F$11)</f>
        <v>9.5946999999999996</v>
      </c>
      <c r="H321" s="4">
        <f>CHOOSE( CONTROL!$C$32, 10.543, 10.5407) * CHOOSE(CONTROL!$C$15, $D$11, 100%, $F$11)</f>
        <v>10.542999999999999</v>
      </c>
      <c r="I321" s="8">
        <f>CHOOSE( CONTROL!$C$32, 9.5333, 9.531) * CHOOSE(CONTROL!$C$15, $D$11, 100%, $F$11)</f>
        <v>9.5333000000000006</v>
      </c>
      <c r="J321" s="4">
        <f>CHOOSE( CONTROL!$C$32, 9.4188, 9.4165) * CHOOSE(CONTROL!$C$15, $D$11, 100%, $F$11)</f>
        <v>9.4187999999999992</v>
      </c>
      <c r="K321" s="4"/>
      <c r="L321" s="9">
        <v>30.7165</v>
      </c>
      <c r="M321" s="9">
        <v>12.063700000000001</v>
      </c>
      <c r="N321" s="9">
        <v>4.9444999999999997</v>
      </c>
      <c r="O321" s="9">
        <v>0.37409999999999999</v>
      </c>
      <c r="P321" s="9">
        <v>1.2183999999999999</v>
      </c>
      <c r="Q321" s="9">
        <v>30.3217</v>
      </c>
      <c r="R321" s="9"/>
      <c r="S321" s="11"/>
    </row>
    <row r="322" spans="1:19" ht="15.75">
      <c r="A322" s="13">
        <v>51317</v>
      </c>
      <c r="B322" s="8">
        <f>CHOOSE( CONTROL!$C$32, 9.683, 9.6806) * CHOOSE(CONTROL!$C$15, $D$11, 100%, $F$11)</f>
        <v>9.6829999999999998</v>
      </c>
      <c r="C322" s="8">
        <f>CHOOSE( CONTROL!$C$32, 9.6911, 9.6887) * CHOOSE(CONTROL!$C$15, $D$11, 100%, $F$11)</f>
        <v>9.6911000000000005</v>
      </c>
      <c r="D322" s="8">
        <f>CHOOSE( CONTROL!$C$32, 9.7165, 9.7141) * CHOOSE( CONTROL!$C$15, $D$11, 100%, $F$11)</f>
        <v>9.7164999999999999</v>
      </c>
      <c r="E322" s="12">
        <f>CHOOSE( CONTROL!$C$32, 9.7061, 9.7037) * CHOOSE( CONTROL!$C$15, $D$11, 100%, $F$11)</f>
        <v>9.7060999999999993</v>
      </c>
      <c r="F322" s="4">
        <f>CHOOSE( CONTROL!$C$32, 10.3964, 10.3941) * CHOOSE(CONTROL!$C$15, $D$11, 100%, $F$11)</f>
        <v>10.3964</v>
      </c>
      <c r="G322" s="8">
        <f>CHOOSE( CONTROL!$C$32, 9.4409, 9.4387) * CHOOSE( CONTROL!$C$15, $D$11, 100%, $F$11)</f>
        <v>9.4408999999999992</v>
      </c>
      <c r="H322" s="4">
        <f>CHOOSE( CONTROL!$C$32, 10.389, 10.3867) * CHOOSE(CONTROL!$C$15, $D$11, 100%, $F$11)</f>
        <v>10.388999999999999</v>
      </c>
      <c r="I322" s="8">
        <f>CHOOSE( CONTROL!$C$32, 9.3828, 9.3805) * CHOOSE(CONTROL!$C$15, $D$11, 100%, $F$11)</f>
        <v>9.3827999999999996</v>
      </c>
      <c r="J322" s="4">
        <f>CHOOSE( CONTROL!$C$32, 9.2674, 9.2651) * CHOOSE(CONTROL!$C$15, $D$11, 100%, $F$11)</f>
        <v>9.2674000000000003</v>
      </c>
      <c r="K322" s="4"/>
      <c r="L322" s="9">
        <v>29.7257</v>
      </c>
      <c r="M322" s="9">
        <v>11.6745</v>
      </c>
      <c r="N322" s="9">
        <v>4.7850000000000001</v>
      </c>
      <c r="O322" s="9">
        <v>0.36199999999999999</v>
      </c>
      <c r="P322" s="9">
        <v>1.1791</v>
      </c>
      <c r="Q322" s="9">
        <v>29.343599999999999</v>
      </c>
      <c r="R322" s="9"/>
      <c r="S322" s="11"/>
    </row>
    <row r="323" spans="1:19" ht="15.75">
      <c r="A323" s="13">
        <v>51348</v>
      </c>
      <c r="B323" s="8">
        <f>CHOOSE( CONTROL!$C$32, 10.0982, 10.0959) * CHOOSE(CONTROL!$C$15, $D$11, 100%, $F$11)</f>
        <v>10.0982</v>
      </c>
      <c r="C323" s="8">
        <f>CHOOSE( CONTROL!$C$32, 10.1063, 10.104) * CHOOSE(CONTROL!$C$15, $D$11, 100%, $F$11)</f>
        <v>10.106299999999999</v>
      </c>
      <c r="D323" s="8">
        <f>CHOOSE( CONTROL!$C$32, 10.132, 10.1296) * CHOOSE( CONTROL!$C$15, $D$11, 100%, $F$11)</f>
        <v>10.132</v>
      </c>
      <c r="E323" s="12">
        <f>CHOOSE( CONTROL!$C$32, 10.1215, 10.1191) * CHOOSE( CONTROL!$C$15, $D$11, 100%, $F$11)</f>
        <v>10.121499999999999</v>
      </c>
      <c r="F323" s="4">
        <f>CHOOSE( CONTROL!$C$32, 10.8117, 10.8093) * CHOOSE(CONTROL!$C$15, $D$11, 100%, $F$11)</f>
        <v>10.8117</v>
      </c>
      <c r="G323" s="8">
        <f>CHOOSE( CONTROL!$C$32, 9.8469, 9.8446) * CHOOSE( CONTROL!$C$15, $D$11, 100%, $F$11)</f>
        <v>9.8468999999999998</v>
      </c>
      <c r="H323" s="4">
        <f>CHOOSE( CONTROL!$C$32, 10.7945, 10.7923) * CHOOSE(CONTROL!$C$15, $D$11, 100%, $F$11)</f>
        <v>10.794499999999999</v>
      </c>
      <c r="I323" s="8">
        <f>CHOOSE( CONTROL!$C$32, 9.7829, 9.7806) * CHOOSE(CONTROL!$C$15, $D$11, 100%, $F$11)</f>
        <v>9.7828999999999997</v>
      </c>
      <c r="J323" s="4">
        <f>CHOOSE( CONTROL!$C$32, 9.6661, 9.6638) * CHOOSE(CONTROL!$C$15, $D$11, 100%, $F$11)</f>
        <v>9.6661000000000001</v>
      </c>
      <c r="K323" s="4"/>
      <c r="L323" s="9">
        <v>30.7165</v>
      </c>
      <c r="M323" s="9">
        <v>12.063700000000001</v>
      </c>
      <c r="N323" s="9">
        <v>4.9444999999999997</v>
      </c>
      <c r="O323" s="9">
        <v>0.37409999999999999</v>
      </c>
      <c r="P323" s="9">
        <v>1.2183999999999999</v>
      </c>
      <c r="Q323" s="9">
        <v>30.3217</v>
      </c>
      <c r="R323" s="9"/>
      <c r="S323" s="11"/>
    </row>
    <row r="324" spans="1:19" ht="15.75">
      <c r="A324" s="13">
        <v>51379</v>
      </c>
      <c r="B324" s="8">
        <f>CHOOSE( CONTROL!$C$32, 9.3212, 9.3189) * CHOOSE(CONTROL!$C$15, $D$11, 100%, $F$11)</f>
        <v>9.3211999999999993</v>
      </c>
      <c r="C324" s="8">
        <f>CHOOSE( CONTROL!$C$32, 9.3293, 9.327) * CHOOSE(CONTROL!$C$15, $D$11, 100%, $F$11)</f>
        <v>9.3292999999999999</v>
      </c>
      <c r="D324" s="8">
        <f>CHOOSE( CONTROL!$C$32, 9.3551, 9.3527) * CHOOSE( CONTROL!$C$15, $D$11, 100%, $F$11)</f>
        <v>9.3551000000000002</v>
      </c>
      <c r="E324" s="12">
        <f>CHOOSE( CONTROL!$C$32, 9.3445, 9.3422) * CHOOSE( CONTROL!$C$15, $D$11, 100%, $F$11)</f>
        <v>9.3445</v>
      </c>
      <c r="F324" s="4">
        <f>CHOOSE( CONTROL!$C$32, 10.0347, 10.0323) * CHOOSE(CONTROL!$C$15, $D$11, 100%, $F$11)</f>
        <v>10.034700000000001</v>
      </c>
      <c r="G324" s="8">
        <f>CHOOSE( CONTROL!$C$32, 9.0881, 9.0859) * CHOOSE( CONTROL!$C$15, $D$11, 100%, $F$11)</f>
        <v>9.0881000000000007</v>
      </c>
      <c r="H324" s="4">
        <f>CHOOSE( CONTROL!$C$32, 10.0357, 10.0334) * CHOOSE(CONTROL!$C$15, $D$11, 100%, $F$11)</f>
        <v>10.0357</v>
      </c>
      <c r="I324" s="8">
        <f>CHOOSE( CONTROL!$C$32, 9.0369, 9.0346) * CHOOSE(CONTROL!$C$15, $D$11, 100%, $F$11)</f>
        <v>9.0368999999999993</v>
      </c>
      <c r="J324" s="4">
        <f>CHOOSE( CONTROL!$C$32, 8.9201, 8.9178) * CHOOSE(CONTROL!$C$15, $D$11, 100%, $F$11)</f>
        <v>8.9200999999999997</v>
      </c>
      <c r="K324" s="4"/>
      <c r="L324" s="9">
        <v>30.7165</v>
      </c>
      <c r="M324" s="9">
        <v>12.063700000000001</v>
      </c>
      <c r="N324" s="9">
        <v>4.9444999999999997</v>
      </c>
      <c r="O324" s="9">
        <v>0.37409999999999999</v>
      </c>
      <c r="P324" s="9">
        <v>1.2183999999999999</v>
      </c>
      <c r="Q324" s="9">
        <v>30.3217</v>
      </c>
      <c r="R324" s="9"/>
      <c r="S324" s="11"/>
    </row>
    <row r="325" spans="1:19" ht="15.75">
      <c r="A325" s="13">
        <v>51409</v>
      </c>
      <c r="B325" s="8">
        <f>CHOOSE( CONTROL!$C$32, 9.1267, 9.1243) * CHOOSE(CONTROL!$C$15, $D$11, 100%, $F$11)</f>
        <v>9.1266999999999996</v>
      </c>
      <c r="C325" s="8">
        <f>CHOOSE( CONTROL!$C$32, 9.1348, 9.1324) * CHOOSE(CONTROL!$C$15, $D$11, 100%, $F$11)</f>
        <v>9.1348000000000003</v>
      </c>
      <c r="D325" s="8">
        <f>CHOOSE( CONTROL!$C$32, 9.1605, 9.1581) * CHOOSE( CONTROL!$C$15, $D$11, 100%, $F$11)</f>
        <v>9.1605000000000008</v>
      </c>
      <c r="E325" s="12">
        <f>CHOOSE( CONTROL!$C$32, 9.15, 9.1476) * CHOOSE( CONTROL!$C$15, $D$11, 100%, $F$11)</f>
        <v>9.15</v>
      </c>
      <c r="F325" s="4">
        <f>CHOOSE( CONTROL!$C$32, 9.8401, 9.8378) * CHOOSE(CONTROL!$C$15, $D$11, 100%, $F$11)</f>
        <v>9.8400999999999996</v>
      </c>
      <c r="G325" s="8">
        <f>CHOOSE( CONTROL!$C$32, 8.8981, 8.8958) * CHOOSE( CONTROL!$C$15, $D$11, 100%, $F$11)</f>
        <v>8.8980999999999995</v>
      </c>
      <c r="H325" s="4">
        <f>CHOOSE( CONTROL!$C$32, 9.8456, 9.8433) * CHOOSE(CONTROL!$C$15, $D$11, 100%, $F$11)</f>
        <v>9.8455999999999992</v>
      </c>
      <c r="I325" s="8">
        <f>CHOOSE( CONTROL!$C$32, 8.8499, 8.8476) * CHOOSE(CONTROL!$C$15, $D$11, 100%, $F$11)</f>
        <v>8.8498999999999999</v>
      </c>
      <c r="J325" s="4">
        <f>CHOOSE( CONTROL!$C$32, 8.7333, 8.731) * CHOOSE(CONTROL!$C$15, $D$11, 100%, $F$11)</f>
        <v>8.7332999999999998</v>
      </c>
      <c r="K325" s="4"/>
      <c r="L325" s="9">
        <v>29.7257</v>
      </c>
      <c r="M325" s="9">
        <v>11.6745</v>
      </c>
      <c r="N325" s="9">
        <v>4.7850000000000001</v>
      </c>
      <c r="O325" s="9">
        <v>0.36199999999999999</v>
      </c>
      <c r="P325" s="9">
        <v>1.1791</v>
      </c>
      <c r="Q325" s="9">
        <v>29.343599999999999</v>
      </c>
      <c r="R325" s="9"/>
      <c r="S325" s="11"/>
    </row>
    <row r="326" spans="1:19" ht="15.75">
      <c r="A326" s="13">
        <v>51440</v>
      </c>
      <c r="B326" s="8">
        <f>9.5266 * CHOOSE(CONTROL!$C$15, $D$11, 100%, $F$11)</f>
        <v>9.5266000000000002</v>
      </c>
      <c r="C326" s="8">
        <f>9.532 * CHOOSE(CONTROL!$C$15, $D$11, 100%, $F$11)</f>
        <v>9.532</v>
      </c>
      <c r="D326" s="8">
        <f>9.5628 * CHOOSE( CONTROL!$C$15, $D$11, 100%, $F$11)</f>
        <v>9.5627999999999993</v>
      </c>
      <c r="E326" s="12">
        <f>9.5521 * CHOOSE( CONTROL!$C$15, $D$11, 100%, $F$11)</f>
        <v>9.5520999999999994</v>
      </c>
      <c r="F326" s="4">
        <f>10.2417 * CHOOSE(CONTROL!$C$15, $D$11, 100%, $F$11)</f>
        <v>10.2417</v>
      </c>
      <c r="G326" s="8">
        <f>9.2901 * CHOOSE( CONTROL!$C$15, $D$11, 100%, $F$11)</f>
        <v>9.2901000000000007</v>
      </c>
      <c r="H326" s="4">
        <f>10.2379 * CHOOSE(CONTROL!$C$15, $D$11, 100%, $F$11)</f>
        <v>10.2379</v>
      </c>
      <c r="I326" s="8">
        <f>9.2365 * CHOOSE(CONTROL!$C$15, $D$11, 100%, $F$11)</f>
        <v>9.2364999999999995</v>
      </c>
      <c r="J326" s="4">
        <f>9.1189 * CHOOSE(CONTROL!$C$15, $D$11, 100%, $F$11)</f>
        <v>9.1189</v>
      </c>
      <c r="K326" s="4"/>
      <c r="L326" s="9">
        <v>31.095300000000002</v>
      </c>
      <c r="M326" s="9">
        <v>12.063700000000001</v>
      </c>
      <c r="N326" s="9">
        <v>4.9444999999999997</v>
      </c>
      <c r="O326" s="9">
        <v>0.37409999999999999</v>
      </c>
      <c r="P326" s="9">
        <v>1.2183999999999999</v>
      </c>
      <c r="Q326" s="9">
        <v>30.3217</v>
      </c>
      <c r="R326" s="9"/>
      <c r="S326" s="11"/>
    </row>
    <row r="327" spans="1:19" ht="15.75">
      <c r="A327" s="13">
        <v>51470</v>
      </c>
      <c r="B327" s="8">
        <f>10.2719 * CHOOSE(CONTROL!$C$15, $D$11, 100%, $F$11)</f>
        <v>10.2719</v>
      </c>
      <c r="C327" s="8">
        <f>10.277 * CHOOSE(CONTROL!$C$15, $D$11, 100%, $F$11)</f>
        <v>10.276999999999999</v>
      </c>
      <c r="D327" s="8">
        <f>10.2601 * CHOOSE( CONTROL!$C$15, $D$11, 100%, $F$11)</f>
        <v>10.2601</v>
      </c>
      <c r="E327" s="12">
        <f>10.2657 * CHOOSE( CONTROL!$C$15, $D$11, 100%, $F$11)</f>
        <v>10.265700000000001</v>
      </c>
      <c r="F327" s="4">
        <f>10.9223 * CHOOSE(CONTROL!$C$15, $D$11, 100%, $F$11)</f>
        <v>10.9223</v>
      </c>
      <c r="G327" s="8">
        <f>10.0246 * CHOOSE( CONTROL!$C$15, $D$11, 100%, $F$11)</f>
        <v>10.0246</v>
      </c>
      <c r="H327" s="4">
        <f>10.9026 * CHOOSE(CONTROL!$C$15, $D$11, 100%, $F$11)</f>
        <v>10.9026</v>
      </c>
      <c r="I327" s="8">
        <f>9.9946 * CHOOSE(CONTROL!$C$15, $D$11, 100%, $F$11)</f>
        <v>9.9946000000000002</v>
      </c>
      <c r="J327" s="4">
        <f>9.8348 * CHOOSE(CONTROL!$C$15, $D$11, 100%, $F$11)</f>
        <v>9.8347999999999995</v>
      </c>
      <c r="K327" s="4"/>
      <c r="L327" s="9">
        <v>28.360600000000002</v>
      </c>
      <c r="M327" s="9">
        <v>11.6745</v>
      </c>
      <c r="N327" s="9">
        <v>4.7850000000000001</v>
      </c>
      <c r="O327" s="9">
        <v>0.36199999999999999</v>
      </c>
      <c r="P327" s="9">
        <v>1.2509999999999999</v>
      </c>
      <c r="Q327" s="9">
        <v>29.343599999999999</v>
      </c>
      <c r="R327" s="9"/>
      <c r="S327" s="11"/>
    </row>
    <row r="328" spans="1:19" ht="15.75">
      <c r="A328" s="13">
        <v>51501</v>
      </c>
      <c r="B328" s="8">
        <f>10.2532 * CHOOSE(CONTROL!$C$15, $D$11, 100%, $F$11)</f>
        <v>10.2532</v>
      </c>
      <c r="C328" s="8">
        <f>10.2584 * CHOOSE(CONTROL!$C$15, $D$11, 100%, $F$11)</f>
        <v>10.2584</v>
      </c>
      <c r="D328" s="8">
        <f>10.2429 * CHOOSE( CONTROL!$C$15, $D$11, 100%, $F$11)</f>
        <v>10.242900000000001</v>
      </c>
      <c r="E328" s="12">
        <f>10.248 * CHOOSE( CONTROL!$C$15, $D$11, 100%, $F$11)</f>
        <v>10.247999999999999</v>
      </c>
      <c r="F328" s="4">
        <f>10.9037 * CHOOSE(CONTROL!$C$15, $D$11, 100%, $F$11)</f>
        <v>10.903700000000001</v>
      </c>
      <c r="G328" s="8">
        <f>10.0075 * CHOOSE( CONTROL!$C$15, $D$11, 100%, $F$11)</f>
        <v>10.0075</v>
      </c>
      <c r="H328" s="4">
        <f>10.8844 * CHOOSE(CONTROL!$C$15, $D$11, 100%, $F$11)</f>
        <v>10.884399999999999</v>
      </c>
      <c r="I328" s="8">
        <f>9.9814 * CHOOSE(CONTROL!$C$15, $D$11, 100%, $F$11)</f>
        <v>9.9814000000000007</v>
      </c>
      <c r="J328" s="4">
        <f>9.8169 * CHOOSE(CONTROL!$C$15, $D$11, 100%, $F$11)</f>
        <v>9.8169000000000004</v>
      </c>
      <c r="K328" s="4"/>
      <c r="L328" s="9">
        <v>29.306000000000001</v>
      </c>
      <c r="M328" s="9">
        <v>12.063700000000001</v>
      </c>
      <c r="N328" s="9">
        <v>4.9444999999999997</v>
      </c>
      <c r="O328" s="9">
        <v>0.37409999999999999</v>
      </c>
      <c r="P328" s="9">
        <v>1.2927</v>
      </c>
      <c r="Q328" s="9">
        <v>30.3217</v>
      </c>
      <c r="R328" s="9"/>
      <c r="S328" s="11"/>
    </row>
    <row r="329" spans="1:19" ht="15.75">
      <c r="A329" s="13">
        <v>51532</v>
      </c>
      <c r="B329" s="8">
        <f>10.5548 * CHOOSE(CONTROL!$C$15, $D$11, 100%, $F$11)</f>
        <v>10.5548</v>
      </c>
      <c r="C329" s="8">
        <f>10.56 * CHOOSE(CONTROL!$C$15, $D$11, 100%, $F$11)</f>
        <v>10.56</v>
      </c>
      <c r="D329" s="8">
        <f>10.5402 * CHOOSE( CONTROL!$C$15, $D$11, 100%, $F$11)</f>
        <v>10.5402</v>
      </c>
      <c r="E329" s="12">
        <f>10.5469 * CHOOSE( CONTROL!$C$15, $D$11, 100%, $F$11)</f>
        <v>10.546900000000001</v>
      </c>
      <c r="F329" s="4">
        <f>11.2053 * CHOOSE(CONTROL!$C$15, $D$11, 100%, $F$11)</f>
        <v>11.205299999999999</v>
      </c>
      <c r="G329" s="8">
        <f>10.2928 * CHOOSE( CONTROL!$C$15, $D$11, 100%, $F$11)</f>
        <v>10.2928</v>
      </c>
      <c r="H329" s="4">
        <f>11.179 * CHOOSE(CONTROL!$C$15, $D$11, 100%, $F$11)</f>
        <v>11.179</v>
      </c>
      <c r="I329" s="8">
        <f>10.2302 * CHOOSE(CONTROL!$C$15, $D$11, 100%, $F$11)</f>
        <v>10.2302</v>
      </c>
      <c r="J329" s="4">
        <f>10.1065 * CHOOSE(CONTROL!$C$15, $D$11, 100%, $F$11)</f>
        <v>10.1065</v>
      </c>
      <c r="K329" s="4"/>
      <c r="L329" s="9">
        <v>29.306000000000001</v>
      </c>
      <c r="M329" s="9">
        <v>12.063700000000001</v>
      </c>
      <c r="N329" s="9">
        <v>4.9444999999999997</v>
      </c>
      <c r="O329" s="9">
        <v>0.37409999999999999</v>
      </c>
      <c r="P329" s="9">
        <v>1.2927</v>
      </c>
      <c r="Q329" s="9">
        <v>30.258500000000002</v>
      </c>
      <c r="R329" s="9"/>
      <c r="S329" s="11"/>
    </row>
    <row r="330" spans="1:19" ht="15.75">
      <c r="A330" s="13">
        <v>51560</v>
      </c>
      <c r="B330" s="8">
        <f>9.8743 * CHOOSE(CONTROL!$C$15, $D$11, 100%, $F$11)</f>
        <v>9.8742999999999999</v>
      </c>
      <c r="C330" s="8">
        <f>9.8795 * CHOOSE(CONTROL!$C$15, $D$11, 100%, $F$11)</f>
        <v>9.8795000000000002</v>
      </c>
      <c r="D330" s="8">
        <f>9.8596 * CHOOSE( CONTROL!$C$15, $D$11, 100%, $F$11)</f>
        <v>9.8596000000000004</v>
      </c>
      <c r="E330" s="12">
        <f>9.8663 * CHOOSE( CONTROL!$C$15, $D$11, 100%, $F$11)</f>
        <v>9.8663000000000007</v>
      </c>
      <c r="F330" s="4">
        <f>10.5248 * CHOOSE(CONTROL!$C$15, $D$11, 100%, $F$11)</f>
        <v>10.524800000000001</v>
      </c>
      <c r="G330" s="8">
        <f>9.6281 * CHOOSE( CONTROL!$C$15, $D$11, 100%, $F$11)</f>
        <v>9.6280999999999999</v>
      </c>
      <c r="H330" s="4">
        <f>10.5143 * CHOOSE(CONTROL!$C$15, $D$11, 100%, $F$11)</f>
        <v>10.5143</v>
      </c>
      <c r="I330" s="8">
        <f>9.5764 * CHOOSE(CONTROL!$C$15, $D$11, 100%, $F$11)</f>
        <v>9.5763999999999996</v>
      </c>
      <c r="J330" s="4">
        <f>9.4531 * CHOOSE(CONTROL!$C$15, $D$11, 100%, $F$11)</f>
        <v>9.4530999999999992</v>
      </c>
      <c r="K330" s="4"/>
      <c r="L330" s="9">
        <v>26.469899999999999</v>
      </c>
      <c r="M330" s="9">
        <v>10.8962</v>
      </c>
      <c r="N330" s="9">
        <v>4.4660000000000002</v>
      </c>
      <c r="O330" s="9">
        <v>0.33789999999999998</v>
      </c>
      <c r="P330" s="9">
        <v>1.1676</v>
      </c>
      <c r="Q330" s="9">
        <v>27.330200000000001</v>
      </c>
      <c r="R330" s="9"/>
      <c r="S330" s="11"/>
    </row>
    <row r="331" spans="1:19" ht="15.75">
      <c r="A331" s="13">
        <v>51591</v>
      </c>
      <c r="B331" s="8">
        <f>9.6647 * CHOOSE(CONTROL!$C$15, $D$11, 100%, $F$11)</f>
        <v>9.6646999999999998</v>
      </c>
      <c r="C331" s="8">
        <f>9.6699 * CHOOSE(CONTROL!$C$15, $D$11, 100%, $F$11)</f>
        <v>9.6699000000000002</v>
      </c>
      <c r="D331" s="8">
        <f>9.6497 * CHOOSE( CONTROL!$C$15, $D$11, 100%, $F$11)</f>
        <v>9.6496999999999993</v>
      </c>
      <c r="E331" s="12">
        <f>9.6565 * CHOOSE( CONTROL!$C$15, $D$11, 100%, $F$11)</f>
        <v>9.6564999999999994</v>
      </c>
      <c r="F331" s="4">
        <f>10.3152 * CHOOSE(CONTROL!$C$15, $D$11, 100%, $F$11)</f>
        <v>10.315200000000001</v>
      </c>
      <c r="G331" s="8">
        <f>9.4231 * CHOOSE( CONTROL!$C$15, $D$11, 100%, $F$11)</f>
        <v>9.4230999999999998</v>
      </c>
      <c r="H331" s="4">
        <f>10.3096 * CHOOSE(CONTROL!$C$15, $D$11, 100%, $F$11)</f>
        <v>10.3096</v>
      </c>
      <c r="I331" s="8">
        <f>9.374 * CHOOSE(CONTROL!$C$15, $D$11, 100%, $F$11)</f>
        <v>9.3740000000000006</v>
      </c>
      <c r="J331" s="4">
        <f>9.2519 * CHOOSE(CONTROL!$C$15, $D$11, 100%, $F$11)</f>
        <v>9.2518999999999991</v>
      </c>
      <c r="K331" s="4"/>
      <c r="L331" s="9">
        <v>29.306000000000001</v>
      </c>
      <c r="M331" s="9">
        <v>12.063700000000001</v>
      </c>
      <c r="N331" s="9">
        <v>4.9444999999999997</v>
      </c>
      <c r="O331" s="9">
        <v>0.37409999999999999</v>
      </c>
      <c r="P331" s="9">
        <v>1.2927</v>
      </c>
      <c r="Q331" s="9">
        <v>30.258500000000002</v>
      </c>
      <c r="R331" s="9"/>
      <c r="S331" s="11"/>
    </row>
    <row r="332" spans="1:19" ht="15.75">
      <c r="A332" s="13">
        <v>51621</v>
      </c>
      <c r="B332" s="8">
        <f>9.8119 * CHOOSE(CONTROL!$C$15, $D$11, 100%, $F$11)</f>
        <v>9.8118999999999996</v>
      </c>
      <c r="C332" s="8">
        <f>9.8165 * CHOOSE(CONTROL!$C$15, $D$11, 100%, $F$11)</f>
        <v>9.8164999999999996</v>
      </c>
      <c r="D332" s="8">
        <f>9.8471 * CHOOSE( CONTROL!$C$15, $D$11, 100%, $F$11)</f>
        <v>9.8470999999999993</v>
      </c>
      <c r="E332" s="12">
        <f>9.8365 * CHOOSE( CONTROL!$C$15, $D$11, 100%, $F$11)</f>
        <v>9.8364999999999991</v>
      </c>
      <c r="F332" s="4">
        <f>10.5267 * CHOOSE(CONTROL!$C$15, $D$11, 100%, $F$11)</f>
        <v>10.5267</v>
      </c>
      <c r="G332" s="8">
        <f>9.5674 * CHOOSE( CONTROL!$C$15, $D$11, 100%, $F$11)</f>
        <v>9.5673999999999992</v>
      </c>
      <c r="H332" s="4">
        <f>10.5163 * CHOOSE(CONTROL!$C$15, $D$11, 100%, $F$11)</f>
        <v>10.516299999999999</v>
      </c>
      <c r="I332" s="8">
        <f>9.5067 * CHOOSE(CONTROL!$C$15, $D$11, 100%, $F$11)</f>
        <v>9.5067000000000004</v>
      </c>
      <c r="J332" s="4">
        <f>9.3925 * CHOOSE(CONTROL!$C$15, $D$11, 100%, $F$11)</f>
        <v>9.3925000000000001</v>
      </c>
      <c r="K332" s="4"/>
      <c r="L332" s="9">
        <v>30.092199999999998</v>
      </c>
      <c r="M332" s="9">
        <v>11.6745</v>
      </c>
      <c r="N332" s="9">
        <v>4.7850000000000001</v>
      </c>
      <c r="O332" s="9">
        <v>0.36199999999999999</v>
      </c>
      <c r="P332" s="9">
        <v>1.1791</v>
      </c>
      <c r="Q332" s="9">
        <v>29.282399999999999</v>
      </c>
      <c r="R332" s="9"/>
      <c r="S332" s="11"/>
    </row>
    <row r="333" spans="1:19" ht="15.75">
      <c r="A333" s="13">
        <v>51652</v>
      </c>
      <c r="B333" s="8">
        <f>CHOOSE( CONTROL!$C$32, 10.0763, 10.074) * CHOOSE(CONTROL!$C$15, $D$11, 100%, $F$11)</f>
        <v>10.0763</v>
      </c>
      <c r="C333" s="8">
        <f>CHOOSE( CONTROL!$C$32, 10.0844, 10.0821) * CHOOSE(CONTROL!$C$15, $D$11, 100%, $F$11)</f>
        <v>10.0844</v>
      </c>
      <c r="D333" s="8">
        <f>CHOOSE( CONTROL!$C$32, 10.1096, 10.1072) * CHOOSE( CONTROL!$C$15, $D$11, 100%, $F$11)</f>
        <v>10.1096</v>
      </c>
      <c r="E333" s="12">
        <f>CHOOSE( CONTROL!$C$32, 10.0992, 10.0969) * CHOOSE( CONTROL!$C$15, $D$11, 100%, $F$11)</f>
        <v>10.0992</v>
      </c>
      <c r="F333" s="4">
        <f>CHOOSE( CONTROL!$C$32, 10.7897, 10.7874) * CHOOSE(CONTROL!$C$15, $D$11, 100%, $F$11)</f>
        <v>10.7897</v>
      </c>
      <c r="G333" s="8">
        <f>CHOOSE( CONTROL!$C$32, 9.8248, 9.8225) * CHOOSE( CONTROL!$C$15, $D$11, 100%, $F$11)</f>
        <v>9.8247999999999998</v>
      </c>
      <c r="H333" s="4">
        <f>CHOOSE( CONTROL!$C$32, 10.7731, 10.7709) * CHOOSE(CONTROL!$C$15, $D$11, 100%, $F$11)</f>
        <v>10.773099999999999</v>
      </c>
      <c r="I333" s="8">
        <f>CHOOSE( CONTROL!$C$32, 9.7596, 9.7574) * CHOOSE(CONTROL!$C$15, $D$11, 100%, $F$11)</f>
        <v>9.7596000000000007</v>
      </c>
      <c r="J333" s="4">
        <f>CHOOSE( CONTROL!$C$32, 9.645, 9.6428) * CHOOSE(CONTROL!$C$15, $D$11, 100%, $F$11)</f>
        <v>9.6449999999999996</v>
      </c>
      <c r="K333" s="4"/>
      <c r="L333" s="9">
        <v>30.7165</v>
      </c>
      <c r="M333" s="9">
        <v>12.063700000000001</v>
      </c>
      <c r="N333" s="9">
        <v>4.9444999999999997</v>
      </c>
      <c r="O333" s="9">
        <v>0.37409999999999999</v>
      </c>
      <c r="P333" s="9">
        <v>1.2183999999999999</v>
      </c>
      <c r="Q333" s="9">
        <v>30.258500000000002</v>
      </c>
      <c r="R333" s="9"/>
      <c r="S333" s="11"/>
    </row>
    <row r="334" spans="1:19" ht="15.75">
      <c r="A334" s="13">
        <v>51682</v>
      </c>
      <c r="B334" s="8">
        <f>CHOOSE( CONTROL!$C$32, 9.9148, 9.9125) * CHOOSE(CONTROL!$C$15, $D$11, 100%, $F$11)</f>
        <v>9.9147999999999996</v>
      </c>
      <c r="C334" s="8">
        <f>CHOOSE( CONTROL!$C$32, 9.9229, 9.9206) * CHOOSE(CONTROL!$C$15, $D$11, 100%, $F$11)</f>
        <v>9.9229000000000003</v>
      </c>
      <c r="D334" s="8">
        <f>CHOOSE( CONTROL!$C$32, 9.9483, 9.946) * CHOOSE( CONTROL!$C$15, $D$11, 100%, $F$11)</f>
        <v>9.9482999999999997</v>
      </c>
      <c r="E334" s="12">
        <f>CHOOSE( CONTROL!$C$32, 9.9379, 9.9356) * CHOOSE( CONTROL!$C$15, $D$11, 100%, $F$11)</f>
        <v>9.9379000000000008</v>
      </c>
      <c r="F334" s="4">
        <f>CHOOSE( CONTROL!$C$32, 10.6283, 10.6259) * CHOOSE(CONTROL!$C$15, $D$11, 100%, $F$11)</f>
        <v>10.628299999999999</v>
      </c>
      <c r="G334" s="8">
        <f>CHOOSE( CONTROL!$C$32, 9.6674, 9.6651) * CHOOSE( CONTROL!$C$15, $D$11, 100%, $F$11)</f>
        <v>9.6674000000000007</v>
      </c>
      <c r="H334" s="4">
        <f>CHOOSE( CONTROL!$C$32, 10.6154, 10.6131) * CHOOSE(CONTROL!$C$15, $D$11, 100%, $F$11)</f>
        <v>10.615399999999999</v>
      </c>
      <c r="I334" s="8">
        <f>CHOOSE( CONTROL!$C$32, 9.6055, 9.6032) * CHOOSE(CONTROL!$C$15, $D$11, 100%, $F$11)</f>
        <v>9.6054999999999993</v>
      </c>
      <c r="J334" s="4">
        <f>CHOOSE( CONTROL!$C$32, 9.49, 9.4878) * CHOOSE(CONTROL!$C$15, $D$11, 100%, $F$11)</f>
        <v>9.49</v>
      </c>
      <c r="K334" s="4"/>
      <c r="L334" s="9">
        <v>29.7257</v>
      </c>
      <c r="M334" s="9">
        <v>11.6745</v>
      </c>
      <c r="N334" s="9">
        <v>4.7850000000000001</v>
      </c>
      <c r="O334" s="9">
        <v>0.36199999999999999</v>
      </c>
      <c r="P334" s="9">
        <v>1.1791</v>
      </c>
      <c r="Q334" s="9">
        <v>29.282399999999999</v>
      </c>
      <c r="R334" s="9"/>
      <c r="S334" s="11"/>
    </row>
    <row r="335" spans="1:19" ht="15.75">
      <c r="A335" s="13">
        <v>51713</v>
      </c>
      <c r="B335" s="8">
        <f>CHOOSE( CONTROL!$C$32, 10.3401, 10.3377) * CHOOSE(CONTROL!$C$15, $D$11, 100%, $F$11)</f>
        <v>10.3401</v>
      </c>
      <c r="C335" s="8">
        <f>CHOOSE( CONTROL!$C$32, 10.3482, 10.3458) * CHOOSE(CONTROL!$C$15, $D$11, 100%, $F$11)</f>
        <v>10.3482</v>
      </c>
      <c r="D335" s="8">
        <f>CHOOSE( CONTROL!$C$32, 10.3738, 10.3715) * CHOOSE( CONTROL!$C$15, $D$11, 100%, $F$11)</f>
        <v>10.373799999999999</v>
      </c>
      <c r="E335" s="12">
        <f>CHOOSE( CONTROL!$C$32, 10.3633, 10.361) * CHOOSE( CONTROL!$C$15, $D$11, 100%, $F$11)</f>
        <v>10.363300000000001</v>
      </c>
      <c r="F335" s="4">
        <f>CHOOSE( CONTROL!$C$32, 11.0535, 11.0512) * CHOOSE(CONTROL!$C$15, $D$11, 100%, $F$11)</f>
        <v>11.0535</v>
      </c>
      <c r="G335" s="8">
        <f>CHOOSE( CONTROL!$C$32, 10.0831, 10.0808) * CHOOSE( CONTROL!$C$15, $D$11, 100%, $F$11)</f>
        <v>10.0831</v>
      </c>
      <c r="H335" s="4">
        <f>CHOOSE( CONTROL!$C$32, 11.0308, 11.0285) * CHOOSE(CONTROL!$C$15, $D$11, 100%, $F$11)</f>
        <v>11.030799999999999</v>
      </c>
      <c r="I335" s="8">
        <f>CHOOSE( CONTROL!$C$32, 10.0152, 10.0129) * CHOOSE(CONTROL!$C$15, $D$11, 100%, $F$11)</f>
        <v>10.0152</v>
      </c>
      <c r="J335" s="4">
        <f>CHOOSE( CONTROL!$C$32, 9.8983, 9.896) * CHOOSE(CONTROL!$C$15, $D$11, 100%, $F$11)</f>
        <v>9.8983000000000008</v>
      </c>
      <c r="K335" s="4"/>
      <c r="L335" s="9">
        <v>30.7165</v>
      </c>
      <c r="M335" s="9">
        <v>12.063700000000001</v>
      </c>
      <c r="N335" s="9">
        <v>4.9444999999999997</v>
      </c>
      <c r="O335" s="9">
        <v>0.37409999999999999</v>
      </c>
      <c r="P335" s="9">
        <v>1.2183999999999999</v>
      </c>
      <c r="Q335" s="9">
        <v>30.258500000000002</v>
      </c>
      <c r="R335" s="9"/>
      <c r="S335" s="11"/>
    </row>
    <row r="336" spans="1:19" ht="15.75">
      <c r="A336" s="13">
        <v>51744</v>
      </c>
      <c r="B336" s="8">
        <f>CHOOSE( CONTROL!$C$32, 9.5444, 9.5421) * CHOOSE(CONTROL!$C$15, $D$11, 100%, $F$11)</f>
        <v>9.5443999999999996</v>
      </c>
      <c r="C336" s="8">
        <f>CHOOSE( CONTROL!$C$32, 9.5525, 9.5502) * CHOOSE(CONTROL!$C$15, $D$11, 100%, $F$11)</f>
        <v>9.5525000000000002</v>
      </c>
      <c r="D336" s="8">
        <f>CHOOSE( CONTROL!$C$32, 9.5782, 9.5759) * CHOOSE( CONTROL!$C$15, $D$11, 100%, $F$11)</f>
        <v>9.5782000000000007</v>
      </c>
      <c r="E336" s="12">
        <f>CHOOSE( CONTROL!$C$32, 9.5677, 9.5654) * CHOOSE( CONTROL!$C$15, $D$11, 100%, $F$11)</f>
        <v>9.5677000000000003</v>
      </c>
      <c r="F336" s="4">
        <f>CHOOSE( CONTROL!$C$32, 10.2579, 10.2555) * CHOOSE(CONTROL!$C$15, $D$11, 100%, $F$11)</f>
        <v>10.257899999999999</v>
      </c>
      <c r="G336" s="8">
        <f>CHOOSE( CONTROL!$C$32, 9.3061, 9.3038) * CHOOSE( CONTROL!$C$15, $D$11, 100%, $F$11)</f>
        <v>9.3061000000000007</v>
      </c>
      <c r="H336" s="4">
        <f>CHOOSE( CONTROL!$C$32, 10.2536, 10.2514) * CHOOSE(CONTROL!$C$15, $D$11, 100%, $F$11)</f>
        <v>10.2536</v>
      </c>
      <c r="I336" s="8">
        <f>CHOOSE( CONTROL!$C$32, 9.2513, 9.249) * CHOOSE(CONTROL!$C$15, $D$11, 100%, $F$11)</f>
        <v>9.2513000000000005</v>
      </c>
      <c r="J336" s="4">
        <f>CHOOSE( CONTROL!$C$32, 9.1344, 9.1321) * CHOOSE(CONTROL!$C$15, $D$11, 100%, $F$11)</f>
        <v>9.1343999999999994</v>
      </c>
      <c r="K336" s="4"/>
      <c r="L336" s="9">
        <v>30.7165</v>
      </c>
      <c r="M336" s="9">
        <v>12.063700000000001</v>
      </c>
      <c r="N336" s="9">
        <v>4.9444999999999997</v>
      </c>
      <c r="O336" s="9">
        <v>0.37409999999999999</v>
      </c>
      <c r="P336" s="9">
        <v>1.2183999999999999</v>
      </c>
      <c r="Q336" s="9">
        <v>30.258500000000002</v>
      </c>
      <c r="R336" s="9"/>
      <c r="S336" s="11"/>
    </row>
    <row r="337" spans="1:19" ht="15.75">
      <c r="A337" s="13">
        <v>51774</v>
      </c>
      <c r="B337" s="8">
        <f>CHOOSE( CONTROL!$C$32, 9.3452, 9.3428) * CHOOSE(CONTROL!$C$15, $D$11, 100%, $F$11)</f>
        <v>9.3452000000000002</v>
      </c>
      <c r="C337" s="8">
        <f>CHOOSE( CONTROL!$C$32, 9.3533, 9.3509) * CHOOSE(CONTROL!$C$15, $D$11, 100%, $F$11)</f>
        <v>9.3533000000000008</v>
      </c>
      <c r="D337" s="8">
        <f>CHOOSE( CONTROL!$C$32, 9.379, 9.3766) * CHOOSE( CONTROL!$C$15, $D$11, 100%, $F$11)</f>
        <v>9.3789999999999996</v>
      </c>
      <c r="E337" s="12">
        <f>CHOOSE( CONTROL!$C$32, 9.3685, 9.3661) * CHOOSE( CONTROL!$C$15, $D$11, 100%, $F$11)</f>
        <v>9.3684999999999992</v>
      </c>
      <c r="F337" s="4">
        <f>CHOOSE( CONTROL!$C$32, 10.0586, 10.0563) * CHOOSE(CONTROL!$C$15, $D$11, 100%, $F$11)</f>
        <v>10.0586</v>
      </c>
      <c r="G337" s="8">
        <f>CHOOSE( CONTROL!$C$32, 9.1115, 9.1092) * CHOOSE( CONTROL!$C$15, $D$11, 100%, $F$11)</f>
        <v>9.1114999999999995</v>
      </c>
      <c r="H337" s="4">
        <f>CHOOSE( CONTROL!$C$32, 10.059, 10.0568) * CHOOSE(CONTROL!$C$15, $D$11, 100%, $F$11)</f>
        <v>10.058999999999999</v>
      </c>
      <c r="I337" s="8">
        <f>CHOOSE( CONTROL!$C$32, 9.0598, 9.0575) * CHOOSE(CONTROL!$C$15, $D$11, 100%, $F$11)</f>
        <v>9.0597999999999992</v>
      </c>
      <c r="J337" s="4">
        <f>CHOOSE( CONTROL!$C$32, 8.9431, 8.9408) * CHOOSE(CONTROL!$C$15, $D$11, 100%, $F$11)</f>
        <v>8.9430999999999994</v>
      </c>
      <c r="K337" s="4"/>
      <c r="L337" s="9">
        <v>29.7257</v>
      </c>
      <c r="M337" s="9">
        <v>11.6745</v>
      </c>
      <c r="N337" s="9">
        <v>4.7850000000000001</v>
      </c>
      <c r="O337" s="9">
        <v>0.36199999999999999</v>
      </c>
      <c r="P337" s="9">
        <v>1.1791</v>
      </c>
      <c r="Q337" s="9">
        <v>29.282399999999999</v>
      </c>
      <c r="R337" s="9"/>
      <c r="S337" s="11"/>
    </row>
    <row r="338" spans="1:19" ht="15.75">
      <c r="A338" s="13">
        <v>51805</v>
      </c>
      <c r="B338" s="8">
        <f>9.7548 * CHOOSE(CONTROL!$C$15, $D$11, 100%, $F$11)</f>
        <v>9.7547999999999995</v>
      </c>
      <c r="C338" s="8">
        <f>9.7602 * CHOOSE(CONTROL!$C$15, $D$11, 100%, $F$11)</f>
        <v>9.7601999999999993</v>
      </c>
      <c r="D338" s="8">
        <f>9.791 * CHOOSE( CONTROL!$C$15, $D$11, 100%, $F$11)</f>
        <v>9.7910000000000004</v>
      </c>
      <c r="E338" s="12">
        <f>9.7803 * CHOOSE( CONTROL!$C$15, $D$11, 100%, $F$11)</f>
        <v>9.7803000000000004</v>
      </c>
      <c r="F338" s="4">
        <f>10.47 * CHOOSE(CONTROL!$C$15, $D$11, 100%, $F$11)</f>
        <v>10.47</v>
      </c>
      <c r="G338" s="8">
        <f>9.513 * CHOOSE( CONTROL!$C$15, $D$11, 100%, $F$11)</f>
        <v>9.5129999999999999</v>
      </c>
      <c r="H338" s="4">
        <f>10.4608 * CHOOSE(CONTROL!$C$15, $D$11, 100%, $F$11)</f>
        <v>10.460800000000001</v>
      </c>
      <c r="I338" s="8">
        <f>9.4557 * CHOOSE(CONTROL!$C$15, $D$11, 100%, $F$11)</f>
        <v>9.4557000000000002</v>
      </c>
      <c r="J338" s="4">
        <f>9.338 * CHOOSE(CONTROL!$C$15, $D$11, 100%, $F$11)</f>
        <v>9.3379999999999992</v>
      </c>
      <c r="K338" s="4"/>
      <c r="L338" s="9">
        <v>31.095300000000002</v>
      </c>
      <c r="M338" s="9">
        <v>12.063700000000001</v>
      </c>
      <c r="N338" s="9">
        <v>4.9444999999999997</v>
      </c>
      <c r="O338" s="9">
        <v>0.37409999999999999</v>
      </c>
      <c r="P338" s="9">
        <v>1.2183999999999999</v>
      </c>
      <c r="Q338" s="9">
        <v>30.258500000000002</v>
      </c>
      <c r="R338" s="9"/>
      <c r="S338" s="11"/>
    </row>
    <row r="339" spans="1:19" ht="15.75">
      <c r="A339" s="13">
        <v>51835</v>
      </c>
      <c r="B339" s="8">
        <f>10.518 * CHOOSE(CONTROL!$C$15, $D$11, 100%, $F$11)</f>
        <v>10.518000000000001</v>
      </c>
      <c r="C339" s="8">
        <f>10.5232 * CHOOSE(CONTROL!$C$15, $D$11, 100%, $F$11)</f>
        <v>10.523199999999999</v>
      </c>
      <c r="D339" s="8">
        <f>10.5062 * CHOOSE( CONTROL!$C$15, $D$11, 100%, $F$11)</f>
        <v>10.5062</v>
      </c>
      <c r="E339" s="12">
        <f>10.5119 * CHOOSE( CONTROL!$C$15, $D$11, 100%, $F$11)</f>
        <v>10.511900000000001</v>
      </c>
      <c r="F339" s="4">
        <f>11.1684 * CHOOSE(CONTROL!$C$15, $D$11, 100%, $F$11)</f>
        <v>11.1684</v>
      </c>
      <c r="G339" s="8">
        <f>10.265 * CHOOSE( CONTROL!$C$15, $D$11, 100%, $F$11)</f>
        <v>10.265000000000001</v>
      </c>
      <c r="H339" s="4">
        <f>11.143 * CHOOSE(CONTROL!$C$15, $D$11, 100%, $F$11)</f>
        <v>11.143000000000001</v>
      </c>
      <c r="I339" s="8">
        <f>10.231 * CHOOSE(CONTROL!$C$15, $D$11, 100%, $F$11)</f>
        <v>10.231</v>
      </c>
      <c r="J339" s="4">
        <f>10.0711 * CHOOSE(CONTROL!$C$15, $D$11, 100%, $F$11)</f>
        <v>10.071099999999999</v>
      </c>
      <c r="K339" s="4"/>
      <c r="L339" s="9">
        <v>28.360600000000002</v>
      </c>
      <c r="M339" s="9">
        <v>11.6745</v>
      </c>
      <c r="N339" s="9">
        <v>4.7850000000000001</v>
      </c>
      <c r="O339" s="9">
        <v>0.36199999999999999</v>
      </c>
      <c r="P339" s="9">
        <v>1.2509999999999999</v>
      </c>
      <c r="Q339" s="9">
        <v>29.282399999999999</v>
      </c>
      <c r="R339" s="9"/>
      <c r="S339" s="11"/>
    </row>
    <row r="340" spans="1:19" ht="15.75">
      <c r="A340" s="13">
        <v>51866</v>
      </c>
      <c r="B340" s="8">
        <f>10.4989 * CHOOSE(CONTROL!$C$15, $D$11, 100%, $F$11)</f>
        <v>10.498900000000001</v>
      </c>
      <c r="C340" s="8">
        <f>10.5041 * CHOOSE(CONTROL!$C$15, $D$11, 100%, $F$11)</f>
        <v>10.504099999999999</v>
      </c>
      <c r="D340" s="8">
        <f>10.4886 * CHOOSE( CONTROL!$C$15, $D$11, 100%, $F$11)</f>
        <v>10.4886</v>
      </c>
      <c r="E340" s="12">
        <f>10.4937 * CHOOSE( CONTROL!$C$15, $D$11, 100%, $F$11)</f>
        <v>10.4937</v>
      </c>
      <c r="F340" s="4">
        <f>11.1494 * CHOOSE(CONTROL!$C$15, $D$11, 100%, $F$11)</f>
        <v>11.1494</v>
      </c>
      <c r="G340" s="8">
        <f>10.2475 * CHOOSE( CONTROL!$C$15, $D$11, 100%, $F$11)</f>
        <v>10.2475</v>
      </c>
      <c r="H340" s="4">
        <f>11.1244 * CHOOSE(CONTROL!$C$15, $D$11, 100%, $F$11)</f>
        <v>11.1244</v>
      </c>
      <c r="I340" s="8">
        <f>10.2174 * CHOOSE(CONTROL!$C$15, $D$11, 100%, $F$11)</f>
        <v>10.2174</v>
      </c>
      <c r="J340" s="4">
        <f>10.0528 * CHOOSE(CONTROL!$C$15, $D$11, 100%, $F$11)</f>
        <v>10.0528</v>
      </c>
      <c r="K340" s="4"/>
      <c r="L340" s="9">
        <v>29.306000000000001</v>
      </c>
      <c r="M340" s="9">
        <v>12.063700000000001</v>
      </c>
      <c r="N340" s="9">
        <v>4.9444999999999997</v>
      </c>
      <c r="O340" s="9">
        <v>0.37409999999999999</v>
      </c>
      <c r="P340" s="9">
        <v>1.2927</v>
      </c>
      <c r="Q340" s="9">
        <v>30.258500000000002</v>
      </c>
      <c r="R340" s="9"/>
      <c r="S340" s="11"/>
    </row>
    <row r="341" spans="1:19" ht="15.75">
      <c r="A341" s="13">
        <v>51897</v>
      </c>
      <c r="B341" s="8">
        <f>10.8077 * CHOOSE(CONTROL!$C$15, $D$11, 100%, $F$11)</f>
        <v>10.807700000000001</v>
      </c>
      <c r="C341" s="8">
        <f>10.8129 * CHOOSE(CONTROL!$C$15, $D$11, 100%, $F$11)</f>
        <v>10.812900000000001</v>
      </c>
      <c r="D341" s="8">
        <f>10.7931 * CHOOSE( CONTROL!$C$15, $D$11, 100%, $F$11)</f>
        <v>10.793100000000001</v>
      </c>
      <c r="E341" s="12">
        <f>10.7998 * CHOOSE( CONTROL!$C$15, $D$11, 100%, $F$11)</f>
        <v>10.799799999999999</v>
      </c>
      <c r="F341" s="4">
        <f>11.4582 * CHOOSE(CONTROL!$C$15, $D$11, 100%, $F$11)</f>
        <v>11.4582</v>
      </c>
      <c r="G341" s="8">
        <f>10.5398 * CHOOSE( CONTROL!$C$15, $D$11, 100%, $F$11)</f>
        <v>10.5398</v>
      </c>
      <c r="H341" s="4">
        <f>11.426 * CHOOSE(CONTROL!$C$15, $D$11, 100%, $F$11)</f>
        <v>11.426</v>
      </c>
      <c r="I341" s="8">
        <f>10.4732 * CHOOSE(CONTROL!$C$15, $D$11, 100%, $F$11)</f>
        <v>10.4732</v>
      </c>
      <c r="J341" s="4">
        <f>10.3493 * CHOOSE(CONTROL!$C$15, $D$11, 100%, $F$11)</f>
        <v>10.349299999999999</v>
      </c>
      <c r="K341" s="4"/>
      <c r="L341" s="9">
        <v>29.306000000000001</v>
      </c>
      <c r="M341" s="9">
        <v>12.063700000000001</v>
      </c>
      <c r="N341" s="9">
        <v>4.9444999999999997</v>
      </c>
      <c r="O341" s="9">
        <v>0.37409999999999999</v>
      </c>
      <c r="P341" s="9">
        <v>1.2927</v>
      </c>
      <c r="Q341" s="9">
        <v>20.593900000000001</v>
      </c>
      <c r="R341" s="9"/>
      <c r="S341" s="11"/>
    </row>
    <row r="342" spans="1:19" ht="15.75">
      <c r="A342" s="13">
        <v>51925</v>
      </c>
      <c r="B342" s="8">
        <f>10.1109 * CHOOSE(CONTROL!$C$15, $D$11, 100%, $F$11)</f>
        <v>10.110900000000001</v>
      </c>
      <c r="C342" s="8">
        <f>10.1161 * CHOOSE(CONTROL!$C$15, $D$11, 100%, $F$11)</f>
        <v>10.116099999999999</v>
      </c>
      <c r="D342" s="8">
        <f>10.0962 * CHOOSE( CONTROL!$C$15, $D$11, 100%, $F$11)</f>
        <v>10.0962</v>
      </c>
      <c r="E342" s="12">
        <f>10.1029 * CHOOSE( CONTROL!$C$15, $D$11, 100%, $F$11)</f>
        <v>10.1029</v>
      </c>
      <c r="F342" s="4">
        <f>10.7613 * CHOOSE(CONTROL!$C$15, $D$11, 100%, $F$11)</f>
        <v>10.7613</v>
      </c>
      <c r="G342" s="8">
        <f>9.8592 * CHOOSE( CONTROL!$C$15, $D$11, 100%, $F$11)</f>
        <v>9.8591999999999995</v>
      </c>
      <c r="H342" s="4">
        <f>10.7454 * CHOOSE(CONTROL!$C$15, $D$11, 100%, $F$11)</f>
        <v>10.7454</v>
      </c>
      <c r="I342" s="8">
        <f>9.8037 * CHOOSE(CONTROL!$C$15, $D$11, 100%, $F$11)</f>
        <v>9.8036999999999992</v>
      </c>
      <c r="J342" s="4">
        <f>9.6803 * CHOOSE(CONTROL!$C$15, $D$11, 100%, $F$11)</f>
        <v>9.6803000000000008</v>
      </c>
      <c r="K342" s="4"/>
      <c r="L342" s="9">
        <v>26.469899999999999</v>
      </c>
      <c r="M342" s="9">
        <v>10.8962</v>
      </c>
      <c r="N342" s="9">
        <v>4.4660000000000002</v>
      </c>
      <c r="O342" s="9">
        <v>0.33789999999999998</v>
      </c>
      <c r="P342" s="9">
        <v>1.1676</v>
      </c>
      <c r="Q342" s="9">
        <v>18.600999999999999</v>
      </c>
      <c r="R342" s="9"/>
      <c r="S342" s="11"/>
    </row>
    <row r="343" spans="1:19" ht="15.75">
      <c r="A343" s="13">
        <v>51956</v>
      </c>
      <c r="B343" s="8">
        <f>9.8962 * CHOOSE(CONTROL!$C$15, $D$11, 100%, $F$11)</f>
        <v>9.8962000000000003</v>
      </c>
      <c r="C343" s="8">
        <f>9.9014 * CHOOSE(CONTROL!$C$15, $D$11, 100%, $F$11)</f>
        <v>9.9014000000000006</v>
      </c>
      <c r="D343" s="8">
        <f>9.8812 * CHOOSE( CONTROL!$C$15, $D$11, 100%, $F$11)</f>
        <v>9.8811999999999998</v>
      </c>
      <c r="E343" s="12">
        <f>9.888 * CHOOSE( CONTROL!$C$15, $D$11, 100%, $F$11)</f>
        <v>9.8879999999999999</v>
      </c>
      <c r="F343" s="4">
        <f>10.5467 * CHOOSE(CONTROL!$C$15, $D$11, 100%, $F$11)</f>
        <v>10.5467</v>
      </c>
      <c r="G343" s="8">
        <f>9.6493 * CHOOSE( CONTROL!$C$15, $D$11, 100%, $F$11)</f>
        <v>9.6493000000000002</v>
      </c>
      <c r="H343" s="4">
        <f>10.5358 * CHOOSE(CONTROL!$C$15, $D$11, 100%, $F$11)</f>
        <v>10.5358</v>
      </c>
      <c r="I343" s="8">
        <f>9.5964 * CHOOSE(CONTROL!$C$15, $D$11, 100%, $F$11)</f>
        <v>9.5963999999999992</v>
      </c>
      <c r="J343" s="4">
        <f>9.4742 * CHOOSE(CONTROL!$C$15, $D$11, 100%, $F$11)</f>
        <v>9.4741999999999997</v>
      </c>
      <c r="K343" s="4"/>
      <c r="L343" s="9">
        <v>29.306000000000001</v>
      </c>
      <c r="M343" s="9">
        <v>12.063700000000001</v>
      </c>
      <c r="N343" s="9">
        <v>4.9444999999999997</v>
      </c>
      <c r="O343" s="9">
        <v>0.37409999999999999</v>
      </c>
      <c r="P343" s="9">
        <v>1.2927</v>
      </c>
      <c r="Q343" s="9">
        <v>20.593900000000001</v>
      </c>
      <c r="R343" s="9"/>
      <c r="S343" s="11"/>
    </row>
    <row r="344" spans="1:19" ht="15.75">
      <c r="A344" s="13">
        <v>51986</v>
      </c>
      <c r="B344" s="8">
        <f>10.047 * CHOOSE(CONTROL!$C$15, $D$11, 100%, $F$11)</f>
        <v>10.047000000000001</v>
      </c>
      <c r="C344" s="8">
        <f>10.0516 * CHOOSE(CONTROL!$C$15, $D$11, 100%, $F$11)</f>
        <v>10.051600000000001</v>
      </c>
      <c r="D344" s="8">
        <f>10.0821 * CHOOSE( CONTROL!$C$15, $D$11, 100%, $F$11)</f>
        <v>10.082100000000001</v>
      </c>
      <c r="E344" s="12">
        <f>10.0715 * CHOOSE( CONTROL!$C$15, $D$11, 100%, $F$11)</f>
        <v>10.0715</v>
      </c>
      <c r="F344" s="4">
        <f>10.7618 * CHOOSE(CONTROL!$C$15, $D$11, 100%, $F$11)</f>
        <v>10.761799999999999</v>
      </c>
      <c r="G344" s="8">
        <f>9.7969 * CHOOSE( CONTROL!$C$15, $D$11, 100%, $F$11)</f>
        <v>9.7969000000000008</v>
      </c>
      <c r="H344" s="4">
        <f>10.7458 * CHOOSE(CONTROL!$C$15, $D$11, 100%, $F$11)</f>
        <v>10.745799999999999</v>
      </c>
      <c r="I344" s="8">
        <f>9.7325 * CHOOSE(CONTROL!$C$15, $D$11, 100%, $F$11)</f>
        <v>9.7324999999999999</v>
      </c>
      <c r="J344" s="4">
        <f>9.6182 * CHOOSE(CONTROL!$C$15, $D$11, 100%, $F$11)</f>
        <v>9.6181999999999999</v>
      </c>
      <c r="K344" s="4"/>
      <c r="L344" s="9">
        <v>30.092199999999998</v>
      </c>
      <c r="M344" s="9">
        <v>11.6745</v>
      </c>
      <c r="N344" s="9">
        <v>4.7850000000000001</v>
      </c>
      <c r="O344" s="9">
        <v>0.36199999999999999</v>
      </c>
      <c r="P344" s="9">
        <v>1.1791</v>
      </c>
      <c r="Q344" s="9">
        <v>19.929600000000001</v>
      </c>
      <c r="R344" s="9"/>
      <c r="S344" s="11"/>
    </row>
    <row r="345" spans="1:19" ht="15.75">
      <c r="A345" s="13">
        <v>52017</v>
      </c>
      <c r="B345" s="8">
        <f>CHOOSE( CONTROL!$C$32, 10.3176, 10.3153) * CHOOSE(CONTROL!$C$15, $D$11, 100%, $F$11)</f>
        <v>10.317600000000001</v>
      </c>
      <c r="C345" s="8">
        <f>CHOOSE( CONTROL!$C$32, 10.3257, 10.3234) * CHOOSE(CONTROL!$C$15, $D$11, 100%, $F$11)</f>
        <v>10.325699999999999</v>
      </c>
      <c r="D345" s="8">
        <f>CHOOSE( CONTROL!$C$32, 10.3509, 10.3486) * CHOOSE( CONTROL!$C$15, $D$11, 100%, $F$11)</f>
        <v>10.350899999999999</v>
      </c>
      <c r="E345" s="12">
        <f>CHOOSE( CONTROL!$C$32, 10.3405, 10.3382) * CHOOSE( CONTROL!$C$15, $D$11, 100%, $F$11)</f>
        <v>10.3405</v>
      </c>
      <c r="F345" s="4">
        <f>CHOOSE( CONTROL!$C$32, 11.0311, 11.0287) * CHOOSE(CONTROL!$C$15, $D$11, 100%, $F$11)</f>
        <v>11.0311</v>
      </c>
      <c r="G345" s="8">
        <f>CHOOSE( CONTROL!$C$32, 10.0605, 10.0582) * CHOOSE( CONTROL!$C$15, $D$11, 100%, $F$11)</f>
        <v>10.060499999999999</v>
      </c>
      <c r="H345" s="4">
        <f>CHOOSE( CONTROL!$C$32, 11.0088, 11.0066) * CHOOSE(CONTROL!$C$15, $D$11, 100%, $F$11)</f>
        <v>11.008800000000001</v>
      </c>
      <c r="I345" s="8">
        <f>CHOOSE( CONTROL!$C$32, 9.9914, 9.9892) * CHOOSE(CONTROL!$C$15, $D$11, 100%, $F$11)</f>
        <v>9.9914000000000005</v>
      </c>
      <c r="J345" s="4">
        <f>CHOOSE( CONTROL!$C$32, 9.8767, 9.8745) * CHOOSE(CONTROL!$C$15, $D$11, 100%, $F$11)</f>
        <v>9.8766999999999996</v>
      </c>
      <c r="K345" s="4"/>
      <c r="L345" s="9">
        <v>30.7165</v>
      </c>
      <c r="M345" s="9">
        <v>12.063700000000001</v>
      </c>
      <c r="N345" s="9">
        <v>4.9444999999999997</v>
      </c>
      <c r="O345" s="9">
        <v>0.37409999999999999</v>
      </c>
      <c r="P345" s="9">
        <v>1.2183999999999999</v>
      </c>
      <c r="Q345" s="9">
        <v>20.593900000000001</v>
      </c>
      <c r="R345" s="9"/>
      <c r="S345" s="11"/>
    </row>
    <row r="346" spans="1:19" ht="15.75">
      <c r="A346" s="13">
        <v>52047</v>
      </c>
      <c r="B346" s="8">
        <f>CHOOSE( CONTROL!$C$32, 10.1523, 10.1499) * CHOOSE(CONTROL!$C$15, $D$11, 100%, $F$11)</f>
        <v>10.1523</v>
      </c>
      <c r="C346" s="8">
        <f>CHOOSE( CONTROL!$C$32, 10.1604, 10.158) * CHOOSE(CONTROL!$C$15, $D$11, 100%, $F$11)</f>
        <v>10.160399999999999</v>
      </c>
      <c r="D346" s="8">
        <f>CHOOSE( CONTROL!$C$32, 10.1858, 10.1834) * CHOOSE( CONTROL!$C$15, $D$11, 100%, $F$11)</f>
        <v>10.1858</v>
      </c>
      <c r="E346" s="12">
        <f>CHOOSE( CONTROL!$C$32, 10.1754, 10.173) * CHOOSE( CONTROL!$C$15, $D$11, 100%, $F$11)</f>
        <v>10.1754</v>
      </c>
      <c r="F346" s="4">
        <f>CHOOSE( CONTROL!$C$32, 10.8657, 10.8634) * CHOOSE(CONTROL!$C$15, $D$11, 100%, $F$11)</f>
        <v>10.8657</v>
      </c>
      <c r="G346" s="8">
        <f>CHOOSE( CONTROL!$C$32, 9.8993, 9.897) * CHOOSE( CONTROL!$C$15, $D$11, 100%, $F$11)</f>
        <v>9.8993000000000002</v>
      </c>
      <c r="H346" s="4">
        <f>CHOOSE( CONTROL!$C$32, 10.8473, 10.8451) * CHOOSE(CONTROL!$C$15, $D$11, 100%, $F$11)</f>
        <v>10.847300000000001</v>
      </c>
      <c r="I346" s="8">
        <f>CHOOSE( CONTROL!$C$32, 9.8336, 9.8313) * CHOOSE(CONTROL!$C$15, $D$11, 100%, $F$11)</f>
        <v>9.8336000000000006</v>
      </c>
      <c r="J346" s="4">
        <f>CHOOSE( CONTROL!$C$32, 9.718, 9.7157) * CHOOSE(CONTROL!$C$15, $D$11, 100%, $F$11)</f>
        <v>9.718</v>
      </c>
      <c r="K346" s="4"/>
      <c r="L346" s="9">
        <v>29.7257</v>
      </c>
      <c r="M346" s="9">
        <v>11.6745</v>
      </c>
      <c r="N346" s="9">
        <v>4.7850000000000001</v>
      </c>
      <c r="O346" s="9">
        <v>0.36199999999999999</v>
      </c>
      <c r="P346" s="9">
        <v>1.1791</v>
      </c>
      <c r="Q346" s="9">
        <v>19.929600000000001</v>
      </c>
      <c r="R346" s="9"/>
      <c r="S346" s="11"/>
    </row>
    <row r="347" spans="1:19" ht="15.75">
      <c r="A347" s="13">
        <v>52078</v>
      </c>
      <c r="B347" s="8">
        <f>CHOOSE( CONTROL!$C$32, 10.5877, 10.5854) * CHOOSE(CONTROL!$C$15, $D$11, 100%, $F$11)</f>
        <v>10.5877</v>
      </c>
      <c r="C347" s="8">
        <f>CHOOSE( CONTROL!$C$32, 10.5958, 10.5935) * CHOOSE(CONTROL!$C$15, $D$11, 100%, $F$11)</f>
        <v>10.595800000000001</v>
      </c>
      <c r="D347" s="8">
        <f>CHOOSE( CONTROL!$C$32, 10.6215, 10.6191) * CHOOSE( CONTROL!$C$15, $D$11, 100%, $F$11)</f>
        <v>10.621499999999999</v>
      </c>
      <c r="E347" s="12">
        <f>CHOOSE( CONTROL!$C$32, 10.611, 10.6086) * CHOOSE( CONTROL!$C$15, $D$11, 100%, $F$11)</f>
        <v>10.611000000000001</v>
      </c>
      <c r="F347" s="4">
        <f>CHOOSE( CONTROL!$C$32, 11.3012, 11.2988) * CHOOSE(CONTROL!$C$15, $D$11, 100%, $F$11)</f>
        <v>11.3012</v>
      </c>
      <c r="G347" s="8">
        <f>CHOOSE( CONTROL!$C$32, 10.325, 10.3227) * CHOOSE( CONTROL!$C$15, $D$11, 100%, $F$11)</f>
        <v>10.324999999999999</v>
      </c>
      <c r="H347" s="4">
        <f>CHOOSE( CONTROL!$C$32, 11.2726, 11.2704) * CHOOSE(CONTROL!$C$15, $D$11, 100%, $F$11)</f>
        <v>11.272600000000001</v>
      </c>
      <c r="I347" s="8">
        <f>CHOOSE( CONTROL!$C$32, 10.2531, 10.2508) * CHOOSE(CONTROL!$C$15, $D$11, 100%, $F$11)</f>
        <v>10.2531</v>
      </c>
      <c r="J347" s="4">
        <f>CHOOSE( CONTROL!$C$32, 10.136, 10.1338) * CHOOSE(CONTROL!$C$15, $D$11, 100%, $F$11)</f>
        <v>10.135999999999999</v>
      </c>
      <c r="K347" s="4"/>
      <c r="L347" s="9">
        <v>30.7165</v>
      </c>
      <c r="M347" s="9">
        <v>12.063700000000001</v>
      </c>
      <c r="N347" s="9">
        <v>4.9444999999999997</v>
      </c>
      <c r="O347" s="9">
        <v>0.37409999999999999</v>
      </c>
      <c r="P347" s="9">
        <v>1.2183999999999999</v>
      </c>
      <c r="Q347" s="9">
        <v>20.593900000000001</v>
      </c>
      <c r="R347" s="9"/>
      <c r="S347" s="11"/>
    </row>
    <row r="348" spans="1:19" ht="15.75">
      <c r="A348" s="13">
        <v>52109</v>
      </c>
      <c r="B348" s="8">
        <f>CHOOSE( CONTROL!$C$32, 9.773, 9.7706) * CHOOSE(CONTROL!$C$15, $D$11, 100%, $F$11)</f>
        <v>9.7729999999999997</v>
      </c>
      <c r="C348" s="8">
        <f>CHOOSE( CONTROL!$C$32, 9.781, 9.7787) * CHOOSE(CONTROL!$C$15, $D$11, 100%, $F$11)</f>
        <v>9.7810000000000006</v>
      </c>
      <c r="D348" s="8">
        <f>CHOOSE( CONTROL!$C$32, 9.8068, 9.8044) * CHOOSE( CONTROL!$C$15, $D$11, 100%, $F$11)</f>
        <v>9.8068000000000008</v>
      </c>
      <c r="E348" s="12">
        <f>CHOOSE( CONTROL!$C$32, 9.7962, 9.7939) * CHOOSE( CONTROL!$C$15, $D$11, 100%, $F$11)</f>
        <v>9.7962000000000007</v>
      </c>
      <c r="F348" s="4">
        <f>CHOOSE( CONTROL!$C$32, 10.4864, 10.484) * CHOOSE(CONTROL!$C$15, $D$11, 100%, $F$11)</f>
        <v>10.4864</v>
      </c>
      <c r="G348" s="8">
        <f>CHOOSE( CONTROL!$C$32, 9.5293, 9.527) * CHOOSE( CONTROL!$C$15, $D$11, 100%, $F$11)</f>
        <v>9.5292999999999992</v>
      </c>
      <c r="H348" s="4">
        <f>CHOOSE( CONTROL!$C$32, 10.4769, 10.4746) * CHOOSE(CONTROL!$C$15, $D$11, 100%, $F$11)</f>
        <v>10.476900000000001</v>
      </c>
      <c r="I348" s="8">
        <f>CHOOSE( CONTROL!$C$32, 9.4708, 9.4685) * CHOOSE(CONTROL!$C$15, $D$11, 100%, $F$11)</f>
        <v>9.4708000000000006</v>
      </c>
      <c r="J348" s="4">
        <f>CHOOSE( CONTROL!$C$32, 9.3538, 9.3515) * CHOOSE(CONTROL!$C$15, $D$11, 100%, $F$11)</f>
        <v>9.3537999999999997</v>
      </c>
      <c r="K348" s="4"/>
      <c r="L348" s="9">
        <v>30.7165</v>
      </c>
      <c r="M348" s="9">
        <v>12.063700000000001</v>
      </c>
      <c r="N348" s="9">
        <v>4.9444999999999997</v>
      </c>
      <c r="O348" s="9">
        <v>0.37409999999999999</v>
      </c>
      <c r="P348" s="9">
        <v>1.2183999999999999</v>
      </c>
      <c r="Q348" s="9">
        <v>20.593900000000001</v>
      </c>
      <c r="R348" s="9"/>
      <c r="S348" s="11"/>
    </row>
    <row r="349" spans="1:19" ht="15.75">
      <c r="A349" s="13">
        <v>52139</v>
      </c>
      <c r="B349" s="8">
        <f>CHOOSE( CONTROL!$C$32, 9.5689, 9.5666) * CHOOSE(CONTROL!$C$15, $D$11, 100%, $F$11)</f>
        <v>9.5688999999999993</v>
      </c>
      <c r="C349" s="8">
        <f>CHOOSE( CONTROL!$C$32, 9.577, 9.5747) * CHOOSE(CONTROL!$C$15, $D$11, 100%, $F$11)</f>
        <v>9.577</v>
      </c>
      <c r="D349" s="8">
        <f>CHOOSE( CONTROL!$C$32, 9.6027, 9.6004) * CHOOSE( CONTROL!$C$15, $D$11, 100%, $F$11)</f>
        <v>9.6027000000000005</v>
      </c>
      <c r="E349" s="12">
        <f>CHOOSE( CONTROL!$C$32, 9.5922, 9.5899) * CHOOSE( CONTROL!$C$15, $D$11, 100%, $F$11)</f>
        <v>9.5922000000000001</v>
      </c>
      <c r="F349" s="4">
        <f>CHOOSE( CONTROL!$C$32, 10.2824, 10.28) * CHOOSE(CONTROL!$C$15, $D$11, 100%, $F$11)</f>
        <v>10.282400000000001</v>
      </c>
      <c r="G349" s="8">
        <f>CHOOSE( CONTROL!$C$32, 9.33, 9.3277) * CHOOSE( CONTROL!$C$15, $D$11, 100%, $F$11)</f>
        <v>9.33</v>
      </c>
      <c r="H349" s="4">
        <f>CHOOSE( CONTROL!$C$32, 10.2776, 10.2753) * CHOOSE(CONTROL!$C$15, $D$11, 100%, $F$11)</f>
        <v>10.2776</v>
      </c>
      <c r="I349" s="8">
        <f>CHOOSE( CONTROL!$C$32, 9.2747, 9.2724) * CHOOSE(CONTROL!$C$15, $D$11, 100%, $F$11)</f>
        <v>9.2746999999999993</v>
      </c>
      <c r="J349" s="4">
        <f>CHOOSE( CONTROL!$C$32, 9.1579, 9.1557) * CHOOSE(CONTROL!$C$15, $D$11, 100%, $F$11)</f>
        <v>9.1578999999999997</v>
      </c>
      <c r="K349" s="4"/>
      <c r="L349" s="9">
        <v>29.7257</v>
      </c>
      <c r="M349" s="9">
        <v>11.6745</v>
      </c>
      <c r="N349" s="9">
        <v>4.7850000000000001</v>
      </c>
      <c r="O349" s="9">
        <v>0.36199999999999999</v>
      </c>
      <c r="P349" s="9">
        <v>1.1791</v>
      </c>
      <c r="Q349" s="9">
        <v>19.929600000000001</v>
      </c>
      <c r="R349" s="9"/>
      <c r="S349" s="11"/>
    </row>
    <row r="350" spans="1:19" ht="15.75">
      <c r="A350" s="13">
        <v>52170</v>
      </c>
      <c r="B350" s="8">
        <f>9.9885 * CHOOSE(CONTROL!$C$15, $D$11, 100%, $F$11)</f>
        <v>9.9885000000000002</v>
      </c>
      <c r="C350" s="8">
        <f>9.9939 * CHOOSE(CONTROL!$C$15, $D$11, 100%, $F$11)</f>
        <v>9.9939</v>
      </c>
      <c r="D350" s="8">
        <f>10.0247 * CHOOSE( CONTROL!$C$15, $D$11, 100%, $F$11)</f>
        <v>10.024699999999999</v>
      </c>
      <c r="E350" s="12">
        <f>10.014 * CHOOSE( CONTROL!$C$15, $D$11, 100%, $F$11)</f>
        <v>10.013999999999999</v>
      </c>
      <c r="F350" s="4">
        <f>10.7036 * CHOOSE(CONTROL!$C$15, $D$11, 100%, $F$11)</f>
        <v>10.7036</v>
      </c>
      <c r="G350" s="8">
        <f>9.7413 * CHOOSE( CONTROL!$C$15, $D$11, 100%, $F$11)</f>
        <v>9.7413000000000007</v>
      </c>
      <c r="H350" s="4">
        <f>10.6891 * CHOOSE(CONTROL!$C$15, $D$11, 100%, $F$11)</f>
        <v>10.6891</v>
      </c>
      <c r="I350" s="8">
        <f>9.6802 * CHOOSE(CONTROL!$C$15, $D$11, 100%, $F$11)</f>
        <v>9.6801999999999992</v>
      </c>
      <c r="J350" s="4">
        <f>9.5624 * CHOOSE(CONTROL!$C$15, $D$11, 100%, $F$11)</f>
        <v>9.5624000000000002</v>
      </c>
      <c r="K350" s="4"/>
      <c r="L350" s="9">
        <v>31.095300000000002</v>
      </c>
      <c r="M350" s="9">
        <v>12.063700000000001</v>
      </c>
      <c r="N350" s="9">
        <v>4.9444999999999997</v>
      </c>
      <c r="O350" s="9">
        <v>0.37409999999999999</v>
      </c>
      <c r="P350" s="9">
        <v>1.2183999999999999</v>
      </c>
      <c r="Q350" s="9">
        <v>20.593900000000001</v>
      </c>
      <c r="R350" s="9"/>
      <c r="S350" s="11"/>
    </row>
    <row r="351" spans="1:19" ht="15.75">
      <c r="A351" s="13">
        <v>52200</v>
      </c>
      <c r="B351" s="8">
        <f>10.77 * CHOOSE(CONTROL!$C$15, $D$11, 100%, $F$11)</f>
        <v>10.77</v>
      </c>
      <c r="C351" s="8">
        <f>10.7752 * CHOOSE(CONTROL!$C$15, $D$11, 100%, $F$11)</f>
        <v>10.7752</v>
      </c>
      <c r="D351" s="8">
        <f>10.7582 * CHOOSE( CONTROL!$C$15, $D$11, 100%, $F$11)</f>
        <v>10.7582</v>
      </c>
      <c r="E351" s="12">
        <f>10.7639 * CHOOSE( CONTROL!$C$15, $D$11, 100%, $F$11)</f>
        <v>10.7639</v>
      </c>
      <c r="F351" s="4">
        <f>11.4205 * CHOOSE(CONTROL!$C$15, $D$11, 100%, $F$11)</f>
        <v>11.420500000000001</v>
      </c>
      <c r="G351" s="8">
        <f>10.5112 * CHOOSE( CONTROL!$C$15, $D$11, 100%, $F$11)</f>
        <v>10.511200000000001</v>
      </c>
      <c r="H351" s="4">
        <f>11.3892 * CHOOSE(CONTROL!$C$15, $D$11, 100%, $F$11)</f>
        <v>11.389200000000001</v>
      </c>
      <c r="I351" s="8">
        <f>10.4731 * CHOOSE(CONTROL!$C$15, $D$11, 100%, $F$11)</f>
        <v>10.473100000000001</v>
      </c>
      <c r="J351" s="4">
        <f>10.3131 * CHOOSE(CONTROL!$C$15, $D$11, 100%, $F$11)</f>
        <v>10.3131</v>
      </c>
      <c r="K351" s="4"/>
      <c r="L351" s="9">
        <v>28.360600000000002</v>
      </c>
      <c r="M351" s="9">
        <v>11.6745</v>
      </c>
      <c r="N351" s="9">
        <v>4.7850000000000001</v>
      </c>
      <c r="O351" s="9">
        <v>0.36199999999999999</v>
      </c>
      <c r="P351" s="9">
        <v>1.2509999999999999</v>
      </c>
      <c r="Q351" s="9">
        <v>19.929600000000001</v>
      </c>
      <c r="R351" s="9"/>
      <c r="S351" s="11"/>
    </row>
    <row r="352" spans="1:19" ht="15.75">
      <c r="A352" s="13">
        <v>52231</v>
      </c>
      <c r="B352" s="8">
        <f>10.7505 * CHOOSE(CONTROL!$C$15, $D$11, 100%, $F$11)</f>
        <v>10.750500000000001</v>
      </c>
      <c r="C352" s="8">
        <f>10.7557 * CHOOSE(CONTROL!$C$15, $D$11, 100%, $F$11)</f>
        <v>10.755699999999999</v>
      </c>
      <c r="D352" s="8">
        <f>10.7402 * CHOOSE( CONTROL!$C$15, $D$11, 100%, $F$11)</f>
        <v>10.7402</v>
      </c>
      <c r="E352" s="12">
        <f>10.7453 * CHOOSE( CONTROL!$C$15, $D$11, 100%, $F$11)</f>
        <v>10.7453</v>
      </c>
      <c r="F352" s="4">
        <f>11.4009 * CHOOSE(CONTROL!$C$15, $D$11, 100%, $F$11)</f>
        <v>11.4009</v>
      </c>
      <c r="G352" s="8">
        <f>10.4932 * CHOOSE( CONTROL!$C$15, $D$11, 100%, $F$11)</f>
        <v>10.4932</v>
      </c>
      <c r="H352" s="4">
        <f>11.3701 * CHOOSE(CONTROL!$C$15, $D$11, 100%, $F$11)</f>
        <v>11.370100000000001</v>
      </c>
      <c r="I352" s="8">
        <f>10.4591 * CHOOSE(CONTROL!$C$15, $D$11, 100%, $F$11)</f>
        <v>10.459099999999999</v>
      </c>
      <c r="J352" s="4">
        <f>10.2944 * CHOOSE(CONTROL!$C$15, $D$11, 100%, $F$11)</f>
        <v>10.2944</v>
      </c>
      <c r="K352" s="4"/>
      <c r="L352" s="9">
        <v>29.306000000000001</v>
      </c>
      <c r="M352" s="9">
        <v>12.063700000000001</v>
      </c>
      <c r="N352" s="9">
        <v>4.9444999999999997</v>
      </c>
      <c r="O352" s="9">
        <v>0.37409999999999999</v>
      </c>
      <c r="P352" s="9">
        <v>1.2927</v>
      </c>
      <c r="Q352" s="9">
        <v>20.593900000000001</v>
      </c>
      <c r="R352" s="9"/>
      <c r="S352" s="11"/>
    </row>
    <row r="353" spans="1:19" ht="15.75">
      <c r="A353" s="13">
        <v>52262</v>
      </c>
      <c r="B353" s="8">
        <f>11.0668 * CHOOSE(CONTROL!$C$15, $D$11, 100%, $F$11)</f>
        <v>11.066800000000001</v>
      </c>
      <c r="C353" s="8">
        <f>11.0719 * CHOOSE(CONTROL!$C$15, $D$11, 100%, $F$11)</f>
        <v>11.071899999999999</v>
      </c>
      <c r="D353" s="8">
        <f>11.0521 * CHOOSE( CONTROL!$C$15, $D$11, 100%, $F$11)</f>
        <v>11.052099999999999</v>
      </c>
      <c r="E353" s="12">
        <f>11.0588 * CHOOSE( CONTROL!$C$15, $D$11, 100%, $F$11)</f>
        <v>11.0588</v>
      </c>
      <c r="F353" s="4">
        <f>11.7172 * CHOOSE(CONTROL!$C$15, $D$11, 100%, $F$11)</f>
        <v>11.7172</v>
      </c>
      <c r="G353" s="8">
        <f>10.7928 * CHOOSE( CONTROL!$C$15, $D$11, 100%, $F$11)</f>
        <v>10.7928</v>
      </c>
      <c r="H353" s="4">
        <f>11.679 * CHOOSE(CONTROL!$C$15, $D$11, 100%, $F$11)</f>
        <v>11.679</v>
      </c>
      <c r="I353" s="8">
        <f>10.722 * CHOOSE(CONTROL!$C$15, $D$11, 100%, $F$11)</f>
        <v>10.722</v>
      </c>
      <c r="J353" s="4">
        <f>10.598 * CHOOSE(CONTROL!$C$15, $D$11, 100%, $F$11)</f>
        <v>10.598000000000001</v>
      </c>
      <c r="K353" s="4"/>
      <c r="L353" s="9">
        <v>29.306000000000001</v>
      </c>
      <c r="M353" s="9">
        <v>12.063700000000001</v>
      </c>
      <c r="N353" s="9">
        <v>4.9444999999999997</v>
      </c>
      <c r="O353" s="9">
        <v>0.37409999999999999</v>
      </c>
      <c r="P353" s="9">
        <v>1.2927</v>
      </c>
      <c r="Q353" s="9">
        <v>20.5288</v>
      </c>
      <c r="R353" s="9"/>
      <c r="S353" s="11"/>
    </row>
    <row r="354" spans="1:19" ht="15.75">
      <c r="A354" s="13">
        <v>52290</v>
      </c>
      <c r="B354" s="8">
        <f>10.3531 * CHOOSE(CONTROL!$C$15, $D$11, 100%, $F$11)</f>
        <v>10.3531</v>
      </c>
      <c r="C354" s="8">
        <f>10.3583 * CHOOSE(CONTROL!$C$15, $D$11, 100%, $F$11)</f>
        <v>10.3583</v>
      </c>
      <c r="D354" s="8">
        <f>10.3384 * CHOOSE( CONTROL!$C$15, $D$11, 100%, $F$11)</f>
        <v>10.3384</v>
      </c>
      <c r="E354" s="12">
        <f>10.3451 * CHOOSE( CONTROL!$C$15, $D$11, 100%, $F$11)</f>
        <v>10.3451</v>
      </c>
      <c r="F354" s="4">
        <f>11.0036 * CHOOSE(CONTROL!$C$15, $D$11, 100%, $F$11)</f>
        <v>11.0036</v>
      </c>
      <c r="G354" s="8">
        <f>10.0958 * CHOOSE( CONTROL!$C$15, $D$11, 100%, $F$11)</f>
        <v>10.095800000000001</v>
      </c>
      <c r="H354" s="4">
        <f>10.982 * CHOOSE(CONTROL!$C$15, $D$11, 100%, $F$11)</f>
        <v>10.981999999999999</v>
      </c>
      <c r="I354" s="8">
        <f>10.0364 * CHOOSE(CONTROL!$C$15, $D$11, 100%, $F$11)</f>
        <v>10.0364</v>
      </c>
      <c r="J354" s="4">
        <f>9.9129 * CHOOSE(CONTROL!$C$15, $D$11, 100%, $F$11)</f>
        <v>9.9129000000000005</v>
      </c>
      <c r="K354" s="4"/>
      <c r="L354" s="9">
        <v>26.469899999999999</v>
      </c>
      <c r="M354" s="9">
        <v>10.8962</v>
      </c>
      <c r="N354" s="9">
        <v>4.4660000000000002</v>
      </c>
      <c r="O354" s="9">
        <v>0.33789999999999998</v>
      </c>
      <c r="P354" s="9">
        <v>1.1676</v>
      </c>
      <c r="Q354" s="9">
        <v>18.542200000000001</v>
      </c>
      <c r="R354" s="9"/>
      <c r="S354" s="11"/>
    </row>
    <row r="355" spans="1:19" ht="15.75">
      <c r="A355" s="13">
        <v>52321</v>
      </c>
      <c r="B355" s="8">
        <f>10.1333 * CHOOSE(CONTROL!$C$15, $D$11, 100%, $F$11)</f>
        <v>10.1333</v>
      </c>
      <c r="C355" s="8">
        <f>10.1385 * CHOOSE(CONTROL!$C$15, $D$11, 100%, $F$11)</f>
        <v>10.138500000000001</v>
      </c>
      <c r="D355" s="8">
        <f>10.1183 * CHOOSE( CONTROL!$C$15, $D$11, 100%, $F$11)</f>
        <v>10.1183</v>
      </c>
      <c r="E355" s="12">
        <f>10.1251 * CHOOSE( CONTROL!$C$15, $D$11, 100%, $F$11)</f>
        <v>10.1251</v>
      </c>
      <c r="F355" s="4">
        <f>10.7838 * CHOOSE(CONTROL!$C$15, $D$11, 100%, $F$11)</f>
        <v>10.783799999999999</v>
      </c>
      <c r="G355" s="8">
        <f>9.8809 * CHOOSE( CONTROL!$C$15, $D$11, 100%, $F$11)</f>
        <v>9.8809000000000005</v>
      </c>
      <c r="H355" s="4">
        <f>10.7673 * CHOOSE(CONTROL!$C$15, $D$11, 100%, $F$11)</f>
        <v>10.767300000000001</v>
      </c>
      <c r="I355" s="8">
        <f>9.8242 * CHOOSE(CONTROL!$C$15, $D$11, 100%, $F$11)</f>
        <v>9.8241999999999994</v>
      </c>
      <c r="J355" s="4">
        <f>9.7018 * CHOOSE(CONTROL!$C$15, $D$11, 100%, $F$11)</f>
        <v>9.7018000000000004</v>
      </c>
      <c r="K355" s="4"/>
      <c r="L355" s="9">
        <v>29.306000000000001</v>
      </c>
      <c r="M355" s="9">
        <v>12.063700000000001</v>
      </c>
      <c r="N355" s="9">
        <v>4.9444999999999997</v>
      </c>
      <c r="O355" s="9">
        <v>0.37409999999999999</v>
      </c>
      <c r="P355" s="9">
        <v>1.2927</v>
      </c>
      <c r="Q355" s="9">
        <v>20.5288</v>
      </c>
      <c r="R355" s="9"/>
      <c r="S355" s="11"/>
    </row>
    <row r="356" spans="1:19" ht="15.75">
      <c r="A356" s="13">
        <v>52351</v>
      </c>
      <c r="B356" s="8">
        <f>10.2877 * CHOOSE(CONTROL!$C$15, $D$11, 100%, $F$11)</f>
        <v>10.287699999999999</v>
      </c>
      <c r="C356" s="8">
        <f>10.2923 * CHOOSE(CONTROL!$C$15, $D$11, 100%, $F$11)</f>
        <v>10.292299999999999</v>
      </c>
      <c r="D356" s="8">
        <f>10.3228 * CHOOSE( CONTROL!$C$15, $D$11, 100%, $F$11)</f>
        <v>10.322800000000001</v>
      </c>
      <c r="E356" s="12">
        <f>10.3122 * CHOOSE( CONTROL!$C$15, $D$11, 100%, $F$11)</f>
        <v>10.312200000000001</v>
      </c>
      <c r="F356" s="4">
        <f>11.0025 * CHOOSE(CONTROL!$C$15, $D$11, 100%, $F$11)</f>
        <v>11.0025</v>
      </c>
      <c r="G356" s="8">
        <f>10.032 * CHOOSE( CONTROL!$C$15, $D$11, 100%, $F$11)</f>
        <v>10.032</v>
      </c>
      <c r="H356" s="4">
        <f>10.9809 * CHOOSE(CONTROL!$C$15, $D$11, 100%, $F$11)</f>
        <v>10.9809</v>
      </c>
      <c r="I356" s="8">
        <f>9.9637 * CHOOSE(CONTROL!$C$15, $D$11, 100%, $F$11)</f>
        <v>9.9636999999999993</v>
      </c>
      <c r="J356" s="4">
        <f>9.8493 * CHOOSE(CONTROL!$C$15, $D$11, 100%, $F$11)</f>
        <v>9.8492999999999995</v>
      </c>
      <c r="K356" s="4"/>
      <c r="L356" s="9">
        <v>30.092199999999998</v>
      </c>
      <c r="M356" s="9">
        <v>11.6745</v>
      </c>
      <c r="N356" s="9">
        <v>4.7850000000000001</v>
      </c>
      <c r="O356" s="9">
        <v>0.36199999999999999</v>
      </c>
      <c r="P356" s="9">
        <v>1.1791</v>
      </c>
      <c r="Q356" s="9">
        <v>19.866599999999998</v>
      </c>
      <c r="R356" s="9"/>
      <c r="S356" s="11"/>
    </row>
    <row r="357" spans="1:19" ht="15.75">
      <c r="A357" s="13">
        <v>52382</v>
      </c>
      <c r="B357" s="8">
        <f>CHOOSE( CONTROL!$C$32, 10.5648, 10.5624) * CHOOSE(CONTROL!$C$15, $D$11, 100%, $F$11)</f>
        <v>10.5648</v>
      </c>
      <c r="C357" s="8">
        <f>CHOOSE( CONTROL!$C$32, 10.5728, 10.5705) * CHOOSE(CONTROL!$C$15, $D$11, 100%, $F$11)</f>
        <v>10.572800000000001</v>
      </c>
      <c r="D357" s="8">
        <f>CHOOSE( CONTROL!$C$32, 10.598, 10.5957) * CHOOSE( CONTROL!$C$15, $D$11, 100%, $F$11)</f>
        <v>10.598000000000001</v>
      </c>
      <c r="E357" s="12">
        <f>CHOOSE( CONTROL!$C$32, 10.5876, 10.5853) * CHOOSE( CONTROL!$C$15, $D$11, 100%, $F$11)</f>
        <v>10.5876</v>
      </c>
      <c r="F357" s="4">
        <f>CHOOSE( CONTROL!$C$32, 11.2782, 11.2758) * CHOOSE(CONTROL!$C$15, $D$11, 100%, $F$11)</f>
        <v>11.2782</v>
      </c>
      <c r="G357" s="8">
        <f>CHOOSE( CONTROL!$C$32, 10.3019, 10.2996) * CHOOSE( CONTROL!$C$15, $D$11, 100%, $F$11)</f>
        <v>10.3019</v>
      </c>
      <c r="H357" s="4">
        <f>CHOOSE( CONTROL!$C$32, 11.2502, 11.2479) * CHOOSE(CONTROL!$C$15, $D$11, 100%, $F$11)</f>
        <v>11.2502</v>
      </c>
      <c r="I357" s="8">
        <f>CHOOSE( CONTROL!$C$32, 10.2288, 10.2266) * CHOOSE(CONTROL!$C$15, $D$11, 100%, $F$11)</f>
        <v>10.2288</v>
      </c>
      <c r="J357" s="4">
        <f>CHOOSE( CONTROL!$C$32, 10.114, 10.1117) * CHOOSE(CONTROL!$C$15, $D$11, 100%, $F$11)</f>
        <v>10.114000000000001</v>
      </c>
      <c r="K357" s="4"/>
      <c r="L357" s="9">
        <v>30.7165</v>
      </c>
      <c r="M357" s="9">
        <v>12.063700000000001</v>
      </c>
      <c r="N357" s="9">
        <v>4.9444999999999997</v>
      </c>
      <c r="O357" s="9">
        <v>0.37409999999999999</v>
      </c>
      <c r="P357" s="9">
        <v>1.2183999999999999</v>
      </c>
      <c r="Q357" s="9">
        <v>20.5288</v>
      </c>
      <c r="R357" s="9"/>
      <c r="S357" s="11"/>
    </row>
    <row r="358" spans="1:19" ht="15.75">
      <c r="A358" s="13">
        <v>52412</v>
      </c>
      <c r="B358" s="8">
        <f>CHOOSE( CONTROL!$C$32, 10.3954, 10.3931) * CHOOSE(CONTROL!$C$15, $D$11, 100%, $F$11)</f>
        <v>10.3954</v>
      </c>
      <c r="C358" s="8">
        <f>CHOOSE( CONTROL!$C$32, 10.4035, 10.4012) * CHOOSE(CONTROL!$C$15, $D$11, 100%, $F$11)</f>
        <v>10.403499999999999</v>
      </c>
      <c r="D358" s="8">
        <f>CHOOSE( CONTROL!$C$32, 10.4289, 10.4266) * CHOOSE( CONTROL!$C$15, $D$11, 100%, $F$11)</f>
        <v>10.428900000000001</v>
      </c>
      <c r="E358" s="12">
        <f>CHOOSE( CONTROL!$C$32, 10.4185, 10.4162) * CHOOSE( CONTROL!$C$15, $D$11, 100%, $F$11)</f>
        <v>10.4185</v>
      </c>
      <c r="F358" s="4">
        <f>CHOOSE( CONTROL!$C$32, 11.1089, 11.1065) * CHOOSE(CONTROL!$C$15, $D$11, 100%, $F$11)</f>
        <v>11.1089</v>
      </c>
      <c r="G358" s="8">
        <f>CHOOSE( CONTROL!$C$32, 10.1368, 10.1345) * CHOOSE( CONTROL!$C$15, $D$11, 100%, $F$11)</f>
        <v>10.136799999999999</v>
      </c>
      <c r="H358" s="4">
        <f>CHOOSE( CONTROL!$C$32, 11.0848, 11.0825) * CHOOSE(CONTROL!$C$15, $D$11, 100%, $F$11)</f>
        <v>11.0848</v>
      </c>
      <c r="I358" s="8">
        <f>CHOOSE( CONTROL!$C$32, 10.0671, 10.0649) * CHOOSE(CONTROL!$C$15, $D$11, 100%, $F$11)</f>
        <v>10.0671</v>
      </c>
      <c r="J358" s="4">
        <f>CHOOSE( CONTROL!$C$32, 9.9514, 9.9492) * CHOOSE(CONTROL!$C$15, $D$11, 100%, $F$11)</f>
        <v>9.9513999999999996</v>
      </c>
      <c r="K358" s="4"/>
      <c r="L358" s="9">
        <v>29.7257</v>
      </c>
      <c r="M358" s="9">
        <v>11.6745</v>
      </c>
      <c r="N358" s="9">
        <v>4.7850000000000001</v>
      </c>
      <c r="O358" s="9">
        <v>0.36199999999999999</v>
      </c>
      <c r="P358" s="9">
        <v>1.1791</v>
      </c>
      <c r="Q358" s="9">
        <v>19.866599999999998</v>
      </c>
      <c r="R358" s="9"/>
      <c r="S358" s="11"/>
    </row>
    <row r="359" spans="1:19" ht="15.75">
      <c r="A359" s="13">
        <v>52443</v>
      </c>
      <c r="B359" s="8">
        <f>CHOOSE( CONTROL!$C$32, 10.8413, 10.839) * CHOOSE(CONTROL!$C$15, $D$11, 100%, $F$11)</f>
        <v>10.8413</v>
      </c>
      <c r="C359" s="8">
        <f>CHOOSE( CONTROL!$C$32, 10.8494, 10.8471) * CHOOSE(CONTROL!$C$15, $D$11, 100%, $F$11)</f>
        <v>10.849399999999999</v>
      </c>
      <c r="D359" s="8">
        <f>CHOOSE( CONTROL!$C$32, 10.8751, 10.8727) * CHOOSE( CONTROL!$C$15, $D$11, 100%, $F$11)</f>
        <v>10.8751</v>
      </c>
      <c r="E359" s="12">
        <f>CHOOSE( CONTROL!$C$32, 10.8646, 10.8622) * CHOOSE( CONTROL!$C$15, $D$11, 100%, $F$11)</f>
        <v>10.864599999999999</v>
      </c>
      <c r="F359" s="4">
        <f>CHOOSE( CONTROL!$C$32, 11.5548, 11.5524) * CHOOSE(CONTROL!$C$15, $D$11, 100%, $F$11)</f>
        <v>11.5548</v>
      </c>
      <c r="G359" s="8">
        <f>CHOOSE( CONTROL!$C$32, 10.5727, 10.5704) * CHOOSE( CONTROL!$C$15, $D$11, 100%, $F$11)</f>
        <v>10.572699999999999</v>
      </c>
      <c r="H359" s="4">
        <f>CHOOSE( CONTROL!$C$32, 11.5203, 11.5181) * CHOOSE(CONTROL!$C$15, $D$11, 100%, $F$11)</f>
        <v>11.520300000000001</v>
      </c>
      <c r="I359" s="8">
        <f>CHOOSE( CONTROL!$C$32, 10.4967, 10.4944) * CHOOSE(CONTROL!$C$15, $D$11, 100%, $F$11)</f>
        <v>10.496700000000001</v>
      </c>
      <c r="J359" s="4">
        <f>CHOOSE( CONTROL!$C$32, 10.3795, 10.3773) * CHOOSE(CONTROL!$C$15, $D$11, 100%, $F$11)</f>
        <v>10.3795</v>
      </c>
      <c r="K359" s="4"/>
      <c r="L359" s="9">
        <v>30.7165</v>
      </c>
      <c r="M359" s="9">
        <v>12.063700000000001</v>
      </c>
      <c r="N359" s="9">
        <v>4.9444999999999997</v>
      </c>
      <c r="O359" s="9">
        <v>0.37409999999999999</v>
      </c>
      <c r="P359" s="9">
        <v>1.2183999999999999</v>
      </c>
      <c r="Q359" s="9">
        <v>20.5288</v>
      </c>
      <c r="R359" s="9"/>
      <c r="S359" s="11"/>
    </row>
    <row r="360" spans="1:19" ht="15.75">
      <c r="A360" s="13">
        <v>52474</v>
      </c>
      <c r="B360" s="8">
        <f>CHOOSE( CONTROL!$C$32, 10.007, 10.0046) * CHOOSE(CONTROL!$C$15, $D$11, 100%, $F$11)</f>
        <v>10.007</v>
      </c>
      <c r="C360" s="8">
        <f>CHOOSE( CONTROL!$C$32, 10.0151, 10.0127) * CHOOSE(CONTROL!$C$15, $D$11, 100%, $F$11)</f>
        <v>10.0151</v>
      </c>
      <c r="D360" s="8">
        <f>CHOOSE( CONTROL!$C$32, 10.0408, 10.0385) * CHOOSE( CONTROL!$C$15, $D$11, 100%, $F$11)</f>
        <v>10.040800000000001</v>
      </c>
      <c r="E360" s="12">
        <f>CHOOSE( CONTROL!$C$32, 10.0303, 10.0279) * CHOOSE( CONTROL!$C$15, $D$11, 100%, $F$11)</f>
        <v>10.0303</v>
      </c>
      <c r="F360" s="4">
        <f>CHOOSE( CONTROL!$C$32, 10.7204, 10.7181) * CHOOSE(CONTROL!$C$15, $D$11, 100%, $F$11)</f>
        <v>10.7204</v>
      </c>
      <c r="G360" s="8">
        <f>CHOOSE( CONTROL!$C$32, 9.7579, 9.7556) * CHOOSE( CONTROL!$C$15, $D$11, 100%, $F$11)</f>
        <v>9.7578999999999994</v>
      </c>
      <c r="H360" s="4">
        <f>CHOOSE( CONTROL!$C$32, 10.7054, 10.7031) * CHOOSE(CONTROL!$C$15, $D$11, 100%, $F$11)</f>
        <v>10.705399999999999</v>
      </c>
      <c r="I360" s="8">
        <f>CHOOSE( CONTROL!$C$32, 9.6956, 9.6933) * CHOOSE(CONTROL!$C$15, $D$11, 100%, $F$11)</f>
        <v>9.6956000000000007</v>
      </c>
      <c r="J360" s="4">
        <f>CHOOSE( CONTROL!$C$32, 9.5785, 9.5762) * CHOOSE(CONTROL!$C$15, $D$11, 100%, $F$11)</f>
        <v>9.5785</v>
      </c>
      <c r="K360" s="4"/>
      <c r="L360" s="9">
        <v>30.7165</v>
      </c>
      <c r="M360" s="9">
        <v>12.063700000000001</v>
      </c>
      <c r="N360" s="9">
        <v>4.9444999999999997</v>
      </c>
      <c r="O360" s="9">
        <v>0.37409999999999999</v>
      </c>
      <c r="P360" s="9">
        <v>1.2183999999999999</v>
      </c>
      <c r="Q360" s="9">
        <v>20.5288</v>
      </c>
      <c r="R360" s="9"/>
      <c r="S360" s="11"/>
    </row>
    <row r="361" spans="1:19" ht="15.75">
      <c r="A361" s="13">
        <v>52504</v>
      </c>
      <c r="B361" s="8">
        <f>CHOOSE( CONTROL!$C$32, 9.7981, 9.7957) * CHOOSE(CONTROL!$C$15, $D$11, 100%, $F$11)</f>
        <v>9.7980999999999998</v>
      </c>
      <c r="C361" s="8">
        <f>CHOOSE( CONTROL!$C$32, 9.8061, 9.8038) * CHOOSE(CONTROL!$C$15, $D$11, 100%, $F$11)</f>
        <v>9.8061000000000007</v>
      </c>
      <c r="D361" s="8">
        <f>CHOOSE( CONTROL!$C$32, 9.8319, 9.8295) * CHOOSE( CONTROL!$C$15, $D$11, 100%, $F$11)</f>
        <v>9.8318999999999992</v>
      </c>
      <c r="E361" s="12">
        <f>CHOOSE( CONTROL!$C$32, 9.8213, 9.819) * CHOOSE( CONTROL!$C$15, $D$11, 100%, $F$11)</f>
        <v>9.8213000000000008</v>
      </c>
      <c r="F361" s="4">
        <f>CHOOSE( CONTROL!$C$32, 10.5115, 10.5091) * CHOOSE(CONTROL!$C$15, $D$11, 100%, $F$11)</f>
        <v>10.5115</v>
      </c>
      <c r="G361" s="8">
        <f>CHOOSE( CONTROL!$C$32, 9.5538, 9.5515) * CHOOSE( CONTROL!$C$15, $D$11, 100%, $F$11)</f>
        <v>9.5538000000000007</v>
      </c>
      <c r="H361" s="4">
        <f>CHOOSE( CONTROL!$C$32, 10.5014, 10.4991) * CHOOSE(CONTROL!$C$15, $D$11, 100%, $F$11)</f>
        <v>10.5014</v>
      </c>
      <c r="I361" s="8">
        <f>CHOOSE( CONTROL!$C$32, 9.4948, 9.4925) * CHOOSE(CONTROL!$C$15, $D$11, 100%, $F$11)</f>
        <v>9.4947999999999997</v>
      </c>
      <c r="J361" s="4">
        <f>CHOOSE( CONTROL!$C$32, 9.3779, 9.3756) * CHOOSE(CONTROL!$C$15, $D$11, 100%, $F$11)</f>
        <v>9.3779000000000003</v>
      </c>
      <c r="K361" s="4"/>
      <c r="L361" s="9">
        <v>29.7257</v>
      </c>
      <c r="M361" s="9">
        <v>11.6745</v>
      </c>
      <c r="N361" s="9">
        <v>4.7850000000000001</v>
      </c>
      <c r="O361" s="9">
        <v>0.36199999999999999</v>
      </c>
      <c r="P361" s="9">
        <v>1.1791</v>
      </c>
      <c r="Q361" s="9">
        <v>19.866599999999998</v>
      </c>
      <c r="R361" s="9"/>
      <c r="S361" s="11"/>
    </row>
    <row r="362" spans="1:19" ht="15.75">
      <c r="A362" s="13">
        <v>52535</v>
      </c>
      <c r="B362" s="8">
        <f>10.2278 * CHOOSE(CONTROL!$C$15, $D$11, 100%, $F$11)</f>
        <v>10.2278</v>
      </c>
      <c r="C362" s="8">
        <f>10.2332 * CHOOSE(CONTROL!$C$15, $D$11, 100%, $F$11)</f>
        <v>10.2332</v>
      </c>
      <c r="D362" s="8">
        <f>10.264 * CHOOSE( CONTROL!$C$15, $D$11, 100%, $F$11)</f>
        <v>10.263999999999999</v>
      </c>
      <c r="E362" s="12">
        <f>10.2533 * CHOOSE( CONTROL!$C$15, $D$11, 100%, $F$11)</f>
        <v>10.253299999999999</v>
      </c>
      <c r="F362" s="4">
        <f>10.943 * CHOOSE(CONTROL!$C$15, $D$11, 100%, $F$11)</f>
        <v>10.943</v>
      </c>
      <c r="G362" s="8">
        <f>9.975 * CHOOSE( CONTROL!$C$15, $D$11, 100%, $F$11)</f>
        <v>9.9749999999999996</v>
      </c>
      <c r="H362" s="4">
        <f>10.9228 * CHOOSE(CONTROL!$C$15, $D$11, 100%, $F$11)</f>
        <v>10.922800000000001</v>
      </c>
      <c r="I362" s="8">
        <f>9.9101 * CHOOSE(CONTROL!$C$15, $D$11, 100%, $F$11)</f>
        <v>9.9100999999999999</v>
      </c>
      <c r="J362" s="4">
        <f>9.7921 * CHOOSE(CONTROL!$C$15, $D$11, 100%, $F$11)</f>
        <v>9.7920999999999996</v>
      </c>
      <c r="K362" s="4"/>
      <c r="L362" s="9">
        <v>31.095300000000002</v>
      </c>
      <c r="M362" s="9">
        <v>12.063700000000001</v>
      </c>
      <c r="N362" s="9">
        <v>4.9444999999999997</v>
      </c>
      <c r="O362" s="9">
        <v>0.37409999999999999</v>
      </c>
      <c r="P362" s="9">
        <v>1.2183999999999999</v>
      </c>
      <c r="Q362" s="9">
        <v>20.5288</v>
      </c>
      <c r="R362" s="9"/>
      <c r="S362" s="11"/>
    </row>
    <row r="363" spans="1:19" ht="15.75">
      <c r="A363" s="13">
        <v>52565</v>
      </c>
      <c r="B363" s="8">
        <f>11.0281 * CHOOSE(CONTROL!$C$15, $D$11, 100%, $F$11)</f>
        <v>11.0281</v>
      </c>
      <c r="C363" s="8">
        <f>11.0333 * CHOOSE(CONTROL!$C$15, $D$11, 100%, $F$11)</f>
        <v>11.033300000000001</v>
      </c>
      <c r="D363" s="8">
        <f>11.0163 * CHOOSE( CONTROL!$C$15, $D$11, 100%, $F$11)</f>
        <v>11.016299999999999</v>
      </c>
      <c r="E363" s="12">
        <f>11.022 * CHOOSE( CONTROL!$C$15, $D$11, 100%, $F$11)</f>
        <v>11.022</v>
      </c>
      <c r="F363" s="4">
        <f>11.6786 * CHOOSE(CONTROL!$C$15, $D$11, 100%, $F$11)</f>
        <v>11.678599999999999</v>
      </c>
      <c r="G363" s="8">
        <f>10.7633 * CHOOSE( CONTROL!$C$15, $D$11, 100%, $F$11)</f>
        <v>10.763299999999999</v>
      </c>
      <c r="H363" s="4">
        <f>11.6413 * CHOOSE(CONTROL!$C$15, $D$11, 100%, $F$11)</f>
        <v>11.641299999999999</v>
      </c>
      <c r="I363" s="8">
        <f>10.7211 * CHOOSE(CONTROL!$C$15, $D$11, 100%, $F$11)</f>
        <v>10.7211</v>
      </c>
      <c r="J363" s="4">
        <f>10.5609 * CHOOSE(CONTROL!$C$15, $D$11, 100%, $F$11)</f>
        <v>10.5609</v>
      </c>
      <c r="K363" s="4"/>
      <c r="L363" s="9">
        <v>28.360600000000002</v>
      </c>
      <c r="M363" s="9">
        <v>11.6745</v>
      </c>
      <c r="N363" s="9">
        <v>4.7850000000000001</v>
      </c>
      <c r="O363" s="9">
        <v>0.36199999999999999</v>
      </c>
      <c r="P363" s="9">
        <v>1.2509999999999999</v>
      </c>
      <c r="Q363" s="9">
        <v>19.866599999999998</v>
      </c>
      <c r="R363" s="9"/>
      <c r="S363" s="11"/>
    </row>
    <row r="364" spans="1:19" ht="15.75">
      <c r="A364" s="13">
        <v>52596</v>
      </c>
      <c r="B364" s="8">
        <f>11.0081 * CHOOSE(CONTROL!$C$15, $D$11, 100%, $F$11)</f>
        <v>11.008100000000001</v>
      </c>
      <c r="C364" s="8">
        <f>11.0133 * CHOOSE(CONTROL!$C$15, $D$11, 100%, $F$11)</f>
        <v>11.013299999999999</v>
      </c>
      <c r="D364" s="8">
        <f>10.9978 * CHOOSE( CONTROL!$C$15, $D$11, 100%, $F$11)</f>
        <v>10.9978</v>
      </c>
      <c r="E364" s="12">
        <f>11.0029 * CHOOSE( CONTROL!$C$15, $D$11, 100%, $F$11)</f>
        <v>11.0029</v>
      </c>
      <c r="F364" s="4">
        <f>11.6586 * CHOOSE(CONTROL!$C$15, $D$11, 100%, $F$11)</f>
        <v>11.6586</v>
      </c>
      <c r="G364" s="8">
        <f>10.7448 * CHOOSE( CONTROL!$C$15, $D$11, 100%, $F$11)</f>
        <v>10.7448</v>
      </c>
      <c r="H364" s="4">
        <f>11.6217 * CHOOSE(CONTROL!$C$15, $D$11, 100%, $F$11)</f>
        <v>11.621700000000001</v>
      </c>
      <c r="I364" s="8">
        <f>10.7066 * CHOOSE(CONTROL!$C$15, $D$11, 100%, $F$11)</f>
        <v>10.7066</v>
      </c>
      <c r="J364" s="4">
        <f>10.5417 * CHOOSE(CONTROL!$C$15, $D$11, 100%, $F$11)</f>
        <v>10.541700000000001</v>
      </c>
      <c r="K364" s="4"/>
      <c r="L364" s="9">
        <v>29.306000000000001</v>
      </c>
      <c r="M364" s="9">
        <v>12.063700000000001</v>
      </c>
      <c r="N364" s="9">
        <v>4.9444999999999997</v>
      </c>
      <c r="O364" s="9">
        <v>0.37409999999999999</v>
      </c>
      <c r="P364" s="9">
        <v>1.2927</v>
      </c>
      <c r="Q364" s="9">
        <v>20.5288</v>
      </c>
      <c r="R364" s="9"/>
      <c r="S364" s="11"/>
    </row>
    <row r="365" spans="1:19" ht="15.75">
      <c r="A365" s="13">
        <v>52627</v>
      </c>
      <c r="B365" s="8">
        <f>11.332 * CHOOSE(CONTROL!$C$15, $D$11, 100%, $F$11)</f>
        <v>11.332000000000001</v>
      </c>
      <c r="C365" s="8">
        <f>11.3372 * CHOOSE(CONTROL!$C$15, $D$11, 100%, $F$11)</f>
        <v>11.337199999999999</v>
      </c>
      <c r="D365" s="8">
        <f>11.3173 * CHOOSE( CONTROL!$C$15, $D$11, 100%, $F$11)</f>
        <v>11.317299999999999</v>
      </c>
      <c r="E365" s="12">
        <f>11.324 * CHOOSE( CONTROL!$C$15, $D$11, 100%, $F$11)</f>
        <v>11.324</v>
      </c>
      <c r="F365" s="4">
        <f>11.9824 * CHOOSE(CONTROL!$C$15, $D$11, 100%, $F$11)</f>
        <v>11.9824</v>
      </c>
      <c r="G365" s="8">
        <f>11.0519 * CHOOSE( CONTROL!$C$15, $D$11, 100%, $F$11)</f>
        <v>11.0519</v>
      </c>
      <c r="H365" s="4">
        <f>11.9381 * CHOOSE(CONTROL!$C$15, $D$11, 100%, $F$11)</f>
        <v>11.9381</v>
      </c>
      <c r="I365" s="8">
        <f>10.9768 * CHOOSE(CONTROL!$C$15, $D$11, 100%, $F$11)</f>
        <v>10.976800000000001</v>
      </c>
      <c r="J365" s="4">
        <f>10.8527 * CHOOSE(CONTROL!$C$15, $D$11, 100%, $F$11)</f>
        <v>10.8527</v>
      </c>
      <c r="K365" s="4"/>
      <c r="L365" s="9">
        <v>29.306000000000001</v>
      </c>
      <c r="M365" s="9">
        <v>12.063700000000001</v>
      </c>
      <c r="N365" s="9">
        <v>4.9444999999999997</v>
      </c>
      <c r="O365" s="9">
        <v>0.37409999999999999</v>
      </c>
      <c r="P365" s="9">
        <v>1.2927</v>
      </c>
      <c r="Q365" s="9">
        <v>20.4619</v>
      </c>
      <c r="R365" s="9"/>
      <c r="S365" s="11"/>
    </row>
    <row r="366" spans="1:19" ht="15.75">
      <c r="A366" s="13">
        <v>52655</v>
      </c>
      <c r="B366" s="8">
        <f>10.6012 * CHOOSE(CONTROL!$C$15, $D$11, 100%, $F$11)</f>
        <v>10.6012</v>
      </c>
      <c r="C366" s="8">
        <f>10.6064 * CHOOSE(CONTROL!$C$15, $D$11, 100%, $F$11)</f>
        <v>10.606400000000001</v>
      </c>
      <c r="D366" s="8">
        <f>10.5865 * CHOOSE( CONTROL!$C$15, $D$11, 100%, $F$11)</f>
        <v>10.586499999999999</v>
      </c>
      <c r="E366" s="12">
        <f>10.5932 * CHOOSE( CONTROL!$C$15, $D$11, 100%, $F$11)</f>
        <v>10.5932</v>
      </c>
      <c r="F366" s="4">
        <f>11.2517 * CHOOSE(CONTROL!$C$15, $D$11, 100%, $F$11)</f>
        <v>11.2517</v>
      </c>
      <c r="G366" s="8">
        <f>10.3381 * CHOOSE( CONTROL!$C$15, $D$11, 100%, $F$11)</f>
        <v>10.338100000000001</v>
      </c>
      <c r="H366" s="4">
        <f>11.2243 * CHOOSE(CONTROL!$C$15, $D$11, 100%, $F$11)</f>
        <v>11.224299999999999</v>
      </c>
      <c r="I366" s="8">
        <f>10.2747 * CHOOSE(CONTROL!$C$15, $D$11, 100%, $F$11)</f>
        <v>10.274699999999999</v>
      </c>
      <c r="J366" s="4">
        <f>10.151 * CHOOSE(CONTROL!$C$15, $D$11, 100%, $F$11)</f>
        <v>10.151</v>
      </c>
      <c r="K366" s="4"/>
      <c r="L366" s="9">
        <v>27.415299999999998</v>
      </c>
      <c r="M366" s="9">
        <v>11.285299999999999</v>
      </c>
      <c r="N366" s="9">
        <v>4.6254999999999997</v>
      </c>
      <c r="O366" s="9">
        <v>0.34989999999999999</v>
      </c>
      <c r="P366" s="9">
        <v>1.2093</v>
      </c>
      <c r="Q366" s="9">
        <v>19.1417</v>
      </c>
      <c r="R366" s="9"/>
      <c r="S366" s="11"/>
    </row>
    <row r="367" spans="1:19" ht="15.75">
      <c r="A367" s="13">
        <v>52687</v>
      </c>
      <c r="B367" s="8">
        <f>10.3761 * CHOOSE(CONTROL!$C$15, $D$11, 100%, $F$11)</f>
        <v>10.376099999999999</v>
      </c>
      <c r="C367" s="8">
        <f>10.3813 * CHOOSE(CONTROL!$C$15, $D$11, 100%, $F$11)</f>
        <v>10.3813</v>
      </c>
      <c r="D367" s="8">
        <f>10.3611 * CHOOSE( CONTROL!$C$15, $D$11, 100%, $F$11)</f>
        <v>10.3611</v>
      </c>
      <c r="E367" s="12">
        <f>10.3679 * CHOOSE( CONTROL!$C$15, $D$11, 100%, $F$11)</f>
        <v>10.367900000000001</v>
      </c>
      <c r="F367" s="4">
        <f>11.0266 * CHOOSE(CONTROL!$C$15, $D$11, 100%, $F$11)</f>
        <v>11.0266</v>
      </c>
      <c r="G367" s="8">
        <f>10.118 * CHOOSE( CONTROL!$C$15, $D$11, 100%, $F$11)</f>
        <v>10.118</v>
      </c>
      <c r="H367" s="4">
        <f>11.0045 * CHOOSE(CONTROL!$C$15, $D$11, 100%, $F$11)</f>
        <v>11.0045</v>
      </c>
      <c r="I367" s="8">
        <f>10.0574 * CHOOSE(CONTROL!$C$15, $D$11, 100%, $F$11)</f>
        <v>10.057399999999999</v>
      </c>
      <c r="J367" s="4">
        <f>9.935 * CHOOSE(CONTROL!$C$15, $D$11, 100%, $F$11)</f>
        <v>9.9350000000000005</v>
      </c>
      <c r="K367" s="4"/>
      <c r="L367" s="9">
        <v>29.306000000000001</v>
      </c>
      <c r="M367" s="9">
        <v>12.063700000000001</v>
      </c>
      <c r="N367" s="9">
        <v>4.9444999999999997</v>
      </c>
      <c r="O367" s="9">
        <v>0.37409999999999999</v>
      </c>
      <c r="P367" s="9">
        <v>1.2927</v>
      </c>
      <c r="Q367" s="9">
        <v>20.4619</v>
      </c>
      <c r="R367" s="9"/>
      <c r="S367" s="11"/>
    </row>
    <row r="368" spans="1:19" ht="15.75">
      <c r="A368" s="13">
        <v>52717</v>
      </c>
      <c r="B368" s="8">
        <f>10.5342 * CHOOSE(CONTROL!$C$15, $D$11, 100%, $F$11)</f>
        <v>10.5342</v>
      </c>
      <c r="C368" s="8">
        <f>10.5388 * CHOOSE(CONTROL!$C$15, $D$11, 100%, $F$11)</f>
        <v>10.5388</v>
      </c>
      <c r="D368" s="8">
        <f>10.5693 * CHOOSE( CONTROL!$C$15, $D$11, 100%, $F$11)</f>
        <v>10.5693</v>
      </c>
      <c r="E368" s="12">
        <f>10.5587 * CHOOSE( CONTROL!$C$15, $D$11, 100%, $F$11)</f>
        <v>10.5587</v>
      </c>
      <c r="F368" s="4">
        <f>11.249 * CHOOSE(CONTROL!$C$15, $D$11, 100%, $F$11)</f>
        <v>11.249000000000001</v>
      </c>
      <c r="G368" s="8">
        <f>10.2728 * CHOOSE( CONTROL!$C$15, $D$11, 100%, $F$11)</f>
        <v>10.2728</v>
      </c>
      <c r="H368" s="4">
        <f>11.2217 * CHOOSE(CONTROL!$C$15, $D$11, 100%, $F$11)</f>
        <v>11.2217</v>
      </c>
      <c r="I368" s="8">
        <f>10.2005 * CHOOSE(CONTROL!$C$15, $D$11, 100%, $F$11)</f>
        <v>10.2005</v>
      </c>
      <c r="J368" s="4">
        <f>10.086 * CHOOSE(CONTROL!$C$15, $D$11, 100%, $F$11)</f>
        <v>10.086</v>
      </c>
      <c r="K368" s="4"/>
      <c r="L368" s="9">
        <v>30.092199999999998</v>
      </c>
      <c r="M368" s="9">
        <v>11.6745</v>
      </c>
      <c r="N368" s="9">
        <v>4.7850000000000001</v>
      </c>
      <c r="O368" s="9">
        <v>0.36199999999999999</v>
      </c>
      <c r="P368" s="9">
        <v>1.1791</v>
      </c>
      <c r="Q368" s="9">
        <v>19.8018</v>
      </c>
      <c r="R368" s="9"/>
      <c r="S368" s="11"/>
    </row>
    <row r="369" spans="1:19" ht="15.75">
      <c r="A369" s="13">
        <v>52748</v>
      </c>
      <c r="B369" s="8">
        <f>CHOOSE( CONTROL!$C$32, 10.8178, 10.8155) * CHOOSE(CONTROL!$C$15, $D$11, 100%, $F$11)</f>
        <v>10.8178</v>
      </c>
      <c r="C369" s="8">
        <f>CHOOSE( CONTROL!$C$32, 10.8259, 10.8235) * CHOOSE(CONTROL!$C$15, $D$11, 100%, $F$11)</f>
        <v>10.825900000000001</v>
      </c>
      <c r="D369" s="8">
        <f>CHOOSE( CONTROL!$C$32, 10.8511, 10.8487) * CHOOSE( CONTROL!$C$15, $D$11, 100%, $F$11)</f>
        <v>10.851100000000001</v>
      </c>
      <c r="E369" s="12">
        <f>CHOOSE( CONTROL!$C$32, 10.8407, 10.8383) * CHOOSE( CONTROL!$C$15, $D$11, 100%, $F$11)</f>
        <v>10.8407</v>
      </c>
      <c r="F369" s="4">
        <f>CHOOSE( CONTROL!$C$32, 11.5312, 11.5289) * CHOOSE(CONTROL!$C$15, $D$11, 100%, $F$11)</f>
        <v>11.5312</v>
      </c>
      <c r="G369" s="8">
        <f>CHOOSE( CONTROL!$C$32, 10.549, 10.5468) * CHOOSE( CONTROL!$C$15, $D$11, 100%, $F$11)</f>
        <v>10.548999999999999</v>
      </c>
      <c r="H369" s="4">
        <f>CHOOSE( CONTROL!$C$32, 11.4974, 11.4951) * CHOOSE(CONTROL!$C$15, $D$11, 100%, $F$11)</f>
        <v>11.497400000000001</v>
      </c>
      <c r="I369" s="8">
        <f>CHOOSE( CONTROL!$C$32, 10.4719, 10.4696) * CHOOSE(CONTROL!$C$15, $D$11, 100%, $F$11)</f>
        <v>10.4719</v>
      </c>
      <c r="J369" s="4">
        <f>CHOOSE( CONTROL!$C$32, 10.357, 10.3547) * CHOOSE(CONTROL!$C$15, $D$11, 100%, $F$11)</f>
        <v>10.356999999999999</v>
      </c>
      <c r="K369" s="4"/>
      <c r="L369" s="9">
        <v>30.7165</v>
      </c>
      <c r="M369" s="9">
        <v>12.063700000000001</v>
      </c>
      <c r="N369" s="9">
        <v>4.9444999999999997</v>
      </c>
      <c r="O369" s="9">
        <v>0.37409999999999999</v>
      </c>
      <c r="P369" s="9">
        <v>1.2183999999999999</v>
      </c>
      <c r="Q369" s="9">
        <v>20.4619</v>
      </c>
      <c r="R369" s="9"/>
      <c r="S369" s="11"/>
    </row>
    <row r="370" spans="1:19" ht="15.75">
      <c r="A370" s="13">
        <v>52778</v>
      </c>
      <c r="B370" s="8">
        <f>CHOOSE( CONTROL!$C$32, 10.6444, 10.6421) * CHOOSE(CONTROL!$C$15, $D$11, 100%, $F$11)</f>
        <v>10.644399999999999</v>
      </c>
      <c r="C370" s="8">
        <f>CHOOSE( CONTROL!$C$32, 10.6525, 10.6501) * CHOOSE(CONTROL!$C$15, $D$11, 100%, $F$11)</f>
        <v>10.6525</v>
      </c>
      <c r="D370" s="8">
        <f>CHOOSE( CONTROL!$C$32, 10.6779, 10.6756) * CHOOSE( CONTROL!$C$15, $D$11, 100%, $F$11)</f>
        <v>10.677899999999999</v>
      </c>
      <c r="E370" s="12">
        <f>CHOOSE( CONTROL!$C$32, 10.6675, 10.6651) * CHOOSE( CONTROL!$C$15, $D$11, 100%, $F$11)</f>
        <v>10.6675</v>
      </c>
      <c r="F370" s="4">
        <f>CHOOSE( CONTROL!$C$32, 11.3578, 11.3555) * CHOOSE(CONTROL!$C$15, $D$11, 100%, $F$11)</f>
        <v>11.357799999999999</v>
      </c>
      <c r="G370" s="8">
        <f>CHOOSE( CONTROL!$C$32, 10.38, 10.3777) * CHOOSE( CONTROL!$C$15, $D$11, 100%, $F$11)</f>
        <v>10.38</v>
      </c>
      <c r="H370" s="4">
        <f>CHOOSE( CONTROL!$C$32, 11.328, 11.3257) * CHOOSE(CONTROL!$C$15, $D$11, 100%, $F$11)</f>
        <v>11.327999999999999</v>
      </c>
      <c r="I370" s="8">
        <f>CHOOSE( CONTROL!$C$32, 10.3063, 10.304) * CHOOSE(CONTROL!$C$15, $D$11, 100%, $F$11)</f>
        <v>10.3063</v>
      </c>
      <c r="J370" s="4">
        <f>CHOOSE( CONTROL!$C$32, 10.1905, 10.1882) * CHOOSE(CONTROL!$C$15, $D$11, 100%, $F$11)</f>
        <v>10.1905</v>
      </c>
      <c r="K370" s="4"/>
      <c r="L370" s="9">
        <v>29.7257</v>
      </c>
      <c r="M370" s="9">
        <v>11.6745</v>
      </c>
      <c r="N370" s="9">
        <v>4.7850000000000001</v>
      </c>
      <c r="O370" s="9">
        <v>0.36199999999999999</v>
      </c>
      <c r="P370" s="9">
        <v>1.1791</v>
      </c>
      <c r="Q370" s="9">
        <v>19.8018</v>
      </c>
      <c r="R370" s="9"/>
      <c r="S370" s="11"/>
    </row>
    <row r="371" spans="1:19" ht="15.75">
      <c r="A371" s="13">
        <v>52809</v>
      </c>
      <c r="B371" s="8">
        <f>CHOOSE( CONTROL!$C$32, 11.101, 11.0987) * CHOOSE(CONTROL!$C$15, $D$11, 100%, $F$11)</f>
        <v>11.101000000000001</v>
      </c>
      <c r="C371" s="8">
        <f>CHOOSE( CONTROL!$C$32, 11.1091, 11.1068) * CHOOSE(CONTROL!$C$15, $D$11, 100%, $F$11)</f>
        <v>11.1091</v>
      </c>
      <c r="D371" s="8">
        <f>CHOOSE( CONTROL!$C$32, 11.1348, 11.1324) * CHOOSE( CONTROL!$C$15, $D$11, 100%, $F$11)</f>
        <v>11.1348</v>
      </c>
      <c r="E371" s="12">
        <f>CHOOSE( CONTROL!$C$32, 11.1243, 11.1219) * CHOOSE( CONTROL!$C$15, $D$11, 100%, $F$11)</f>
        <v>11.1243</v>
      </c>
      <c r="F371" s="4">
        <f>CHOOSE( CONTROL!$C$32, 11.8145, 11.8121) * CHOOSE(CONTROL!$C$15, $D$11, 100%, $F$11)</f>
        <v>11.814500000000001</v>
      </c>
      <c r="G371" s="8">
        <f>CHOOSE( CONTROL!$C$32, 10.8264, 10.8241) * CHOOSE( CONTROL!$C$15, $D$11, 100%, $F$11)</f>
        <v>10.8264</v>
      </c>
      <c r="H371" s="4">
        <f>CHOOSE( CONTROL!$C$32, 11.774, 11.7717) * CHOOSE(CONTROL!$C$15, $D$11, 100%, $F$11)</f>
        <v>11.773999999999999</v>
      </c>
      <c r="I371" s="8">
        <f>CHOOSE( CONTROL!$C$32, 10.7461, 10.7439) * CHOOSE(CONTROL!$C$15, $D$11, 100%, $F$11)</f>
        <v>10.7461</v>
      </c>
      <c r="J371" s="4">
        <f>CHOOSE( CONTROL!$C$32, 10.6289, 10.6266) * CHOOSE(CONTROL!$C$15, $D$11, 100%, $F$11)</f>
        <v>10.6289</v>
      </c>
      <c r="K371" s="4"/>
      <c r="L371" s="9">
        <v>30.7165</v>
      </c>
      <c r="M371" s="9">
        <v>12.063700000000001</v>
      </c>
      <c r="N371" s="9">
        <v>4.9444999999999997</v>
      </c>
      <c r="O371" s="9">
        <v>0.37409999999999999</v>
      </c>
      <c r="P371" s="9">
        <v>1.2183999999999999</v>
      </c>
      <c r="Q371" s="9">
        <v>20.4619</v>
      </c>
      <c r="R371" s="9"/>
      <c r="S371" s="11"/>
    </row>
    <row r="372" spans="1:19" ht="15.75">
      <c r="A372" s="13">
        <v>52840</v>
      </c>
      <c r="B372" s="8">
        <f>CHOOSE( CONTROL!$C$32, 10.2466, 10.2443) * CHOOSE(CONTROL!$C$15, $D$11, 100%, $F$11)</f>
        <v>10.246600000000001</v>
      </c>
      <c r="C372" s="8">
        <f>CHOOSE( CONTROL!$C$32, 10.2547, 10.2524) * CHOOSE(CONTROL!$C$15, $D$11, 100%, $F$11)</f>
        <v>10.2547</v>
      </c>
      <c r="D372" s="8">
        <f>CHOOSE( CONTROL!$C$32, 10.2805, 10.2781) * CHOOSE( CONTROL!$C$15, $D$11, 100%, $F$11)</f>
        <v>10.2805</v>
      </c>
      <c r="E372" s="12">
        <f>CHOOSE( CONTROL!$C$32, 10.2699, 10.2676) * CHOOSE( CONTROL!$C$15, $D$11, 100%, $F$11)</f>
        <v>10.2699</v>
      </c>
      <c r="F372" s="4">
        <f>CHOOSE( CONTROL!$C$32, 10.9601, 10.9577) * CHOOSE(CONTROL!$C$15, $D$11, 100%, $F$11)</f>
        <v>10.960100000000001</v>
      </c>
      <c r="G372" s="8">
        <f>CHOOSE( CONTROL!$C$32, 9.992, 9.9897) * CHOOSE( CONTROL!$C$15, $D$11, 100%, $F$11)</f>
        <v>9.9920000000000009</v>
      </c>
      <c r="H372" s="4">
        <f>CHOOSE( CONTROL!$C$32, 10.9395, 10.9372) * CHOOSE(CONTROL!$C$15, $D$11, 100%, $F$11)</f>
        <v>10.939500000000001</v>
      </c>
      <c r="I372" s="8">
        <f>CHOOSE( CONTROL!$C$32, 9.9258, 9.9235) * CHOOSE(CONTROL!$C$15, $D$11, 100%, $F$11)</f>
        <v>9.9258000000000006</v>
      </c>
      <c r="J372" s="4">
        <f>CHOOSE( CONTROL!$C$32, 9.8086, 9.8063) * CHOOSE(CONTROL!$C$15, $D$11, 100%, $F$11)</f>
        <v>9.8086000000000002</v>
      </c>
      <c r="K372" s="4"/>
      <c r="L372" s="9">
        <v>30.7165</v>
      </c>
      <c r="M372" s="9">
        <v>12.063700000000001</v>
      </c>
      <c r="N372" s="9">
        <v>4.9444999999999997</v>
      </c>
      <c r="O372" s="9">
        <v>0.37409999999999999</v>
      </c>
      <c r="P372" s="9">
        <v>1.2183999999999999</v>
      </c>
      <c r="Q372" s="9">
        <v>20.4619</v>
      </c>
      <c r="R372" s="9"/>
      <c r="S372" s="11"/>
    </row>
    <row r="373" spans="1:19" ht="15.75">
      <c r="A373" s="13">
        <v>52870</v>
      </c>
      <c r="B373" s="8">
        <f>CHOOSE( CONTROL!$C$32, 10.0327, 10.0303) * CHOOSE(CONTROL!$C$15, $D$11, 100%, $F$11)</f>
        <v>10.0327</v>
      </c>
      <c r="C373" s="8">
        <f>CHOOSE( CONTROL!$C$32, 10.0408, 10.0384) * CHOOSE(CONTROL!$C$15, $D$11, 100%, $F$11)</f>
        <v>10.040800000000001</v>
      </c>
      <c r="D373" s="8">
        <f>CHOOSE( CONTROL!$C$32, 10.0665, 10.0641) * CHOOSE( CONTROL!$C$15, $D$11, 100%, $F$11)</f>
        <v>10.0665</v>
      </c>
      <c r="E373" s="12">
        <f>CHOOSE( CONTROL!$C$32, 10.056, 10.0536) * CHOOSE( CONTROL!$C$15, $D$11, 100%, $F$11)</f>
        <v>10.055999999999999</v>
      </c>
      <c r="F373" s="4">
        <f>CHOOSE( CONTROL!$C$32, 10.7461, 10.7438) * CHOOSE(CONTROL!$C$15, $D$11, 100%, $F$11)</f>
        <v>10.7461</v>
      </c>
      <c r="G373" s="8">
        <f>CHOOSE( CONTROL!$C$32, 9.783, 9.7807) * CHOOSE( CONTROL!$C$15, $D$11, 100%, $F$11)</f>
        <v>9.7829999999999995</v>
      </c>
      <c r="H373" s="4">
        <f>CHOOSE( CONTROL!$C$32, 10.7305, 10.7283) * CHOOSE(CONTROL!$C$15, $D$11, 100%, $F$11)</f>
        <v>10.730499999999999</v>
      </c>
      <c r="I373" s="8">
        <f>CHOOSE( CONTROL!$C$32, 9.7202, 9.7179) * CHOOSE(CONTROL!$C$15, $D$11, 100%, $F$11)</f>
        <v>9.7202000000000002</v>
      </c>
      <c r="J373" s="4">
        <f>CHOOSE( CONTROL!$C$32, 9.6032, 9.6009) * CHOOSE(CONTROL!$C$15, $D$11, 100%, $F$11)</f>
        <v>9.6031999999999993</v>
      </c>
      <c r="K373" s="4"/>
      <c r="L373" s="9">
        <v>29.7257</v>
      </c>
      <c r="M373" s="9">
        <v>11.6745</v>
      </c>
      <c r="N373" s="9">
        <v>4.7850000000000001</v>
      </c>
      <c r="O373" s="9">
        <v>0.36199999999999999</v>
      </c>
      <c r="P373" s="9">
        <v>1.1791</v>
      </c>
      <c r="Q373" s="9">
        <v>19.8018</v>
      </c>
      <c r="R373" s="9"/>
      <c r="S373" s="11"/>
    </row>
    <row r="374" spans="1:19" ht="15.75">
      <c r="A374" s="13">
        <v>52901</v>
      </c>
      <c r="B374" s="8">
        <f>10.4729 * CHOOSE(CONTROL!$C$15, $D$11, 100%, $F$11)</f>
        <v>10.472899999999999</v>
      </c>
      <c r="C374" s="8">
        <f>10.4783 * CHOOSE(CONTROL!$C$15, $D$11, 100%, $F$11)</f>
        <v>10.478300000000001</v>
      </c>
      <c r="D374" s="8">
        <f>10.5091 * CHOOSE( CONTROL!$C$15, $D$11, 100%, $F$11)</f>
        <v>10.5091</v>
      </c>
      <c r="E374" s="12">
        <f>10.4984 * CHOOSE( CONTROL!$C$15, $D$11, 100%, $F$11)</f>
        <v>10.4984</v>
      </c>
      <c r="F374" s="4">
        <f>11.188 * CHOOSE(CONTROL!$C$15, $D$11, 100%, $F$11)</f>
        <v>11.188000000000001</v>
      </c>
      <c r="G374" s="8">
        <f>10.2144 * CHOOSE( CONTROL!$C$15, $D$11, 100%, $F$11)</f>
        <v>10.214399999999999</v>
      </c>
      <c r="H374" s="4">
        <f>11.1621 * CHOOSE(CONTROL!$C$15, $D$11, 100%, $F$11)</f>
        <v>11.162100000000001</v>
      </c>
      <c r="I374" s="8">
        <f>10.1455 * CHOOSE(CONTROL!$C$15, $D$11, 100%, $F$11)</f>
        <v>10.1455</v>
      </c>
      <c r="J374" s="4">
        <f>10.0274 * CHOOSE(CONTROL!$C$15, $D$11, 100%, $F$11)</f>
        <v>10.0274</v>
      </c>
      <c r="K374" s="4"/>
      <c r="L374" s="9">
        <v>31.095300000000002</v>
      </c>
      <c r="M374" s="9">
        <v>12.063700000000001</v>
      </c>
      <c r="N374" s="9">
        <v>4.9444999999999997</v>
      </c>
      <c r="O374" s="9">
        <v>0.37409999999999999</v>
      </c>
      <c r="P374" s="9">
        <v>1.2183999999999999</v>
      </c>
      <c r="Q374" s="9">
        <v>20.4619</v>
      </c>
      <c r="R374" s="9"/>
      <c r="S374" s="11"/>
    </row>
    <row r="375" spans="1:19" ht="15.75">
      <c r="A375" s="13">
        <v>52931</v>
      </c>
      <c r="B375" s="8">
        <f>11.2924 * CHOOSE(CONTROL!$C$15, $D$11, 100%, $F$11)</f>
        <v>11.292400000000001</v>
      </c>
      <c r="C375" s="8">
        <f>11.2976 * CHOOSE(CONTROL!$C$15, $D$11, 100%, $F$11)</f>
        <v>11.297599999999999</v>
      </c>
      <c r="D375" s="8">
        <f>11.2806 * CHOOSE( CONTROL!$C$15, $D$11, 100%, $F$11)</f>
        <v>11.2806</v>
      </c>
      <c r="E375" s="12">
        <f>11.2863 * CHOOSE( CONTROL!$C$15, $D$11, 100%, $F$11)</f>
        <v>11.286300000000001</v>
      </c>
      <c r="F375" s="4">
        <f>11.9429 * CHOOSE(CONTROL!$C$15, $D$11, 100%, $F$11)</f>
        <v>11.9429</v>
      </c>
      <c r="G375" s="8">
        <f>11.0214 * CHOOSE( CONTROL!$C$15, $D$11, 100%, $F$11)</f>
        <v>11.0214</v>
      </c>
      <c r="H375" s="4">
        <f>11.8994 * CHOOSE(CONTROL!$C$15, $D$11, 100%, $F$11)</f>
        <v>11.8994</v>
      </c>
      <c r="I375" s="8">
        <f>10.9749 * CHOOSE(CONTROL!$C$15, $D$11, 100%, $F$11)</f>
        <v>10.9749</v>
      </c>
      <c r="J375" s="4">
        <f>10.8147 * CHOOSE(CONTROL!$C$15, $D$11, 100%, $F$11)</f>
        <v>10.8147</v>
      </c>
      <c r="K375" s="4"/>
      <c r="L375" s="9">
        <v>28.360600000000002</v>
      </c>
      <c r="M375" s="9">
        <v>11.6745</v>
      </c>
      <c r="N375" s="9">
        <v>4.7850000000000001</v>
      </c>
      <c r="O375" s="9">
        <v>0.36199999999999999</v>
      </c>
      <c r="P375" s="9">
        <v>1.2509999999999999</v>
      </c>
      <c r="Q375" s="9">
        <v>19.8018</v>
      </c>
      <c r="R375" s="9"/>
      <c r="S375" s="11"/>
    </row>
    <row r="376" spans="1:19" ht="15.75">
      <c r="A376" s="13">
        <v>52962</v>
      </c>
      <c r="B376" s="8">
        <f>11.2719 * CHOOSE(CONTROL!$C$15, $D$11, 100%, $F$11)</f>
        <v>11.2719</v>
      </c>
      <c r="C376" s="8">
        <f>11.2771 * CHOOSE(CONTROL!$C$15, $D$11, 100%, $F$11)</f>
        <v>11.277100000000001</v>
      </c>
      <c r="D376" s="8">
        <f>11.2616 * CHOOSE( CONTROL!$C$15, $D$11, 100%, $F$11)</f>
        <v>11.2616</v>
      </c>
      <c r="E376" s="12">
        <f>11.2667 * CHOOSE( CONTROL!$C$15, $D$11, 100%, $F$11)</f>
        <v>11.2667</v>
      </c>
      <c r="F376" s="4">
        <f>11.9224 * CHOOSE(CONTROL!$C$15, $D$11, 100%, $F$11)</f>
        <v>11.9224</v>
      </c>
      <c r="G376" s="8">
        <f>11.0025 * CHOOSE( CONTROL!$C$15, $D$11, 100%, $F$11)</f>
        <v>11.0025</v>
      </c>
      <c r="H376" s="4">
        <f>11.8794 * CHOOSE(CONTROL!$C$15, $D$11, 100%, $F$11)</f>
        <v>11.8794</v>
      </c>
      <c r="I376" s="8">
        <f>10.96 * CHOOSE(CONTROL!$C$15, $D$11, 100%, $F$11)</f>
        <v>10.96</v>
      </c>
      <c r="J376" s="4">
        <f>10.795 * CHOOSE(CONTROL!$C$15, $D$11, 100%, $F$11)</f>
        <v>10.795</v>
      </c>
      <c r="K376" s="4"/>
      <c r="L376" s="9">
        <v>29.306000000000001</v>
      </c>
      <c r="M376" s="9">
        <v>12.063700000000001</v>
      </c>
      <c r="N376" s="9">
        <v>4.9444999999999997</v>
      </c>
      <c r="O376" s="9">
        <v>0.37409999999999999</v>
      </c>
      <c r="P376" s="9">
        <v>1.2927</v>
      </c>
      <c r="Q376" s="9">
        <v>20.4619</v>
      </c>
      <c r="R376" s="9"/>
      <c r="S376" s="11"/>
    </row>
    <row r="377" spans="1:19" ht="15.75">
      <c r="A377" s="13">
        <v>52993</v>
      </c>
      <c r="B377" s="8">
        <f>11.6036 * CHOOSE(CONTROL!$C$15, $D$11, 100%, $F$11)</f>
        <v>11.6036</v>
      </c>
      <c r="C377" s="8">
        <f>11.6088 * CHOOSE(CONTROL!$C$15, $D$11, 100%, $F$11)</f>
        <v>11.6088</v>
      </c>
      <c r="D377" s="8">
        <f>11.5889 * CHOOSE( CONTROL!$C$15, $D$11, 100%, $F$11)</f>
        <v>11.588900000000001</v>
      </c>
      <c r="E377" s="12">
        <f>11.5956 * CHOOSE( CONTROL!$C$15, $D$11, 100%, $F$11)</f>
        <v>11.595599999999999</v>
      </c>
      <c r="F377" s="4">
        <f>12.254 * CHOOSE(CONTROL!$C$15, $D$11, 100%, $F$11)</f>
        <v>12.254</v>
      </c>
      <c r="G377" s="8">
        <f>11.3171 * CHOOSE( CONTROL!$C$15, $D$11, 100%, $F$11)</f>
        <v>11.3171</v>
      </c>
      <c r="H377" s="4">
        <f>12.2033 * CHOOSE(CONTROL!$C$15, $D$11, 100%, $F$11)</f>
        <v>12.2033</v>
      </c>
      <c r="I377" s="8">
        <f>11.2377 * CHOOSE(CONTROL!$C$15, $D$11, 100%, $F$11)</f>
        <v>11.2377</v>
      </c>
      <c r="J377" s="4">
        <f>11.1134 * CHOOSE(CONTROL!$C$15, $D$11, 100%, $F$11)</f>
        <v>11.1134</v>
      </c>
      <c r="K377" s="4"/>
      <c r="L377" s="9">
        <v>29.306000000000001</v>
      </c>
      <c r="M377" s="9">
        <v>12.063700000000001</v>
      </c>
      <c r="N377" s="9">
        <v>4.9444999999999997</v>
      </c>
      <c r="O377" s="9">
        <v>0.37409999999999999</v>
      </c>
      <c r="P377" s="9">
        <v>1.2927</v>
      </c>
      <c r="Q377" s="9">
        <v>20.396799999999999</v>
      </c>
      <c r="R377" s="9"/>
      <c r="S377" s="11"/>
    </row>
    <row r="378" spans="1:19" ht="15.75">
      <c r="A378" s="13">
        <v>53021</v>
      </c>
      <c r="B378" s="8">
        <f>10.8553 * CHOOSE(CONTROL!$C$15, $D$11, 100%, $F$11)</f>
        <v>10.8553</v>
      </c>
      <c r="C378" s="8">
        <f>10.8604 * CHOOSE(CONTROL!$C$15, $D$11, 100%, $F$11)</f>
        <v>10.8604</v>
      </c>
      <c r="D378" s="8">
        <f>10.8406 * CHOOSE( CONTROL!$C$15, $D$11, 100%, $F$11)</f>
        <v>10.8406</v>
      </c>
      <c r="E378" s="12">
        <f>10.8473 * CHOOSE( CONTROL!$C$15, $D$11, 100%, $F$11)</f>
        <v>10.847300000000001</v>
      </c>
      <c r="F378" s="4">
        <f>11.5057 * CHOOSE(CONTROL!$C$15, $D$11, 100%, $F$11)</f>
        <v>11.505699999999999</v>
      </c>
      <c r="G378" s="8">
        <f>10.5862 * CHOOSE( CONTROL!$C$15, $D$11, 100%, $F$11)</f>
        <v>10.5862</v>
      </c>
      <c r="H378" s="4">
        <f>11.4724 * CHOOSE(CONTROL!$C$15, $D$11, 100%, $F$11)</f>
        <v>11.4724</v>
      </c>
      <c r="I378" s="8">
        <f>10.5187 * CHOOSE(CONTROL!$C$15, $D$11, 100%, $F$11)</f>
        <v>10.518700000000001</v>
      </c>
      <c r="J378" s="4">
        <f>10.395 * CHOOSE(CONTROL!$C$15, $D$11, 100%, $F$11)</f>
        <v>10.395</v>
      </c>
      <c r="K378" s="4"/>
      <c r="L378" s="9">
        <v>26.469899999999999</v>
      </c>
      <c r="M378" s="9">
        <v>10.8962</v>
      </c>
      <c r="N378" s="9">
        <v>4.4660000000000002</v>
      </c>
      <c r="O378" s="9">
        <v>0.33789999999999998</v>
      </c>
      <c r="P378" s="9">
        <v>1.1676</v>
      </c>
      <c r="Q378" s="9">
        <v>18.422899999999998</v>
      </c>
      <c r="R378" s="9"/>
      <c r="S378" s="11"/>
    </row>
    <row r="379" spans="1:19" ht="15.75">
      <c r="A379" s="13">
        <v>53052</v>
      </c>
      <c r="B379" s="8">
        <f>10.6248 * CHOOSE(CONTROL!$C$15, $D$11, 100%, $F$11)</f>
        <v>10.6248</v>
      </c>
      <c r="C379" s="8">
        <f>10.63 * CHOOSE(CONTROL!$C$15, $D$11, 100%, $F$11)</f>
        <v>10.63</v>
      </c>
      <c r="D379" s="8">
        <f>10.6097 * CHOOSE( CONTROL!$C$15, $D$11, 100%, $F$11)</f>
        <v>10.6097</v>
      </c>
      <c r="E379" s="12">
        <f>10.6166 * CHOOSE( CONTROL!$C$15, $D$11, 100%, $F$11)</f>
        <v>10.6166</v>
      </c>
      <c r="F379" s="4">
        <f>11.2752 * CHOOSE(CONTROL!$C$15, $D$11, 100%, $F$11)</f>
        <v>11.2752</v>
      </c>
      <c r="G379" s="8">
        <f>10.3609 * CHOOSE( CONTROL!$C$15, $D$11, 100%, $F$11)</f>
        <v>10.360900000000001</v>
      </c>
      <c r="H379" s="4">
        <f>11.2473 * CHOOSE(CONTROL!$C$15, $D$11, 100%, $F$11)</f>
        <v>11.247299999999999</v>
      </c>
      <c r="I379" s="8">
        <f>10.2962 * CHOOSE(CONTROL!$C$15, $D$11, 100%, $F$11)</f>
        <v>10.296200000000001</v>
      </c>
      <c r="J379" s="4">
        <f>10.1737 * CHOOSE(CONTROL!$C$15, $D$11, 100%, $F$11)</f>
        <v>10.1737</v>
      </c>
      <c r="K379" s="4"/>
      <c r="L379" s="9">
        <v>29.306000000000001</v>
      </c>
      <c r="M379" s="9">
        <v>12.063700000000001</v>
      </c>
      <c r="N379" s="9">
        <v>4.9444999999999997</v>
      </c>
      <c r="O379" s="9">
        <v>0.37409999999999999</v>
      </c>
      <c r="P379" s="9">
        <v>1.2927</v>
      </c>
      <c r="Q379" s="9">
        <v>20.396799999999999</v>
      </c>
      <c r="R379" s="9"/>
      <c r="S379" s="11"/>
    </row>
    <row r="380" spans="1:19" ht="15.75">
      <c r="A380" s="13">
        <v>53082</v>
      </c>
      <c r="B380" s="8">
        <f>10.7866 * CHOOSE(CONTROL!$C$15, $D$11, 100%, $F$11)</f>
        <v>10.7866</v>
      </c>
      <c r="C380" s="8">
        <f>10.7912 * CHOOSE(CONTROL!$C$15, $D$11, 100%, $F$11)</f>
        <v>10.7912</v>
      </c>
      <c r="D380" s="8">
        <f>10.8217 * CHOOSE( CONTROL!$C$15, $D$11, 100%, $F$11)</f>
        <v>10.8217</v>
      </c>
      <c r="E380" s="12">
        <f>10.8111 * CHOOSE( CONTROL!$C$15, $D$11, 100%, $F$11)</f>
        <v>10.8111</v>
      </c>
      <c r="F380" s="4">
        <f>11.5014 * CHOOSE(CONTROL!$C$15, $D$11, 100%, $F$11)</f>
        <v>11.5014</v>
      </c>
      <c r="G380" s="8">
        <f>10.5193 * CHOOSE( CONTROL!$C$15, $D$11, 100%, $F$11)</f>
        <v>10.519299999999999</v>
      </c>
      <c r="H380" s="4">
        <f>11.4682 * CHOOSE(CONTROL!$C$15, $D$11, 100%, $F$11)</f>
        <v>11.4682</v>
      </c>
      <c r="I380" s="8">
        <f>10.4429 * CHOOSE(CONTROL!$C$15, $D$11, 100%, $F$11)</f>
        <v>10.4429</v>
      </c>
      <c r="J380" s="4">
        <f>10.3283 * CHOOSE(CONTROL!$C$15, $D$11, 100%, $F$11)</f>
        <v>10.3283</v>
      </c>
      <c r="K380" s="4"/>
      <c r="L380" s="9">
        <v>30.092199999999998</v>
      </c>
      <c r="M380" s="9">
        <v>11.6745</v>
      </c>
      <c r="N380" s="9">
        <v>4.7850000000000001</v>
      </c>
      <c r="O380" s="9">
        <v>0.36199999999999999</v>
      </c>
      <c r="P380" s="9">
        <v>1.1791</v>
      </c>
      <c r="Q380" s="9">
        <v>19.738800000000001</v>
      </c>
      <c r="R380" s="9"/>
      <c r="S380" s="11"/>
    </row>
    <row r="381" spans="1:19" ht="15.75">
      <c r="A381" s="13">
        <v>53113</v>
      </c>
      <c r="B381" s="8">
        <f>CHOOSE( CONTROL!$C$32, 11.0769, 11.0746) * CHOOSE(CONTROL!$C$15, $D$11, 100%, $F$11)</f>
        <v>11.0769</v>
      </c>
      <c r="C381" s="8">
        <f>CHOOSE( CONTROL!$C$32, 11.085, 11.0827) * CHOOSE(CONTROL!$C$15, $D$11, 100%, $F$11)</f>
        <v>11.085000000000001</v>
      </c>
      <c r="D381" s="8">
        <f>CHOOSE( CONTROL!$C$32, 11.1102, 11.1079) * CHOOSE( CONTROL!$C$15, $D$11, 100%, $F$11)</f>
        <v>11.110200000000001</v>
      </c>
      <c r="E381" s="12">
        <f>CHOOSE( CONTROL!$C$32, 11.0998, 11.0975) * CHOOSE( CONTROL!$C$15, $D$11, 100%, $F$11)</f>
        <v>11.0998</v>
      </c>
      <c r="F381" s="4">
        <f>CHOOSE( CONTROL!$C$32, 11.7904, 11.788) * CHOOSE(CONTROL!$C$15, $D$11, 100%, $F$11)</f>
        <v>11.7904</v>
      </c>
      <c r="G381" s="8">
        <f>CHOOSE( CONTROL!$C$32, 10.8021, 10.7999) * CHOOSE( CONTROL!$C$15, $D$11, 100%, $F$11)</f>
        <v>10.802099999999999</v>
      </c>
      <c r="H381" s="4">
        <f>CHOOSE( CONTROL!$C$32, 11.7505, 11.7482) * CHOOSE(CONTROL!$C$15, $D$11, 100%, $F$11)</f>
        <v>11.750500000000001</v>
      </c>
      <c r="I381" s="8">
        <f>CHOOSE( CONTROL!$C$32, 10.7208, 10.7186) * CHOOSE(CONTROL!$C$15, $D$11, 100%, $F$11)</f>
        <v>10.720800000000001</v>
      </c>
      <c r="J381" s="4">
        <f>CHOOSE( CONTROL!$C$32, 10.6058, 10.6035) * CHOOSE(CONTROL!$C$15, $D$11, 100%, $F$11)</f>
        <v>10.6058</v>
      </c>
      <c r="K381" s="4"/>
      <c r="L381" s="9">
        <v>30.7165</v>
      </c>
      <c r="M381" s="9">
        <v>12.063700000000001</v>
      </c>
      <c r="N381" s="9">
        <v>4.9444999999999997</v>
      </c>
      <c r="O381" s="9">
        <v>0.37409999999999999</v>
      </c>
      <c r="P381" s="9">
        <v>1.2183999999999999</v>
      </c>
      <c r="Q381" s="9">
        <v>20.396799999999999</v>
      </c>
      <c r="R381" s="9"/>
      <c r="S381" s="11"/>
    </row>
    <row r="382" spans="1:19" ht="15.75">
      <c r="A382" s="13">
        <v>53143</v>
      </c>
      <c r="B382" s="8">
        <f>CHOOSE( CONTROL!$C$32, 10.8994, 10.897) * CHOOSE(CONTROL!$C$15, $D$11, 100%, $F$11)</f>
        <v>10.8994</v>
      </c>
      <c r="C382" s="8">
        <f>CHOOSE( CONTROL!$C$32, 10.9075, 10.9051) * CHOOSE(CONTROL!$C$15, $D$11, 100%, $F$11)</f>
        <v>10.907500000000001</v>
      </c>
      <c r="D382" s="8">
        <f>CHOOSE( CONTROL!$C$32, 10.9329, 10.9305) * CHOOSE( CONTROL!$C$15, $D$11, 100%, $F$11)</f>
        <v>10.9329</v>
      </c>
      <c r="E382" s="12">
        <f>CHOOSE( CONTROL!$C$32, 10.9225, 10.9201) * CHOOSE( CONTROL!$C$15, $D$11, 100%, $F$11)</f>
        <v>10.922499999999999</v>
      </c>
      <c r="F382" s="4">
        <f>CHOOSE( CONTROL!$C$32, 11.6128, 11.6105) * CHOOSE(CONTROL!$C$15, $D$11, 100%, $F$11)</f>
        <v>11.6128</v>
      </c>
      <c r="G382" s="8">
        <f>CHOOSE( CONTROL!$C$32, 10.629, 10.6267) * CHOOSE( CONTROL!$C$15, $D$11, 100%, $F$11)</f>
        <v>10.629</v>
      </c>
      <c r="H382" s="4">
        <f>CHOOSE( CONTROL!$C$32, 11.577, 11.5748) * CHOOSE(CONTROL!$C$15, $D$11, 100%, $F$11)</f>
        <v>11.577</v>
      </c>
      <c r="I382" s="8">
        <f>CHOOSE( CONTROL!$C$32, 10.5512, 10.549) * CHOOSE(CONTROL!$C$15, $D$11, 100%, $F$11)</f>
        <v>10.5512</v>
      </c>
      <c r="J382" s="4">
        <f>CHOOSE( CONTROL!$C$32, 10.4353, 10.433) * CHOOSE(CONTROL!$C$15, $D$11, 100%, $F$11)</f>
        <v>10.4353</v>
      </c>
      <c r="K382" s="4"/>
      <c r="L382" s="9">
        <v>29.7257</v>
      </c>
      <c r="M382" s="9">
        <v>11.6745</v>
      </c>
      <c r="N382" s="9">
        <v>4.7850000000000001</v>
      </c>
      <c r="O382" s="9">
        <v>0.36199999999999999</v>
      </c>
      <c r="P382" s="9">
        <v>1.1791</v>
      </c>
      <c r="Q382" s="9">
        <v>19.738800000000001</v>
      </c>
      <c r="R382" s="9"/>
      <c r="S382" s="11"/>
    </row>
    <row r="383" spans="1:19" ht="15.75">
      <c r="A383" s="13">
        <v>53174</v>
      </c>
      <c r="B383" s="8">
        <f>CHOOSE( CONTROL!$C$32, 11.367, 11.3646) * CHOOSE(CONTROL!$C$15, $D$11, 100%, $F$11)</f>
        <v>11.367000000000001</v>
      </c>
      <c r="C383" s="8">
        <f>CHOOSE( CONTROL!$C$32, 11.3751, 11.3727) * CHOOSE(CONTROL!$C$15, $D$11, 100%, $F$11)</f>
        <v>11.3751</v>
      </c>
      <c r="D383" s="8">
        <f>CHOOSE( CONTROL!$C$32, 11.4007, 11.3984) * CHOOSE( CONTROL!$C$15, $D$11, 100%, $F$11)</f>
        <v>11.400700000000001</v>
      </c>
      <c r="E383" s="12">
        <f>CHOOSE( CONTROL!$C$32, 11.3902, 11.3879) * CHOOSE( CONTROL!$C$15, $D$11, 100%, $F$11)</f>
        <v>11.3902</v>
      </c>
      <c r="F383" s="4">
        <f>CHOOSE( CONTROL!$C$32, 12.0804, 12.0781) * CHOOSE(CONTROL!$C$15, $D$11, 100%, $F$11)</f>
        <v>12.080399999999999</v>
      </c>
      <c r="G383" s="8">
        <f>CHOOSE( CONTROL!$C$32, 11.0861, 11.0838) * CHOOSE( CONTROL!$C$15, $D$11, 100%, $F$11)</f>
        <v>11.0861</v>
      </c>
      <c r="H383" s="4">
        <f>CHOOSE( CONTROL!$C$32, 12.0337, 12.0315) * CHOOSE(CONTROL!$C$15, $D$11, 100%, $F$11)</f>
        <v>12.0337</v>
      </c>
      <c r="I383" s="8">
        <f>CHOOSE( CONTROL!$C$32, 11.0016, 10.9993) * CHOOSE(CONTROL!$C$15, $D$11, 100%, $F$11)</f>
        <v>11.0016</v>
      </c>
      <c r="J383" s="4">
        <f>CHOOSE( CONTROL!$C$32, 10.8842, 10.882) * CHOOSE(CONTROL!$C$15, $D$11, 100%, $F$11)</f>
        <v>10.8842</v>
      </c>
      <c r="K383" s="4"/>
      <c r="L383" s="9">
        <v>30.7165</v>
      </c>
      <c r="M383" s="9">
        <v>12.063700000000001</v>
      </c>
      <c r="N383" s="9">
        <v>4.9444999999999997</v>
      </c>
      <c r="O383" s="9">
        <v>0.37409999999999999</v>
      </c>
      <c r="P383" s="9">
        <v>1.2183999999999999</v>
      </c>
      <c r="Q383" s="9">
        <v>20.396799999999999</v>
      </c>
      <c r="R383" s="9"/>
      <c r="S383" s="11"/>
    </row>
    <row r="384" spans="1:19" ht="15.75">
      <c r="A384" s="13">
        <v>53205</v>
      </c>
      <c r="B384" s="8">
        <f>CHOOSE( CONTROL!$C$32, 10.4921, 10.4897) * CHOOSE(CONTROL!$C$15, $D$11, 100%, $F$11)</f>
        <v>10.492100000000001</v>
      </c>
      <c r="C384" s="8">
        <f>CHOOSE( CONTROL!$C$32, 10.5001, 10.4978) * CHOOSE(CONTROL!$C$15, $D$11, 100%, $F$11)</f>
        <v>10.5001</v>
      </c>
      <c r="D384" s="8">
        <f>CHOOSE( CONTROL!$C$32, 10.5259, 10.5235) * CHOOSE( CONTROL!$C$15, $D$11, 100%, $F$11)</f>
        <v>10.5259</v>
      </c>
      <c r="E384" s="12">
        <f>CHOOSE( CONTROL!$C$32, 10.5153, 10.513) * CHOOSE( CONTROL!$C$15, $D$11, 100%, $F$11)</f>
        <v>10.5153</v>
      </c>
      <c r="F384" s="4">
        <f>CHOOSE( CONTROL!$C$32, 11.2055, 11.2031) * CHOOSE(CONTROL!$C$15, $D$11, 100%, $F$11)</f>
        <v>11.205500000000001</v>
      </c>
      <c r="G384" s="8">
        <f>CHOOSE( CONTROL!$C$32, 10.2317, 10.2294) * CHOOSE( CONTROL!$C$15, $D$11, 100%, $F$11)</f>
        <v>10.2317</v>
      </c>
      <c r="H384" s="4">
        <f>CHOOSE( CONTROL!$C$32, 11.1792, 11.1769) * CHOOSE(CONTROL!$C$15, $D$11, 100%, $F$11)</f>
        <v>11.1792</v>
      </c>
      <c r="I384" s="8">
        <f>CHOOSE( CONTROL!$C$32, 10.1615, 10.1593) * CHOOSE(CONTROL!$C$15, $D$11, 100%, $F$11)</f>
        <v>10.1615</v>
      </c>
      <c r="J384" s="4">
        <f>CHOOSE( CONTROL!$C$32, 10.0442, 10.0419) * CHOOSE(CONTROL!$C$15, $D$11, 100%, $F$11)</f>
        <v>10.0442</v>
      </c>
      <c r="K384" s="4"/>
      <c r="L384" s="9">
        <v>30.7165</v>
      </c>
      <c r="M384" s="9">
        <v>12.063700000000001</v>
      </c>
      <c r="N384" s="9">
        <v>4.9444999999999997</v>
      </c>
      <c r="O384" s="9">
        <v>0.37409999999999999</v>
      </c>
      <c r="P384" s="9">
        <v>1.2183999999999999</v>
      </c>
      <c r="Q384" s="9">
        <v>20.396799999999999</v>
      </c>
      <c r="R384" s="9"/>
      <c r="S384" s="11"/>
    </row>
    <row r="385" spans="1:19" ht="15.75">
      <c r="A385" s="13">
        <v>53235</v>
      </c>
      <c r="B385" s="8">
        <f>CHOOSE( CONTROL!$C$32, 10.273, 10.2706) * CHOOSE(CONTROL!$C$15, $D$11, 100%, $F$11)</f>
        <v>10.273</v>
      </c>
      <c r="C385" s="8">
        <f>CHOOSE( CONTROL!$C$32, 10.2811, 10.2787) * CHOOSE(CONTROL!$C$15, $D$11, 100%, $F$11)</f>
        <v>10.2811</v>
      </c>
      <c r="D385" s="8">
        <f>CHOOSE( CONTROL!$C$32, 10.3068, 10.3044) * CHOOSE( CONTROL!$C$15, $D$11, 100%, $F$11)</f>
        <v>10.306800000000001</v>
      </c>
      <c r="E385" s="12">
        <f>CHOOSE( CONTROL!$C$32, 10.2963, 10.2939) * CHOOSE( CONTROL!$C$15, $D$11, 100%, $F$11)</f>
        <v>10.2963</v>
      </c>
      <c r="F385" s="4">
        <f>CHOOSE( CONTROL!$C$32, 10.9864, 10.9841) * CHOOSE(CONTROL!$C$15, $D$11, 100%, $F$11)</f>
        <v>10.9864</v>
      </c>
      <c r="G385" s="8">
        <f>CHOOSE( CONTROL!$C$32, 10.0177, 10.0154) * CHOOSE( CONTROL!$C$15, $D$11, 100%, $F$11)</f>
        <v>10.0177</v>
      </c>
      <c r="H385" s="4">
        <f>CHOOSE( CONTROL!$C$32, 10.9652, 10.9629) * CHOOSE(CONTROL!$C$15, $D$11, 100%, $F$11)</f>
        <v>10.965199999999999</v>
      </c>
      <c r="I385" s="8">
        <f>CHOOSE( CONTROL!$C$32, 9.951, 9.9487) * CHOOSE(CONTROL!$C$15, $D$11, 100%, $F$11)</f>
        <v>9.9510000000000005</v>
      </c>
      <c r="J385" s="4">
        <f>CHOOSE( CONTROL!$C$32, 9.8339, 9.8316) * CHOOSE(CONTROL!$C$15, $D$11, 100%, $F$11)</f>
        <v>9.8338999999999999</v>
      </c>
      <c r="K385" s="4"/>
      <c r="L385" s="9">
        <v>29.7257</v>
      </c>
      <c r="M385" s="9">
        <v>11.6745</v>
      </c>
      <c r="N385" s="9">
        <v>4.7850000000000001</v>
      </c>
      <c r="O385" s="9">
        <v>0.36199999999999999</v>
      </c>
      <c r="P385" s="9">
        <v>1.1791</v>
      </c>
      <c r="Q385" s="9">
        <v>19.738800000000001</v>
      </c>
      <c r="R385" s="9"/>
      <c r="S385" s="11"/>
    </row>
    <row r="386" spans="1:19" ht="15.75">
      <c r="A386" s="13">
        <v>53266</v>
      </c>
      <c r="B386" s="8">
        <f>10.7238 * CHOOSE(CONTROL!$C$15, $D$11, 100%, $F$11)</f>
        <v>10.723800000000001</v>
      </c>
      <c r="C386" s="8">
        <f>10.7292 * CHOOSE(CONTROL!$C$15, $D$11, 100%, $F$11)</f>
        <v>10.729200000000001</v>
      </c>
      <c r="D386" s="8">
        <f>10.76 * CHOOSE( CONTROL!$C$15, $D$11, 100%, $F$11)</f>
        <v>10.76</v>
      </c>
      <c r="E386" s="12">
        <f>10.7493 * CHOOSE( CONTROL!$C$15, $D$11, 100%, $F$11)</f>
        <v>10.7493</v>
      </c>
      <c r="F386" s="4">
        <f>11.439 * CHOOSE(CONTROL!$C$15, $D$11, 100%, $F$11)</f>
        <v>11.439</v>
      </c>
      <c r="G386" s="8">
        <f>10.4595 * CHOOSE( CONTROL!$C$15, $D$11, 100%, $F$11)</f>
        <v>10.4595</v>
      </c>
      <c r="H386" s="4">
        <f>11.4072 * CHOOSE(CONTROL!$C$15, $D$11, 100%, $F$11)</f>
        <v>11.4072</v>
      </c>
      <c r="I386" s="8">
        <f>10.3865 * CHOOSE(CONTROL!$C$15, $D$11, 100%, $F$11)</f>
        <v>10.3865</v>
      </c>
      <c r="J386" s="4">
        <f>10.2684 * CHOOSE(CONTROL!$C$15, $D$11, 100%, $F$11)</f>
        <v>10.2684</v>
      </c>
      <c r="K386" s="4"/>
      <c r="L386" s="9">
        <v>31.095300000000002</v>
      </c>
      <c r="M386" s="9">
        <v>12.063700000000001</v>
      </c>
      <c r="N386" s="9">
        <v>4.9444999999999997</v>
      </c>
      <c r="O386" s="9">
        <v>0.37409999999999999</v>
      </c>
      <c r="P386" s="9">
        <v>1.2183999999999999</v>
      </c>
      <c r="Q386" s="9">
        <v>20.396799999999999</v>
      </c>
      <c r="R386" s="9"/>
      <c r="S386" s="11"/>
    </row>
    <row r="387" spans="1:19" ht="15.75">
      <c r="A387" s="13">
        <v>53296</v>
      </c>
      <c r="B387" s="8">
        <f>11.5631 * CHOOSE(CONTROL!$C$15, $D$11, 100%, $F$11)</f>
        <v>11.5631</v>
      </c>
      <c r="C387" s="8">
        <f>11.5682 * CHOOSE(CONTROL!$C$15, $D$11, 100%, $F$11)</f>
        <v>11.568199999999999</v>
      </c>
      <c r="D387" s="8">
        <f>11.5513 * CHOOSE( CONTROL!$C$15, $D$11, 100%, $F$11)</f>
        <v>11.551299999999999</v>
      </c>
      <c r="E387" s="12">
        <f>11.5569 * CHOOSE( CONTROL!$C$15, $D$11, 100%, $F$11)</f>
        <v>11.556900000000001</v>
      </c>
      <c r="F387" s="4">
        <f>12.2135 * CHOOSE(CONTROL!$C$15, $D$11, 100%, $F$11)</f>
        <v>12.2135</v>
      </c>
      <c r="G387" s="8">
        <f>11.2858 * CHOOSE( CONTROL!$C$15, $D$11, 100%, $F$11)</f>
        <v>11.2858</v>
      </c>
      <c r="H387" s="4">
        <f>12.1638 * CHOOSE(CONTROL!$C$15, $D$11, 100%, $F$11)</f>
        <v>12.1638</v>
      </c>
      <c r="I387" s="8">
        <f>11.2349 * CHOOSE(CONTROL!$C$15, $D$11, 100%, $F$11)</f>
        <v>11.2349</v>
      </c>
      <c r="J387" s="4">
        <f>11.0745 * CHOOSE(CONTROL!$C$15, $D$11, 100%, $F$11)</f>
        <v>11.0745</v>
      </c>
      <c r="K387" s="4"/>
      <c r="L387" s="9">
        <v>28.360600000000002</v>
      </c>
      <c r="M387" s="9">
        <v>11.6745</v>
      </c>
      <c r="N387" s="9">
        <v>4.7850000000000001</v>
      </c>
      <c r="O387" s="9">
        <v>0.36199999999999999</v>
      </c>
      <c r="P387" s="9">
        <v>1.2509999999999999</v>
      </c>
      <c r="Q387" s="9">
        <v>19.738800000000001</v>
      </c>
      <c r="R387" s="9"/>
      <c r="S387" s="11"/>
    </row>
    <row r="388" spans="1:19" ht="15.75">
      <c r="A388" s="13">
        <v>53327</v>
      </c>
      <c r="B388" s="8">
        <f>11.5421 * CHOOSE(CONTROL!$C$15, $D$11, 100%, $F$11)</f>
        <v>11.5421</v>
      </c>
      <c r="C388" s="8">
        <f>11.5473 * CHOOSE(CONTROL!$C$15, $D$11, 100%, $F$11)</f>
        <v>11.5473</v>
      </c>
      <c r="D388" s="8">
        <f>11.5318 * CHOOSE( CONTROL!$C$15, $D$11, 100%, $F$11)</f>
        <v>11.5318</v>
      </c>
      <c r="E388" s="12">
        <f>11.5369 * CHOOSE( CONTROL!$C$15, $D$11, 100%, $F$11)</f>
        <v>11.536899999999999</v>
      </c>
      <c r="F388" s="4">
        <f>12.1925 * CHOOSE(CONTROL!$C$15, $D$11, 100%, $F$11)</f>
        <v>12.192500000000001</v>
      </c>
      <c r="G388" s="8">
        <f>11.2664 * CHOOSE( CONTROL!$C$15, $D$11, 100%, $F$11)</f>
        <v>11.266400000000001</v>
      </c>
      <c r="H388" s="4">
        <f>12.1433 * CHOOSE(CONTROL!$C$15, $D$11, 100%, $F$11)</f>
        <v>12.1433</v>
      </c>
      <c r="I388" s="8">
        <f>11.2195 * CHOOSE(CONTROL!$C$15, $D$11, 100%, $F$11)</f>
        <v>11.2195</v>
      </c>
      <c r="J388" s="4">
        <f>11.0544 * CHOOSE(CONTROL!$C$15, $D$11, 100%, $F$11)</f>
        <v>11.054399999999999</v>
      </c>
      <c r="K388" s="4"/>
      <c r="L388" s="9">
        <v>29.306000000000001</v>
      </c>
      <c r="M388" s="9">
        <v>12.063700000000001</v>
      </c>
      <c r="N388" s="9">
        <v>4.9444999999999997</v>
      </c>
      <c r="O388" s="9">
        <v>0.37409999999999999</v>
      </c>
      <c r="P388" s="9">
        <v>1.2927</v>
      </c>
      <c r="Q388" s="9">
        <v>20.396799999999999</v>
      </c>
      <c r="R388" s="9"/>
      <c r="S388" s="11"/>
    </row>
    <row r="389" spans="1:19" ht="15.75">
      <c r="A389" s="13">
        <v>53358</v>
      </c>
      <c r="B389" s="8">
        <f>11.8817 * CHOOSE(CONTROL!$C$15, $D$11, 100%, $F$11)</f>
        <v>11.8817</v>
      </c>
      <c r="C389" s="8">
        <f>11.8869 * CHOOSE(CONTROL!$C$15, $D$11, 100%, $F$11)</f>
        <v>11.886900000000001</v>
      </c>
      <c r="D389" s="8">
        <f>11.867 * CHOOSE( CONTROL!$C$15, $D$11, 100%, $F$11)</f>
        <v>11.867000000000001</v>
      </c>
      <c r="E389" s="12">
        <f>11.8737 * CHOOSE( CONTROL!$C$15, $D$11, 100%, $F$11)</f>
        <v>11.873699999999999</v>
      </c>
      <c r="F389" s="4">
        <f>12.5322 * CHOOSE(CONTROL!$C$15, $D$11, 100%, $F$11)</f>
        <v>12.5322</v>
      </c>
      <c r="G389" s="8">
        <f>11.5888 * CHOOSE( CONTROL!$C$15, $D$11, 100%, $F$11)</f>
        <v>11.588800000000001</v>
      </c>
      <c r="H389" s="4">
        <f>12.475 * CHOOSE(CONTROL!$C$15, $D$11, 100%, $F$11)</f>
        <v>12.475</v>
      </c>
      <c r="I389" s="8">
        <f>11.5048 * CHOOSE(CONTROL!$C$15, $D$11, 100%, $F$11)</f>
        <v>11.504799999999999</v>
      </c>
      <c r="J389" s="4">
        <f>11.3804 * CHOOSE(CONTROL!$C$15, $D$11, 100%, $F$11)</f>
        <v>11.3804</v>
      </c>
      <c r="K389" s="4"/>
      <c r="L389" s="9">
        <v>29.306000000000001</v>
      </c>
      <c r="M389" s="9">
        <v>12.063700000000001</v>
      </c>
      <c r="N389" s="9">
        <v>4.9444999999999997</v>
      </c>
      <c r="O389" s="9">
        <v>0.37409999999999999</v>
      </c>
      <c r="P389" s="9">
        <v>1.2927</v>
      </c>
      <c r="Q389" s="9">
        <v>20.331700000000001</v>
      </c>
      <c r="R389" s="9"/>
      <c r="S389" s="11"/>
    </row>
    <row r="390" spans="1:19" ht="15.75">
      <c r="A390" s="13">
        <v>53386</v>
      </c>
      <c r="B390" s="8">
        <f>11.1154 * CHOOSE(CONTROL!$C$15, $D$11, 100%, $F$11)</f>
        <v>11.115399999999999</v>
      </c>
      <c r="C390" s="8">
        <f>11.1206 * CHOOSE(CONTROL!$C$15, $D$11, 100%, $F$11)</f>
        <v>11.1206</v>
      </c>
      <c r="D390" s="8">
        <f>11.1007 * CHOOSE( CONTROL!$C$15, $D$11, 100%, $F$11)</f>
        <v>11.1007</v>
      </c>
      <c r="E390" s="12">
        <f>11.1074 * CHOOSE( CONTROL!$C$15, $D$11, 100%, $F$11)</f>
        <v>11.1074</v>
      </c>
      <c r="F390" s="4">
        <f>11.7659 * CHOOSE(CONTROL!$C$15, $D$11, 100%, $F$11)</f>
        <v>11.7659</v>
      </c>
      <c r="G390" s="8">
        <f>10.8403 * CHOOSE( CONTROL!$C$15, $D$11, 100%, $F$11)</f>
        <v>10.840299999999999</v>
      </c>
      <c r="H390" s="4">
        <f>11.7265 * CHOOSE(CONTROL!$C$15, $D$11, 100%, $F$11)</f>
        <v>11.7265</v>
      </c>
      <c r="I390" s="8">
        <f>10.7686 * CHOOSE(CONTROL!$C$15, $D$11, 100%, $F$11)</f>
        <v>10.768599999999999</v>
      </c>
      <c r="J390" s="4">
        <f>10.6447 * CHOOSE(CONTROL!$C$15, $D$11, 100%, $F$11)</f>
        <v>10.6447</v>
      </c>
      <c r="K390" s="4"/>
      <c r="L390" s="9">
        <v>26.469899999999999</v>
      </c>
      <c r="M390" s="9">
        <v>10.8962</v>
      </c>
      <c r="N390" s="9">
        <v>4.4660000000000002</v>
      </c>
      <c r="O390" s="9">
        <v>0.33789999999999998</v>
      </c>
      <c r="P390" s="9">
        <v>1.1676</v>
      </c>
      <c r="Q390" s="9">
        <v>18.364100000000001</v>
      </c>
      <c r="R390" s="9"/>
      <c r="S390" s="11"/>
    </row>
    <row r="391" spans="1:19" ht="15.75">
      <c r="A391" s="13">
        <v>53417</v>
      </c>
      <c r="B391" s="8">
        <f>10.8794 * CHOOSE(CONTROL!$C$15, $D$11, 100%, $F$11)</f>
        <v>10.8794</v>
      </c>
      <c r="C391" s="8">
        <f>10.8846 * CHOOSE(CONTROL!$C$15, $D$11, 100%, $F$11)</f>
        <v>10.884600000000001</v>
      </c>
      <c r="D391" s="8">
        <f>10.8643 * CHOOSE( CONTROL!$C$15, $D$11, 100%, $F$11)</f>
        <v>10.8643</v>
      </c>
      <c r="E391" s="12">
        <f>10.8712 * CHOOSE( CONTROL!$C$15, $D$11, 100%, $F$11)</f>
        <v>10.8712</v>
      </c>
      <c r="F391" s="4">
        <f>11.5298 * CHOOSE(CONTROL!$C$15, $D$11, 100%, $F$11)</f>
        <v>11.5298</v>
      </c>
      <c r="G391" s="8">
        <f>10.6095 * CHOOSE( CONTROL!$C$15, $D$11, 100%, $F$11)</f>
        <v>10.609500000000001</v>
      </c>
      <c r="H391" s="4">
        <f>11.496 * CHOOSE(CONTROL!$C$15, $D$11, 100%, $F$11)</f>
        <v>11.496</v>
      </c>
      <c r="I391" s="8">
        <f>10.5408 * CHOOSE(CONTROL!$C$15, $D$11, 100%, $F$11)</f>
        <v>10.540800000000001</v>
      </c>
      <c r="J391" s="4">
        <f>10.4181 * CHOOSE(CONTROL!$C$15, $D$11, 100%, $F$11)</f>
        <v>10.418100000000001</v>
      </c>
      <c r="K391" s="4"/>
      <c r="L391" s="9">
        <v>29.306000000000001</v>
      </c>
      <c r="M391" s="9">
        <v>12.063700000000001</v>
      </c>
      <c r="N391" s="9">
        <v>4.9444999999999997</v>
      </c>
      <c r="O391" s="9">
        <v>0.37409999999999999</v>
      </c>
      <c r="P391" s="9">
        <v>1.2927</v>
      </c>
      <c r="Q391" s="9">
        <v>20.331700000000001</v>
      </c>
      <c r="R391" s="9"/>
      <c r="S391" s="11"/>
    </row>
    <row r="392" spans="1:19" ht="15.75">
      <c r="A392" s="13">
        <v>53447</v>
      </c>
      <c r="B392" s="8">
        <f>11.0451 * CHOOSE(CONTROL!$C$15, $D$11, 100%, $F$11)</f>
        <v>11.0451</v>
      </c>
      <c r="C392" s="8">
        <f>11.0497 * CHOOSE(CONTROL!$C$15, $D$11, 100%, $F$11)</f>
        <v>11.0497</v>
      </c>
      <c r="D392" s="8">
        <f>11.0802 * CHOOSE( CONTROL!$C$15, $D$11, 100%, $F$11)</f>
        <v>11.0802</v>
      </c>
      <c r="E392" s="12">
        <f>11.0696 * CHOOSE( CONTROL!$C$15, $D$11, 100%, $F$11)</f>
        <v>11.069599999999999</v>
      </c>
      <c r="F392" s="4">
        <f>11.7599 * CHOOSE(CONTROL!$C$15, $D$11, 100%, $F$11)</f>
        <v>11.7599</v>
      </c>
      <c r="G392" s="8">
        <f>10.7718 * CHOOSE( CONTROL!$C$15, $D$11, 100%, $F$11)</f>
        <v>10.771800000000001</v>
      </c>
      <c r="H392" s="4">
        <f>11.7207 * CHOOSE(CONTROL!$C$15, $D$11, 100%, $F$11)</f>
        <v>11.720700000000001</v>
      </c>
      <c r="I392" s="8">
        <f>10.6912 * CHOOSE(CONTROL!$C$15, $D$11, 100%, $F$11)</f>
        <v>10.6912</v>
      </c>
      <c r="J392" s="4">
        <f>10.5765 * CHOOSE(CONTROL!$C$15, $D$11, 100%, $F$11)</f>
        <v>10.576499999999999</v>
      </c>
      <c r="K392" s="4"/>
      <c r="L392" s="9">
        <v>30.092199999999998</v>
      </c>
      <c r="M392" s="9">
        <v>11.6745</v>
      </c>
      <c r="N392" s="9">
        <v>4.7850000000000001</v>
      </c>
      <c r="O392" s="9">
        <v>0.36199999999999999</v>
      </c>
      <c r="P392" s="9">
        <v>1.1791</v>
      </c>
      <c r="Q392" s="9">
        <v>19.675799999999999</v>
      </c>
      <c r="R392" s="9"/>
      <c r="S392" s="11"/>
    </row>
    <row r="393" spans="1:19" ht="15.75">
      <c r="A393" s="13">
        <v>53478</v>
      </c>
      <c r="B393" s="8">
        <f>CHOOSE( CONTROL!$C$32, 11.3423, 11.34) * CHOOSE(CONTROL!$C$15, $D$11, 100%, $F$11)</f>
        <v>11.3423</v>
      </c>
      <c r="C393" s="8">
        <f>CHOOSE( CONTROL!$C$32, 11.3504, 11.348) * CHOOSE(CONTROL!$C$15, $D$11, 100%, $F$11)</f>
        <v>11.3504</v>
      </c>
      <c r="D393" s="8">
        <f>CHOOSE( CONTROL!$C$32, 11.3756, 11.3732) * CHOOSE( CONTROL!$C$15, $D$11, 100%, $F$11)</f>
        <v>11.3756</v>
      </c>
      <c r="E393" s="12">
        <f>CHOOSE( CONTROL!$C$32, 11.3652, 11.3628) * CHOOSE( CONTROL!$C$15, $D$11, 100%, $F$11)</f>
        <v>11.3652</v>
      </c>
      <c r="F393" s="4">
        <f>CHOOSE( CONTROL!$C$32, 12.0557, 12.0534) * CHOOSE(CONTROL!$C$15, $D$11, 100%, $F$11)</f>
        <v>12.0557</v>
      </c>
      <c r="G393" s="8">
        <f>CHOOSE( CONTROL!$C$32, 11.0613, 11.059) * CHOOSE( CONTROL!$C$15, $D$11, 100%, $F$11)</f>
        <v>11.061299999999999</v>
      </c>
      <c r="H393" s="4">
        <f>CHOOSE( CONTROL!$C$32, 12.0097, 12.0074) * CHOOSE(CONTROL!$C$15, $D$11, 100%, $F$11)</f>
        <v>12.0097</v>
      </c>
      <c r="I393" s="8">
        <f>CHOOSE( CONTROL!$C$32, 10.9757, 10.9735) * CHOOSE(CONTROL!$C$15, $D$11, 100%, $F$11)</f>
        <v>10.9757</v>
      </c>
      <c r="J393" s="4">
        <f>CHOOSE( CONTROL!$C$32, 10.8605, 10.8583) * CHOOSE(CONTROL!$C$15, $D$11, 100%, $F$11)</f>
        <v>10.8605</v>
      </c>
      <c r="K393" s="4"/>
      <c r="L393" s="9">
        <v>30.7165</v>
      </c>
      <c r="M393" s="9">
        <v>12.063700000000001</v>
      </c>
      <c r="N393" s="9">
        <v>4.9444999999999997</v>
      </c>
      <c r="O393" s="9">
        <v>0.37409999999999999</v>
      </c>
      <c r="P393" s="9">
        <v>1.2183999999999999</v>
      </c>
      <c r="Q393" s="9">
        <v>20.331700000000001</v>
      </c>
      <c r="R393" s="9"/>
      <c r="S393" s="11"/>
    </row>
    <row r="394" spans="1:19" ht="15.75">
      <c r="A394" s="13">
        <v>53508</v>
      </c>
      <c r="B394" s="8">
        <f>CHOOSE( CONTROL!$C$32, 11.1605, 11.1581) * CHOOSE(CONTROL!$C$15, $D$11, 100%, $F$11)</f>
        <v>11.160500000000001</v>
      </c>
      <c r="C394" s="8">
        <f>CHOOSE( CONTROL!$C$32, 11.1686, 11.1662) * CHOOSE(CONTROL!$C$15, $D$11, 100%, $F$11)</f>
        <v>11.1686</v>
      </c>
      <c r="D394" s="8">
        <f>CHOOSE( CONTROL!$C$32, 11.194, 11.1916) * CHOOSE( CONTROL!$C$15, $D$11, 100%, $F$11)</f>
        <v>11.194000000000001</v>
      </c>
      <c r="E394" s="12">
        <f>CHOOSE( CONTROL!$C$32, 11.1836, 11.1812) * CHOOSE( CONTROL!$C$15, $D$11, 100%, $F$11)</f>
        <v>11.1836</v>
      </c>
      <c r="F394" s="4">
        <f>CHOOSE( CONTROL!$C$32, 11.8739, 11.8716) * CHOOSE(CONTROL!$C$15, $D$11, 100%, $F$11)</f>
        <v>11.873900000000001</v>
      </c>
      <c r="G394" s="8">
        <f>CHOOSE( CONTROL!$C$32, 10.884, 10.8817) * CHOOSE( CONTROL!$C$15, $D$11, 100%, $F$11)</f>
        <v>10.884</v>
      </c>
      <c r="H394" s="4">
        <f>CHOOSE( CONTROL!$C$32, 11.8321, 11.8298) * CHOOSE(CONTROL!$C$15, $D$11, 100%, $F$11)</f>
        <v>11.832100000000001</v>
      </c>
      <c r="I394" s="8">
        <f>CHOOSE( CONTROL!$C$32, 10.802, 10.7998) * CHOOSE(CONTROL!$C$15, $D$11, 100%, $F$11)</f>
        <v>10.802</v>
      </c>
      <c r="J394" s="4">
        <f>CHOOSE( CONTROL!$C$32, 10.686, 10.6837) * CHOOSE(CONTROL!$C$15, $D$11, 100%, $F$11)</f>
        <v>10.686</v>
      </c>
      <c r="K394" s="4"/>
      <c r="L394" s="9">
        <v>29.7257</v>
      </c>
      <c r="M394" s="9">
        <v>11.6745</v>
      </c>
      <c r="N394" s="9">
        <v>4.7850000000000001</v>
      </c>
      <c r="O394" s="9">
        <v>0.36199999999999999</v>
      </c>
      <c r="P394" s="9">
        <v>1.1791</v>
      </c>
      <c r="Q394" s="9">
        <v>19.675799999999999</v>
      </c>
      <c r="R394" s="9"/>
      <c r="S394" s="11"/>
    </row>
    <row r="395" spans="1:19" ht="15.75">
      <c r="A395" s="13">
        <v>53539</v>
      </c>
      <c r="B395" s="8">
        <f>CHOOSE( CONTROL!$C$32, 11.6393, 11.637) * CHOOSE(CONTROL!$C$15, $D$11, 100%, $F$11)</f>
        <v>11.6393</v>
      </c>
      <c r="C395" s="8">
        <f>CHOOSE( CONTROL!$C$32, 11.6474, 11.645) * CHOOSE(CONTROL!$C$15, $D$11, 100%, $F$11)</f>
        <v>11.647399999999999</v>
      </c>
      <c r="D395" s="8">
        <f>CHOOSE( CONTROL!$C$32, 11.673, 11.6707) * CHOOSE( CONTROL!$C$15, $D$11, 100%, $F$11)</f>
        <v>11.673</v>
      </c>
      <c r="E395" s="12">
        <f>CHOOSE( CONTROL!$C$32, 11.6625, 11.6602) * CHOOSE( CONTROL!$C$15, $D$11, 100%, $F$11)</f>
        <v>11.6625</v>
      </c>
      <c r="F395" s="4">
        <f>CHOOSE( CONTROL!$C$32, 12.3527, 12.3504) * CHOOSE(CONTROL!$C$15, $D$11, 100%, $F$11)</f>
        <v>12.3527</v>
      </c>
      <c r="G395" s="8">
        <f>CHOOSE( CONTROL!$C$32, 11.3521, 11.3498) * CHOOSE( CONTROL!$C$15, $D$11, 100%, $F$11)</f>
        <v>11.3521</v>
      </c>
      <c r="H395" s="4">
        <f>CHOOSE( CONTROL!$C$32, 12.2997, 12.2974) * CHOOSE(CONTROL!$C$15, $D$11, 100%, $F$11)</f>
        <v>12.2997</v>
      </c>
      <c r="I395" s="8">
        <f>CHOOSE( CONTROL!$C$32, 11.2632, 11.2609) * CHOOSE(CONTROL!$C$15, $D$11, 100%, $F$11)</f>
        <v>11.263199999999999</v>
      </c>
      <c r="J395" s="4">
        <f>CHOOSE( CONTROL!$C$32, 11.1457, 11.1434) * CHOOSE(CONTROL!$C$15, $D$11, 100%, $F$11)</f>
        <v>11.1457</v>
      </c>
      <c r="K395" s="4"/>
      <c r="L395" s="9">
        <v>30.7165</v>
      </c>
      <c r="M395" s="9">
        <v>12.063700000000001</v>
      </c>
      <c r="N395" s="9">
        <v>4.9444999999999997</v>
      </c>
      <c r="O395" s="9">
        <v>0.37409999999999999</v>
      </c>
      <c r="P395" s="9">
        <v>1.2183999999999999</v>
      </c>
      <c r="Q395" s="9">
        <v>20.331700000000001</v>
      </c>
      <c r="R395" s="9"/>
      <c r="S395" s="11"/>
    </row>
    <row r="396" spans="1:19" ht="15.75">
      <c r="A396" s="13">
        <v>53570</v>
      </c>
      <c r="B396" s="8">
        <f>CHOOSE( CONTROL!$C$32, 10.7434, 10.741) * CHOOSE(CONTROL!$C$15, $D$11, 100%, $F$11)</f>
        <v>10.743399999999999</v>
      </c>
      <c r="C396" s="8">
        <f>CHOOSE( CONTROL!$C$32, 10.7515, 10.7491) * CHOOSE(CONTROL!$C$15, $D$11, 100%, $F$11)</f>
        <v>10.7515</v>
      </c>
      <c r="D396" s="8">
        <f>CHOOSE( CONTROL!$C$32, 10.7772, 10.7748) * CHOOSE( CONTROL!$C$15, $D$11, 100%, $F$11)</f>
        <v>10.777200000000001</v>
      </c>
      <c r="E396" s="12">
        <f>CHOOSE( CONTROL!$C$32, 10.7667, 10.7643) * CHOOSE( CONTROL!$C$15, $D$11, 100%, $F$11)</f>
        <v>10.7667</v>
      </c>
      <c r="F396" s="4">
        <f>CHOOSE( CONTROL!$C$32, 11.4568, 11.4545) * CHOOSE(CONTROL!$C$15, $D$11, 100%, $F$11)</f>
        <v>11.456799999999999</v>
      </c>
      <c r="G396" s="8">
        <f>CHOOSE( CONTROL!$C$32, 10.4771, 10.4748) * CHOOSE( CONTROL!$C$15, $D$11, 100%, $F$11)</f>
        <v>10.4771</v>
      </c>
      <c r="H396" s="4">
        <f>CHOOSE( CONTROL!$C$32, 11.4247, 11.4224) * CHOOSE(CONTROL!$C$15, $D$11, 100%, $F$11)</f>
        <v>11.4247</v>
      </c>
      <c r="I396" s="8">
        <f>CHOOSE( CONTROL!$C$32, 10.4029, 10.4007) * CHOOSE(CONTROL!$C$15, $D$11, 100%, $F$11)</f>
        <v>10.402900000000001</v>
      </c>
      <c r="J396" s="4">
        <f>CHOOSE( CONTROL!$C$32, 10.2855, 10.2832) * CHOOSE(CONTROL!$C$15, $D$11, 100%, $F$11)</f>
        <v>10.285500000000001</v>
      </c>
      <c r="K396" s="4"/>
      <c r="L396" s="9">
        <v>30.7165</v>
      </c>
      <c r="M396" s="9">
        <v>12.063700000000001</v>
      </c>
      <c r="N396" s="9">
        <v>4.9444999999999997</v>
      </c>
      <c r="O396" s="9">
        <v>0.37409999999999999</v>
      </c>
      <c r="P396" s="9">
        <v>1.2183999999999999</v>
      </c>
      <c r="Q396" s="9">
        <v>20.331700000000001</v>
      </c>
      <c r="R396" s="9"/>
      <c r="S396" s="11"/>
    </row>
    <row r="397" spans="1:19" ht="15.75">
      <c r="A397" s="13">
        <v>53600</v>
      </c>
      <c r="B397" s="8">
        <f>CHOOSE( CONTROL!$C$32, 10.519, 10.5167) * CHOOSE(CONTROL!$C$15, $D$11, 100%, $F$11)</f>
        <v>10.519</v>
      </c>
      <c r="C397" s="8">
        <f>CHOOSE( CONTROL!$C$32, 10.5271, 10.5248) * CHOOSE(CONTROL!$C$15, $D$11, 100%, $F$11)</f>
        <v>10.527100000000001</v>
      </c>
      <c r="D397" s="8">
        <f>CHOOSE( CONTROL!$C$32, 10.5528, 10.5505) * CHOOSE( CONTROL!$C$15, $D$11, 100%, $F$11)</f>
        <v>10.5528</v>
      </c>
      <c r="E397" s="12">
        <f>CHOOSE( CONTROL!$C$32, 10.5423, 10.54) * CHOOSE( CONTROL!$C$15, $D$11, 100%, $F$11)</f>
        <v>10.542299999999999</v>
      </c>
      <c r="F397" s="4">
        <f>CHOOSE( CONTROL!$C$32, 11.2324, 11.2301) * CHOOSE(CONTROL!$C$15, $D$11, 100%, $F$11)</f>
        <v>11.2324</v>
      </c>
      <c r="G397" s="8">
        <f>CHOOSE( CONTROL!$C$32, 10.258, 10.2557) * CHOOSE( CONTROL!$C$15, $D$11, 100%, $F$11)</f>
        <v>10.257999999999999</v>
      </c>
      <c r="H397" s="4">
        <f>CHOOSE( CONTROL!$C$32, 11.2055, 11.2032) * CHOOSE(CONTROL!$C$15, $D$11, 100%, $F$11)</f>
        <v>11.205500000000001</v>
      </c>
      <c r="I397" s="8">
        <f>CHOOSE( CONTROL!$C$32, 10.1873, 10.1851) * CHOOSE(CONTROL!$C$15, $D$11, 100%, $F$11)</f>
        <v>10.1873</v>
      </c>
      <c r="J397" s="4">
        <f>CHOOSE( CONTROL!$C$32, 10.0701, 10.0678) * CHOOSE(CONTROL!$C$15, $D$11, 100%, $F$11)</f>
        <v>10.0701</v>
      </c>
      <c r="K397" s="4"/>
      <c r="L397" s="9">
        <v>29.7257</v>
      </c>
      <c r="M397" s="9">
        <v>11.6745</v>
      </c>
      <c r="N397" s="9">
        <v>4.7850000000000001</v>
      </c>
      <c r="O397" s="9">
        <v>0.36199999999999999</v>
      </c>
      <c r="P397" s="9">
        <v>1.1791</v>
      </c>
      <c r="Q397" s="9">
        <v>19.675799999999999</v>
      </c>
      <c r="R397" s="9"/>
      <c r="S397" s="11"/>
    </row>
    <row r="398" spans="1:19" ht="15.75">
      <c r="A398" s="13">
        <v>53631</v>
      </c>
      <c r="B398" s="8">
        <f>10.9808 * CHOOSE(CONTROL!$C$15, $D$11, 100%, $F$11)</f>
        <v>10.9808</v>
      </c>
      <c r="C398" s="8">
        <f>10.9862 * CHOOSE(CONTROL!$C$15, $D$11, 100%, $F$11)</f>
        <v>10.9862</v>
      </c>
      <c r="D398" s="8">
        <f>11.017 * CHOOSE( CONTROL!$C$15, $D$11, 100%, $F$11)</f>
        <v>11.016999999999999</v>
      </c>
      <c r="E398" s="12">
        <f>11.0063 * CHOOSE( CONTROL!$C$15, $D$11, 100%, $F$11)</f>
        <v>11.0063</v>
      </c>
      <c r="F398" s="4">
        <f>11.6959 * CHOOSE(CONTROL!$C$15, $D$11, 100%, $F$11)</f>
        <v>11.6959</v>
      </c>
      <c r="G398" s="8">
        <f>10.7105 * CHOOSE( CONTROL!$C$15, $D$11, 100%, $F$11)</f>
        <v>10.7105</v>
      </c>
      <c r="H398" s="4">
        <f>11.6582 * CHOOSE(CONTROL!$C$15, $D$11, 100%, $F$11)</f>
        <v>11.658200000000001</v>
      </c>
      <c r="I398" s="8">
        <f>10.6334 * CHOOSE(CONTROL!$C$15, $D$11, 100%, $F$11)</f>
        <v>10.6334</v>
      </c>
      <c r="J398" s="4">
        <f>10.5151 * CHOOSE(CONTROL!$C$15, $D$11, 100%, $F$11)</f>
        <v>10.5151</v>
      </c>
      <c r="K398" s="4"/>
      <c r="L398" s="9">
        <v>31.095300000000002</v>
      </c>
      <c r="M398" s="9">
        <v>12.063700000000001</v>
      </c>
      <c r="N398" s="9">
        <v>4.9444999999999997</v>
      </c>
      <c r="O398" s="9">
        <v>0.37409999999999999</v>
      </c>
      <c r="P398" s="9">
        <v>1.2183999999999999</v>
      </c>
      <c r="Q398" s="9">
        <v>20.331700000000001</v>
      </c>
      <c r="R398" s="9"/>
      <c r="S398" s="11"/>
    </row>
    <row r="399" spans="1:19" ht="15.75">
      <c r="A399" s="13">
        <v>53661</v>
      </c>
      <c r="B399" s="8">
        <f>11.8402 * CHOOSE(CONTROL!$C$15, $D$11, 100%, $F$11)</f>
        <v>11.840199999999999</v>
      </c>
      <c r="C399" s="8">
        <f>11.8454 * CHOOSE(CONTROL!$C$15, $D$11, 100%, $F$11)</f>
        <v>11.8454</v>
      </c>
      <c r="D399" s="8">
        <f>11.8284 * CHOOSE( CONTROL!$C$15, $D$11, 100%, $F$11)</f>
        <v>11.8284</v>
      </c>
      <c r="E399" s="12">
        <f>11.8341 * CHOOSE( CONTROL!$C$15, $D$11, 100%, $F$11)</f>
        <v>11.834099999999999</v>
      </c>
      <c r="F399" s="4">
        <f>12.4907 * CHOOSE(CONTROL!$C$15, $D$11, 100%, $F$11)</f>
        <v>12.4907</v>
      </c>
      <c r="G399" s="8">
        <f>11.5565 * CHOOSE( CONTROL!$C$15, $D$11, 100%, $F$11)</f>
        <v>11.5565</v>
      </c>
      <c r="H399" s="4">
        <f>12.4345 * CHOOSE(CONTROL!$C$15, $D$11, 100%, $F$11)</f>
        <v>12.4345</v>
      </c>
      <c r="I399" s="8">
        <f>11.5011 * CHOOSE(CONTROL!$C$15, $D$11, 100%, $F$11)</f>
        <v>11.501099999999999</v>
      </c>
      <c r="J399" s="4">
        <f>11.3406 * CHOOSE(CONTROL!$C$15, $D$11, 100%, $F$11)</f>
        <v>11.3406</v>
      </c>
      <c r="K399" s="4"/>
      <c r="L399" s="9">
        <v>28.360600000000002</v>
      </c>
      <c r="M399" s="9">
        <v>11.6745</v>
      </c>
      <c r="N399" s="9">
        <v>4.7850000000000001</v>
      </c>
      <c r="O399" s="9">
        <v>0.36199999999999999</v>
      </c>
      <c r="P399" s="9">
        <v>1.2509999999999999</v>
      </c>
      <c r="Q399" s="9">
        <v>19.675799999999999</v>
      </c>
      <c r="R399" s="9"/>
      <c r="S399" s="11"/>
    </row>
    <row r="400" spans="1:19" ht="15.75">
      <c r="A400" s="13">
        <v>53692</v>
      </c>
      <c r="B400" s="8">
        <f>11.8187 * CHOOSE(CONTROL!$C$15, $D$11, 100%, $F$11)</f>
        <v>11.8187</v>
      </c>
      <c r="C400" s="8">
        <f>11.8239 * CHOOSE(CONTROL!$C$15, $D$11, 100%, $F$11)</f>
        <v>11.8239</v>
      </c>
      <c r="D400" s="8">
        <f>11.8084 * CHOOSE( CONTROL!$C$15, $D$11, 100%, $F$11)</f>
        <v>11.808400000000001</v>
      </c>
      <c r="E400" s="12">
        <f>11.8135 * CHOOSE( CONTROL!$C$15, $D$11, 100%, $F$11)</f>
        <v>11.813499999999999</v>
      </c>
      <c r="F400" s="4">
        <f>12.4692 * CHOOSE(CONTROL!$C$15, $D$11, 100%, $F$11)</f>
        <v>12.469200000000001</v>
      </c>
      <c r="G400" s="8">
        <f>11.5366 * CHOOSE( CONTROL!$C$15, $D$11, 100%, $F$11)</f>
        <v>11.5366</v>
      </c>
      <c r="H400" s="4">
        <f>12.4135 * CHOOSE(CONTROL!$C$15, $D$11, 100%, $F$11)</f>
        <v>12.413500000000001</v>
      </c>
      <c r="I400" s="8">
        <f>11.4852 * CHOOSE(CONTROL!$C$15, $D$11, 100%, $F$11)</f>
        <v>11.485200000000001</v>
      </c>
      <c r="J400" s="4">
        <f>11.32 * CHOOSE(CONTROL!$C$15, $D$11, 100%, $F$11)</f>
        <v>11.32</v>
      </c>
      <c r="K400" s="4"/>
      <c r="L400" s="9">
        <v>29.306000000000001</v>
      </c>
      <c r="M400" s="9">
        <v>12.063700000000001</v>
      </c>
      <c r="N400" s="9">
        <v>4.9444999999999997</v>
      </c>
      <c r="O400" s="9">
        <v>0.37409999999999999</v>
      </c>
      <c r="P400" s="9">
        <v>1.2927</v>
      </c>
      <c r="Q400" s="9">
        <v>20.331700000000001</v>
      </c>
      <c r="R400" s="9"/>
      <c r="S400" s="11"/>
    </row>
    <row r="401" spans="1:19" ht="15.75">
      <c r="A401" s="13">
        <v>53723</v>
      </c>
      <c r="B401" s="8">
        <f>12.1665 * CHOOSE(CONTROL!$C$15, $D$11, 100%, $F$11)</f>
        <v>12.166499999999999</v>
      </c>
      <c r="C401" s="8">
        <f>12.1717 * CHOOSE(CONTROL!$C$15, $D$11, 100%, $F$11)</f>
        <v>12.1717</v>
      </c>
      <c r="D401" s="8">
        <f>12.1518 * CHOOSE( CONTROL!$C$15, $D$11, 100%, $F$11)</f>
        <v>12.1518</v>
      </c>
      <c r="E401" s="12">
        <f>12.1585 * CHOOSE( CONTROL!$C$15, $D$11, 100%, $F$11)</f>
        <v>12.1585</v>
      </c>
      <c r="F401" s="4">
        <f>12.817 * CHOOSE(CONTROL!$C$15, $D$11, 100%, $F$11)</f>
        <v>12.817</v>
      </c>
      <c r="G401" s="8">
        <f>11.8669 * CHOOSE( CONTROL!$C$15, $D$11, 100%, $F$11)</f>
        <v>11.866899999999999</v>
      </c>
      <c r="H401" s="4">
        <f>12.7531 * CHOOSE(CONTROL!$C$15, $D$11, 100%, $F$11)</f>
        <v>12.7531</v>
      </c>
      <c r="I401" s="8">
        <f>11.7784 * CHOOSE(CONTROL!$C$15, $D$11, 100%, $F$11)</f>
        <v>11.7784</v>
      </c>
      <c r="J401" s="4">
        <f>11.6539 * CHOOSE(CONTROL!$C$15, $D$11, 100%, $F$11)</f>
        <v>11.6539</v>
      </c>
      <c r="K401" s="4"/>
      <c r="L401" s="9">
        <v>29.306000000000001</v>
      </c>
      <c r="M401" s="9">
        <v>12.063700000000001</v>
      </c>
      <c r="N401" s="9">
        <v>4.9444999999999997</v>
      </c>
      <c r="O401" s="9">
        <v>0.37409999999999999</v>
      </c>
      <c r="P401" s="9">
        <v>1.2927</v>
      </c>
      <c r="Q401" s="9">
        <v>20.2666</v>
      </c>
      <c r="R401" s="9"/>
      <c r="S401" s="11"/>
    </row>
    <row r="402" spans="1:19" ht="15.75">
      <c r="A402" s="13">
        <v>53751</v>
      </c>
      <c r="B402" s="8">
        <f>11.3818 * CHOOSE(CONTROL!$C$15, $D$11, 100%, $F$11)</f>
        <v>11.3818</v>
      </c>
      <c r="C402" s="8">
        <f>11.387 * CHOOSE(CONTROL!$C$15, $D$11, 100%, $F$11)</f>
        <v>11.387</v>
      </c>
      <c r="D402" s="8">
        <f>11.3671 * CHOOSE( CONTROL!$C$15, $D$11, 100%, $F$11)</f>
        <v>11.367100000000001</v>
      </c>
      <c r="E402" s="12">
        <f>11.3738 * CHOOSE( CONTROL!$C$15, $D$11, 100%, $F$11)</f>
        <v>11.373799999999999</v>
      </c>
      <c r="F402" s="4">
        <f>12.0323 * CHOOSE(CONTROL!$C$15, $D$11, 100%, $F$11)</f>
        <v>12.032299999999999</v>
      </c>
      <c r="G402" s="8">
        <f>11.1005 * CHOOSE( CONTROL!$C$15, $D$11, 100%, $F$11)</f>
        <v>11.1005</v>
      </c>
      <c r="H402" s="4">
        <f>11.9867 * CHOOSE(CONTROL!$C$15, $D$11, 100%, $F$11)</f>
        <v>11.986700000000001</v>
      </c>
      <c r="I402" s="8">
        <f>11.0245 * CHOOSE(CONTROL!$C$15, $D$11, 100%, $F$11)</f>
        <v>11.0245</v>
      </c>
      <c r="J402" s="4">
        <f>10.9005 * CHOOSE(CONTROL!$C$15, $D$11, 100%, $F$11)</f>
        <v>10.900499999999999</v>
      </c>
      <c r="K402" s="4"/>
      <c r="L402" s="9">
        <v>26.469899999999999</v>
      </c>
      <c r="M402" s="9">
        <v>10.8962</v>
      </c>
      <c r="N402" s="9">
        <v>4.4660000000000002</v>
      </c>
      <c r="O402" s="9">
        <v>0.33789999999999998</v>
      </c>
      <c r="P402" s="9">
        <v>1.1676</v>
      </c>
      <c r="Q402" s="9">
        <v>18.305299999999999</v>
      </c>
      <c r="R402" s="9"/>
      <c r="S402" s="11"/>
    </row>
    <row r="403" spans="1:19" ht="15.75">
      <c r="A403" s="13">
        <v>53782</v>
      </c>
      <c r="B403" s="8">
        <f>11.1401 * CHOOSE(CONTROL!$C$15, $D$11, 100%, $F$11)</f>
        <v>11.1401</v>
      </c>
      <c r="C403" s="8">
        <f>11.1453 * CHOOSE(CONTROL!$C$15, $D$11, 100%, $F$11)</f>
        <v>11.145300000000001</v>
      </c>
      <c r="D403" s="8">
        <f>11.1251 * CHOOSE( CONTROL!$C$15, $D$11, 100%, $F$11)</f>
        <v>11.1251</v>
      </c>
      <c r="E403" s="12">
        <f>11.1319 * CHOOSE( CONTROL!$C$15, $D$11, 100%, $F$11)</f>
        <v>11.1319</v>
      </c>
      <c r="F403" s="4">
        <f>11.7906 * CHOOSE(CONTROL!$C$15, $D$11, 100%, $F$11)</f>
        <v>11.7906</v>
      </c>
      <c r="G403" s="8">
        <f>10.8642 * CHOOSE( CONTROL!$C$15, $D$11, 100%, $F$11)</f>
        <v>10.8642</v>
      </c>
      <c r="H403" s="4">
        <f>11.7507 * CHOOSE(CONTROL!$C$15, $D$11, 100%, $F$11)</f>
        <v>11.7507</v>
      </c>
      <c r="I403" s="8">
        <f>10.7912 * CHOOSE(CONTROL!$C$15, $D$11, 100%, $F$11)</f>
        <v>10.7912</v>
      </c>
      <c r="J403" s="4">
        <f>10.6684 * CHOOSE(CONTROL!$C$15, $D$11, 100%, $F$11)</f>
        <v>10.6684</v>
      </c>
      <c r="K403" s="4"/>
      <c r="L403" s="9">
        <v>29.306000000000001</v>
      </c>
      <c r="M403" s="9">
        <v>12.063700000000001</v>
      </c>
      <c r="N403" s="9">
        <v>4.9444999999999997</v>
      </c>
      <c r="O403" s="9">
        <v>0.37409999999999999</v>
      </c>
      <c r="P403" s="9">
        <v>1.2927</v>
      </c>
      <c r="Q403" s="9">
        <v>20.2666</v>
      </c>
      <c r="R403" s="9"/>
      <c r="S403" s="11"/>
    </row>
    <row r="404" spans="1:19" ht="15.75">
      <c r="A404" s="13">
        <v>53812</v>
      </c>
      <c r="B404" s="8">
        <f>11.3098 * CHOOSE(CONTROL!$C$15, $D$11, 100%, $F$11)</f>
        <v>11.309799999999999</v>
      </c>
      <c r="C404" s="8">
        <f>11.3144 * CHOOSE(CONTROL!$C$15, $D$11, 100%, $F$11)</f>
        <v>11.314399999999999</v>
      </c>
      <c r="D404" s="8">
        <f>11.3449 * CHOOSE( CONTROL!$C$15, $D$11, 100%, $F$11)</f>
        <v>11.344900000000001</v>
      </c>
      <c r="E404" s="12">
        <f>11.3343 * CHOOSE( CONTROL!$C$15, $D$11, 100%, $F$11)</f>
        <v>11.334300000000001</v>
      </c>
      <c r="F404" s="4">
        <f>12.0246 * CHOOSE(CONTROL!$C$15, $D$11, 100%, $F$11)</f>
        <v>12.0246</v>
      </c>
      <c r="G404" s="8">
        <f>11.0303 * CHOOSE( CONTROL!$C$15, $D$11, 100%, $F$11)</f>
        <v>11.0303</v>
      </c>
      <c r="H404" s="4">
        <f>11.9792 * CHOOSE(CONTROL!$C$15, $D$11, 100%, $F$11)</f>
        <v>11.979200000000001</v>
      </c>
      <c r="I404" s="8">
        <f>10.9455 * CHOOSE(CONTROL!$C$15, $D$11, 100%, $F$11)</f>
        <v>10.945499999999999</v>
      </c>
      <c r="J404" s="4">
        <f>10.8306 * CHOOSE(CONTROL!$C$15, $D$11, 100%, $F$11)</f>
        <v>10.8306</v>
      </c>
      <c r="K404" s="4"/>
      <c r="L404" s="9">
        <v>30.092199999999998</v>
      </c>
      <c r="M404" s="9">
        <v>11.6745</v>
      </c>
      <c r="N404" s="9">
        <v>4.7850000000000001</v>
      </c>
      <c r="O404" s="9">
        <v>0.36199999999999999</v>
      </c>
      <c r="P404" s="9">
        <v>1.1791</v>
      </c>
      <c r="Q404" s="9">
        <v>19.6128</v>
      </c>
      <c r="R404" s="9"/>
      <c r="S404" s="11"/>
    </row>
    <row r="405" spans="1:19" ht="15.75">
      <c r="A405" s="13">
        <v>53843</v>
      </c>
      <c r="B405" s="8">
        <f>CHOOSE( CONTROL!$C$32, 11.614, 11.6117) * CHOOSE(CONTROL!$C$15, $D$11, 100%, $F$11)</f>
        <v>11.614000000000001</v>
      </c>
      <c r="C405" s="8">
        <f>CHOOSE( CONTROL!$C$32, 11.6221, 11.6198) * CHOOSE(CONTROL!$C$15, $D$11, 100%, $F$11)</f>
        <v>11.6221</v>
      </c>
      <c r="D405" s="8">
        <f>CHOOSE( CONTROL!$C$32, 11.6473, 11.645) * CHOOSE( CONTROL!$C$15, $D$11, 100%, $F$11)</f>
        <v>11.6473</v>
      </c>
      <c r="E405" s="12">
        <f>CHOOSE( CONTROL!$C$32, 11.6369, 11.6346) * CHOOSE( CONTROL!$C$15, $D$11, 100%, $F$11)</f>
        <v>11.636900000000001</v>
      </c>
      <c r="F405" s="4">
        <f>CHOOSE( CONTROL!$C$32, 12.3275, 12.3251) * CHOOSE(CONTROL!$C$15, $D$11, 100%, $F$11)</f>
        <v>12.327500000000001</v>
      </c>
      <c r="G405" s="8">
        <f>CHOOSE( CONTROL!$C$32, 11.3267, 11.3244) * CHOOSE( CONTROL!$C$15, $D$11, 100%, $F$11)</f>
        <v>11.326700000000001</v>
      </c>
      <c r="H405" s="4">
        <f>CHOOSE( CONTROL!$C$32, 12.2751, 12.2728) * CHOOSE(CONTROL!$C$15, $D$11, 100%, $F$11)</f>
        <v>12.2751</v>
      </c>
      <c r="I405" s="8">
        <f>CHOOSE( CONTROL!$C$32, 11.2367, 11.2345) * CHOOSE(CONTROL!$C$15, $D$11, 100%, $F$11)</f>
        <v>11.236700000000001</v>
      </c>
      <c r="J405" s="4">
        <f>CHOOSE( CONTROL!$C$32, 11.1214, 11.1192) * CHOOSE(CONTROL!$C$15, $D$11, 100%, $F$11)</f>
        <v>11.1214</v>
      </c>
      <c r="K405" s="4"/>
      <c r="L405" s="9">
        <v>30.7165</v>
      </c>
      <c r="M405" s="9">
        <v>12.063700000000001</v>
      </c>
      <c r="N405" s="9">
        <v>4.9444999999999997</v>
      </c>
      <c r="O405" s="9">
        <v>0.37409999999999999</v>
      </c>
      <c r="P405" s="9">
        <v>1.2183999999999999</v>
      </c>
      <c r="Q405" s="9">
        <v>20.2666</v>
      </c>
      <c r="R405" s="9"/>
      <c r="S405" s="11"/>
    </row>
    <row r="406" spans="1:19" ht="15.75">
      <c r="A406" s="13">
        <v>53873</v>
      </c>
      <c r="B406" s="8">
        <f>CHOOSE( CONTROL!$C$32, 11.4278, 11.4255) * CHOOSE(CONTROL!$C$15, $D$11, 100%, $F$11)</f>
        <v>11.4278</v>
      </c>
      <c r="C406" s="8">
        <f>CHOOSE( CONTROL!$C$32, 11.4359, 11.4336) * CHOOSE(CONTROL!$C$15, $D$11, 100%, $F$11)</f>
        <v>11.4359</v>
      </c>
      <c r="D406" s="8">
        <f>CHOOSE( CONTROL!$C$32, 11.4613, 11.459) * CHOOSE( CONTROL!$C$15, $D$11, 100%, $F$11)</f>
        <v>11.4613</v>
      </c>
      <c r="E406" s="12">
        <f>CHOOSE( CONTROL!$C$32, 11.4509, 11.4486) * CHOOSE( CONTROL!$C$15, $D$11, 100%, $F$11)</f>
        <v>11.450900000000001</v>
      </c>
      <c r="F406" s="4">
        <f>CHOOSE( CONTROL!$C$32, 12.1413, 12.1389) * CHOOSE(CONTROL!$C$15, $D$11, 100%, $F$11)</f>
        <v>12.141299999999999</v>
      </c>
      <c r="G406" s="8">
        <f>CHOOSE( CONTROL!$C$32, 11.1452, 11.1429) * CHOOSE( CONTROL!$C$15, $D$11, 100%, $F$11)</f>
        <v>11.145200000000001</v>
      </c>
      <c r="H406" s="4">
        <f>CHOOSE( CONTROL!$C$32, 12.0932, 12.0909) * CHOOSE(CONTROL!$C$15, $D$11, 100%, $F$11)</f>
        <v>12.0932</v>
      </c>
      <c r="I406" s="8">
        <f>CHOOSE( CONTROL!$C$32, 11.0589, 11.0566) * CHOOSE(CONTROL!$C$15, $D$11, 100%, $F$11)</f>
        <v>11.0589</v>
      </c>
      <c r="J406" s="4">
        <f>CHOOSE( CONTROL!$C$32, 10.9427, 10.9404) * CHOOSE(CONTROL!$C$15, $D$11, 100%, $F$11)</f>
        <v>10.9427</v>
      </c>
      <c r="K406" s="4"/>
      <c r="L406" s="9">
        <v>29.7257</v>
      </c>
      <c r="M406" s="9">
        <v>11.6745</v>
      </c>
      <c r="N406" s="9">
        <v>4.7850000000000001</v>
      </c>
      <c r="O406" s="9">
        <v>0.36199999999999999</v>
      </c>
      <c r="P406" s="9">
        <v>1.1791</v>
      </c>
      <c r="Q406" s="9">
        <v>19.6128</v>
      </c>
      <c r="R406" s="9"/>
      <c r="S406" s="11"/>
    </row>
    <row r="407" spans="1:19" ht="15.75">
      <c r="A407" s="13">
        <v>53904</v>
      </c>
      <c r="B407" s="8">
        <f>CHOOSE( CONTROL!$C$32, 11.9182, 11.9158) * CHOOSE(CONTROL!$C$15, $D$11, 100%, $F$11)</f>
        <v>11.918200000000001</v>
      </c>
      <c r="C407" s="8">
        <f>CHOOSE( CONTROL!$C$32, 11.9263, 11.9239) * CHOOSE(CONTROL!$C$15, $D$11, 100%, $F$11)</f>
        <v>11.926299999999999</v>
      </c>
      <c r="D407" s="8">
        <f>CHOOSE( CONTROL!$C$32, 11.9519, 11.9496) * CHOOSE( CONTROL!$C$15, $D$11, 100%, $F$11)</f>
        <v>11.9519</v>
      </c>
      <c r="E407" s="12">
        <f>CHOOSE( CONTROL!$C$32, 11.9414, 11.9391) * CHOOSE( CONTROL!$C$15, $D$11, 100%, $F$11)</f>
        <v>11.9414</v>
      </c>
      <c r="F407" s="4">
        <f>CHOOSE( CONTROL!$C$32, 12.6316, 12.6293) * CHOOSE(CONTROL!$C$15, $D$11, 100%, $F$11)</f>
        <v>12.631600000000001</v>
      </c>
      <c r="G407" s="8">
        <f>CHOOSE( CONTROL!$C$32, 11.6245, 11.6222) * CHOOSE( CONTROL!$C$15, $D$11, 100%, $F$11)</f>
        <v>11.624499999999999</v>
      </c>
      <c r="H407" s="4">
        <f>CHOOSE( CONTROL!$C$32, 12.5721, 12.5698) * CHOOSE(CONTROL!$C$15, $D$11, 100%, $F$11)</f>
        <v>12.572100000000001</v>
      </c>
      <c r="I407" s="8">
        <f>CHOOSE( CONTROL!$C$32, 11.5311, 11.5288) * CHOOSE(CONTROL!$C$15, $D$11, 100%, $F$11)</f>
        <v>11.5311</v>
      </c>
      <c r="J407" s="4">
        <f>CHOOSE( CONTROL!$C$32, 11.4134, 11.4112) * CHOOSE(CONTROL!$C$15, $D$11, 100%, $F$11)</f>
        <v>11.413399999999999</v>
      </c>
      <c r="K407" s="4"/>
      <c r="L407" s="9">
        <v>30.7165</v>
      </c>
      <c r="M407" s="9">
        <v>12.063700000000001</v>
      </c>
      <c r="N407" s="9">
        <v>4.9444999999999997</v>
      </c>
      <c r="O407" s="9">
        <v>0.37409999999999999</v>
      </c>
      <c r="P407" s="9">
        <v>1.2183999999999999</v>
      </c>
      <c r="Q407" s="9">
        <v>20.2666</v>
      </c>
      <c r="R407" s="9"/>
      <c r="S407" s="11"/>
    </row>
    <row r="408" spans="1:19" ht="15.75">
      <c r="A408" s="13">
        <v>53935</v>
      </c>
      <c r="B408" s="8">
        <f>CHOOSE( CONTROL!$C$32, 11.0007, 10.9984) * CHOOSE(CONTROL!$C$15, $D$11, 100%, $F$11)</f>
        <v>11.0007</v>
      </c>
      <c r="C408" s="8">
        <f>CHOOSE( CONTROL!$C$32, 11.0088, 11.0065) * CHOOSE(CONTROL!$C$15, $D$11, 100%, $F$11)</f>
        <v>11.008800000000001</v>
      </c>
      <c r="D408" s="8">
        <f>CHOOSE( CONTROL!$C$32, 11.0345, 11.0322) * CHOOSE( CONTROL!$C$15, $D$11, 100%, $F$11)</f>
        <v>11.0345</v>
      </c>
      <c r="E408" s="12">
        <f>CHOOSE( CONTROL!$C$32, 11.024, 11.0217) * CHOOSE( CONTROL!$C$15, $D$11, 100%, $F$11)</f>
        <v>11.023999999999999</v>
      </c>
      <c r="F408" s="4">
        <f>CHOOSE( CONTROL!$C$32, 11.7141, 11.7118) * CHOOSE(CONTROL!$C$15, $D$11, 100%, $F$11)</f>
        <v>11.7141</v>
      </c>
      <c r="G408" s="8">
        <f>CHOOSE( CONTROL!$C$32, 10.7285, 10.7262) * CHOOSE( CONTROL!$C$15, $D$11, 100%, $F$11)</f>
        <v>10.7285</v>
      </c>
      <c r="H408" s="4">
        <f>CHOOSE( CONTROL!$C$32, 11.676, 11.6737) * CHOOSE(CONTROL!$C$15, $D$11, 100%, $F$11)</f>
        <v>11.676</v>
      </c>
      <c r="I408" s="8">
        <f>CHOOSE( CONTROL!$C$32, 10.6501, 10.6479) * CHOOSE(CONTROL!$C$15, $D$11, 100%, $F$11)</f>
        <v>10.6501</v>
      </c>
      <c r="J408" s="4">
        <f>CHOOSE( CONTROL!$C$32, 10.5326, 10.5303) * CHOOSE(CONTROL!$C$15, $D$11, 100%, $F$11)</f>
        <v>10.5326</v>
      </c>
      <c r="K408" s="4"/>
      <c r="L408" s="9">
        <v>30.7165</v>
      </c>
      <c r="M408" s="9">
        <v>12.063700000000001</v>
      </c>
      <c r="N408" s="9">
        <v>4.9444999999999997</v>
      </c>
      <c r="O408" s="9">
        <v>0.37409999999999999</v>
      </c>
      <c r="P408" s="9">
        <v>1.2183999999999999</v>
      </c>
      <c r="Q408" s="9">
        <v>20.2666</v>
      </c>
      <c r="R408" s="9"/>
      <c r="S408" s="11"/>
    </row>
    <row r="409" spans="1:19" ht="15.75">
      <c r="A409" s="13">
        <v>53965</v>
      </c>
      <c r="B409" s="8">
        <f>CHOOSE( CONTROL!$C$32, 10.771, 10.7686) * CHOOSE(CONTROL!$C$15, $D$11, 100%, $F$11)</f>
        <v>10.771000000000001</v>
      </c>
      <c r="C409" s="8">
        <f>CHOOSE( CONTROL!$C$32, 10.7791, 10.7767) * CHOOSE(CONTROL!$C$15, $D$11, 100%, $F$11)</f>
        <v>10.7791</v>
      </c>
      <c r="D409" s="8">
        <f>CHOOSE( CONTROL!$C$32, 10.8048, 10.8024) * CHOOSE( CONTROL!$C$15, $D$11, 100%, $F$11)</f>
        <v>10.8048</v>
      </c>
      <c r="E409" s="12">
        <f>CHOOSE( CONTROL!$C$32, 10.7943, 10.7919) * CHOOSE( CONTROL!$C$15, $D$11, 100%, $F$11)</f>
        <v>10.7943</v>
      </c>
      <c r="F409" s="4">
        <f>CHOOSE( CONTROL!$C$32, 11.4844, 11.4821) * CHOOSE(CONTROL!$C$15, $D$11, 100%, $F$11)</f>
        <v>11.484400000000001</v>
      </c>
      <c r="G409" s="8">
        <f>CHOOSE( CONTROL!$C$32, 10.5041, 10.5018) * CHOOSE( CONTROL!$C$15, $D$11, 100%, $F$11)</f>
        <v>10.504099999999999</v>
      </c>
      <c r="H409" s="4">
        <f>CHOOSE( CONTROL!$C$32, 11.4516, 11.4493) * CHOOSE(CONTROL!$C$15, $D$11, 100%, $F$11)</f>
        <v>11.451599999999999</v>
      </c>
      <c r="I409" s="8">
        <f>CHOOSE( CONTROL!$C$32, 10.4293, 10.4271) * CHOOSE(CONTROL!$C$15, $D$11, 100%, $F$11)</f>
        <v>10.4293</v>
      </c>
      <c r="J409" s="4">
        <f>CHOOSE( CONTROL!$C$32, 10.312, 10.3097) * CHOOSE(CONTROL!$C$15, $D$11, 100%, $F$11)</f>
        <v>10.311999999999999</v>
      </c>
      <c r="K409" s="4"/>
      <c r="L409" s="9">
        <v>29.7257</v>
      </c>
      <c r="M409" s="9">
        <v>11.6745</v>
      </c>
      <c r="N409" s="9">
        <v>4.7850000000000001</v>
      </c>
      <c r="O409" s="9">
        <v>0.36199999999999999</v>
      </c>
      <c r="P409" s="9">
        <v>1.1791</v>
      </c>
      <c r="Q409" s="9">
        <v>19.6128</v>
      </c>
      <c r="R409" s="9"/>
      <c r="S409" s="11"/>
    </row>
    <row r="410" spans="1:19" ht="15.75">
      <c r="A410" s="13">
        <v>53996</v>
      </c>
      <c r="B410" s="8">
        <f>11.2439 * CHOOSE(CONTROL!$C$15, $D$11, 100%, $F$11)</f>
        <v>11.2439</v>
      </c>
      <c r="C410" s="8">
        <f>11.2494 * CHOOSE(CONTROL!$C$15, $D$11, 100%, $F$11)</f>
        <v>11.2494</v>
      </c>
      <c r="D410" s="8">
        <f>11.2802 * CHOOSE( CONTROL!$C$15, $D$11, 100%, $F$11)</f>
        <v>11.280200000000001</v>
      </c>
      <c r="E410" s="12">
        <f>11.2694 * CHOOSE( CONTROL!$C$15, $D$11, 100%, $F$11)</f>
        <v>11.269399999999999</v>
      </c>
      <c r="F410" s="4">
        <f>11.9591 * CHOOSE(CONTROL!$C$15, $D$11, 100%, $F$11)</f>
        <v>11.959099999999999</v>
      </c>
      <c r="G410" s="8">
        <f>10.9675 * CHOOSE( CONTROL!$C$15, $D$11, 100%, $F$11)</f>
        <v>10.967499999999999</v>
      </c>
      <c r="H410" s="4">
        <f>11.9152 * CHOOSE(CONTROL!$C$15, $D$11, 100%, $F$11)</f>
        <v>11.9152</v>
      </c>
      <c r="I410" s="8">
        <f>10.8861 * CHOOSE(CONTROL!$C$15, $D$11, 100%, $F$11)</f>
        <v>10.886100000000001</v>
      </c>
      <c r="J410" s="4">
        <f>10.7677 * CHOOSE(CONTROL!$C$15, $D$11, 100%, $F$11)</f>
        <v>10.7677</v>
      </c>
      <c r="K410" s="4"/>
      <c r="L410" s="9">
        <v>31.095300000000002</v>
      </c>
      <c r="M410" s="9">
        <v>12.063700000000001</v>
      </c>
      <c r="N410" s="9">
        <v>4.9444999999999997</v>
      </c>
      <c r="O410" s="9">
        <v>0.37409999999999999</v>
      </c>
      <c r="P410" s="9">
        <v>1.2183999999999999</v>
      </c>
      <c r="Q410" s="9">
        <v>20.2666</v>
      </c>
      <c r="R410" s="9"/>
      <c r="S410" s="11"/>
    </row>
    <row r="411" spans="1:19" ht="15.75">
      <c r="A411" s="13">
        <v>54026</v>
      </c>
      <c r="B411" s="8">
        <f>12.124 * CHOOSE(CONTROL!$C$15, $D$11, 100%, $F$11)</f>
        <v>12.124000000000001</v>
      </c>
      <c r="C411" s="8">
        <f>12.1292 * CHOOSE(CONTROL!$C$15, $D$11, 100%, $F$11)</f>
        <v>12.129200000000001</v>
      </c>
      <c r="D411" s="8">
        <f>12.1122 * CHOOSE( CONTROL!$C$15, $D$11, 100%, $F$11)</f>
        <v>12.1122</v>
      </c>
      <c r="E411" s="12">
        <f>12.1179 * CHOOSE( CONTROL!$C$15, $D$11, 100%, $F$11)</f>
        <v>12.117900000000001</v>
      </c>
      <c r="F411" s="4">
        <f>12.7745 * CHOOSE(CONTROL!$C$15, $D$11, 100%, $F$11)</f>
        <v>12.7745</v>
      </c>
      <c r="G411" s="8">
        <f>11.8336 * CHOOSE( CONTROL!$C$15, $D$11, 100%, $F$11)</f>
        <v>11.833600000000001</v>
      </c>
      <c r="H411" s="4">
        <f>12.7117 * CHOOSE(CONTROL!$C$15, $D$11, 100%, $F$11)</f>
        <v>12.7117</v>
      </c>
      <c r="I411" s="8">
        <f>11.7738 * CHOOSE(CONTROL!$C$15, $D$11, 100%, $F$11)</f>
        <v>11.7738</v>
      </c>
      <c r="J411" s="4">
        <f>11.6131 * CHOOSE(CONTROL!$C$15, $D$11, 100%, $F$11)</f>
        <v>11.613099999999999</v>
      </c>
      <c r="K411" s="4"/>
      <c r="L411" s="9">
        <v>28.360600000000002</v>
      </c>
      <c r="M411" s="9">
        <v>11.6745</v>
      </c>
      <c r="N411" s="9">
        <v>4.7850000000000001</v>
      </c>
      <c r="O411" s="9">
        <v>0.36199999999999999</v>
      </c>
      <c r="P411" s="9">
        <v>1.2509999999999999</v>
      </c>
      <c r="Q411" s="9">
        <v>19.6128</v>
      </c>
      <c r="R411" s="9"/>
      <c r="S411" s="11"/>
    </row>
    <row r="412" spans="1:19" ht="15.75">
      <c r="A412" s="13">
        <v>54057</v>
      </c>
      <c r="B412" s="8">
        <f>12.102 * CHOOSE(CONTROL!$C$15, $D$11, 100%, $F$11)</f>
        <v>12.102</v>
      </c>
      <c r="C412" s="8">
        <f>12.1072 * CHOOSE(CONTROL!$C$15, $D$11, 100%, $F$11)</f>
        <v>12.107200000000001</v>
      </c>
      <c r="D412" s="8">
        <f>12.0917 * CHOOSE( CONTROL!$C$15, $D$11, 100%, $F$11)</f>
        <v>12.091699999999999</v>
      </c>
      <c r="E412" s="12">
        <f>12.0968 * CHOOSE( CONTROL!$C$15, $D$11, 100%, $F$11)</f>
        <v>12.0968</v>
      </c>
      <c r="F412" s="4">
        <f>12.7525 * CHOOSE(CONTROL!$C$15, $D$11, 100%, $F$11)</f>
        <v>12.7525</v>
      </c>
      <c r="G412" s="8">
        <f>11.8132 * CHOOSE( CONTROL!$C$15, $D$11, 100%, $F$11)</f>
        <v>11.8132</v>
      </c>
      <c r="H412" s="4">
        <f>12.6902 * CHOOSE(CONTROL!$C$15, $D$11, 100%, $F$11)</f>
        <v>12.690200000000001</v>
      </c>
      <c r="I412" s="8">
        <f>11.7574 * CHOOSE(CONTROL!$C$15, $D$11, 100%, $F$11)</f>
        <v>11.757400000000001</v>
      </c>
      <c r="J412" s="4">
        <f>11.592 * CHOOSE(CONTROL!$C$15, $D$11, 100%, $F$11)</f>
        <v>11.592000000000001</v>
      </c>
      <c r="K412" s="4"/>
      <c r="L412" s="9">
        <v>29.306000000000001</v>
      </c>
      <c r="M412" s="9">
        <v>12.063700000000001</v>
      </c>
      <c r="N412" s="9">
        <v>4.9444999999999997</v>
      </c>
      <c r="O412" s="9">
        <v>0.37409999999999999</v>
      </c>
      <c r="P412" s="9">
        <v>1.2927</v>
      </c>
      <c r="Q412" s="9">
        <v>20.2666</v>
      </c>
      <c r="R412" s="9"/>
      <c r="S412" s="11"/>
    </row>
    <row r="413" spans="1:19" ht="15.75">
      <c r="A413" s="13">
        <v>54088</v>
      </c>
      <c r="B413" s="8">
        <f>12.4582 * CHOOSE(CONTROL!$C$15, $D$11, 100%, $F$11)</f>
        <v>12.4582</v>
      </c>
      <c r="C413" s="8">
        <f>12.4633 * CHOOSE(CONTROL!$C$15, $D$11, 100%, $F$11)</f>
        <v>12.4633</v>
      </c>
      <c r="D413" s="8">
        <f>12.4435 * CHOOSE( CONTROL!$C$15, $D$11, 100%, $F$11)</f>
        <v>12.4435</v>
      </c>
      <c r="E413" s="12">
        <f>12.4502 * CHOOSE( CONTROL!$C$15, $D$11, 100%, $F$11)</f>
        <v>12.450200000000001</v>
      </c>
      <c r="F413" s="4">
        <f>13.1086 * CHOOSE(CONTROL!$C$15, $D$11, 100%, $F$11)</f>
        <v>13.108599999999999</v>
      </c>
      <c r="G413" s="8">
        <f>12.1518 * CHOOSE( CONTROL!$C$15, $D$11, 100%, $F$11)</f>
        <v>12.1518</v>
      </c>
      <c r="H413" s="4">
        <f>13.038 * CHOOSE(CONTROL!$C$15, $D$11, 100%, $F$11)</f>
        <v>13.038</v>
      </c>
      <c r="I413" s="8">
        <f>12.0585 * CHOOSE(CONTROL!$C$15, $D$11, 100%, $F$11)</f>
        <v>12.0585</v>
      </c>
      <c r="J413" s="4">
        <f>11.9339 * CHOOSE(CONTROL!$C$15, $D$11, 100%, $F$11)</f>
        <v>11.9339</v>
      </c>
      <c r="K413" s="4"/>
      <c r="L413" s="9">
        <v>29.306000000000001</v>
      </c>
      <c r="M413" s="9">
        <v>12.063700000000001</v>
      </c>
      <c r="N413" s="9">
        <v>4.9444999999999997</v>
      </c>
      <c r="O413" s="9">
        <v>0.37409999999999999</v>
      </c>
      <c r="P413" s="9">
        <v>1.2927</v>
      </c>
      <c r="Q413" s="9">
        <v>20.201499999999999</v>
      </c>
      <c r="R413" s="9"/>
      <c r="S413" s="11"/>
    </row>
    <row r="414" spans="1:19" ht="15.75">
      <c r="A414" s="13">
        <v>54116</v>
      </c>
      <c r="B414" s="8">
        <f>11.6546 * CHOOSE(CONTROL!$C$15, $D$11, 100%, $F$11)</f>
        <v>11.6546</v>
      </c>
      <c r="C414" s="8">
        <f>11.6598 * CHOOSE(CONTROL!$C$15, $D$11, 100%, $F$11)</f>
        <v>11.659800000000001</v>
      </c>
      <c r="D414" s="8">
        <f>11.6399 * CHOOSE( CONTROL!$C$15, $D$11, 100%, $F$11)</f>
        <v>11.639900000000001</v>
      </c>
      <c r="E414" s="12">
        <f>11.6466 * CHOOSE( CONTROL!$C$15, $D$11, 100%, $F$11)</f>
        <v>11.646599999999999</v>
      </c>
      <c r="F414" s="4">
        <f>12.3051 * CHOOSE(CONTROL!$C$15, $D$11, 100%, $F$11)</f>
        <v>12.305099999999999</v>
      </c>
      <c r="G414" s="8">
        <f>11.3669 * CHOOSE( CONTROL!$C$15, $D$11, 100%, $F$11)</f>
        <v>11.366899999999999</v>
      </c>
      <c r="H414" s="4">
        <f>12.2532 * CHOOSE(CONTROL!$C$15, $D$11, 100%, $F$11)</f>
        <v>12.2532</v>
      </c>
      <c r="I414" s="8">
        <f>11.2865 * CHOOSE(CONTROL!$C$15, $D$11, 100%, $F$11)</f>
        <v>11.2865</v>
      </c>
      <c r="J414" s="4">
        <f>11.1624 * CHOOSE(CONTROL!$C$15, $D$11, 100%, $F$11)</f>
        <v>11.1624</v>
      </c>
      <c r="K414" s="4"/>
      <c r="L414" s="9">
        <v>27.415299999999998</v>
      </c>
      <c r="M414" s="9">
        <v>11.285299999999999</v>
      </c>
      <c r="N414" s="9">
        <v>4.6254999999999997</v>
      </c>
      <c r="O414" s="9">
        <v>0.34989999999999999</v>
      </c>
      <c r="P414" s="9">
        <v>1.2093</v>
      </c>
      <c r="Q414" s="9">
        <v>18.898099999999999</v>
      </c>
      <c r="R414" s="9"/>
      <c r="S414" s="11"/>
    </row>
    <row r="415" spans="1:19" ht="15.75">
      <c r="A415" s="13">
        <v>54148</v>
      </c>
      <c r="B415" s="8">
        <f>11.4071 * CHOOSE(CONTROL!$C$15, $D$11, 100%, $F$11)</f>
        <v>11.4071</v>
      </c>
      <c r="C415" s="8">
        <f>11.4123 * CHOOSE(CONTROL!$C$15, $D$11, 100%, $F$11)</f>
        <v>11.4123</v>
      </c>
      <c r="D415" s="8">
        <f>11.3921 * CHOOSE( CONTROL!$C$15, $D$11, 100%, $F$11)</f>
        <v>11.392099999999999</v>
      </c>
      <c r="E415" s="12">
        <f>11.3989 * CHOOSE( CONTROL!$C$15, $D$11, 100%, $F$11)</f>
        <v>11.398899999999999</v>
      </c>
      <c r="F415" s="4">
        <f>12.0576 * CHOOSE(CONTROL!$C$15, $D$11, 100%, $F$11)</f>
        <v>12.057600000000001</v>
      </c>
      <c r="G415" s="8">
        <f>11.1249 * CHOOSE( CONTROL!$C$15, $D$11, 100%, $F$11)</f>
        <v>11.1249</v>
      </c>
      <c r="H415" s="4">
        <f>12.0114 * CHOOSE(CONTROL!$C$15, $D$11, 100%, $F$11)</f>
        <v>12.0114</v>
      </c>
      <c r="I415" s="8">
        <f>11.0477 * CHOOSE(CONTROL!$C$15, $D$11, 100%, $F$11)</f>
        <v>11.047700000000001</v>
      </c>
      <c r="J415" s="4">
        <f>10.9248 * CHOOSE(CONTROL!$C$15, $D$11, 100%, $F$11)</f>
        <v>10.924799999999999</v>
      </c>
      <c r="K415" s="4"/>
      <c r="L415" s="9">
        <v>29.306000000000001</v>
      </c>
      <c r="M415" s="9">
        <v>12.063700000000001</v>
      </c>
      <c r="N415" s="9">
        <v>4.9444999999999997</v>
      </c>
      <c r="O415" s="9">
        <v>0.37409999999999999</v>
      </c>
      <c r="P415" s="9">
        <v>1.2927</v>
      </c>
      <c r="Q415" s="9">
        <v>20.201499999999999</v>
      </c>
      <c r="R415" s="9"/>
      <c r="S415" s="11"/>
    </row>
    <row r="416" spans="1:19" ht="15.75">
      <c r="A416" s="13">
        <v>54178</v>
      </c>
      <c r="B416" s="8">
        <f>11.5808 * CHOOSE(CONTROL!$C$15, $D$11, 100%, $F$11)</f>
        <v>11.5808</v>
      </c>
      <c r="C416" s="8">
        <f>11.5854 * CHOOSE(CONTROL!$C$15, $D$11, 100%, $F$11)</f>
        <v>11.5854</v>
      </c>
      <c r="D416" s="8">
        <f>11.6159 * CHOOSE( CONTROL!$C$15, $D$11, 100%, $F$11)</f>
        <v>11.6159</v>
      </c>
      <c r="E416" s="12">
        <f>11.6053 * CHOOSE( CONTROL!$C$15, $D$11, 100%, $F$11)</f>
        <v>11.6053</v>
      </c>
      <c r="F416" s="4">
        <f>12.2956 * CHOOSE(CONTROL!$C$15, $D$11, 100%, $F$11)</f>
        <v>12.2956</v>
      </c>
      <c r="G416" s="8">
        <f>11.295 * CHOOSE( CONTROL!$C$15, $D$11, 100%, $F$11)</f>
        <v>11.295</v>
      </c>
      <c r="H416" s="4">
        <f>12.2439 * CHOOSE(CONTROL!$C$15, $D$11, 100%, $F$11)</f>
        <v>12.2439</v>
      </c>
      <c r="I416" s="8">
        <f>11.2058 * CHOOSE(CONTROL!$C$15, $D$11, 100%, $F$11)</f>
        <v>11.2058</v>
      </c>
      <c r="J416" s="4">
        <f>11.0908 * CHOOSE(CONTROL!$C$15, $D$11, 100%, $F$11)</f>
        <v>11.0908</v>
      </c>
      <c r="K416" s="4"/>
      <c r="L416" s="9">
        <v>30.092199999999998</v>
      </c>
      <c r="M416" s="9">
        <v>11.6745</v>
      </c>
      <c r="N416" s="9">
        <v>4.7850000000000001</v>
      </c>
      <c r="O416" s="9">
        <v>0.36199999999999999</v>
      </c>
      <c r="P416" s="9">
        <v>1.1791</v>
      </c>
      <c r="Q416" s="9">
        <v>19.549800000000001</v>
      </c>
      <c r="R416" s="9"/>
      <c r="S416" s="11"/>
    </row>
    <row r="417" spans="1:19" ht="15.75">
      <c r="A417" s="13">
        <v>54209</v>
      </c>
      <c r="B417" s="8">
        <f>CHOOSE( CONTROL!$C$32, 11.8923, 11.89) * CHOOSE(CONTROL!$C$15, $D$11, 100%, $F$11)</f>
        <v>11.892300000000001</v>
      </c>
      <c r="C417" s="8">
        <f>CHOOSE( CONTROL!$C$32, 11.9004, 11.8981) * CHOOSE(CONTROL!$C$15, $D$11, 100%, $F$11)</f>
        <v>11.900399999999999</v>
      </c>
      <c r="D417" s="8">
        <f>CHOOSE( CONTROL!$C$32, 11.9256, 11.9233) * CHOOSE( CONTROL!$C$15, $D$11, 100%, $F$11)</f>
        <v>11.925599999999999</v>
      </c>
      <c r="E417" s="12">
        <f>CHOOSE( CONTROL!$C$32, 11.9152, 11.9129) * CHOOSE( CONTROL!$C$15, $D$11, 100%, $F$11)</f>
        <v>11.9152</v>
      </c>
      <c r="F417" s="4">
        <f>CHOOSE( CONTROL!$C$32, 12.6057, 12.6034) * CHOOSE(CONTROL!$C$15, $D$11, 100%, $F$11)</f>
        <v>12.605700000000001</v>
      </c>
      <c r="G417" s="8">
        <f>CHOOSE( CONTROL!$C$32, 11.5985, 11.5962) * CHOOSE( CONTROL!$C$15, $D$11, 100%, $F$11)</f>
        <v>11.5985</v>
      </c>
      <c r="H417" s="4">
        <f>CHOOSE( CONTROL!$C$32, 12.5468, 12.5446) * CHOOSE(CONTROL!$C$15, $D$11, 100%, $F$11)</f>
        <v>12.546799999999999</v>
      </c>
      <c r="I417" s="8">
        <f>CHOOSE( CONTROL!$C$32, 11.504, 11.5018) * CHOOSE(CONTROL!$C$15, $D$11, 100%, $F$11)</f>
        <v>11.504</v>
      </c>
      <c r="J417" s="4">
        <f>CHOOSE( CONTROL!$C$32, 11.3886, 11.3863) * CHOOSE(CONTROL!$C$15, $D$11, 100%, $F$11)</f>
        <v>11.3886</v>
      </c>
      <c r="K417" s="4"/>
      <c r="L417" s="9">
        <v>30.7165</v>
      </c>
      <c r="M417" s="9">
        <v>12.063700000000001</v>
      </c>
      <c r="N417" s="9">
        <v>4.9444999999999997</v>
      </c>
      <c r="O417" s="9">
        <v>0.37409999999999999</v>
      </c>
      <c r="P417" s="9">
        <v>1.2183999999999999</v>
      </c>
      <c r="Q417" s="9">
        <v>20.201499999999999</v>
      </c>
      <c r="R417" s="9"/>
      <c r="S417" s="11"/>
    </row>
    <row r="418" spans="1:19" ht="15.75">
      <c r="A418" s="13">
        <v>54239</v>
      </c>
      <c r="B418" s="8">
        <f>CHOOSE( CONTROL!$C$32, 11.7016, 11.6993) * CHOOSE(CONTROL!$C$15, $D$11, 100%, $F$11)</f>
        <v>11.701599999999999</v>
      </c>
      <c r="C418" s="8">
        <f>CHOOSE( CONTROL!$C$32, 11.7097, 11.7074) * CHOOSE(CONTROL!$C$15, $D$11, 100%, $F$11)</f>
        <v>11.7097</v>
      </c>
      <c r="D418" s="8">
        <f>CHOOSE( CONTROL!$C$32, 11.7351, 11.7328) * CHOOSE( CONTROL!$C$15, $D$11, 100%, $F$11)</f>
        <v>11.735099999999999</v>
      </c>
      <c r="E418" s="12">
        <f>CHOOSE( CONTROL!$C$32, 11.7247, 11.7224) * CHOOSE( CONTROL!$C$15, $D$11, 100%, $F$11)</f>
        <v>11.7247</v>
      </c>
      <c r="F418" s="4">
        <f>CHOOSE( CONTROL!$C$32, 12.4151, 12.4127) * CHOOSE(CONTROL!$C$15, $D$11, 100%, $F$11)</f>
        <v>12.415100000000001</v>
      </c>
      <c r="G418" s="8">
        <f>CHOOSE( CONTROL!$C$32, 11.4126, 11.4103) * CHOOSE( CONTROL!$C$15, $D$11, 100%, $F$11)</f>
        <v>11.412599999999999</v>
      </c>
      <c r="H418" s="4">
        <f>CHOOSE( CONTROL!$C$32, 12.3606, 12.3583) * CHOOSE(CONTROL!$C$15, $D$11, 100%, $F$11)</f>
        <v>12.3606</v>
      </c>
      <c r="I418" s="8">
        <f>CHOOSE( CONTROL!$C$32, 11.3219, 11.3196) * CHOOSE(CONTROL!$C$15, $D$11, 100%, $F$11)</f>
        <v>11.321899999999999</v>
      </c>
      <c r="J418" s="4">
        <f>CHOOSE( CONTROL!$C$32, 11.2055, 11.2033) * CHOOSE(CONTROL!$C$15, $D$11, 100%, $F$11)</f>
        <v>11.205500000000001</v>
      </c>
      <c r="K418" s="4"/>
      <c r="L418" s="9">
        <v>29.7257</v>
      </c>
      <c r="M418" s="9">
        <v>11.6745</v>
      </c>
      <c r="N418" s="9">
        <v>4.7850000000000001</v>
      </c>
      <c r="O418" s="9">
        <v>0.36199999999999999</v>
      </c>
      <c r="P418" s="9">
        <v>1.1791</v>
      </c>
      <c r="Q418" s="9">
        <v>19.549800000000001</v>
      </c>
      <c r="R418" s="9"/>
      <c r="S418" s="11"/>
    </row>
    <row r="419" spans="1:19" ht="15.75">
      <c r="A419" s="13">
        <v>54270</v>
      </c>
      <c r="B419" s="8">
        <f>CHOOSE( CONTROL!$C$32, 12.2038, 12.2014) * CHOOSE(CONTROL!$C$15, $D$11, 100%, $F$11)</f>
        <v>12.203799999999999</v>
      </c>
      <c r="C419" s="8">
        <f>CHOOSE( CONTROL!$C$32, 12.2118, 12.2095) * CHOOSE(CONTROL!$C$15, $D$11, 100%, $F$11)</f>
        <v>12.2118</v>
      </c>
      <c r="D419" s="8">
        <f>CHOOSE( CONTROL!$C$32, 12.2375, 12.2352) * CHOOSE( CONTROL!$C$15, $D$11, 100%, $F$11)</f>
        <v>12.237500000000001</v>
      </c>
      <c r="E419" s="12">
        <f>CHOOSE( CONTROL!$C$32, 12.227, 12.2247) * CHOOSE( CONTROL!$C$15, $D$11, 100%, $F$11)</f>
        <v>12.227</v>
      </c>
      <c r="F419" s="4">
        <f>CHOOSE( CONTROL!$C$32, 12.9172, 12.9148) * CHOOSE(CONTROL!$C$15, $D$11, 100%, $F$11)</f>
        <v>12.917199999999999</v>
      </c>
      <c r="G419" s="8">
        <f>CHOOSE( CONTROL!$C$32, 11.9034, 11.9011) * CHOOSE( CONTROL!$C$15, $D$11, 100%, $F$11)</f>
        <v>11.9034</v>
      </c>
      <c r="H419" s="4">
        <f>CHOOSE( CONTROL!$C$32, 12.851, 12.8487) * CHOOSE(CONTROL!$C$15, $D$11, 100%, $F$11)</f>
        <v>12.851000000000001</v>
      </c>
      <c r="I419" s="8">
        <f>CHOOSE( CONTROL!$C$32, 11.8054, 11.8031) * CHOOSE(CONTROL!$C$15, $D$11, 100%, $F$11)</f>
        <v>11.805400000000001</v>
      </c>
      <c r="J419" s="4">
        <f>CHOOSE( CONTROL!$C$32, 11.6876, 11.6854) * CHOOSE(CONTROL!$C$15, $D$11, 100%, $F$11)</f>
        <v>11.6876</v>
      </c>
      <c r="K419" s="4"/>
      <c r="L419" s="9">
        <v>30.7165</v>
      </c>
      <c r="M419" s="9">
        <v>12.063700000000001</v>
      </c>
      <c r="N419" s="9">
        <v>4.9444999999999997</v>
      </c>
      <c r="O419" s="9">
        <v>0.37409999999999999</v>
      </c>
      <c r="P419" s="9">
        <v>1.2183999999999999</v>
      </c>
      <c r="Q419" s="9">
        <v>20.201499999999999</v>
      </c>
      <c r="R419" s="9"/>
      <c r="S419" s="11"/>
    </row>
    <row r="420" spans="1:19" ht="15.75">
      <c r="A420" s="13">
        <v>54301</v>
      </c>
      <c r="B420" s="8">
        <f>CHOOSE( CONTROL!$C$32, 11.2642, 11.2619) * CHOOSE(CONTROL!$C$15, $D$11, 100%, $F$11)</f>
        <v>11.264200000000001</v>
      </c>
      <c r="C420" s="8">
        <f>CHOOSE( CONTROL!$C$32, 11.2723, 11.27) * CHOOSE(CONTROL!$C$15, $D$11, 100%, $F$11)</f>
        <v>11.2723</v>
      </c>
      <c r="D420" s="8">
        <f>CHOOSE( CONTROL!$C$32, 11.2981, 11.2957) * CHOOSE( CONTROL!$C$15, $D$11, 100%, $F$11)</f>
        <v>11.2981</v>
      </c>
      <c r="E420" s="12">
        <f>CHOOSE( CONTROL!$C$32, 11.2875, 11.2852) * CHOOSE( CONTROL!$C$15, $D$11, 100%, $F$11)</f>
        <v>11.2875</v>
      </c>
      <c r="F420" s="4">
        <f>CHOOSE( CONTROL!$C$32, 11.9777, 11.9753) * CHOOSE(CONTROL!$C$15, $D$11, 100%, $F$11)</f>
        <v>11.9777</v>
      </c>
      <c r="G420" s="8">
        <f>CHOOSE( CONTROL!$C$32, 10.9859, 10.9836) * CHOOSE( CONTROL!$C$15, $D$11, 100%, $F$11)</f>
        <v>10.985900000000001</v>
      </c>
      <c r="H420" s="4">
        <f>CHOOSE( CONTROL!$C$32, 11.9334, 11.9311) * CHOOSE(CONTROL!$C$15, $D$11, 100%, $F$11)</f>
        <v>11.933400000000001</v>
      </c>
      <c r="I420" s="8">
        <f>CHOOSE( CONTROL!$C$32, 10.9033, 10.901) * CHOOSE(CONTROL!$C$15, $D$11, 100%, $F$11)</f>
        <v>10.9033</v>
      </c>
      <c r="J420" s="4">
        <f>CHOOSE( CONTROL!$C$32, 10.7856, 10.7833) * CHOOSE(CONTROL!$C$15, $D$11, 100%, $F$11)</f>
        <v>10.785600000000001</v>
      </c>
      <c r="K420" s="4"/>
      <c r="L420" s="9">
        <v>30.7165</v>
      </c>
      <c r="M420" s="9">
        <v>12.063700000000001</v>
      </c>
      <c r="N420" s="9">
        <v>4.9444999999999997</v>
      </c>
      <c r="O420" s="9">
        <v>0.37409999999999999</v>
      </c>
      <c r="P420" s="9">
        <v>1.2183999999999999</v>
      </c>
      <c r="Q420" s="9">
        <v>20.201499999999999</v>
      </c>
      <c r="R420" s="9"/>
      <c r="S420" s="11"/>
    </row>
    <row r="421" spans="1:19" ht="15.75">
      <c r="A421" s="13">
        <v>54331</v>
      </c>
      <c r="B421" s="8">
        <f>CHOOSE( CONTROL!$C$32, 11.029, 11.0266) * CHOOSE(CONTROL!$C$15, $D$11, 100%, $F$11)</f>
        <v>11.029</v>
      </c>
      <c r="C421" s="8">
        <f>CHOOSE( CONTROL!$C$32, 11.0371, 11.0347) * CHOOSE(CONTROL!$C$15, $D$11, 100%, $F$11)</f>
        <v>11.037100000000001</v>
      </c>
      <c r="D421" s="8">
        <f>CHOOSE( CONTROL!$C$32, 11.0628, 11.0604) * CHOOSE( CONTROL!$C$15, $D$11, 100%, $F$11)</f>
        <v>11.062799999999999</v>
      </c>
      <c r="E421" s="12">
        <f>CHOOSE( CONTROL!$C$32, 11.0523, 11.0499) * CHOOSE( CONTROL!$C$15, $D$11, 100%, $F$11)</f>
        <v>11.052300000000001</v>
      </c>
      <c r="F421" s="4">
        <f>CHOOSE( CONTROL!$C$32, 11.7424, 11.7401) * CHOOSE(CONTROL!$C$15, $D$11, 100%, $F$11)</f>
        <v>11.7424</v>
      </c>
      <c r="G421" s="8">
        <f>CHOOSE( CONTROL!$C$32, 10.7561, 10.7538) * CHOOSE( CONTROL!$C$15, $D$11, 100%, $F$11)</f>
        <v>10.7561</v>
      </c>
      <c r="H421" s="4">
        <f>CHOOSE( CONTROL!$C$32, 11.7036, 11.7013) * CHOOSE(CONTROL!$C$15, $D$11, 100%, $F$11)</f>
        <v>11.7036</v>
      </c>
      <c r="I421" s="8">
        <f>CHOOSE( CONTROL!$C$32, 10.6772, 10.6749) * CHOOSE(CONTROL!$C$15, $D$11, 100%, $F$11)</f>
        <v>10.677199999999999</v>
      </c>
      <c r="J421" s="4">
        <f>CHOOSE( CONTROL!$C$32, 10.5597, 10.5574) * CHOOSE(CONTROL!$C$15, $D$11, 100%, $F$11)</f>
        <v>10.559699999999999</v>
      </c>
      <c r="K421" s="4"/>
      <c r="L421" s="9">
        <v>29.7257</v>
      </c>
      <c r="M421" s="9">
        <v>11.6745</v>
      </c>
      <c r="N421" s="9">
        <v>4.7850000000000001</v>
      </c>
      <c r="O421" s="9">
        <v>0.36199999999999999</v>
      </c>
      <c r="P421" s="9">
        <v>1.1791</v>
      </c>
      <c r="Q421" s="9">
        <v>19.549800000000001</v>
      </c>
      <c r="R421" s="9"/>
      <c r="S421" s="11"/>
    </row>
    <row r="422" spans="1:19" ht="15.75">
      <c r="A422" s="13">
        <v>54362</v>
      </c>
      <c r="B422" s="8">
        <f>11.5134 * CHOOSE(CONTROL!$C$15, $D$11, 100%, $F$11)</f>
        <v>11.513400000000001</v>
      </c>
      <c r="C422" s="8">
        <f>11.5188 * CHOOSE(CONTROL!$C$15, $D$11, 100%, $F$11)</f>
        <v>11.518800000000001</v>
      </c>
      <c r="D422" s="8">
        <f>11.5496 * CHOOSE( CONTROL!$C$15, $D$11, 100%, $F$11)</f>
        <v>11.5496</v>
      </c>
      <c r="E422" s="12">
        <f>11.5389 * CHOOSE( CONTROL!$C$15, $D$11, 100%, $F$11)</f>
        <v>11.5389</v>
      </c>
      <c r="F422" s="4">
        <f>12.2286 * CHOOSE(CONTROL!$C$15, $D$11, 100%, $F$11)</f>
        <v>12.2286</v>
      </c>
      <c r="G422" s="8">
        <f>11.2307 * CHOOSE( CONTROL!$C$15, $D$11, 100%, $F$11)</f>
        <v>11.230700000000001</v>
      </c>
      <c r="H422" s="4">
        <f>12.1784 * CHOOSE(CONTROL!$C$15, $D$11, 100%, $F$11)</f>
        <v>12.1784</v>
      </c>
      <c r="I422" s="8">
        <f>11.145 * CHOOSE(CONTROL!$C$15, $D$11, 100%, $F$11)</f>
        <v>11.145</v>
      </c>
      <c r="J422" s="4">
        <f>11.0264 * CHOOSE(CONTROL!$C$15, $D$11, 100%, $F$11)</f>
        <v>11.026400000000001</v>
      </c>
      <c r="K422" s="4"/>
      <c r="L422" s="9">
        <v>31.095300000000002</v>
      </c>
      <c r="M422" s="9">
        <v>12.063700000000001</v>
      </c>
      <c r="N422" s="9">
        <v>4.9444999999999997</v>
      </c>
      <c r="O422" s="9">
        <v>0.37409999999999999</v>
      </c>
      <c r="P422" s="9">
        <v>1.2183999999999999</v>
      </c>
      <c r="Q422" s="9">
        <v>20.201499999999999</v>
      </c>
      <c r="R422" s="9"/>
      <c r="S422" s="11"/>
    </row>
    <row r="423" spans="1:19" ht="15.75">
      <c r="A423" s="13">
        <v>54392</v>
      </c>
      <c r="B423" s="8">
        <f>12.4146 * CHOOSE(CONTROL!$C$15, $D$11, 100%, $F$11)</f>
        <v>12.4146</v>
      </c>
      <c r="C423" s="8">
        <f>12.4198 * CHOOSE(CONTROL!$C$15, $D$11, 100%, $F$11)</f>
        <v>12.4198</v>
      </c>
      <c r="D423" s="8">
        <f>12.4029 * CHOOSE( CONTROL!$C$15, $D$11, 100%, $F$11)</f>
        <v>12.402900000000001</v>
      </c>
      <c r="E423" s="12">
        <f>12.4085 * CHOOSE( CONTROL!$C$15, $D$11, 100%, $F$11)</f>
        <v>12.4085</v>
      </c>
      <c r="F423" s="4">
        <f>13.0651 * CHOOSE(CONTROL!$C$15, $D$11, 100%, $F$11)</f>
        <v>13.065099999999999</v>
      </c>
      <c r="G423" s="8">
        <f>12.1175 * CHOOSE( CONTROL!$C$15, $D$11, 100%, $F$11)</f>
        <v>12.1175</v>
      </c>
      <c r="H423" s="4">
        <f>12.9955 * CHOOSE(CONTROL!$C$15, $D$11, 100%, $F$11)</f>
        <v>12.9955</v>
      </c>
      <c r="I423" s="8">
        <f>12.0529 * CHOOSE(CONTROL!$C$15, $D$11, 100%, $F$11)</f>
        <v>12.052899999999999</v>
      </c>
      <c r="J423" s="4">
        <f>11.8921 * CHOOSE(CONTROL!$C$15, $D$11, 100%, $F$11)</f>
        <v>11.892099999999999</v>
      </c>
      <c r="K423" s="4"/>
      <c r="L423" s="9">
        <v>28.360600000000002</v>
      </c>
      <c r="M423" s="9">
        <v>11.6745</v>
      </c>
      <c r="N423" s="9">
        <v>4.7850000000000001</v>
      </c>
      <c r="O423" s="9">
        <v>0.36199999999999999</v>
      </c>
      <c r="P423" s="9">
        <v>1.2509999999999999</v>
      </c>
      <c r="Q423" s="9">
        <v>19.549800000000001</v>
      </c>
      <c r="R423" s="9"/>
      <c r="S423" s="11"/>
    </row>
    <row r="424" spans="1:19" ht="15.75">
      <c r="A424" s="13">
        <v>54423</v>
      </c>
      <c r="B424" s="8">
        <f>12.3921 * CHOOSE(CONTROL!$C$15, $D$11, 100%, $F$11)</f>
        <v>12.392099999999999</v>
      </c>
      <c r="C424" s="8">
        <f>12.3973 * CHOOSE(CONTROL!$C$15, $D$11, 100%, $F$11)</f>
        <v>12.3973</v>
      </c>
      <c r="D424" s="8">
        <f>12.3818 * CHOOSE( CONTROL!$C$15, $D$11, 100%, $F$11)</f>
        <v>12.3818</v>
      </c>
      <c r="E424" s="12">
        <f>12.3869 * CHOOSE( CONTROL!$C$15, $D$11, 100%, $F$11)</f>
        <v>12.386900000000001</v>
      </c>
      <c r="F424" s="4">
        <f>13.0426 * CHOOSE(CONTROL!$C$15, $D$11, 100%, $F$11)</f>
        <v>13.0426</v>
      </c>
      <c r="G424" s="8">
        <f>12.0966 * CHOOSE( CONTROL!$C$15, $D$11, 100%, $F$11)</f>
        <v>12.0966</v>
      </c>
      <c r="H424" s="4">
        <f>12.9735 * CHOOSE(CONTROL!$C$15, $D$11, 100%, $F$11)</f>
        <v>12.9735</v>
      </c>
      <c r="I424" s="8">
        <f>12.036 * CHOOSE(CONTROL!$C$15, $D$11, 100%, $F$11)</f>
        <v>12.036</v>
      </c>
      <c r="J424" s="4">
        <f>11.8705 * CHOOSE(CONTROL!$C$15, $D$11, 100%, $F$11)</f>
        <v>11.8705</v>
      </c>
      <c r="K424" s="4"/>
      <c r="L424" s="9">
        <v>29.306000000000001</v>
      </c>
      <c r="M424" s="9">
        <v>12.063700000000001</v>
      </c>
      <c r="N424" s="9">
        <v>4.9444999999999997</v>
      </c>
      <c r="O424" s="9">
        <v>0.37409999999999999</v>
      </c>
      <c r="P424" s="9">
        <v>1.2927</v>
      </c>
      <c r="Q424" s="9">
        <v>20.201499999999999</v>
      </c>
      <c r="R424" s="9"/>
      <c r="S424" s="11"/>
    </row>
    <row r="425" spans="1:19" ht="15.75">
      <c r="A425" s="13">
        <v>54454</v>
      </c>
      <c r="B425" s="8">
        <f>12.7568 * CHOOSE(CONTROL!$C$15, $D$11, 100%, $F$11)</f>
        <v>12.7568</v>
      </c>
      <c r="C425" s="8">
        <f>12.762 * CHOOSE(CONTROL!$C$15, $D$11, 100%, $F$11)</f>
        <v>12.762</v>
      </c>
      <c r="D425" s="8">
        <f>12.7422 * CHOOSE( CONTROL!$C$15, $D$11, 100%, $F$11)</f>
        <v>12.7422</v>
      </c>
      <c r="E425" s="12">
        <f>12.7489 * CHOOSE( CONTROL!$C$15, $D$11, 100%, $F$11)</f>
        <v>12.748900000000001</v>
      </c>
      <c r="F425" s="4">
        <f>13.4073 * CHOOSE(CONTROL!$C$15, $D$11, 100%, $F$11)</f>
        <v>13.407299999999999</v>
      </c>
      <c r="G425" s="8">
        <f>12.4435 * CHOOSE( CONTROL!$C$15, $D$11, 100%, $F$11)</f>
        <v>12.4435</v>
      </c>
      <c r="H425" s="4">
        <f>13.3297 * CHOOSE(CONTROL!$C$15, $D$11, 100%, $F$11)</f>
        <v>13.329700000000001</v>
      </c>
      <c r="I425" s="8">
        <f>12.3454 * CHOOSE(CONTROL!$C$15, $D$11, 100%, $F$11)</f>
        <v>12.3454</v>
      </c>
      <c r="J425" s="4">
        <f>12.2206 * CHOOSE(CONTROL!$C$15, $D$11, 100%, $F$11)</f>
        <v>12.220599999999999</v>
      </c>
      <c r="K425" s="4"/>
      <c r="L425" s="9">
        <v>29.306000000000001</v>
      </c>
      <c r="M425" s="9">
        <v>12.063700000000001</v>
      </c>
      <c r="N425" s="9">
        <v>4.9444999999999997</v>
      </c>
      <c r="O425" s="9">
        <v>0.37409999999999999</v>
      </c>
      <c r="P425" s="9">
        <v>1.2927</v>
      </c>
      <c r="Q425" s="9">
        <v>20.136399999999998</v>
      </c>
      <c r="R425" s="9"/>
      <c r="S425" s="11"/>
    </row>
    <row r="426" spans="1:19" ht="15.75">
      <c r="A426" s="13">
        <v>54482</v>
      </c>
      <c r="B426" s="8">
        <f>11.9339 * CHOOSE(CONTROL!$C$15, $D$11, 100%, $F$11)</f>
        <v>11.9339</v>
      </c>
      <c r="C426" s="8">
        <f>11.9391 * CHOOSE(CONTROL!$C$15, $D$11, 100%, $F$11)</f>
        <v>11.9391</v>
      </c>
      <c r="D426" s="8">
        <f>11.9192 * CHOOSE( CONTROL!$C$15, $D$11, 100%, $F$11)</f>
        <v>11.9192</v>
      </c>
      <c r="E426" s="12">
        <f>11.9259 * CHOOSE( CONTROL!$C$15, $D$11, 100%, $F$11)</f>
        <v>11.9259</v>
      </c>
      <c r="F426" s="4">
        <f>12.5844 * CHOOSE(CONTROL!$C$15, $D$11, 100%, $F$11)</f>
        <v>12.5844</v>
      </c>
      <c r="G426" s="8">
        <f>11.6398 * CHOOSE( CONTROL!$C$15, $D$11, 100%, $F$11)</f>
        <v>11.639799999999999</v>
      </c>
      <c r="H426" s="4">
        <f>12.526 * CHOOSE(CONTROL!$C$15, $D$11, 100%, $F$11)</f>
        <v>12.526</v>
      </c>
      <c r="I426" s="8">
        <f>11.5549 * CHOOSE(CONTROL!$C$15, $D$11, 100%, $F$11)</f>
        <v>11.5549</v>
      </c>
      <c r="J426" s="4">
        <f>11.4306 * CHOOSE(CONTROL!$C$15, $D$11, 100%, $F$11)</f>
        <v>11.4306</v>
      </c>
      <c r="K426" s="4"/>
      <c r="L426" s="9">
        <v>26.469899999999999</v>
      </c>
      <c r="M426" s="9">
        <v>10.8962</v>
      </c>
      <c r="N426" s="9">
        <v>4.4660000000000002</v>
      </c>
      <c r="O426" s="9">
        <v>0.33789999999999998</v>
      </c>
      <c r="P426" s="9">
        <v>1.1676</v>
      </c>
      <c r="Q426" s="9">
        <v>18.1877</v>
      </c>
      <c r="R426" s="9"/>
      <c r="S426" s="11"/>
    </row>
    <row r="427" spans="1:19" ht="15.75">
      <c r="A427" s="13">
        <v>54513</v>
      </c>
      <c r="B427" s="8">
        <f>11.6805 * CHOOSE(CONTROL!$C$15, $D$11, 100%, $F$11)</f>
        <v>11.6805</v>
      </c>
      <c r="C427" s="8">
        <f>11.6857 * CHOOSE(CONTROL!$C$15, $D$11, 100%, $F$11)</f>
        <v>11.685700000000001</v>
      </c>
      <c r="D427" s="8">
        <f>11.6655 * CHOOSE( CONTROL!$C$15, $D$11, 100%, $F$11)</f>
        <v>11.6655</v>
      </c>
      <c r="E427" s="12">
        <f>11.6723 * CHOOSE( CONTROL!$C$15, $D$11, 100%, $F$11)</f>
        <v>11.6723</v>
      </c>
      <c r="F427" s="4">
        <f>12.331 * CHOOSE(CONTROL!$C$15, $D$11, 100%, $F$11)</f>
        <v>12.331</v>
      </c>
      <c r="G427" s="8">
        <f>11.392 * CHOOSE( CONTROL!$C$15, $D$11, 100%, $F$11)</f>
        <v>11.391999999999999</v>
      </c>
      <c r="H427" s="4">
        <f>12.2785 * CHOOSE(CONTROL!$C$15, $D$11, 100%, $F$11)</f>
        <v>12.278499999999999</v>
      </c>
      <c r="I427" s="8">
        <f>11.3103 * CHOOSE(CONTROL!$C$15, $D$11, 100%, $F$11)</f>
        <v>11.3103</v>
      </c>
      <c r="J427" s="4">
        <f>11.1873 * CHOOSE(CONTROL!$C$15, $D$11, 100%, $F$11)</f>
        <v>11.1873</v>
      </c>
      <c r="K427" s="4"/>
      <c r="L427" s="9">
        <v>29.306000000000001</v>
      </c>
      <c r="M427" s="9">
        <v>12.063700000000001</v>
      </c>
      <c r="N427" s="9">
        <v>4.9444999999999997</v>
      </c>
      <c r="O427" s="9">
        <v>0.37409999999999999</v>
      </c>
      <c r="P427" s="9">
        <v>1.2927</v>
      </c>
      <c r="Q427" s="9">
        <v>20.136399999999998</v>
      </c>
      <c r="R427" s="9"/>
      <c r="S427" s="11"/>
    </row>
    <row r="428" spans="1:19" ht="15.75">
      <c r="A428" s="13">
        <v>54543</v>
      </c>
      <c r="B428" s="8">
        <f>11.8584 * CHOOSE(CONTROL!$C$15, $D$11, 100%, $F$11)</f>
        <v>11.8584</v>
      </c>
      <c r="C428" s="8">
        <f>11.863 * CHOOSE(CONTROL!$C$15, $D$11, 100%, $F$11)</f>
        <v>11.863</v>
      </c>
      <c r="D428" s="8">
        <f>11.8935 * CHOOSE( CONTROL!$C$15, $D$11, 100%, $F$11)</f>
        <v>11.8935</v>
      </c>
      <c r="E428" s="12">
        <f>11.8829 * CHOOSE( CONTROL!$C$15, $D$11, 100%, $F$11)</f>
        <v>11.882899999999999</v>
      </c>
      <c r="F428" s="4">
        <f>12.5732 * CHOOSE(CONTROL!$C$15, $D$11, 100%, $F$11)</f>
        <v>12.5732</v>
      </c>
      <c r="G428" s="8">
        <f>11.5661 * CHOOSE( CONTROL!$C$15, $D$11, 100%, $F$11)</f>
        <v>11.5661</v>
      </c>
      <c r="H428" s="4">
        <f>12.515 * CHOOSE(CONTROL!$C$15, $D$11, 100%, $F$11)</f>
        <v>12.515000000000001</v>
      </c>
      <c r="I428" s="8">
        <f>11.4724 * CHOOSE(CONTROL!$C$15, $D$11, 100%, $F$11)</f>
        <v>11.4724</v>
      </c>
      <c r="J428" s="4">
        <f>11.3573 * CHOOSE(CONTROL!$C$15, $D$11, 100%, $F$11)</f>
        <v>11.3573</v>
      </c>
      <c r="K428" s="4"/>
      <c r="L428" s="9">
        <v>30.092199999999998</v>
      </c>
      <c r="M428" s="9">
        <v>11.6745</v>
      </c>
      <c r="N428" s="9">
        <v>4.7850000000000001</v>
      </c>
      <c r="O428" s="9">
        <v>0.36199999999999999</v>
      </c>
      <c r="P428" s="9">
        <v>1.1791</v>
      </c>
      <c r="Q428" s="9">
        <v>19.486799999999999</v>
      </c>
      <c r="R428" s="9"/>
      <c r="S428" s="11"/>
    </row>
    <row r="429" spans="1:19" ht="15.75">
      <c r="A429" s="13">
        <v>54574</v>
      </c>
      <c r="B429" s="8">
        <f>CHOOSE( CONTROL!$C$32, 12.1773, 12.1749) * CHOOSE(CONTROL!$C$15, $D$11, 100%, $F$11)</f>
        <v>12.177300000000001</v>
      </c>
      <c r="C429" s="8">
        <f>CHOOSE( CONTROL!$C$32, 12.1854, 12.183) * CHOOSE(CONTROL!$C$15, $D$11, 100%, $F$11)</f>
        <v>12.1854</v>
      </c>
      <c r="D429" s="8">
        <f>CHOOSE( CONTROL!$C$32, 12.2106, 12.2082) * CHOOSE( CONTROL!$C$15, $D$11, 100%, $F$11)</f>
        <v>12.210599999999999</v>
      </c>
      <c r="E429" s="12">
        <f>CHOOSE( CONTROL!$C$32, 12.2002, 12.1978) * CHOOSE( CONTROL!$C$15, $D$11, 100%, $F$11)</f>
        <v>12.200200000000001</v>
      </c>
      <c r="F429" s="4">
        <f>CHOOSE( CONTROL!$C$32, 12.8907, 12.8884) * CHOOSE(CONTROL!$C$15, $D$11, 100%, $F$11)</f>
        <v>12.890700000000001</v>
      </c>
      <c r="G429" s="8">
        <f>CHOOSE( CONTROL!$C$32, 11.8768, 11.8745) * CHOOSE( CONTROL!$C$15, $D$11, 100%, $F$11)</f>
        <v>11.876799999999999</v>
      </c>
      <c r="H429" s="4">
        <f>CHOOSE( CONTROL!$C$32, 12.8252, 12.8229) * CHOOSE(CONTROL!$C$15, $D$11, 100%, $F$11)</f>
        <v>12.825200000000001</v>
      </c>
      <c r="I429" s="8">
        <f>CHOOSE( CONTROL!$C$32, 11.7778, 11.7755) * CHOOSE(CONTROL!$C$15, $D$11, 100%, $F$11)</f>
        <v>11.777799999999999</v>
      </c>
      <c r="J429" s="4">
        <f>CHOOSE( CONTROL!$C$32, 11.6622, 11.6599) * CHOOSE(CONTROL!$C$15, $D$11, 100%, $F$11)</f>
        <v>11.6622</v>
      </c>
      <c r="K429" s="4"/>
      <c r="L429" s="9">
        <v>30.7165</v>
      </c>
      <c r="M429" s="9">
        <v>12.063700000000001</v>
      </c>
      <c r="N429" s="9">
        <v>4.9444999999999997</v>
      </c>
      <c r="O429" s="9">
        <v>0.37409999999999999</v>
      </c>
      <c r="P429" s="9">
        <v>1.2183999999999999</v>
      </c>
      <c r="Q429" s="9">
        <v>20.136399999999998</v>
      </c>
      <c r="R429" s="9"/>
      <c r="S429" s="11"/>
    </row>
    <row r="430" spans="1:19" ht="15.75">
      <c r="A430" s="13">
        <v>54604</v>
      </c>
      <c r="B430" s="8">
        <f>CHOOSE( CONTROL!$C$32, 11.982, 11.9797) * CHOOSE(CONTROL!$C$15, $D$11, 100%, $F$11)</f>
        <v>11.981999999999999</v>
      </c>
      <c r="C430" s="8">
        <f>CHOOSE( CONTROL!$C$32, 11.9901, 11.9878) * CHOOSE(CONTROL!$C$15, $D$11, 100%, $F$11)</f>
        <v>11.9901</v>
      </c>
      <c r="D430" s="8">
        <f>CHOOSE( CONTROL!$C$32, 12.0155, 12.0132) * CHOOSE( CONTROL!$C$15, $D$11, 100%, $F$11)</f>
        <v>12.015499999999999</v>
      </c>
      <c r="E430" s="12">
        <f>CHOOSE( CONTROL!$C$32, 12.0051, 12.0028) * CHOOSE( CONTROL!$C$15, $D$11, 100%, $F$11)</f>
        <v>12.005100000000001</v>
      </c>
      <c r="F430" s="4">
        <f>CHOOSE( CONTROL!$C$32, 12.6954, 12.6931) * CHOOSE(CONTROL!$C$15, $D$11, 100%, $F$11)</f>
        <v>12.695399999999999</v>
      </c>
      <c r="G430" s="8">
        <f>CHOOSE( CONTROL!$C$32, 11.6864, 11.6841) * CHOOSE( CONTROL!$C$15, $D$11, 100%, $F$11)</f>
        <v>11.686400000000001</v>
      </c>
      <c r="H430" s="4">
        <f>CHOOSE( CONTROL!$C$32, 12.6345, 12.6322) * CHOOSE(CONTROL!$C$15, $D$11, 100%, $F$11)</f>
        <v>12.634499999999999</v>
      </c>
      <c r="I430" s="8">
        <f>CHOOSE( CONTROL!$C$32, 11.5912, 11.5889) * CHOOSE(CONTROL!$C$15, $D$11, 100%, $F$11)</f>
        <v>11.591200000000001</v>
      </c>
      <c r="J430" s="4">
        <f>CHOOSE( CONTROL!$C$32, 11.4747, 11.4725) * CHOOSE(CONTROL!$C$15, $D$11, 100%, $F$11)</f>
        <v>11.4747</v>
      </c>
      <c r="K430" s="4"/>
      <c r="L430" s="9">
        <v>29.7257</v>
      </c>
      <c r="M430" s="9">
        <v>11.6745</v>
      </c>
      <c r="N430" s="9">
        <v>4.7850000000000001</v>
      </c>
      <c r="O430" s="9">
        <v>0.36199999999999999</v>
      </c>
      <c r="P430" s="9">
        <v>1.1791</v>
      </c>
      <c r="Q430" s="9">
        <v>19.486799999999999</v>
      </c>
      <c r="R430" s="9"/>
      <c r="S430" s="11"/>
    </row>
    <row r="431" spans="1:19" ht="15.75">
      <c r="A431" s="13">
        <v>54635</v>
      </c>
      <c r="B431" s="8">
        <f>CHOOSE( CONTROL!$C$32, 12.4962, 12.4938) * CHOOSE(CONTROL!$C$15, $D$11, 100%, $F$11)</f>
        <v>12.4962</v>
      </c>
      <c r="C431" s="8">
        <f>CHOOSE( CONTROL!$C$32, 12.5043, 12.5019) * CHOOSE(CONTROL!$C$15, $D$11, 100%, $F$11)</f>
        <v>12.504300000000001</v>
      </c>
      <c r="D431" s="8">
        <f>CHOOSE( CONTROL!$C$32, 12.5299, 12.5276) * CHOOSE( CONTROL!$C$15, $D$11, 100%, $F$11)</f>
        <v>12.5299</v>
      </c>
      <c r="E431" s="12">
        <f>CHOOSE( CONTROL!$C$32, 12.5194, 12.5171) * CHOOSE( CONTROL!$C$15, $D$11, 100%, $F$11)</f>
        <v>12.519399999999999</v>
      </c>
      <c r="F431" s="4">
        <f>CHOOSE( CONTROL!$C$32, 13.2096, 13.2073) * CHOOSE(CONTROL!$C$15, $D$11, 100%, $F$11)</f>
        <v>13.2096</v>
      </c>
      <c r="G431" s="8">
        <f>CHOOSE( CONTROL!$C$32, 12.189, 12.1867) * CHOOSE( CONTROL!$C$15, $D$11, 100%, $F$11)</f>
        <v>12.189</v>
      </c>
      <c r="H431" s="4">
        <f>CHOOSE( CONTROL!$C$32, 13.1367, 13.1344) * CHOOSE(CONTROL!$C$15, $D$11, 100%, $F$11)</f>
        <v>13.136699999999999</v>
      </c>
      <c r="I431" s="8">
        <f>CHOOSE( CONTROL!$C$32, 12.0863, 12.084) * CHOOSE(CONTROL!$C$15, $D$11, 100%, $F$11)</f>
        <v>12.0863</v>
      </c>
      <c r="J431" s="4">
        <f>CHOOSE( CONTROL!$C$32, 11.9684, 11.9661) * CHOOSE(CONTROL!$C$15, $D$11, 100%, $F$11)</f>
        <v>11.968400000000001</v>
      </c>
      <c r="K431" s="4"/>
      <c r="L431" s="9">
        <v>30.7165</v>
      </c>
      <c r="M431" s="9">
        <v>12.063700000000001</v>
      </c>
      <c r="N431" s="9">
        <v>4.9444999999999997</v>
      </c>
      <c r="O431" s="9">
        <v>0.37409999999999999</v>
      </c>
      <c r="P431" s="9">
        <v>1.2183999999999999</v>
      </c>
      <c r="Q431" s="9">
        <v>20.136399999999998</v>
      </c>
      <c r="R431" s="9"/>
      <c r="S431" s="11"/>
    </row>
    <row r="432" spans="1:19" ht="15.75">
      <c r="A432" s="13">
        <v>54666</v>
      </c>
      <c r="B432" s="8">
        <f>CHOOSE( CONTROL!$C$32, 11.5341, 11.5318) * CHOOSE(CONTROL!$C$15, $D$11, 100%, $F$11)</f>
        <v>11.5341</v>
      </c>
      <c r="C432" s="8">
        <f>CHOOSE( CONTROL!$C$32, 11.5422, 11.5398) * CHOOSE(CONTROL!$C$15, $D$11, 100%, $F$11)</f>
        <v>11.542199999999999</v>
      </c>
      <c r="D432" s="8">
        <f>CHOOSE( CONTROL!$C$32, 11.5679, 11.5656) * CHOOSE( CONTROL!$C$15, $D$11, 100%, $F$11)</f>
        <v>11.5679</v>
      </c>
      <c r="E432" s="12">
        <f>CHOOSE( CONTROL!$C$32, 11.5574, 11.555) * CHOOSE( CONTROL!$C$15, $D$11, 100%, $F$11)</f>
        <v>11.557399999999999</v>
      </c>
      <c r="F432" s="4">
        <f>CHOOSE( CONTROL!$C$32, 12.2475, 12.2452) * CHOOSE(CONTROL!$C$15, $D$11, 100%, $F$11)</f>
        <v>12.2475</v>
      </c>
      <c r="G432" s="8">
        <f>CHOOSE( CONTROL!$C$32, 11.2495, 11.2472) * CHOOSE( CONTROL!$C$15, $D$11, 100%, $F$11)</f>
        <v>11.249499999999999</v>
      </c>
      <c r="H432" s="4">
        <f>CHOOSE( CONTROL!$C$32, 12.197, 12.1947) * CHOOSE(CONTROL!$C$15, $D$11, 100%, $F$11)</f>
        <v>12.196999999999999</v>
      </c>
      <c r="I432" s="8">
        <f>CHOOSE( CONTROL!$C$32, 11.1625, 11.1603) * CHOOSE(CONTROL!$C$15, $D$11, 100%, $F$11)</f>
        <v>11.1625</v>
      </c>
      <c r="J432" s="4">
        <f>CHOOSE( CONTROL!$C$32, 11.0447, 11.0424) * CHOOSE(CONTROL!$C$15, $D$11, 100%, $F$11)</f>
        <v>11.044700000000001</v>
      </c>
      <c r="K432" s="4"/>
      <c r="L432" s="9">
        <v>30.7165</v>
      </c>
      <c r="M432" s="9">
        <v>12.063700000000001</v>
      </c>
      <c r="N432" s="9">
        <v>4.9444999999999997</v>
      </c>
      <c r="O432" s="9">
        <v>0.37409999999999999</v>
      </c>
      <c r="P432" s="9">
        <v>1.2183999999999999</v>
      </c>
      <c r="Q432" s="9">
        <v>20.136399999999998</v>
      </c>
      <c r="R432" s="9"/>
      <c r="S432" s="11"/>
    </row>
    <row r="433" spans="1:19" ht="15.75">
      <c r="A433" s="13">
        <v>54696</v>
      </c>
      <c r="B433" s="8">
        <f>CHOOSE( CONTROL!$C$32, 11.2932, 11.2908) * CHOOSE(CONTROL!$C$15, $D$11, 100%, $F$11)</f>
        <v>11.293200000000001</v>
      </c>
      <c r="C433" s="8">
        <f>CHOOSE( CONTROL!$C$32, 11.3013, 11.2989) * CHOOSE(CONTROL!$C$15, $D$11, 100%, $F$11)</f>
        <v>11.301299999999999</v>
      </c>
      <c r="D433" s="8">
        <f>CHOOSE( CONTROL!$C$32, 11.327, 11.3246) * CHOOSE( CONTROL!$C$15, $D$11, 100%, $F$11)</f>
        <v>11.327</v>
      </c>
      <c r="E433" s="12">
        <f>CHOOSE( CONTROL!$C$32, 11.3165, 11.3141) * CHOOSE( CONTROL!$C$15, $D$11, 100%, $F$11)</f>
        <v>11.3165</v>
      </c>
      <c r="F433" s="4">
        <f>CHOOSE( CONTROL!$C$32, 12.0066, 12.0043) * CHOOSE(CONTROL!$C$15, $D$11, 100%, $F$11)</f>
        <v>12.006600000000001</v>
      </c>
      <c r="G433" s="8">
        <f>CHOOSE( CONTROL!$C$32, 11.0141, 11.0118) * CHOOSE( CONTROL!$C$15, $D$11, 100%, $F$11)</f>
        <v>11.014099999999999</v>
      </c>
      <c r="H433" s="4">
        <f>CHOOSE( CONTROL!$C$32, 11.9617, 11.9594) * CHOOSE(CONTROL!$C$15, $D$11, 100%, $F$11)</f>
        <v>11.9617</v>
      </c>
      <c r="I433" s="8">
        <f>CHOOSE( CONTROL!$C$32, 10.931, 10.9287) * CHOOSE(CONTROL!$C$15, $D$11, 100%, $F$11)</f>
        <v>10.930999999999999</v>
      </c>
      <c r="J433" s="4">
        <f>CHOOSE( CONTROL!$C$32, 10.8134, 10.8111) * CHOOSE(CONTROL!$C$15, $D$11, 100%, $F$11)</f>
        <v>10.8134</v>
      </c>
      <c r="K433" s="4"/>
      <c r="L433" s="9">
        <v>29.7257</v>
      </c>
      <c r="M433" s="9">
        <v>11.6745</v>
      </c>
      <c r="N433" s="9">
        <v>4.7850000000000001</v>
      </c>
      <c r="O433" s="9">
        <v>0.36199999999999999</v>
      </c>
      <c r="P433" s="9">
        <v>1.1791</v>
      </c>
      <c r="Q433" s="9">
        <v>19.486799999999999</v>
      </c>
      <c r="R433" s="9"/>
      <c r="S433" s="11"/>
    </row>
    <row r="434" spans="1:19" ht="15.75">
      <c r="A434" s="13">
        <v>54727</v>
      </c>
      <c r="B434" s="8">
        <f>11.7893 * CHOOSE(CONTROL!$C$15, $D$11, 100%, $F$11)</f>
        <v>11.789300000000001</v>
      </c>
      <c r="C434" s="8">
        <f>11.7948 * CHOOSE(CONTROL!$C$15, $D$11, 100%, $F$11)</f>
        <v>11.7948</v>
      </c>
      <c r="D434" s="8">
        <f>11.8256 * CHOOSE( CONTROL!$C$15, $D$11, 100%, $F$11)</f>
        <v>11.8256</v>
      </c>
      <c r="E434" s="12">
        <f>11.8148 * CHOOSE( CONTROL!$C$15, $D$11, 100%, $F$11)</f>
        <v>11.8148</v>
      </c>
      <c r="F434" s="4">
        <f>12.5045 * CHOOSE(CONTROL!$C$15, $D$11, 100%, $F$11)</f>
        <v>12.5045</v>
      </c>
      <c r="G434" s="8">
        <f>11.5002 * CHOOSE( CONTROL!$C$15, $D$11, 100%, $F$11)</f>
        <v>11.5002</v>
      </c>
      <c r="H434" s="4">
        <f>12.448 * CHOOSE(CONTROL!$C$15, $D$11, 100%, $F$11)</f>
        <v>12.448</v>
      </c>
      <c r="I434" s="8">
        <f>11.4101 * CHOOSE(CONTROL!$C$15, $D$11, 100%, $F$11)</f>
        <v>11.4101</v>
      </c>
      <c r="J434" s="4">
        <f>11.2914 * CHOOSE(CONTROL!$C$15, $D$11, 100%, $F$11)</f>
        <v>11.291399999999999</v>
      </c>
      <c r="K434" s="4"/>
      <c r="L434" s="9">
        <v>31.095300000000002</v>
      </c>
      <c r="M434" s="9">
        <v>12.063700000000001</v>
      </c>
      <c r="N434" s="9">
        <v>4.9444999999999997</v>
      </c>
      <c r="O434" s="9">
        <v>0.37409999999999999</v>
      </c>
      <c r="P434" s="9">
        <v>1.2183999999999999</v>
      </c>
      <c r="Q434" s="9">
        <v>20.136399999999998</v>
      </c>
      <c r="R434" s="9"/>
      <c r="S434" s="11"/>
    </row>
    <row r="435" spans="1:19" ht="15.75">
      <c r="A435" s="13">
        <v>54757</v>
      </c>
      <c r="B435" s="8">
        <f>12.7123 * CHOOSE(CONTROL!$C$15, $D$11, 100%, $F$11)</f>
        <v>12.712300000000001</v>
      </c>
      <c r="C435" s="8">
        <f>12.7174 * CHOOSE(CONTROL!$C$15, $D$11, 100%, $F$11)</f>
        <v>12.7174</v>
      </c>
      <c r="D435" s="8">
        <f>12.7005 * CHOOSE( CONTROL!$C$15, $D$11, 100%, $F$11)</f>
        <v>12.7005</v>
      </c>
      <c r="E435" s="12">
        <f>12.7061 * CHOOSE( CONTROL!$C$15, $D$11, 100%, $F$11)</f>
        <v>12.706099999999999</v>
      </c>
      <c r="F435" s="4">
        <f>13.3627 * CHOOSE(CONTROL!$C$15, $D$11, 100%, $F$11)</f>
        <v>13.3627</v>
      </c>
      <c r="G435" s="8">
        <f>12.4082 * CHOOSE( CONTROL!$C$15, $D$11, 100%, $F$11)</f>
        <v>12.408200000000001</v>
      </c>
      <c r="H435" s="4">
        <f>13.2862 * CHOOSE(CONTROL!$C$15, $D$11, 100%, $F$11)</f>
        <v>13.286199999999999</v>
      </c>
      <c r="I435" s="8">
        <f>12.3388 * CHOOSE(CONTROL!$C$15, $D$11, 100%, $F$11)</f>
        <v>12.338800000000001</v>
      </c>
      <c r="J435" s="4">
        <f>12.1779 * CHOOSE(CONTROL!$C$15, $D$11, 100%, $F$11)</f>
        <v>12.177899999999999</v>
      </c>
      <c r="K435" s="4"/>
      <c r="L435" s="9">
        <v>28.360600000000002</v>
      </c>
      <c r="M435" s="9">
        <v>11.6745</v>
      </c>
      <c r="N435" s="9">
        <v>4.7850000000000001</v>
      </c>
      <c r="O435" s="9">
        <v>0.36199999999999999</v>
      </c>
      <c r="P435" s="9">
        <v>1.2509999999999999</v>
      </c>
      <c r="Q435" s="9">
        <v>19.486799999999999</v>
      </c>
      <c r="R435" s="9"/>
      <c r="S435" s="11"/>
    </row>
    <row r="436" spans="1:19" ht="15.75">
      <c r="A436" s="13">
        <v>54788</v>
      </c>
      <c r="B436" s="8">
        <f>12.6892 * CHOOSE(CONTROL!$C$15, $D$11, 100%, $F$11)</f>
        <v>12.6892</v>
      </c>
      <c r="C436" s="8">
        <f>12.6944 * CHOOSE(CONTROL!$C$15, $D$11, 100%, $F$11)</f>
        <v>12.6944</v>
      </c>
      <c r="D436" s="8">
        <f>12.6789 * CHOOSE( CONTROL!$C$15, $D$11, 100%, $F$11)</f>
        <v>12.678900000000001</v>
      </c>
      <c r="E436" s="12">
        <f>12.684 * CHOOSE( CONTROL!$C$15, $D$11, 100%, $F$11)</f>
        <v>12.683999999999999</v>
      </c>
      <c r="F436" s="4">
        <f>13.3397 * CHOOSE(CONTROL!$C$15, $D$11, 100%, $F$11)</f>
        <v>13.339700000000001</v>
      </c>
      <c r="G436" s="8">
        <f>12.3867 * CHOOSE( CONTROL!$C$15, $D$11, 100%, $F$11)</f>
        <v>12.386699999999999</v>
      </c>
      <c r="H436" s="4">
        <f>13.2637 * CHOOSE(CONTROL!$C$15, $D$11, 100%, $F$11)</f>
        <v>13.2637</v>
      </c>
      <c r="I436" s="8">
        <f>12.3214 * CHOOSE(CONTROL!$C$15, $D$11, 100%, $F$11)</f>
        <v>12.321400000000001</v>
      </c>
      <c r="J436" s="4">
        <f>12.1557 * CHOOSE(CONTROL!$C$15, $D$11, 100%, $F$11)</f>
        <v>12.1557</v>
      </c>
      <c r="K436" s="4"/>
      <c r="L436" s="9">
        <v>29.306000000000001</v>
      </c>
      <c r="M436" s="9">
        <v>12.063700000000001</v>
      </c>
      <c r="N436" s="9">
        <v>4.9444999999999997</v>
      </c>
      <c r="O436" s="9">
        <v>0.37409999999999999</v>
      </c>
      <c r="P436" s="9">
        <v>1.2927</v>
      </c>
      <c r="Q436" s="9">
        <v>20.136399999999998</v>
      </c>
      <c r="R436" s="9"/>
      <c r="S436" s="11"/>
    </row>
    <row r="437" spans="1:19" ht="15.75">
      <c r="A437" s="13">
        <v>54819</v>
      </c>
      <c r="B437" s="8">
        <f>13.0626 * CHOOSE(CONTROL!$C$15, $D$11, 100%, $F$11)</f>
        <v>13.0626</v>
      </c>
      <c r="C437" s="8">
        <f>13.0678 * CHOOSE(CONTROL!$C$15, $D$11, 100%, $F$11)</f>
        <v>13.0678</v>
      </c>
      <c r="D437" s="8">
        <f>13.048 * CHOOSE( CONTROL!$C$15, $D$11, 100%, $F$11)</f>
        <v>13.048</v>
      </c>
      <c r="E437" s="12">
        <f>13.0547 * CHOOSE( CONTROL!$C$15, $D$11, 100%, $F$11)</f>
        <v>13.0547</v>
      </c>
      <c r="F437" s="4">
        <f>13.7131 * CHOOSE(CONTROL!$C$15, $D$11, 100%, $F$11)</f>
        <v>13.713100000000001</v>
      </c>
      <c r="G437" s="8">
        <f>12.7422 * CHOOSE( CONTROL!$C$15, $D$11, 100%, $F$11)</f>
        <v>12.7422</v>
      </c>
      <c r="H437" s="4">
        <f>13.6284 * CHOOSE(CONTROL!$C$15, $D$11, 100%, $F$11)</f>
        <v>13.628399999999999</v>
      </c>
      <c r="I437" s="8">
        <f>12.6392 * CHOOSE(CONTROL!$C$15, $D$11, 100%, $F$11)</f>
        <v>12.639200000000001</v>
      </c>
      <c r="J437" s="4">
        <f>12.5143 * CHOOSE(CONTROL!$C$15, $D$11, 100%, $F$11)</f>
        <v>12.5143</v>
      </c>
      <c r="K437" s="4"/>
      <c r="L437" s="9">
        <v>29.306000000000001</v>
      </c>
      <c r="M437" s="9">
        <v>12.063700000000001</v>
      </c>
      <c r="N437" s="9">
        <v>4.9444999999999997</v>
      </c>
      <c r="O437" s="9">
        <v>0.37409999999999999</v>
      </c>
      <c r="P437" s="9">
        <v>1.2927</v>
      </c>
      <c r="Q437" s="9">
        <v>20.071300000000001</v>
      </c>
      <c r="R437" s="9"/>
      <c r="S437" s="11"/>
    </row>
    <row r="438" spans="1:19" ht="15.75">
      <c r="A438" s="13">
        <v>54847</v>
      </c>
      <c r="B438" s="8">
        <f>12.22 * CHOOSE(CONTROL!$C$15, $D$11, 100%, $F$11)</f>
        <v>12.22</v>
      </c>
      <c r="C438" s="8">
        <f>12.2252 * CHOOSE(CONTROL!$C$15, $D$11, 100%, $F$11)</f>
        <v>12.225199999999999</v>
      </c>
      <c r="D438" s="8">
        <f>12.2053 * CHOOSE( CONTROL!$C$15, $D$11, 100%, $F$11)</f>
        <v>12.205299999999999</v>
      </c>
      <c r="E438" s="12">
        <f>12.212 * CHOOSE( CONTROL!$C$15, $D$11, 100%, $F$11)</f>
        <v>12.212</v>
      </c>
      <c r="F438" s="4">
        <f>12.8705 * CHOOSE(CONTROL!$C$15, $D$11, 100%, $F$11)</f>
        <v>12.8705</v>
      </c>
      <c r="G438" s="8">
        <f>11.9192 * CHOOSE( CONTROL!$C$15, $D$11, 100%, $F$11)</f>
        <v>11.9192</v>
      </c>
      <c r="H438" s="4">
        <f>12.8054 * CHOOSE(CONTROL!$C$15, $D$11, 100%, $F$11)</f>
        <v>12.805400000000001</v>
      </c>
      <c r="I438" s="8">
        <f>11.8297 * CHOOSE(CONTROL!$C$15, $D$11, 100%, $F$11)</f>
        <v>11.829700000000001</v>
      </c>
      <c r="J438" s="4">
        <f>11.7052 * CHOOSE(CONTROL!$C$15, $D$11, 100%, $F$11)</f>
        <v>11.7052</v>
      </c>
      <c r="K438" s="4"/>
      <c r="L438" s="9">
        <v>26.469899999999999</v>
      </c>
      <c r="M438" s="9">
        <v>10.8962</v>
      </c>
      <c r="N438" s="9">
        <v>4.4660000000000002</v>
      </c>
      <c r="O438" s="9">
        <v>0.33789999999999998</v>
      </c>
      <c r="P438" s="9">
        <v>1.1676</v>
      </c>
      <c r="Q438" s="9">
        <v>18.128900000000002</v>
      </c>
      <c r="R438" s="9"/>
      <c r="S438" s="11"/>
    </row>
    <row r="439" spans="1:19" ht="15.75">
      <c r="A439" s="13">
        <v>54878</v>
      </c>
      <c r="B439" s="8">
        <f>11.9605 * CHOOSE(CONTROL!$C$15, $D$11, 100%, $F$11)</f>
        <v>11.9605</v>
      </c>
      <c r="C439" s="8">
        <f>11.9657 * CHOOSE(CONTROL!$C$15, $D$11, 100%, $F$11)</f>
        <v>11.9657</v>
      </c>
      <c r="D439" s="8">
        <f>11.9454 * CHOOSE( CONTROL!$C$15, $D$11, 100%, $F$11)</f>
        <v>11.945399999999999</v>
      </c>
      <c r="E439" s="12">
        <f>11.9523 * CHOOSE( CONTROL!$C$15, $D$11, 100%, $F$11)</f>
        <v>11.952299999999999</v>
      </c>
      <c r="F439" s="4">
        <f>12.6109 * CHOOSE(CONTROL!$C$15, $D$11, 100%, $F$11)</f>
        <v>12.610900000000001</v>
      </c>
      <c r="G439" s="8">
        <f>11.6654 * CHOOSE( CONTROL!$C$15, $D$11, 100%, $F$11)</f>
        <v>11.6654</v>
      </c>
      <c r="H439" s="4">
        <f>12.5519 * CHOOSE(CONTROL!$C$15, $D$11, 100%, $F$11)</f>
        <v>12.5519</v>
      </c>
      <c r="I439" s="8">
        <f>11.5793 * CHOOSE(CONTROL!$C$15, $D$11, 100%, $F$11)</f>
        <v>11.5793</v>
      </c>
      <c r="J439" s="4">
        <f>11.4561 * CHOOSE(CONTROL!$C$15, $D$11, 100%, $F$11)</f>
        <v>11.456099999999999</v>
      </c>
      <c r="K439" s="4"/>
      <c r="L439" s="9">
        <v>29.306000000000001</v>
      </c>
      <c r="M439" s="9">
        <v>12.063700000000001</v>
      </c>
      <c r="N439" s="9">
        <v>4.9444999999999997</v>
      </c>
      <c r="O439" s="9">
        <v>0.37409999999999999</v>
      </c>
      <c r="P439" s="9">
        <v>1.2927</v>
      </c>
      <c r="Q439" s="9">
        <v>20.071300000000001</v>
      </c>
      <c r="R439" s="9"/>
      <c r="S439" s="11"/>
    </row>
    <row r="440" spans="1:19" ht="15.75">
      <c r="A440" s="13">
        <v>54908</v>
      </c>
      <c r="B440" s="8">
        <f>12.1426 * CHOOSE(CONTROL!$C$15, $D$11, 100%, $F$11)</f>
        <v>12.1426</v>
      </c>
      <c r="C440" s="8">
        <f>12.1472 * CHOOSE(CONTROL!$C$15, $D$11, 100%, $F$11)</f>
        <v>12.1472</v>
      </c>
      <c r="D440" s="8">
        <f>12.1777 * CHOOSE( CONTROL!$C$15, $D$11, 100%, $F$11)</f>
        <v>12.1777</v>
      </c>
      <c r="E440" s="12">
        <f>12.1671 * CHOOSE( CONTROL!$C$15, $D$11, 100%, $F$11)</f>
        <v>12.1671</v>
      </c>
      <c r="F440" s="4">
        <f>12.8574 * CHOOSE(CONTROL!$C$15, $D$11, 100%, $F$11)</f>
        <v>12.8574</v>
      </c>
      <c r="G440" s="8">
        <f>11.8437 * CHOOSE( CONTROL!$C$15, $D$11, 100%, $F$11)</f>
        <v>11.8437</v>
      </c>
      <c r="H440" s="4">
        <f>12.7926 * CHOOSE(CONTROL!$C$15, $D$11, 100%, $F$11)</f>
        <v>12.7926</v>
      </c>
      <c r="I440" s="8">
        <f>11.7455 * CHOOSE(CONTROL!$C$15, $D$11, 100%, $F$11)</f>
        <v>11.7455</v>
      </c>
      <c r="J440" s="4">
        <f>11.6302 * CHOOSE(CONTROL!$C$15, $D$11, 100%, $F$11)</f>
        <v>11.6302</v>
      </c>
      <c r="K440" s="4"/>
      <c r="L440" s="9">
        <v>30.092199999999998</v>
      </c>
      <c r="M440" s="9">
        <v>11.6745</v>
      </c>
      <c r="N440" s="9">
        <v>4.7850000000000001</v>
      </c>
      <c r="O440" s="9">
        <v>0.36199999999999999</v>
      </c>
      <c r="P440" s="9">
        <v>1.1791</v>
      </c>
      <c r="Q440" s="9">
        <v>19.4238</v>
      </c>
      <c r="R440" s="9"/>
      <c r="S440" s="11"/>
    </row>
    <row r="441" spans="1:19" ht="15.75">
      <c r="A441" s="13">
        <v>54939</v>
      </c>
      <c r="B441" s="8">
        <f>CHOOSE( CONTROL!$C$32, 12.4691, 12.4667) * CHOOSE(CONTROL!$C$15, $D$11, 100%, $F$11)</f>
        <v>12.469099999999999</v>
      </c>
      <c r="C441" s="8">
        <f>CHOOSE( CONTROL!$C$32, 12.4772, 12.4748) * CHOOSE(CONTROL!$C$15, $D$11, 100%, $F$11)</f>
        <v>12.4772</v>
      </c>
      <c r="D441" s="8">
        <f>CHOOSE( CONTROL!$C$32, 12.5024, 12.5) * CHOOSE( CONTROL!$C$15, $D$11, 100%, $F$11)</f>
        <v>12.5024</v>
      </c>
      <c r="E441" s="12">
        <f>CHOOSE( CONTROL!$C$32, 12.492, 12.4896) * CHOOSE( CONTROL!$C$15, $D$11, 100%, $F$11)</f>
        <v>12.492000000000001</v>
      </c>
      <c r="F441" s="4">
        <f>CHOOSE( CONTROL!$C$32, 13.1825, 13.1802) * CHOOSE(CONTROL!$C$15, $D$11, 100%, $F$11)</f>
        <v>13.182499999999999</v>
      </c>
      <c r="G441" s="8">
        <f>CHOOSE( CONTROL!$C$32, 12.1618, 12.1596) * CHOOSE( CONTROL!$C$15, $D$11, 100%, $F$11)</f>
        <v>12.161799999999999</v>
      </c>
      <c r="H441" s="4">
        <f>CHOOSE( CONTROL!$C$32, 13.1102, 13.1079) * CHOOSE(CONTROL!$C$15, $D$11, 100%, $F$11)</f>
        <v>13.110200000000001</v>
      </c>
      <c r="I441" s="8">
        <f>CHOOSE( CONTROL!$C$32, 12.0581, 12.0558) * CHOOSE(CONTROL!$C$15, $D$11, 100%, $F$11)</f>
        <v>12.0581</v>
      </c>
      <c r="J441" s="4">
        <f>CHOOSE( CONTROL!$C$32, 11.9423, 11.9401) * CHOOSE(CONTROL!$C$15, $D$11, 100%, $F$11)</f>
        <v>11.942299999999999</v>
      </c>
      <c r="K441" s="4"/>
      <c r="L441" s="9">
        <v>30.7165</v>
      </c>
      <c r="M441" s="9">
        <v>12.063700000000001</v>
      </c>
      <c r="N441" s="9">
        <v>4.9444999999999997</v>
      </c>
      <c r="O441" s="9">
        <v>0.37409999999999999</v>
      </c>
      <c r="P441" s="9">
        <v>1.2183999999999999</v>
      </c>
      <c r="Q441" s="9">
        <v>20.071300000000001</v>
      </c>
      <c r="R441" s="9"/>
      <c r="S441" s="11"/>
    </row>
    <row r="442" spans="1:19" ht="15.75">
      <c r="A442" s="13">
        <v>54969</v>
      </c>
      <c r="B442" s="8">
        <f>CHOOSE( CONTROL!$C$32, 12.2691, 12.2668) * CHOOSE(CONTROL!$C$15, $D$11, 100%, $F$11)</f>
        <v>12.2691</v>
      </c>
      <c r="C442" s="8">
        <f>CHOOSE( CONTROL!$C$32, 12.2772, 12.2749) * CHOOSE(CONTROL!$C$15, $D$11, 100%, $F$11)</f>
        <v>12.277200000000001</v>
      </c>
      <c r="D442" s="8">
        <f>CHOOSE( CONTROL!$C$32, 12.3026, 12.3003) * CHOOSE( CONTROL!$C$15, $D$11, 100%, $F$11)</f>
        <v>12.3026</v>
      </c>
      <c r="E442" s="12">
        <f>CHOOSE( CONTROL!$C$32, 12.2922, 12.2899) * CHOOSE( CONTROL!$C$15, $D$11, 100%, $F$11)</f>
        <v>12.292199999999999</v>
      </c>
      <c r="F442" s="4">
        <f>CHOOSE( CONTROL!$C$32, 12.9826, 12.9802) * CHOOSE(CONTROL!$C$15, $D$11, 100%, $F$11)</f>
        <v>12.9826</v>
      </c>
      <c r="G442" s="8">
        <f>CHOOSE( CONTROL!$C$32, 11.9669, 11.9646) * CHOOSE( CONTROL!$C$15, $D$11, 100%, $F$11)</f>
        <v>11.966900000000001</v>
      </c>
      <c r="H442" s="4">
        <f>CHOOSE( CONTROL!$C$32, 12.9149, 12.9126) * CHOOSE(CONTROL!$C$15, $D$11, 100%, $F$11)</f>
        <v>12.914899999999999</v>
      </c>
      <c r="I442" s="8">
        <f>CHOOSE( CONTROL!$C$32, 11.867, 11.8647) * CHOOSE(CONTROL!$C$15, $D$11, 100%, $F$11)</f>
        <v>11.867000000000001</v>
      </c>
      <c r="J442" s="4">
        <f>CHOOSE( CONTROL!$C$32, 11.7504, 11.7481) * CHOOSE(CONTROL!$C$15, $D$11, 100%, $F$11)</f>
        <v>11.750400000000001</v>
      </c>
      <c r="K442" s="4"/>
      <c r="L442" s="9">
        <v>29.7257</v>
      </c>
      <c r="M442" s="9">
        <v>11.6745</v>
      </c>
      <c r="N442" s="9">
        <v>4.7850000000000001</v>
      </c>
      <c r="O442" s="9">
        <v>0.36199999999999999</v>
      </c>
      <c r="P442" s="9">
        <v>1.1791</v>
      </c>
      <c r="Q442" s="9">
        <v>19.4238</v>
      </c>
      <c r="R442" s="9"/>
      <c r="S442" s="11"/>
    </row>
    <row r="443" spans="1:19" ht="15.75">
      <c r="A443" s="13">
        <v>55000</v>
      </c>
      <c r="B443" s="8">
        <f>CHOOSE( CONTROL!$C$32, 12.7957, 12.7933) * CHOOSE(CONTROL!$C$15, $D$11, 100%, $F$11)</f>
        <v>12.7957</v>
      </c>
      <c r="C443" s="8">
        <f>CHOOSE( CONTROL!$C$32, 12.8037, 12.8014) * CHOOSE(CONTROL!$C$15, $D$11, 100%, $F$11)</f>
        <v>12.803699999999999</v>
      </c>
      <c r="D443" s="8">
        <f>CHOOSE( CONTROL!$C$32, 12.8294, 12.8271) * CHOOSE( CONTROL!$C$15, $D$11, 100%, $F$11)</f>
        <v>12.8294</v>
      </c>
      <c r="E443" s="12">
        <f>CHOOSE( CONTROL!$C$32, 12.8189, 12.8166) * CHOOSE( CONTROL!$C$15, $D$11, 100%, $F$11)</f>
        <v>12.818899999999999</v>
      </c>
      <c r="F443" s="4">
        <f>CHOOSE( CONTROL!$C$32, 13.5091, 13.5067) * CHOOSE(CONTROL!$C$15, $D$11, 100%, $F$11)</f>
        <v>13.5091</v>
      </c>
      <c r="G443" s="8">
        <f>CHOOSE( CONTROL!$C$32, 12.4815, 12.4792) * CHOOSE( CONTROL!$C$15, $D$11, 100%, $F$11)</f>
        <v>12.4815</v>
      </c>
      <c r="H443" s="4">
        <f>CHOOSE( CONTROL!$C$32, 13.4291, 13.4269) * CHOOSE(CONTROL!$C$15, $D$11, 100%, $F$11)</f>
        <v>13.4291</v>
      </c>
      <c r="I443" s="8">
        <f>CHOOSE( CONTROL!$C$32, 12.374, 12.3717) * CHOOSE(CONTROL!$C$15, $D$11, 100%, $F$11)</f>
        <v>12.374000000000001</v>
      </c>
      <c r="J443" s="4">
        <f>CHOOSE( CONTROL!$C$32, 12.2559, 12.2536) * CHOOSE(CONTROL!$C$15, $D$11, 100%, $F$11)</f>
        <v>12.2559</v>
      </c>
      <c r="K443" s="4"/>
      <c r="L443" s="9">
        <v>30.7165</v>
      </c>
      <c r="M443" s="9">
        <v>12.063700000000001</v>
      </c>
      <c r="N443" s="9">
        <v>4.9444999999999997</v>
      </c>
      <c r="O443" s="9">
        <v>0.37409999999999999</v>
      </c>
      <c r="P443" s="9">
        <v>1.2183999999999999</v>
      </c>
      <c r="Q443" s="9">
        <v>20.071300000000001</v>
      </c>
      <c r="R443" s="9"/>
      <c r="S443" s="11"/>
    </row>
    <row r="444" spans="1:19" ht="15.75">
      <c r="A444" s="13">
        <v>55031</v>
      </c>
      <c r="B444" s="8">
        <f>CHOOSE( CONTROL!$C$32, 11.8105, 11.8081) * CHOOSE(CONTROL!$C$15, $D$11, 100%, $F$11)</f>
        <v>11.810499999999999</v>
      </c>
      <c r="C444" s="8">
        <f>CHOOSE( CONTROL!$C$32, 11.8185, 11.8162) * CHOOSE(CONTROL!$C$15, $D$11, 100%, $F$11)</f>
        <v>11.8185</v>
      </c>
      <c r="D444" s="8">
        <f>CHOOSE( CONTROL!$C$32, 11.8443, 11.8419) * CHOOSE( CONTROL!$C$15, $D$11, 100%, $F$11)</f>
        <v>11.8443</v>
      </c>
      <c r="E444" s="12">
        <f>CHOOSE( CONTROL!$C$32, 11.8337, 11.8314) * CHOOSE( CONTROL!$C$15, $D$11, 100%, $F$11)</f>
        <v>11.8337</v>
      </c>
      <c r="F444" s="4">
        <f>CHOOSE( CONTROL!$C$32, 12.5239, 12.5215) * CHOOSE(CONTROL!$C$15, $D$11, 100%, $F$11)</f>
        <v>12.523899999999999</v>
      </c>
      <c r="G444" s="8">
        <f>CHOOSE( CONTROL!$C$32, 11.5194, 11.5171) * CHOOSE( CONTROL!$C$15, $D$11, 100%, $F$11)</f>
        <v>11.519399999999999</v>
      </c>
      <c r="H444" s="4">
        <f>CHOOSE( CONTROL!$C$32, 12.4669, 12.4646) * CHOOSE(CONTROL!$C$15, $D$11, 100%, $F$11)</f>
        <v>12.466900000000001</v>
      </c>
      <c r="I444" s="8">
        <f>CHOOSE( CONTROL!$C$32, 11.428, 11.4257) * CHOOSE(CONTROL!$C$15, $D$11, 100%, $F$11)</f>
        <v>11.428000000000001</v>
      </c>
      <c r="J444" s="4">
        <f>CHOOSE( CONTROL!$C$32, 11.31, 11.3077) * CHOOSE(CONTROL!$C$15, $D$11, 100%, $F$11)</f>
        <v>11.31</v>
      </c>
      <c r="K444" s="4"/>
      <c r="L444" s="9">
        <v>30.7165</v>
      </c>
      <c r="M444" s="9">
        <v>12.063700000000001</v>
      </c>
      <c r="N444" s="9">
        <v>4.9444999999999997</v>
      </c>
      <c r="O444" s="9">
        <v>0.37409999999999999</v>
      </c>
      <c r="P444" s="9">
        <v>1.2183999999999999</v>
      </c>
      <c r="Q444" s="9">
        <v>20.071300000000001</v>
      </c>
      <c r="R444" s="9"/>
      <c r="S444" s="11"/>
    </row>
    <row r="445" spans="1:19" ht="15.75">
      <c r="A445" s="13">
        <v>55061</v>
      </c>
      <c r="B445" s="8">
        <f>CHOOSE( CONTROL!$C$32, 11.5638, 11.5614) * CHOOSE(CONTROL!$C$15, $D$11, 100%, $F$11)</f>
        <v>11.563800000000001</v>
      </c>
      <c r="C445" s="8">
        <f>CHOOSE( CONTROL!$C$32, 11.5718, 11.5695) * CHOOSE(CONTROL!$C$15, $D$11, 100%, $F$11)</f>
        <v>11.5718</v>
      </c>
      <c r="D445" s="8">
        <f>CHOOSE( CONTROL!$C$32, 11.5975, 11.5952) * CHOOSE( CONTROL!$C$15, $D$11, 100%, $F$11)</f>
        <v>11.5975</v>
      </c>
      <c r="E445" s="12">
        <f>CHOOSE( CONTROL!$C$32, 11.587, 11.5847) * CHOOSE( CONTROL!$C$15, $D$11, 100%, $F$11)</f>
        <v>11.587</v>
      </c>
      <c r="F445" s="4">
        <f>CHOOSE( CONTROL!$C$32, 12.2772, 12.2748) * CHOOSE(CONTROL!$C$15, $D$11, 100%, $F$11)</f>
        <v>12.277200000000001</v>
      </c>
      <c r="G445" s="8">
        <f>CHOOSE( CONTROL!$C$32, 11.2784, 11.2761) * CHOOSE( CONTROL!$C$15, $D$11, 100%, $F$11)</f>
        <v>11.2784</v>
      </c>
      <c r="H445" s="4">
        <f>CHOOSE( CONTROL!$C$32, 12.2259, 12.2236) * CHOOSE(CONTROL!$C$15, $D$11, 100%, $F$11)</f>
        <v>12.225899999999999</v>
      </c>
      <c r="I445" s="8">
        <f>CHOOSE( CONTROL!$C$32, 11.1909, 11.1886) * CHOOSE(CONTROL!$C$15, $D$11, 100%, $F$11)</f>
        <v>11.190899999999999</v>
      </c>
      <c r="J445" s="4">
        <f>CHOOSE( CONTROL!$C$32, 11.0731, 11.0709) * CHOOSE(CONTROL!$C$15, $D$11, 100%, $F$11)</f>
        <v>11.0731</v>
      </c>
      <c r="K445" s="4"/>
      <c r="L445" s="9">
        <v>29.7257</v>
      </c>
      <c r="M445" s="9">
        <v>11.6745</v>
      </c>
      <c r="N445" s="9">
        <v>4.7850000000000001</v>
      </c>
      <c r="O445" s="9">
        <v>0.36199999999999999</v>
      </c>
      <c r="P445" s="9">
        <v>1.1791</v>
      </c>
      <c r="Q445" s="9">
        <v>19.4238</v>
      </c>
      <c r="R445" s="9"/>
      <c r="S445" s="11"/>
    </row>
    <row r="446" spans="1:19" ht="15.75">
      <c r="A446" s="13">
        <v>55092</v>
      </c>
      <c r="B446" s="8">
        <f>12.0719 * CHOOSE(CONTROL!$C$15, $D$11, 100%, $F$11)</f>
        <v>12.071899999999999</v>
      </c>
      <c r="C446" s="8">
        <f>12.0774 * CHOOSE(CONTROL!$C$15, $D$11, 100%, $F$11)</f>
        <v>12.077400000000001</v>
      </c>
      <c r="D446" s="8">
        <f>12.1082 * CHOOSE( CONTROL!$C$15, $D$11, 100%, $F$11)</f>
        <v>12.1082</v>
      </c>
      <c r="E446" s="12">
        <f>12.0974 * CHOOSE( CONTROL!$C$15, $D$11, 100%, $F$11)</f>
        <v>12.0974</v>
      </c>
      <c r="F446" s="4">
        <f>12.7871 * CHOOSE(CONTROL!$C$15, $D$11, 100%, $F$11)</f>
        <v>12.787100000000001</v>
      </c>
      <c r="G446" s="8">
        <f>11.7762 * CHOOSE( CONTROL!$C$15, $D$11, 100%, $F$11)</f>
        <v>11.776199999999999</v>
      </c>
      <c r="H446" s="4">
        <f>12.724 * CHOOSE(CONTROL!$C$15, $D$11, 100%, $F$11)</f>
        <v>12.724</v>
      </c>
      <c r="I446" s="8">
        <f>11.6815 * CHOOSE(CONTROL!$C$15, $D$11, 100%, $F$11)</f>
        <v>11.6815</v>
      </c>
      <c r="J446" s="4">
        <f>11.5627 * CHOOSE(CONTROL!$C$15, $D$11, 100%, $F$11)</f>
        <v>11.5627</v>
      </c>
      <c r="K446" s="4"/>
      <c r="L446" s="9">
        <v>31.095300000000002</v>
      </c>
      <c r="M446" s="9">
        <v>12.063700000000001</v>
      </c>
      <c r="N446" s="9">
        <v>4.9444999999999997</v>
      </c>
      <c r="O446" s="9">
        <v>0.37409999999999999</v>
      </c>
      <c r="P446" s="9">
        <v>1.2183999999999999</v>
      </c>
      <c r="Q446" s="9">
        <v>20.071300000000001</v>
      </c>
      <c r="R446" s="9"/>
      <c r="S446" s="11"/>
    </row>
    <row r="447" spans="1:19" ht="15.75">
      <c r="A447" s="13">
        <v>55122</v>
      </c>
      <c r="B447" s="8">
        <f>13.017 * CHOOSE(CONTROL!$C$15, $D$11, 100%, $F$11)</f>
        <v>13.016999999999999</v>
      </c>
      <c r="C447" s="8">
        <f>13.0222 * CHOOSE(CONTROL!$C$15, $D$11, 100%, $F$11)</f>
        <v>13.0222</v>
      </c>
      <c r="D447" s="8">
        <f>13.0052 * CHOOSE( CONTROL!$C$15, $D$11, 100%, $F$11)</f>
        <v>13.0052</v>
      </c>
      <c r="E447" s="12">
        <f>13.0109 * CHOOSE( CONTROL!$C$15, $D$11, 100%, $F$11)</f>
        <v>13.010899999999999</v>
      </c>
      <c r="F447" s="4">
        <f>13.6675 * CHOOSE(CONTROL!$C$15, $D$11, 100%, $F$11)</f>
        <v>13.6675</v>
      </c>
      <c r="G447" s="8">
        <f>12.7059 * CHOOSE( CONTROL!$C$15, $D$11, 100%, $F$11)</f>
        <v>12.7059</v>
      </c>
      <c r="H447" s="4">
        <f>13.5839 * CHOOSE(CONTROL!$C$15, $D$11, 100%, $F$11)</f>
        <v>13.5839</v>
      </c>
      <c r="I447" s="8">
        <f>12.6316 * CHOOSE(CONTROL!$C$15, $D$11, 100%, $F$11)</f>
        <v>12.631600000000001</v>
      </c>
      <c r="J447" s="4">
        <f>12.4705 * CHOOSE(CONTROL!$C$15, $D$11, 100%, $F$11)</f>
        <v>12.470499999999999</v>
      </c>
      <c r="K447" s="4"/>
      <c r="L447" s="9">
        <v>28.360600000000002</v>
      </c>
      <c r="M447" s="9">
        <v>11.6745</v>
      </c>
      <c r="N447" s="9">
        <v>4.7850000000000001</v>
      </c>
      <c r="O447" s="9">
        <v>0.36199999999999999</v>
      </c>
      <c r="P447" s="9">
        <v>1.2509999999999999</v>
      </c>
      <c r="Q447" s="9">
        <v>19.4238</v>
      </c>
      <c r="R447" s="9"/>
      <c r="S447" s="11"/>
    </row>
    <row r="448" spans="1:19" ht="15.75">
      <c r="A448" s="13">
        <v>55153</v>
      </c>
      <c r="B448" s="8">
        <f>12.9934 * CHOOSE(CONTROL!$C$15, $D$11, 100%, $F$11)</f>
        <v>12.993399999999999</v>
      </c>
      <c r="C448" s="8">
        <f>12.9986 * CHOOSE(CONTROL!$C$15, $D$11, 100%, $F$11)</f>
        <v>12.9986</v>
      </c>
      <c r="D448" s="8">
        <f>12.9831 * CHOOSE( CONTROL!$C$15, $D$11, 100%, $F$11)</f>
        <v>12.9831</v>
      </c>
      <c r="E448" s="12">
        <f>12.9882 * CHOOSE( CONTROL!$C$15, $D$11, 100%, $F$11)</f>
        <v>12.988200000000001</v>
      </c>
      <c r="F448" s="4">
        <f>13.6439 * CHOOSE(CONTROL!$C$15, $D$11, 100%, $F$11)</f>
        <v>13.6439</v>
      </c>
      <c r="G448" s="8">
        <f>12.6839 * CHOOSE( CONTROL!$C$15, $D$11, 100%, $F$11)</f>
        <v>12.6839</v>
      </c>
      <c r="H448" s="4">
        <f>13.5608 * CHOOSE(CONTROL!$C$15, $D$11, 100%, $F$11)</f>
        <v>13.5608</v>
      </c>
      <c r="I448" s="8">
        <f>12.6136 * CHOOSE(CONTROL!$C$15, $D$11, 100%, $F$11)</f>
        <v>12.6136</v>
      </c>
      <c r="J448" s="4">
        <f>12.4478 * CHOOSE(CONTROL!$C$15, $D$11, 100%, $F$11)</f>
        <v>12.447800000000001</v>
      </c>
      <c r="K448" s="4"/>
      <c r="L448" s="9">
        <v>29.306000000000001</v>
      </c>
      <c r="M448" s="9">
        <v>12.063700000000001</v>
      </c>
      <c r="N448" s="9">
        <v>4.9444999999999997</v>
      </c>
      <c r="O448" s="9">
        <v>0.37409999999999999</v>
      </c>
      <c r="P448" s="9">
        <v>1.2927</v>
      </c>
      <c r="Q448" s="9">
        <v>20.071300000000001</v>
      </c>
      <c r="R448" s="9"/>
      <c r="S448" s="11"/>
    </row>
    <row r="449" spans="1:19" ht="15.75">
      <c r="A449" s="13">
        <v>55184</v>
      </c>
      <c r="B449" s="8">
        <f>13.3758 * CHOOSE(CONTROL!$C$15, $D$11, 100%, $F$11)</f>
        <v>13.3758</v>
      </c>
      <c r="C449" s="8">
        <f>13.381 * CHOOSE(CONTROL!$C$15, $D$11, 100%, $F$11)</f>
        <v>13.381</v>
      </c>
      <c r="D449" s="8">
        <f>13.3612 * CHOOSE( CONTROL!$C$15, $D$11, 100%, $F$11)</f>
        <v>13.3612</v>
      </c>
      <c r="E449" s="12">
        <f>13.3679 * CHOOSE( CONTROL!$C$15, $D$11, 100%, $F$11)</f>
        <v>13.367900000000001</v>
      </c>
      <c r="F449" s="4">
        <f>14.0263 * CHOOSE(CONTROL!$C$15, $D$11, 100%, $F$11)</f>
        <v>14.026300000000001</v>
      </c>
      <c r="G449" s="8">
        <f>13.0481 * CHOOSE( CONTROL!$C$15, $D$11, 100%, $F$11)</f>
        <v>13.0481</v>
      </c>
      <c r="H449" s="4">
        <f>13.9343 * CHOOSE(CONTROL!$C$15, $D$11, 100%, $F$11)</f>
        <v>13.9343</v>
      </c>
      <c r="I449" s="8">
        <f>12.94 * CHOOSE(CONTROL!$C$15, $D$11, 100%, $F$11)</f>
        <v>12.94</v>
      </c>
      <c r="J449" s="4">
        <f>12.815 * CHOOSE(CONTROL!$C$15, $D$11, 100%, $F$11)</f>
        <v>12.815</v>
      </c>
      <c r="K449" s="4"/>
      <c r="L449" s="9">
        <v>29.306000000000001</v>
      </c>
      <c r="M449" s="9">
        <v>12.063700000000001</v>
      </c>
      <c r="N449" s="9">
        <v>4.9444999999999997</v>
      </c>
      <c r="O449" s="9">
        <v>0.37409999999999999</v>
      </c>
      <c r="P449" s="9">
        <v>1.2927</v>
      </c>
      <c r="Q449" s="9">
        <v>20.007999999999999</v>
      </c>
      <c r="R449" s="9"/>
      <c r="S449" s="11"/>
    </row>
    <row r="450" spans="1:19" ht="15.75">
      <c r="A450" s="13">
        <v>55212</v>
      </c>
      <c r="B450" s="8">
        <f>12.5129 * CHOOSE(CONTROL!$C$15, $D$11, 100%, $F$11)</f>
        <v>12.5129</v>
      </c>
      <c r="C450" s="8">
        <f>12.5181 * CHOOSE(CONTROL!$C$15, $D$11, 100%, $F$11)</f>
        <v>12.5181</v>
      </c>
      <c r="D450" s="8">
        <f>12.4982 * CHOOSE( CONTROL!$C$15, $D$11, 100%, $F$11)</f>
        <v>12.498200000000001</v>
      </c>
      <c r="E450" s="12">
        <f>12.5049 * CHOOSE( CONTROL!$C$15, $D$11, 100%, $F$11)</f>
        <v>12.504899999999999</v>
      </c>
      <c r="F450" s="4">
        <f>13.1634 * CHOOSE(CONTROL!$C$15, $D$11, 100%, $F$11)</f>
        <v>13.163399999999999</v>
      </c>
      <c r="G450" s="8">
        <f>12.2053 * CHOOSE( CONTROL!$C$15, $D$11, 100%, $F$11)</f>
        <v>12.205299999999999</v>
      </c>
      <c r="H450" s="4">
        <f>13.0915 * CHOOSE(CONTROL!$C$15, $D$11, 100%, $F$11)</f>
        <v>13.0915</v>
      </c>
      <c r="I450" s="8">
        <f>12.1111 * CHOOSE(CONTROL!$C$15, $D$11, 100%, $F$11)</f>
        <v>12.1111</v>
      </c>
      <c r="J450" s="4">
        <f>11.9865 * CHOOSE(CONTROL!$C$15, $D$11, 100%, $F$11)</f>
        <v>11.986499999999999</v>
      </c>
      <c r="K450" s="4"/>
      <c r="L450" s="9">
        <v>26.469899999999999</v>
      </c>
      <c r="M450" s="9">
        <v>10.8962</v>
      </c>
      <c r="N450" s="9">
        <v>4.4660000000000002</v>
      </c>
      <c r="O450" s="9">
        <v>0.33789999999999998</v>
      </c>
      <c r="P450" s="9">
        <v>1.1676</v>
      </c>
      <c r="Q450" s="9">
        <v>18.0718</v>
      </c>
      <c r="R450" s="9"/>
      <c r="S450" s="11"/>
    </row>
    <row r="451" spans="1:19" ht="15.75">
      <c r="A451" s="13">
        <v>55243</v>
      </c>
      <c r="B451" s="8">
        <f>12.2472 * CHOOSE(CONTROL!$C$15, $D$11, 100%, $F$11)</f>
        <v>12.247199999999999</v>
      </c>
      <c r="C451" s="8">
        <f>12.2524 * CHOOSE(CONTROL!$C$15, $D$11, 100%, $F$11)</f>
        <v>12.2524</v>
      </c>
      <c r="D451" s="8">
        <f>12.2321 * CHOOSE( CONTROL!$C$15, $D$11, 100%, $F$11)</f>
        <v>12.232100000000001</v>
      </c>
      <c r="E451" s="12">
        <f>12.239 * CHOOSE( CONTROL!$C$15, $D$11, 100%, $F$11)</f>
        <v>12.239000000000001</v>
      </c>
      <c r="F451" s="4">
        <f>12.8976 * CHOOSE(CONTROL!$C$15, $D$11, 100%, $F$11)</f>
        <v>12.897600000000001</v>
      </c>
      <c r="G451" s="8">
        <f>11.9454 * CHOOSE( CONTROL!$C$15, $D$11, 100%, $F$11)</f>
        <v>11.945399999999999</v>
      </c>
      <c r="H451" s="4">
        <f>12.8319 * CHOOSE(CONTROL!$C$15, $D$11, 100%, $F$11)</f>
        <v>12.831899999999999</v>
      </c>
      <c r="I451" s="8">
        <f>11.8547 * CHOOSE(CONTROL!$C$15, $D$11, 100%, $F$11)</f>
        <v>11.854699999999999</v>
      </c>
      <c r="J451" s="4">
        <f>11.7313 * CHOOSE(CONTROL!$C$15, $D$11, 100%, $F$11)</f>
        <v>11.731299999999999</v>
      </c>
      <c r="K451" s="4"/>
      <c r="L451" s="9">
        <v>29.306000000000001</v>
      </c>
      <c r="M451" s="9">
        <v>12.063700000000001</v>
      </c>
      <c r="N451" s="9">
        <v>4.9444999999999997</v>
      </c>
      <c r="O451" s="9">
        <v>0.37409999999999999</v>
      </c>
      <c r="P451" s="9">
        <v>1.2927</v>
      </c>
      <c r="Q451" s="9">
        <v>20.007999999999999</v>
      </c>
      <c r="R451" s="9"/>
      <c r="S451" s="11"/>
    </row>
    <row r="452" spans="1:19" ht="15.75">
      <c r="A452" s="13">
        <v>55273</v>
      </c>
      <c r="B452" s="8">
        <f>12.4336 * CHOOSE(CONTROL!$C$15, $D$11, 100%, $F$11)</f>
        <v>12.4336</v>
      </c>
      <c r="C452" s="8">
        <f>12.4383 * CHOOSE(CONTROL!$C$15, $D$11, 100%, $F$11)</f>
        <v>12.4383</v>
      </c>
      <c r="D452" s="8">
        <f>12.4688 * CHOOSE( CONTROL!$C$15, $D$11, 100%, $F$11)</f>
        <v>12.4688</v>
      </c>
      <c r="E452" s="12">
        <f>12.4582 * CHOOSE( CONTROL!$C$15, $D$11, 100%, $F$11)</f>
        <v>12.4582</v>
      </c>
      <c r="F452" s="4">
        <f>13.1484 * CHOOSE(CONTROL!$C$15, $D$11, 100%, $F$11)</f>
        <v>13.148400000000001</v>
      </c>
      <c r="G452" s="8">
        <f>12.128 * CHOOSE( CONTROL!$C$15, $D$11, 100%, $F$11)</f>
        <v>12.128</v>
      </c>
      <c r="H452" s="4">
        <f>13.0769 * CHOOSE(CONTROL!$C$15, $D$11, 100%, $F$11)</f>
        <v>13.0769</v>
      </c>
      <c r="I452" s="8">
        <f>12.025 * CHOOSE(CONTROL!$C$15, $D$11, 100%, $F$11)</f>
        <v>12.025</v>
      </c>
      <c r="J452" s="4">
        <f>11.9096 * CHOOSE(CONTROL!$C$15, $D$11, 100%, $F$11)</f>
        <v>11.909599999999999</v>
      </c>
      <c r="K452" s="4"/>
      <c r="L452" s="9">
        <v>30.092199999999998</v>
      </c>
      <c r="M452" s="9">
        <v>11.6745</v>
      </c>
      <c r="N452" s="9">
        <v>4.7850000000000001</v>
      </c>
      <c r="O452" s="9">
        <v>0.36199999999999999</v>
      </c>
      <c r="P452" s="9">
        <v>1.1791</v>
      </c>
      <c r="Q452" s="9">
        <v>19.3626</v>
      </c>
      <c r="R452" s="9"/>
      <c r="S452" s="11"/>
    </row>
    <row r="453" spans="1:19" ht="15.75">
      <c r="A453" s="13">
        <v>55304</v>
      </c>
      <c r="B453" s="8">
        <f>CHOOSE( CONTROL!$C$32, 12.7679, 12.7655) * CHOOSE(CONTROL!$C$15, $D$11, 100%, $F$11)</f>
        <v>12.767899999999999</v>
      </c>
      <c r="C453" s="8">
        <f>CHOOSE( CONTROL!$C$32, 12.776, 12.7736) * CHOOSE(CONTROL!$C$15, $D$11, 100%, $F$11)</f>
        <v>12.776</v>
      </c>
      <c r="D453" s="8">
        <f>CHOOSE( CONTROL!$C$32, 12.8012, 12.7988) * CHOOSE( CONTROL!$C$15, $D$11, 100%, $F$11)</f>
        <v>12.8012</v>
      </c>
      <c r="E453" s="12">
        <f>CHOOSE( CONTROL!$C$32, 12.7908, 12.7884) * CHOOSE( CONTROL!$C$15, $D$11, 100%, $F$11)</f>
        <v>12.790800000000001</v>
      </c>
      <c r="F453" s="4">
        <f>CHOOSE( CONTROL!$C$32, 13.4813, 13.479) * CHOOSE(CONTROL!$C$15, $D$11, 100%, $F$11)</f>
        <v>13.481299999999999</v>
      </c>
      <c r="G453" s="8">
        <f>CHOOSE( CONTROL!$C$32, 12.4537, 12.4514) * CHOOSE( CONTROL!$C$15, $D$11, 100%, $F$11)</f>
        <v>12.4537</v>
      </c>
      <c r="H453" s="4">
        <f>CHOOSE( CONTROL!$C$32, 13.402, 13.3997) * CHOOSE(CONTROL!$C$15, $D$11, 100%, $F$11)</f>
        <v>13.401999999999999</v>
      </c>
      <c r="I453" s="8">
        <f>CHOOSE( CONTROL!$C$32, 12.3451, 12.3428) * CHOOSE(CONTROL!$C$15, $D$11, 100%, $F$11)</f>
        <v>12.3451</v>
      </c>
      <c r="J453" s="4">
        <f>CHOOSE( CONTROL!$C$32, 12.2292, 12.227) * CHOOSE(CONTROL!$C$15, $D$11, 100%, $F$11)</f>
        <v>12.229200000000001</v>
      </c>
      <c r="K453" s="4"/>
      <c r="L453" s="9">
        <v>30.7165</v>
      </c>
      <c r="M453" s="9">
        <v>12.063700000000001</v>
      </c>
      <c r="N453" s="9">
        <v>4.9444999999999997</v>
      </c>
      <c r="O453" s="9">
        <v>0.37409999999999999</v>
      </c>
      <c r="P453" s="9">
        <v>1.2183999999999999</v>
      </c>
      <c r="Q453" s="9">
        <v>20.007999999999999</v>
      </c>
      <c r="R453" s="9"/>
      <c r="S453" s="11"/>
    </row>
    <row r="454" spans="1:19" ht="15.75">
      <c r="A454" s="13">
        <v>55334</v>
      </c>
      <c r="B454" s="8">
        <f>CHOOSE( CONTROL!$C$32, 12.5631, 12.5608) * CHOOSE(CONTROL!$C$15, $D$11, 100%, $F$11)</f>
        <v>12.5631</v>
      </c>
      <c r="C454" s="8">
        <f>CHOOSE( CONTROL!$C$32, 12.5712, 12.5689) * CHOOSE(CONTROL!$C$15, $D$11, 100%, $F$11)</f>
        <v>12.571199999999999</v>
      </c>
      <c r="D454" s="8">
        <f>CHOOSE( CONTROL!$C$32, 12.5966, 12.5943) * CHOOSE( CONTROL!$C$15, $D$11, 100%, $F$11)</f>
        <v>12.5966</v>
      </c>
      <c r="E454" s="12">
        <f>CHOOSE( CONTROL!$C$32, 12.5862, 12.5839) * CHOOSE( CONTROL!$C$15, $D$11, 100%, $F$11)</f>
        <v>12.5862</v>
      </c>
      <c r="F454" s="4">
        <f>CHOOSE( CONTROL!$C$32, 13.2766, 13.2742) * CHOOSE(CONTROL!$C$15, $D$11, 100%, $F$11)</f>
        <v>13.2766</v>
      </c>
      <c r="G454" s="8">
        <f>CHOOSE( CONTROL!$C$32, 12.254, 12.2517) * CHOOSE( CONTROL!$C$15, $D$11, 100%, $F$11)</f>
        <v>12.254</v>
      </c>
      <c r="H454" s="4">
        <f>CHOOSE( CONTROL!$C$32, 13.202, 13.1997) * CHOOSE(CONTROL!$C$15, $D$11, 100%, $F$11)</f>
        <v>13.202</v>
      </c>
      <c r="I454" s="8">
        <f>CHOOSE( CONTROL!$C$32, 12.1494, 12.1471) * CHOOSE(CONTROL!$C$15, $D$11, 100%, $F$11)</f>
        <v>12.1494</v>
      </c>
      <c r="J454" s="4">
        <f>CHOOSE( CONTROL!$C$32, 12.0326, 12.0304) * CHOOSE(CONTROL!$C$15, $D$11, 100%, $F$11)</f>
        <v>12.0326</v>
      </c>
      <c r="K454" s="4"/>
      <c r="L454" s="9">
        <v>29.7257</v>
      </c>
      <c r="M454" s="9">
        <v>11.6745</v>
      </c>
      <c r="N454" s="9">
        <v>4.7850000000000001</v>
      </c>
      <c r="O454" s="9">
        <v>0.36199999999999999</v>
      </c>
      <c r="P454" s="9">
        <v>1.1791</v>
      </c>
      <c r="Q454" s="9">
        <v>19.3626</v>
      </c>
      <c r="R454" s="9"/>
      <c r="S454" s="11"/>
    </row>
    <row r="455" spans="1:19" ht="15.75">
      <c r="A455" s="13">
        <v>55365</v>
      </c>
      <c r="B455" s="8">
        <f>CHOOSE( CONTROL!$C$32, 13.1023, 13.1) * CHOOSE(CONTROL!$C$15, $D$11, 100%, $F$11)</f>
        <v>13.1023</v>
      </c>
      <c r="C455" s="8">
        <f>CHOOSE( CONTROL!$C$32, 13.1104, 13.1081) * CHOOSE(CONTROL!$C$15, $D$11, 100%, $F$11)</f>
        <v>13.1104</v>
      </c>
      <c r="D455" s="8">
        <f>CHOOSE( CONTROL!$C$32, 13.1361, 13.1337) * CHOOSE( CONTROL!$C$15, $D$11, 100%, $F$11)</f>
        <v>13.136100000000001</v>
      </c>
      <c r="E455" s="12">
        <f>CHOOSE( CONTROL!$C$32, 13.1256, 13.1232) * CHOOSE( CONTROL!$C$15, $D$11, 100%, $F$11)</f>
        <v>13.1256</v>
      </c>
      <c r="F455" s="4">
        <f>CHOOSE( CONTROL!$C$32, 13.8158, 13.8134) * CHOOSE(CONTROL!$C$15, $D$11, 100%, $F$11)</f>
        <v>13.815799999999999</v>
      </c>
      <c r="G455" s="8">
        <f>CHOOSE( CONTROL!$C$32, 12.781, 12.7787) * CHOOSE( CONTROL!$C$15, $D$11, 100%, $F$11)</f>
        <v>12.781000000000001</v>
      </c>
      <c r="H455" s="4">
        <f>CHOOSE( CONTROL!$C$32, 13.7287, 13.7264) * CHOOSE(CONTROL!$C$15, $D$11, 100%, $F$11)</f>
        <v>13.7287</v>
      </c>
      <c r="I455" s="8">
        <f>CHOOSE( CONTROL!$C$32, 12.6685, 12.6663) * CHOOSE(CONTROL!$C$15, $D$11, 100%, $F$11)</f>
        <v>12.6685</v>
      </c>
      <c r="J455" s="4">
        <f>CHOOSE( CONTROL!$C$32, 12.5503, 12.5481) * CHOOSE(CONTROL!$C$15, $D$11, 100%, $F$11)</f>
        <v>12.5503</v>
      </c>
      <c r="K455" s="4"/>
      <c r="L455" s="9">
        <v>30.7165</v>
      </c>
      <c r="M455" s="9">
        <v>12.063700000000001</v>
      </c>
      <c r="N455" s="9">
        <v>4.9444999999999997</v>
      </c>
      <c r="O455" s="9">
        <v>0.37409999999999999</v>
      </c>
      <c r="P455" s="9">
        <v>1.2183999999999999</v>
      </c>
      <c r="Q455" s="9">
        <v>20.007999999999999</v>
      </c>
      <c r="R455" s="9"/>
      <c r="S455" s="11"/>
    </row>
    <row r="456" spans="1:19" ht="15.75">
      <c r="A456" s="13">
        <v>55396</v>
      </c>
      <c r="B456" s="8">
        <f>CHOOSE( CONTROL!$C$32, 12.0934, 12.0911) * CHOOSE(CONTROL!$C$15, $D$11, 100%, $F$11)</f>
        <v>12.093400000000001</v>
      </c>
      <c r="C456" s="8">
        <f>CHOOSE( CONTROL!$C$32, 12.1015, 12.0992) * CHOOSE(CONTROL!$C$15, $D$11, 100%, $F$11)</f>
        <v>12.1015</v>
      </c>
      <c r="D456" s="8">
        <f>CHOOSE( CONTROL!$C$32, 12.1273, 12.1249) * CHOOSE( CONTROL!$C$15, $D$11, 100%, $F$11)</f>
        <v>12.1273</v>
      </c>
      <c r="E456" s="12">
        <f>CHOOSE( CONTROL!$C$32, 12.1167, 12.1144) * CHOOSE( CONTROL!$C$15, $D$11, 100%, $F$11)</f>
        <v>12.1167</v>
      </c>
      <c r="F456" s="4">
        <f>CHOOSE( CONTROL!$C$32, 12.8069, 12.8045) * CHOOSE(CONTROL!$C$15, $D$11, 100%, $F$11)</f>
        <v>12.806900000000001</v>
      </c>
      <c r="G456" s="8">
        <f>CHOOSE( CONTROL!$C$32, 11.7958, 11.7935) * CHOOSE( CONTROL!$C$15, $D$11, 100%, $F$11)</f>
        <v>11.7958</v>
      </c>
      <c r="H456" s="4">
        <f>CHOOSE( CONTROL!$C$32, 12.7433, 12.741) * CHOOSE(CONTROL!$C$15, $D$11, 100%, $F$11)</f>
        <v>12.7433</v>
      </c>
      <c r="I456" s="8">
        <f>CHOOSE( CONTROL!$C$32, 11.6998, 11.6975) * CHOOSE(CONTROL!$C$15, $D$11, 100%, $F$11)</f>
        <v>11.6998</v>
      </c>
      <c r="J456" s="4">
        <f>CHOOSE( CONTROL!$C$32, 11.5817, 11.5794) * CHOOSE(CONTROL!$C$15, $D$11, 100%, $F$11)</f>
        <v>11.5817</v>
      </c>
      <c r="K456" s="4"/>
      <c r="L456" s="9">
        <v>30.7165</v>
      </c>
      <c r="M456" s="9">
        <v>12.063700000000001</v>
      </c>
      <c r="N456" s="9">
        <v>4.9444999999999997</v>
      </c>
      <c r="O456" s="9">
        <v>0.37409999999999999</v>
      </c>
      <c r="P456" s="9">
        <v>1.2183999999999999</v>
      </c>
      <c r="Q456" s="9">
        <v>20.007999999999999</v>
      </c>
      <c r="R456" s="9"/>
      <c r="S456" s="11"/>
    </row>
    <row r="457" spans="1:19" ht="15.75">
      <c r="A457" s="13">
        <v>55426</v>
      </c>
      <c r="B457" s="8">
        <f>CHOOSE( CONTROL!$C$32, 11.8408, 11.8385) * CHOOSE(CONTROL!$C$15, $D$11, 100%, $F$11)</f>
        <v>11.8408</v>
      </c>
      <c r="C457" s="8">
        <f>CHOOSE( CONTROL!$C$32, 11.8489, 11.8466) * CHOOSE(CONTROL!$C$15, $D$11, 100%, $F$11)</f>
        <v>11.8489</v>
      </c>
      <c r="D457" s="8">
        <f>CHOOSE( CONTROL!$C$32, 11.8746, 11.8723) * CHOOSE( CONTROL!$C$15, $D$11, 100%, $F$11)</f>
        <v>11.874599999999999</v>
      </c>
      <c r="E457" s="12">
        <f>CHOOSE( CONTROL!$C$32, 11.8641, 11.8618) * CHOOSE( CONTROL!$C$15, $D$11, 100%, $F$11)</f>
        <v>11.864100000000001</v>
      </c>
      <c r="F457" s="4">
        <f>CHOOSE( CONTROL!$C$32, 12.5542, 12.5519) * CHOOSE(CONTROL!$C$15, $D$11, 100%, $F$11)</f>
        <v>12.5542</v>
      </c>
      <c r="G457" s="8">
        <f>CHOOSE( CONTROL!$C$32, 11.549, 11.5467) * CHOOSE( CONTROL!$C$15, $D$11, 100%, $F$11)</f>
        <v>11.548999999999999</v>
      </c>
      <c r="H457" s="4">
        <f>CHOOSE( CONTROL!$C$32, 12.4965, 12.4942) * CHOOSE(CONTROL!$C$15, $D$11, 100%, $F$11)</f>
        <v>12.496499999999999</v>
      </c>
      <c r="I457" s="8">
        <f>CHOOSE( CONTROL!$C$32, 11.457, 11.4548) * CHOOSE(CONTROL!$C$15, $D$11, 100%, $F$11)</f>
        <v>11.457000000000001</v>
      </c>
      <c r="J457" s="4">
        <f>CHOOSE( CONTROL!$C$32, 11.3391, 11.3369) * CHOOSE(CONTROL!$C$15, $D$11, 100%, $F$11)</f>
        <v>11.3391</v>
      </c>
      <c r="K457" s="4"/>
      <c r="L457" s="9">
        <v>29.7257</v>
      </c>
      <c r="M457" s="9">
        <v>11.6745</v>
      </c>
      <c r="N457" s="9">
        <v>4.7850000000000001</v>
      </c>
      <c r="O457" s="9">
        <v>0.36199999999999999</v>
      </c>
      <c r="P457" s="9">
        <v>1.1791</v>
      </c>
      <c r="Q457" s="9">
        <v>19.3626</v>
      </c>
      <c r="R457" s="9"/>
      <c r="S457" s="11"/>
    </row>
    <row r="458" spans="1:19" ht="15.75">
      <c r="A458" s="13">
        <v>55457</v>
      </c>
      <c r="B458" s="8">
        <f>12.3613 * CHOOSE(CONTROL!$C$15, $D$11, 100%, $F$11)</f>
        <v>12.3613</v>
      </c>
      <c r="C458" s="8">
        <f>12.3667 * CHOOSE(CONTROL!$C$15, $D$11, 100%, $F$11)</f>
        <v>12.3667</v>
      </c>
      <c r="D458" s="8">
        <f>12.3975 * CHOOSE( CONTROL!$C$15, $D$11, 100%, $F$11)</f>
        <v>12.397500000000001</v>
      </c>
      <c r="E458" s="12">
        <f>12.3868 * CHOOSE( CONTROL!$C$15, $D$11, 100%, $F$11)</f>
        <v>12.386799999999999</v>
      </c>
      <c r="F458" s="4">
        <f>13.0765 * CHOOSE(CONTROL!$C$15, $D$11, 100%, $F$11)</f>
        <v>13.076499999999999</v>
      </c>
      <c r="G458" s="8">
        <f>12.0588 * CHOOSE( CONTROL!$C$15, $D$11, 100%, $F$11)</f>
        <v>12.0588</v>
      </c>
      <c r="H458" s="4">
        <f>13.0066 * CHOOSE(CONTROL!$C$15, $D$11, 100%, $F$11)</f>
        <v>13.006600000000001</v>
      </c>
      <c r="I458" s="8">
        <f>11.9595 * CHOOSE(CONTROL!$C$15, $D$11, 100%, $F$11)</f>
        <v>11.9595</v>
      </c>
      <c r="J458" s="4">
        <f>11.8405 * CHOOSE(CONTROL!$C$15, $D$11, 100%, $F$11)</f>
        <v>11.8405</v>
      </c>
      <c r="K458" s="4"/>
      <c r="L458" s="9">
        <v>31.095300000000002</v>
      </c>
      <c r="M458" s="9">
        <v>12.063700000000001</v>
      </c>
      <c r="N458" s="9">
        <v>4.9444999999999997</v>
      </c>
      <c r="O458" s="9">
        <v>0.37409999999999999</v>
      </c>
      <c r="P458" s="9">
        <v>1.2183999999999999</v>
      </c>
      <c r="Q458" s="9">
        <v>20.007999999999999</v>
      </c>
      <c r="R458" s="9"/>
      <c r="S458" s="11"/>
    </row>
    <row r="459" spans="1:19" ht="15.75">
      <c r="A459" s="13">
        <v>55487</v>
      </c>
      <c r="B459" s="8">
        <f>13.3291 * CHOOSE(CONTROL!$C$15, $D$11, 100%, $F$11)</f>
        <v>13.3291</v>
      </c>
      <c r="C459" s="8">
        <f>13.3343 * CHOOSE(CONTROL!$C$15, $D$11, 100%, $F$11)</f>
        <v>13.334300000000001</v>
      </c>
      <c r="D459" s="8">
        <f>13.3173 * CHOOSE( CONTROL!$C$15, $D$11, 100%, $F$11)</f>
        <v>13.317299999999999</v>
      </c>
      <c r="E459" s="12">
        <f>13.323 * CHOOSE( CONTROL!$C$15, $D$11, 100%, $F$11)</f>
        <v>13.323</v>
      </c>
      <c r="F459" s="4">
        <f>13.9796 * CHOOSE(CONTROL!$C$15, $D$11, 100%, $F$11)</f>
        <v>13.9796</v>
      </c>
      <c r="G459" s="8">
        <f>13.0107 * CHOOSE( CONTROL!$C$15, $D$11, 100%, $F$11)</f>
        <v>13.0107</v>
      </c>
      <c r="H459" s="4">
        <f>13.8887 * CHOOSE(CONTROL!$C$15, $D$11, 100%, $F$11)</f>
        <v>13.8887</v>
      </c>
      <c r="I459" s="8">
        <f>12.9313 * CHOOSE(CONTROL!$C$15, $D$11, 100%, $F$11)</f>
        <v>12.9313</v>
      </c>
      <c r="J459" s="4">
        <f>12.7701 * CHOOSE(CONTROL!$C$15, $D$11, 100%, $F$11)</f>
        <v>12.770099999999999</v>
      </c>
      <c r="K459" s="4"/>
      <c r="L459" s="9">
        <v>28.360600000000002</v>
      </c>
      <c r="M459" s="9">
        <v>11.6745</v>
      </c>
      <c r="N459" s="9">
        <v>4.7850000000000001</v>
      </c>
      <c r="O459" s="9">
        <v>0.36199999999999999</v>
      </c>
      <c r="P459" s="9">
        <v>1.2509999999999999</v>
      </c>
      <c r="Q459" s="9">
        <v>19.3626</v>
      </c>
      <c r="R459" s="9"/>
      <c r="S459" s="11"/>
    </row>
    <row r="460" spans="1:19" ht="15.75">
      <c r="A460" s="13">
        <v>55518</v>
      </c>
      <c r="B460" s="8">
        <f>13.3049 * CHOOSE(CONTROL!$C$15, $D$11, 100%, $F$11)</f>
        <v>13.3049</v>
      </c>
      <c r="C460" s="8">
        <f>13.3101 * CHOOSE(CONTROL!$C$15, $D$11, 100%, $F$11)</f>
        <v>13.3101</v>
      </c>
      <c r="D460" s="8">
        <f>13.2946 * CHOOSE( CONTROL!$C$15, $D$11, 100%, $F$11)</f>
        <v>13.294600000000001</v>
      </c>
      <c r="E460" s="12">
        <f>13.2997 * CHOOSE( CONTROL!$C$15, $D$11, 100%, $F$11)</f>
        <v>13.2997</v>
      </c>
      <c r="F460" s="4">
        <f>13.9554 * CHOOSE(CONTROL!$C$15, $D$11, 100%, $F$11)</f>
        <v>13.955399999999999</v>
      </c>
      <c r="G460" s="8">
        <f>12.9881 * CHOOSE( CONTROL!$C$15, $D$11, 100%, $F$11)</f>
        <v>12.988099999999999</v>
      </c>
      <c r="H460" s="4">
        <f>13.865 * CHOOSE(CONTROL!$C$15, $D$11, 100%, $F$11)</f>
        <v>13.865</v>
      </c>
      <c r="I460" s="8">
        <f>12.9128 * CHOOSE(CONTROL!$C$15, $D$11, 100%, $F$11)</f>
        <v>12.912800000000001</v>
      </c>
      <c r="J460" s="4">
        <f>12.7469 * CHOOSE(CONTROL!$C$15, $D$11, 100%, $F$11)</f>
        <v>12.7469</v>
      </c>
      <c r="K460" s="4"/>
      <c r="L460" s="9">
        <v>29.306000000000001</v>
      </c>
      <c r="M460" s="9">
        <v>12.063700000000001</v>
      </c>
      <c r="N460" s="9">
        <v>4.9444999999999997</v>
      </c>
      <c r="O460" s="9">
        <v>0.37409999999999999</v>
      </c>
      <c r="P460" s="9">
        <v>1.2927</v>
      </c>
      <c r="Q460" s="9">
        <v>20.007999999999999</v>
      </c>
      <c r="R460" s="9"/>
      <c r="S460" s="11"/>
    </row>
    <row r="461" spans="1:19" ht="15.75">
      <c r="A461" s="13">
        <v>55549</v>
      </c>
      <c r="B461" s="8">
        <f>13.6965 * CHOOSE(CONTROL!$C$15, $D$11, 100%, $F$11)</f>
        <v>13.6965</v>
      </c>
      <c r="C461" s="8">
        <f>13.7017 * CHOOSE(CONTROL!$C$15, $D$11, 100%, $F$11)</f>
        <v>13.701700000000001</v>
      </c>
      <c r="D461" s="8">
        <f>13.6819 * CHOOSE( CONTROL!$C$15, $D$11, 100%, $F$11)</f>
        <v>13.681900000000001</v>
      </c>
      <c r="E461" s="12">
        <f>13.6886 * CHOOSE( CONTROL!$C$15, $D$11, 100%, $F$11)</f>
        <v>13.688599999999999</v>
      </c>
      <c r="F461" s="4">
        <f>14.347 * CHOOSE(CONTROL!$C$15, $D$11, 100%, $F$11)</f>
        <v>14.347</v>
      </c>
      <c r="G461" s="8">
        <f>13.3613 * CHOOSE( CONTROL!$C$15, $D$11, 100%, $F$11)</f>
        <v>13.3613</v>
      </c>
      <c r="H461" s="4">
        <f>14.2475 * CHOOSE(CONTROL!$C$15, $D$11, 100%, $F$11)</f>
        <v>14.2475</v>
      </c>
      <c r="I461" s="8">
        <f>13.2481 * CHOOSE(CONTROL!$C$15, $D$11, 100%, $F$11)</f>
        <v>13.248100000000001</v>
      </c>
      <c r="J461" s="4">
        <f>13.1229 * CHOOSE(CONTROL!$C$15, $D$11, 100%, $F$11)</f>
        <v>13.1229</v>
      </c>
      <c r="K461" s="4"/>
      <c r="L461" s="9">
        <v>29.306000000000001</v>
      </c>
      <c r="M461" s="9">
        <v>12.063700000000001</v>
      </c>
      <c r="N461" s="9">
        <v>4.9444999999999997</v>
      </c>
      <c r="O461" s="9">
        <v>0.37409999999999999</v>
      </c>
      <c r="P461" s="9">
        <v>1.2927</v>
      </c>
      <c r="Q461" s="9">
        <v>19.942900000000002</v>
      </c>
      <c r="R461" s="9"/>
      <c r="S461" s="11"/>
    </row>
    <row r="462" spans="1:19" ht="15.75">
      <c r="A462" s="13">
        <v>55577</v>
      </c>
      <c r="B462" s="8">
        <f>12.8129 * CHOOSE(CONTROL!$C$15, $D$11, 100%, $F$11)</f>
        <v>12.812900000000001</v>
      </c>
      <c r="C462" s="8">
        <f>12.8181 * CHOOSE(CONTROL!$C$15, $D$11, 100%, $F$11)</f>
        <v>12.818099999999999</v>
      </c>
      <c r="D462" s="8">
        <f>12.7982 * CHOOSE( CONTROL!$C$15, $D$11, 100%, $F$11)</f>
        <v>12.7982</v>
      </c>
      <c r="E462" s="12">
        <f>12.8049 * CHOOSE( CONTROL!$C$15, $D$11, 100%, $F$11)</f>
        <v>12.8049</v>
      </c>
      <c r="F462" s="4">
        <f>13.4634 * CHOOSE(CONTROL!$C$15, $D$11, 100%, $F$11)</f>
        <v>13.4634</v>
      </c>
      <c r="G462" s="8">
        <f>12.4983 * CHOOSE( CONTROL!$C$15, $D$11, 100%, $F$11)</f>
        <v>12.4983</v>
      </c>
      <c r="H462" s="4">
        <f>13.3845 * CHOOSE(CONTROL!$C$15, $D$11, 100%, $F$11)</f>
        <v>13.384499999999999</v>
      </c>
      <c r="I462" s="8">
        <f>12.3992 * CHOOSE(CONTROL!$C$15, $D$11, 100%, $F$11)</f>
        <v>12.3992</v>
      </c>
      <c r="J462" s="4">
        <f>12.2745 * CHOOSE(CONTROL!$C$15, $D$11, 100%, $F$11)</f>
        <v>12.2745</v>
      </c>
      <c r="K462" s="4"/>
      <c r="L462" s="9">
        <v>27.415299999999998</v>
      </c>
      <c r="M462" s="9">
        <v>11.285299999999999</v>
      </c>
      <c r="N462" s="9">
        <v>4.6254999999999997</v>
      </c>
      <c r="O462" s="9">
        <v>0.34989999999999999</v>
      </c>
      <c r="P462" s="9">
        <v>1.2093</v>
      </c>
      <c r="Q462" s="9">
        <v>18.656300000000002</v>
      </c>
      <c r="R462" s="9"/>
      <c r="S462" s="11"/>
    </row>
    <row r="463" spans="1:19" ht="15.75">
      <c r="A463" s="13">
        <v>55609</v>
      </c>
      <c r="B463" s="8">
        <f>12.5408 * CHOOSE(CONTROL!$C$15, $D$11, 100%, $F$11)</f>
        <v>12.540800000000001</v>
      </c>
      <c r="C463" s="8">
        <f>12.5459 * CHOOSE(CONTROL!$C$15, $D$11, 100%, $F$11)</f>
        <v>12.5459</v>
      </c>
      <c r="D463" s="8">
        <f>12.5257 * CHOOSE( CONTROL!$C$15, $D$11, 100%, $F$11)</f>
        <v>12.525700000000001</v>
      </c>
      <c r="E463" s="12">
        <f>12.5325 * CHOOSE( CONTROL!$C$15, $D$11, 100%, $F$11)</f>
        <v>12.532500000000001</v>
      </c>
      <c r="F463" s="4">
        <f>13.1912 * CHOOSE(CONTROL!$C$15, $D$11, 100%, $F$11)</f>
        <v>13.1912</v>
      </c>
      <c r="G463" s="8">
        <f>12.2322 * CHOOSE( CONTROL!$C$15, $D$11, 100%, $F$11)</f>
        <v>12.232200000000001</v>
      </c>
      <c r="H463" s="4">
        <f>13.1187 * CHOOSE(CONTROL!$C$15, $D$11, 100%, $F$11)</f>
        <v>13.1187</v>
      </c>
      <c r="I463" s="8">
        <f>12.1367 * CHOOSE(CONTROL!$C$15, $D$11, 100%, $F$11)</f>
        <v>12.136699999999999</v>
      </c>
      <c r="J463" s="4">
        <f>12.0132 * CHOOSE(CONTROL!$C$15, $D$11, 100%, $F$11)</f>
        <v>12.013199999999999</v>
      </c>
      <c r="K463" s="4"/>
      <c r="L463" s="9">
        <v>29.306000000000001</v>
      </c>
      <c r="M463" s="9">
        <v>12.063700000000001</v>
      </c>
      <c r="N463" s="9">
        <v>4.9444999999999997</v>
      </c>
      <c r="O463" s="9">
        <v>0.37409999999999999</v>
      </c>
      <c r="P463" s="9">
        <v>1.2927</v>
      </c>
      <c r="Q463" s="9">
        <v>19.942900000000002</v>
      </c>
      <c r="R463" s="9"/>
      <c r="S463" s="11"/>
    </row>
    <row r="464" spans="1:19" ht="15.75">
      <c r="A464" s="13">
        <v>55639</v>
      </c>
      <c r="B464" s="8">
        <f>12.7317 * CHOOSE(CONTROL!$C$15, $D$11, 100%, $F$11)</f>
        <v>12.7317</v>
      </c>
      <c r="C464" s="8">
        <f>12.7363 * CHOOSE(CONTROL!$C$15, $D$11, 100%, $F$11)</f>
        <v>12.7363</v>
      </c>
      <c r="D464" s="8">
        <f>12.7668 * CHOOSE( CONTROL!$C$15, $D$11, 100%, $F$11)</f>
        <v>12.7668</v>
      </c>
      <c r="E464" s="12">
        <f>12.7562 * CHOOSE( CONTROL!$C$15, $D$11, 100%, $F$11)</f>
        <v>12.7562</v>
      </c>
      <c r="F464" s="4">
        <f>13.4465 * CHOOSE(CONTROL!$C$15, $D$11, 100%, $F$11)</f>
        <v>13.4465</v>
      </c>
      <c r="G464" s="8">
        <f>12.4191 * CHOOSE( CONTROL!$C$15, $D$11, 100%, $F$11)</f>
        <v>12.4191</v>
      </c>
      <c r="H464" s="4">
        <f>13.368 * CHOOSE(CONTROL!$C$15, $D$11, 100%, $F$11)</f>
        <v>13.368</v>
      </c>
      <c r="I464" s="8">
        <f>12.3114 * CHOOSE(CONTROL!$C$15, $D$11, 100%, $F$11)</f>
        <v>12.311400000000001</v>
      </c>
      <c r="J464" s="4">
        <f>12.1958 * CHOOSE(CONTROL!$C$15, $D$11, 100%, $F$11)</f>
        <v>12.1958</v>
      </c>
      <c r="K464" s="4"/>
      <c r="L464" s="9">
        <v>30.092199999999998</v>
      </c>
      <c r="M464" s="9">
        <v>11.6745</v>
      </c>
      <c r="N464" s="9">
        <v>4.7850000000000001</v>
      </c>
      <c r="O464" s="9">
        <v>0.36199999999999999</v>
      </c>
      <c r="P464" s="9">
        <v>1.1791</v>
      </c>
      <c r="Q464" s="9">
        <v>19.299600000000002</v>
      </c>
      <c r="R464" s="9"/>
      <c r="S464" s="11"/>
    </row>
    <row r="465" spans="1:19" ht="15.75">
      <c r="A465" s="13">
        <v>55670</v>
      </c>
      <c r="B465" s="8">
        <f>CHOOSE( CONTROL!$C$32, 13.0739, 13.0715) * CHOOSE(CONTROL!$C$15, $D$11, 100%, $F$11)</f>
        <v>13.0739</v>
      </c>
      <c r="C465" s="8">
        <f>CHOOSE( CONTROL!$C$32, 13.082, 13.0796) * CHOOSE(CONTROL!$C$15, $D$11, 100%, $F$11)</f>
        <v>13.082000000000001</v>
      </c>
      <c r="D465" s="8">
        <f>CHOOSE( CONTROL!$C$32, 13.1072, 13.1048) * CHOOSE( CONTROL!$C$15, $D$11, 100%, $F$11)</f>
        <v>13.107200000000001</v>
      </c>
      <c r="E465" s="12">
        <f>CHOOSE( CONTROL!$C$32, 13.0968, 13.0944) * CHOOSE( CONTROL!$C$15, $D$11, 100%, $F$11)</f>
        <v>13.0968</v>
      </c>
      <c r="F465" s="4">
        <f>CHOOSE( CONTROL!$C$32, 13.7873, 13.785) * CHOOSE(CONTROL!$C$15, $D$11, 100%, $F$11)</f>
        <v>13.7873</v>
      </c>
      <c r="G465" s="8">
        <f>CHOOSE( CONTROL!$C$32, 12.7526, 12.7503) * CHOOSE( CONTROL!$C$15, $D$11, 100%, $F$11)</f>
        <v>12.752599999999999</v>
      </c>
      <c r="H465" s="4">
        <f>CHOOSE( CONTROL!$C$32, 13.7009, 13.6986) * CHOOSE(CONTROL!$C$15, $D$11, 100%, $F$11)</f>
        <v>13.700900000000001</v>
      </c>
      <c r="I465" s="8">
        <f>CHOOSE( CONTROL!$C$32, 12.639, 12.6368) * CHOOSE(CONTROL!$C$15, $D$11, 100%, $F$11)</f>
        <v>12.638999999999999</v>
      </c>
      <c r="J465" s="4">
        <f>CHOOSE( CONTROL!$C$32, 12.523, 12.5208) * CHOOSE(CONTROL!$C$15, $D$11, 100%, $F$11)</f>
        <v>12.523</v>
      </c>
      <c r="K465" s="4"/>
      <c r="L465" s="9">
        <v>30.7165</v>
      </c>
      <c r="M465" s="9">
        <v>12.063700000000001</v>
      </c>
      <c r="N465" s="9">
        <v>4.9444999999999997</v>
      </c>
      <c r="O465" s="9">
        <v>0.37409999999999999</v>
      </c>
      <c r="P465" s="9">
        <v>1.2183999999999999</v>
      </c>
      <c r="Q465" s="9">
        <v>19.942900000000002</v>
      </c>
      <c r="R465" s="9"/>
      <c r="S465" s="11"/>
    </row>
    <row r="466" spans="1:19" ht="15.75">
      <c r="A466" s="13">
        <v>55700</v>
      </c>
      <c r="B466" s="8">
        <f>CHOOSE( CONTROL!$C$32, 12.8642, 12.8619) * CHOOSE(CONTROL!$C$15, $D$11, 100%, $F$11)</f>
        <v>12.8642</v>
      </c>
      <c r="C466" s="8">
        <f>CHOOSE( CONTROL!$C$32, 12.8723, 12.8699) * CHOOSE(CONTROL!$C$15, $D$11, 100%, $F$11)</f>
        <v>12.872299999999999</v>
      </c>
      <c r="D466" s="8">
        <f>CHOOSE( CONTROL!$C$32, 12.8977, 12.8953) * CHOOSE( CONTROL!$C$15, $D$11, 100%, $F$11)</f>
        <v>12.8977</v>
      </c>
      <c r="E466" s="12">
        <f>CHOOSE( CONTROL!$C$32, 12.8873, 12.8849) * CHOOSE( CONTROL!$C$15, $D$11, 100%, $F$11)</f>
        <v>12.8873</v>
      </c>
      <c r="F466" s="4">
        <f>CHOOSE( CONTROL!$C$32, 13.5776, 13.5753) * CHOOSE(CONTROL!$C$15, $D$11, 100%, $F$11)</f>
        <v>13.5776</v>
      </c>
      <c r="G466" s="8">
        <f>CHOOSE( CONTROL!$C$32, 12.5481, 12.5458) * CHOOSE( CONTROL!$C$15, $D$11, 100%, $F$11)</f>
        <v>12.5481</v>
      </c>
      <c r="H466" s="4">
        <f>CHOOSE( CONTROL!$C$32, 13.4961, 13.4938) * CHOOSE(CONTROL!$C$15, $D$11, 100%, $F$11)</f>
        <v>13.4961</v>
      </c>
      <c r="I466" s="8">
        <f>CHOOSE( CONTROL!$C$32, 12.4386, 12.4363) * CHOOSE(CONTROL!$C$15, $D$11, 100%, $F$11)</f>
        <v>12.438599999999999</v>
      </c>
      <c r="J466" s="4">
        <f>CHOOSE( CONTROL!$C$32, 12.3217, 12.3194) * CHOOSE(CONTROL!$C$15, $D$11, 100%, $F$11)</f>
        <v>12.3217</v>
      </c>
      <c r="K466" s="4"/>
      <c r="L466" s="9">
        <v>29.7257</v>
      </c>
      <c r="M466" s="9">
        <v>11.6745</v>
      </c>
      <c r="N466" s="9">
        <v>4.7850000000000001</v>
      </c>
      <c r="O466" s="9">
        <v>0.36199999999999999</v>
      </c>
      <c r="P466" s="9">
        <v>1.1791</v>
      </c>
      <c r="Q466" s="9">
        <v>19.299600000000002</v>
      </c>
      <c r="R466" s="9"/>
      <c r="S466" s="11"/>
    </row>
    <row r="467" spans="1:19" ht="15.75">
      <c r="A467" s="13">
        <v>55731</v>
      </c>
      <c r="B467" s="8">
        <f>CHOOSE( CONTROL!$C$32, 13.4163, 13.414) * CHOOSE(CONTROL!$C$15, $D$11, 100%, $F$11)</f>
        <v>13.4163</v>
      </c>
      <c r="C467" s="8">
        <f>CHOOSE( CONTROL!$C$32, 13.4244, 13.4221) * CHOOSE(CONTROL!$C$15, $D$11, 100%, $F$11)</f>
        <v>13.4244</v>
      </c>
      <c r="D467" s="8">
        <f>CHOOSE( CONTROL!$C$32, 13.4501, 13.4477) * CHOOSE( CONTROL!$C$15, $D$11, 100%, $F$11)</f>
        <v>13.450100000000001</v>
      </c>
      <c r="E467" s="12">
        <f>CHOOSE( CONTROL!$C$32, 13.4396, 13.4372) * CHOOSE( CONTROL!$C$15, $D$11, 100%, $F$11)</f>
        <v>13.4396</v>
      </c>
      <c r="F467" s="4">
        <f>CHOOSE( CONTROL!$C$32, 14.1298, 14.1274) * CHOOSE(CONTROL!$C$15, $D$11, 100%, $F$11)</f>
        <v>14.129799999999999</v>
      </c>
      <c r="G467" s="8">
        <f>CHOOSE( CONTROL!$C$32, 13.0877, 13.0854) * CHOOSE( CONTROL!$C$15, $D$11, 100%, $F$11)</f>
        <v>13.0877</v>
      </c>
      <c r="H467" s="4">
        <f>CHOOSE( CONTROL!$C$32, 14.0354, 14.0331) * CHOOSE(CONTROL!$C$15, $D$11, 100%, $F$11)</f>
        <v>14.035399999999999</v>
      </c>
      <c r="I467" s="8">
        <f>CHOOSE( CONTROL!$C$32, 12.9702, 12.9679) * CHOOSE(CONTROL!$C$15, $D$11, 100%, $F$11)</f>
        <v>12.9702</v>
      </c>
      <c r="J467" s="4">
        <f>CHOOSE( CONTROL!$C$32, 12.8518, 12.8496) * CHOOSE(CONTROL!$C$15, $D$11, 100%, $F$11)</f>
        <v>12.851800000000001</v>
      </c>
      <c r="K467" s="4"/>
      <c r="L467" s="9">
        <v>30.7165</v>
      </c>
      <c r="M467" s="9">
        <v>12.063700000000001</v>
      </c>
      <c r="N467" s="9">
        <v>4.9444999999999997</v>
      </c>
      <c r="O467" s="9">
        <v>0.37409999999999999</v>
      </c>
      <c r="P467" s="9">
        <v>1.2183999999999999</v>
      </c>
      <c r="Q467" s="9">
        <v>19.942900000000002</v>
      </c>
      <c r="R467" s="9"/>
      <c r="S467" s="11"/>
    </row>
    <row r="468" spans="1:19" ht="15.75">
      <c r="A468" s="13">
        <v>55762</v>
      </c>
      <c r="B468" s="8">
        <f>CHOOSE( CONTROL!$C$32, 12.3832, 12.3809) * CHOOSE(CONTROL!$C$15, $D$11, 100%, $F$11)</f>
        <v>12.3832</v>
      </c>
      <c r="C468" s="8">
        <f>CHOOSE( CONTROL!$C$32, 12.3913, 12.389) * CHOOSE(CONTROL!$C$15, $D$11, 100%, $F$11)</f>
        <v>12.391299999999999</v>
      </c>
      <c r="D468" s="8">
        <f>CHOOSE( CONTROL!$C$32, 12.4171, 12.4147) * CHOOSE( CONTROL!$C$15, $D$11, 100%, $F$11)</f>
        <v>12.4171</v>
      </c>
      <c r="E468" s="12">
        <f>CHOOSE( CONTROL!$C$32, 12.4065, 12.4042) * CHOOSE( CONTROL!$C$15, $D$11, 100%, $F$11)</f>
        <v>12.406499999999999</v>
      </c>
      <c r="F468" s="4">
        <f>CHOOSE( CONTROL!$C$32, 13.0967, 13.0943) * CHOOSE(CONTROL!$C$15, $D$11, 100%, $F$11)</f>
        <v>13.0967</v>
      </c>
      <c r="G468" s="8">
        <f>CHOOSE( CONTROL!$C$32, 12.0788, 12.0765) * CHOOSE( CONTROL!$C$15, $D$11, 100%, $F$11)</f>
        <v>12.078799999999999</v>
      </c>
      <c r="H468" s="4">
        <f>CHOOSE( CONTROL!$C$32, 13.0263, 13.024) * CHOOSE(CONTROL!$C$15, $D$11, 100%, $F$11)</f>
        <v>13.026300000000001</v>
      </c>
      <c r="I468" s="8">
        <f>CHOOSE( CONTROL!$C$32, 11.9782, 11.9759) * CHOOSE(CONTROL!$C$15, $D$11, 100%, $F$11)</f>
        <v>11.978199999999999</v>
      </c>
      <c r="J468" s="4">
        <f>CHOOSE( CONTROL!$C$32, 11.8599, 11.8577) * CHOOSE(CONTROL!$C$15, $D$11, 100%, $F$11)</f>
        <v>11.8599</v>
      </c>
      <c r="K468" s="4"/>
      <c r="L468" s="9">
        <v>30.7165</v>
      </c>
      <c r="M468" s="9">
        <v>12.063700000000001</v>
      </c>
      <c r="N468" s="9">
        <v>4.9444999999999997</v>
      </c>
      <c r="O468" s="9">
        <v>0.37409999999999999</v>
      </c>
      <c r="P468" s="9">
        <v>1.2183999999999999</v>
      </c>
      <c r="Q468" s="9">
        <v>19.942900000000002</v>
      </c>
      <c r="R468" s="9"/>
      <c r="S468" s="11"/>
    </row>
    <row r="469" spans="1:19" ht="15.75">
      <c r="A469" s="13">
        <v>55792</v>
      </c>
      <c r="B469" s="8">
        <f>CHOOSE( CONTROL!$C$32, 12.1245, 12.1222) * CHOOSE(CONTROL!$C$15, $D$11, 100%, $F$11)</f>
        <v>12.124499999999999</v>
      </c>
      <c r="C469" s="8">
        <f>CHOOSE( CONTROL!$C$32, 12.1326, 12.1303) * CHOOSE(CONTROL!$C$15, $D$11, 100%, $F$11)</f>
        <v>12.1326</v>
      </c>
      <c r="D469" s="8">
        <f>CHOOSE( CONTROL!$C$32, 12.1583, 12.156) * CHOOSE( CONTROL!$C$15, $D$11, 100%, $F$11)</f>
        <v>12.158300000000001</v>
      </c>
      <c r="E469" s="12">
        <f>CHOOSE( CONTROL!$C$32, 12.1478, 12.1455) * CHOOSE( CONTROL!$C$15, $D$11, 100%, $F$11)</f>
        <v>12.1478</v>
      </c>
      <c r="F469" s="4">
        <f>CHOOSE( CONTROL!$C$32, 12.838, 12.8356) * CHOOSE(CONTROL!$C$15, $D$11, 100%, $F$11)</f>
        <v>12.837999999999999</v>
      </c>
      <c r="G469" s="8">
        <f>CHOOSE( CONTROL!$C$32, 11.8261, 11.8238) * CHOOSE( CONTROL!$C$15, $D$11, 100%, $F$11)</f>
        <v>11.8261</v>
      </c>
      <c r="H469" s="4">
        <f>CHOOSE( CONTROL!$C$32, 12.7736, 12.7714) * CHOOSE(CONTROL!$C$15, $D$11, 100%, $F$11)</f>
        <v>12.7736</v>
      </c>
      <c r="I469" s="8">
        <f>CHOOSE( CONTROL!$C$32, 11.7295, 11.7273) * CHOOSE(CONTROL!$C$15, $D$11, 100%, $F$11)</f>
        <v>11.7295</v>
      </c>
      <c r="J469" s="4">
        <f>CHOOSE( CONTROL!$C$32, 11.6115, 11.6093) * CHOOSE(CONTROL!$C$15, $D$11, 100%, $F$11)</f>
        <v>11.611499999999999</v>
      </c>
      <c r="K469" s="4"/>
      <c r="L469" s="9">
        <v>29.7257</v>
      </c>
      <c r="M469" s="9">
        <v>11.6745</v>
      </c>
      <c r="N469" s="9">
        <v>4.7850000000000001</v>
      </c>
      <c r="O469" s="9">
        <v>0.36199999999999999</v>
      </c>
      <c r="P469" s="9">
        <v>1.1791</v>
      </c>
      <c r="Q469" s="9">
        <v>19.299600000000002</v>
      </c>
      <c r="R469" s="9"/>
      <c r="S469" s="11"/>
    </row>
    <row r="470" spans="1:19" ht="15.75">
      <c r="A470" s="13">
        <v>55823</v>
      </c>
      <c r="B470" s="8">
        <f>12.6576 * CHOOSE(CONTROL!$C$15, $D$11, 100%, $F$11)</f>
        <v>12.6576</v>
      </c>
      <c r="C470" s="8">
        <f>12.6631 * CHOOSE(CONTROL!$C$15, $D$11, 100%, $F$11)</f>
        <v>12.6631</v>
      </c>
      <c r="D470" s="8">
        <f>12.6938 * CHOOSE( CONTROL!$C$15, $D$11, 100%, $F$11)</f>
        <v>12.6938</v>
      </c>
      <c r="E470" s="12">
        <f>12.6831 * CHOOSE( CONTROL!$C$15, $D$11, 100%, $F$11)</f>
        <v>12.6831</v>
      </c>
      <c r="F470" s="4">
        <f>13.3728 * CHOOSE(CONTROL!$C$15, $D$11, 100%, $F$11)</f>
        <v>13.3728</v>
      </c>
      <c r="G470" s="8">
        <f>12.3482 * CHOOSE( CONTROL!$C$15, $D$11, 100%, $F$11)</f>
        <v>12.3482</v>
      </c>
      <c r="H470" s="4">
        <f>13.296 * CHOOSE(CONTROL!$C$15, $D$11, 100%, $F$11)</f>
        <v>13.295999999999999</v>
      </c>
      <c r="I470" s="8">
        <f>12.2441 * CHOOSE(CONTROL!$C$15, $D$11, 100%, $F$11)</f>
        <v>12.2441</v>
      </c>
      <c r="J470" s="4">
        <f>12.125 * CHOOSE(CONTROL!$C$15, $D$11, 100%, $F$11)</f>
        <v>12.125</v>
      </c>
      <c r="K470" s="4"/>
      <c r="L470" s="9">
        <v>31.095300000000002</v>
      </c>
      <c r="M470" s="9">
        <v>12.063700000000001</v>
      </c>
      <c r="N470" s="9">
        <v>4.9444999999999997</v>
      </c>
      <c r="O470" s="9">
        <v>0.37409999999999999</v>
      </c>
      <c r="P470" s="9">
        <v>1.2183999999999999</v>
      </c>
      <c r="Q470" s="9">
        <v>19.942900000000002</v>
      </c>
      <c r="R470" s="9"/>
      <c r="S470" s="11"/>
    </row>
    <row r="471" spans="1:19" ht="15.75">
      <c r="A471" s="13">
        <v>55853</v>
      </c>
      <c r="B471" s="8">
        <f>13.6487 * CHOOSE(CONTROL!$C$15, $D$11, 100%, $F$11)</f>
        <v>13.6487</v>
      </c>
      <c r="C471" s="8">
        <f>13.6539 * CHOOSE(CONTROL!$C$15, $D$11, 100%, $F$11)</f>
        <v>13.6539</v>
      </c>
      <c r="D471" s="8">
        <f>13.6369 * CHOOSE( CONTROL!$C$15, $D$11, 100%, $F$11)</f>
        <v>13.636900000000001</v>
      </c>
      <c r="E471" s="12">
        <f>13.6426 * CHOOSE( CONTROL!$C$15, $D$11, 100%, $F$11)</f>
        <v>13.6426</v>
      </c>
      <c r="F471" s="4">
        <f>14.2992 * CHOOSE(CONTROL!$C$15, $D$11, 100%, $F$11)</f>
        <v>14.299200000000001</v>
      </c>
      <c r="G471" s="8">
        <f>13.3228 * CHOOSE( CONTROL!$C$15, $D$11, 100%, $F$11)</f>
        <v>13.322800000000001</v>
      </c>
      <c r="H471" s="4">
        <f>14.2008 * CHOOSE(CONTROL!$C$15, $D$11, 100%, $F$11)</f>
        <v>14.200799999999999</v>
      </c>
      <c r="I471" s="8">
        <f>13.2383 * CHOOSE(CONTROL!$C$15, $D$11, 100%, $F$11)</f>
        <v>13.238300000000001</v>
      </c>
      <c r="J471" s="4">
        <f>13.0769 * CHOOSE(CONTROL!$C$15, $D$11, 100%, $F$11)</f>
        <v>13.0769</v>
      </c>
      <c r="K471" s="4"/>
      <c r="L471" s="9">
        <v>28.360600000000002</v>
      </c>
      <c r="M471" s="9">
        <v>11.6745</v>
      </c>
      <c r="N471" s="9">
        <v>4.7850000000000001</v>
      </c>
      <c r="O471" s="9">
        <v>0.36199999999999999</v>
      </c>
      <c r="P471" s="9">
        <v>1.2509999999999999</v>
      </c>
      <c r="Q471" s="9">
        <v>19.299600000000002</v>
      </c>
      <c r="R471" s="9"/>
      <c r="S471" s="11"/>
    </row>
    <row r="472" spans="1:19" ht="15.75">
      <c r="A472" s="13">
        <v>55884</v>
      </c>
      <c r="B472" s="8">
        <f>13.6239 * CHOOSE(CONTROL!$C$15, $D$11, 100%, $F$11)</f>
        <v>13.623900000000001</v>
      </c>
      <c r="C472" s="8">
        <f>13.6291 * CHOOSE(CONTROL!$C$15, $D$11, 100%, $F$11)</f>
        <v>13.629099999999999</v>
      </c>
      <c r="D472" s="8">
        <f>13.6136 * CHOOSE( CONTROL!$C$15, $D$11, 100%, $F$11)</f>
        <v>13.6136</v>
      </c>
      <c r="E472" s="12">
        <f>13.6187 * CHOOSE( CONTROL!$C$15, $D$11, 100%, $F$11)</f>
        <v>13.6187</v>
      </c>
      <c r="F472" s="4">
        <f>14.2744 * CHOOSE(CONTROL!$C$15, $D$11, 100%, $F$11)</f>
        <v>14.2744</v>
      </c>
      <c r="G472" s="8">
        <f>13.2997 * CHOOSE( CONTROL!$C$15, $D$11, 100%, $F$11)</f>
        <v>13.2997</v>
      </c>
      <c r="H472" s="4">
        <f>14.1766 * CHOOSE(CONTROL!$C$15, $D$11, 100%, $F$11)</f>
        <v>14.176600000000001</v>
      </c>
      <c r="I472" s="8">
        <f>13.2193 * CHOOSE(CONTROL!$C$15, $D$11, 100%, $F$11)</f>
        <v>13.2193</v>
      </c>
      <c r="J472" s="4">
        <f>13.0531 * CHOOSE(CONTROL!$C$15, $D$11, 100%, $F$11)</f>
        <v>13.053100000000001</v>
      </c>
      <c r="K472" s="4"/>
      <c r="L472" s="9">
        <v>29.306000000000001</v>
      </c>
      <c r="M472" s="9">
        <v>12.063700000000001</v>
      </c>
      <c r="N472" s="9">
        <v>4.9444999999999997</v>
      </c>
      <c r="O472" s="9">
        <v>0.37409999999999999</v>
      </c>
      <c r="P472" s="9">
        <v>1.2927</v>
      </c>
      <c r="Q472" s="9">
        <v>19.942900000000002</v>
      </c>
      <c r="R472" s="9"/>
      <c r="S472" s="11"/>
    </row>
    <row r="473" spans="1:19" ht="15.75">
      <c r="A473" s="13">
        <v>55915</v>
      </c>
      <c r="B473" s="8">
        <f>14.0249 * CHOOSE(CONTROL!$C$15, $D$11, 100%, $F$11)</f>
        <v>14.024900000000001</v>
      </c>
      <c r="C473" s="8">
        <f>14.0301 * CHOOSE(CONTROL!$C$15, $D$11, 100%, $F$11)</f>
        <v>14.030099999999999</v>
      </c>
      <c r="D473" s="8">
        <f>14.0103 * CHOOSE( CONTROL!$C$15, $D$11, 100%, $F$11)</f>
        <v>14.010300000000001</v>
      </c>
      <c r="E473" s="12">
        <f>14.017 * CHOOSE( CONTROL!$C$15, $D$11, 100%, $F$11)</f>
        <v>14.016999999999999</v>
      </c>
      <c r="F473" s="4">
        <f>14.6754 * CHOOSE(CONTROL!$C$15, $D$11, 100%, $F$11)</f>
        <v>14.6754</v>
      </c>
      <c r="G473" s="8">
        <f>13.6821 * CHOOSE( CONTROL!$C$15, $D$11, 100%, $F$11)</f>
        <v>13.6821</v>
      </c>
      <c r="H473" s="4">
        <f>14.5683 * CHOOSE(CONTROL!$C$15, $D$11, 100%, $F$11)</f>
        <v>14.568300000000001</v>
      </c>
      <c r="I473" s="8">
        <f>13.5636 * CHOOSE(CONTROL!$C$15, $D$11, 100%, $F$11)</f>
        <v>13.563599999999999</v>
      </c>
      <c r="J473" s="4">
        <f>13.4382 * CHOOSE(CONTROL!$C$15, $D$11, 100%, $F$11)</f>
        <v>13.4382</v>
      </c>
      <c r="K473" s="4"/>
      <c r="L473" s="9">
        <v>29.306000000000001</v>
      </c>
      <c r="M473" s="9">
        <v>12.063700000000001</v>
      </c>
      <c r="N473" s="9">
        <v>4.9444999999999997</v>
      </c>
      <c r="O473" s="9">
        <v>0.37409999999999999</v>
      </c>
      <c r="P473" s="9">
        <v>1.2927</v>
      </c>
      <c r="Q473" s="9">
        <v>19.877800000000001</v>
      </c>
      <c r="R473" s="9"/>
      <c r="S473" s="11"/>
    </row>
    <row r="474" spans="1:19" ht="15.75">
      <c r="A474" s="13">
        <v>55943</v>
      </c>
      <c r="B474" s="8">
        <f>13.1201 * CHOOSE(CONTROL!$C$15, $D$11, 100%, $F$11)</f>
        <v>13.120100000000001</v>
      </c>
      <c r="C474" s="8">
        <f>13.1253 * CHOOSE(CONTROL!$C$15, $D$11, 100%, $F$11)</f>
        <v>13.125299999999999</v>
      </c>
      <c r="D474" s="8">
        <f>13.1054 * CHOOSE( CONTROL!$C$15, $D$11, 100%, $F$11)</f>
        <v>13.105399999999999</v>
      </c>
      <c r="E474" s="12">
        <f>13.1121 * CHOOSE( CONTROL!$C$15, $D$11, 100%, $F$11)</f>
        <v>13.1121</v>
      </c>
      <c r="F474" s="4">
        <f>13.7706 * CHOOSE(CONTROL!$C$15, $D$11, 100%, $F$11)</f>
        <v>13.7706</v>
      </c>
      <c r="G474" s="8">
        <f>12.7983 * CHOOSE( CONTROL!$C$15, $D$11, 100%, $F$11)</f>
        <v>12.798299999999999</v>
      </c>
      <c r="H474" s="4">
        <f>13.6845 * CHOOSE(CONTROL!$C$15, $D$11, 100%, $F$11)</f>
        <v>13.6845</v>
      </c>
      <c r="I474" s="8">
        <f>12.6943 * CHOOSE(CONTROL!$C$15, $D$11, 100%, $F$11)</f>
        <v>12.6943</v>
      </c>
      <c r="J474" s="4">
        <f>12.5694 * CHOOSE(CONTROL!$C$15, $D$11, 100%, $F$11)</f>
        <v>12.5694</v>
      </c>
      <c r="K474" s="4"/>
      <c r="L474" s="9">
        <v>26.469899999999999</v>
      </c>
      <c r="M474" s="9">
        <v>10.8962</v>
      </c>
      <c r="N474" s="9">
        <v>4.4660000000000002</v>
      </c>
      <c r="O474" s="9">
        <v>0.33789999999999998</v>
      </c>
      <c r="P474" s="9">
        <v>1.1676</v>
      </c>
      <c r="Q474" s="9">
        <v>17.9542</v>
      </c>
      <c r="R474" s="9"/>
      <c r="S474" s="11"/>
    </row>
    <row r="475" spans="1:19" ht="15.75">
      <c r="A475" s="13">
        <v>55974</v>
      </c>
      <c r="B475" s="8">
        <f>12.8414 * CHOOSE(CONTROL!$C$15, $D$11, 100%, $F$11)</f>
        <v>12.8414</v>
      </c>
      <c r="C475" s="8">
        <f>12.8466 * CHOOSE(CONTROL!$C$15, $D$11, 100%, $F$11)</f>
        <v>12.8466</v>
      </c>
      <c r="D475" s="8">
        <f>12.8264 * CHOOSE( CONTROL!$C$15, $D$11, 100%, $F$11)</f>
        <v>12.8264</v>
      </c>
      <c r="E475" s="12">
        <f>12.8332 * CHOOSE( CONTROL!$C$15, $D$11, 100%, $F$11)</f>
        <v>12.8332</v>
      </c>
      <c r="F475" s="4">
        <f>13.4919 * CHOOSE(CONTROL!$C$15, $D$11, 100%, $F$11)</f>
        <v>13.491899999999999</v>
      </c>
      <c r="G475" s="8">
        <f>12.5258 * CHOOSE( CONTROL!$C$15, $D$11, 100%, $F$11)</f>
        <v>12.5258</v>
      </c>
      <c r="H475" s="4">
        <f>13.4123 * CHOOSE(CONTROL!$C$15, $D$11, 100%, $F$11)</f>
        <v>13.4123</v>
      </c>
      <c r="I475" s="8">
        <f>12.4255 * CHOOSE(CONTROL!$C$15, $D$11, 100%, $F$11)</f>
        <v>12.4255</v>
      </c>
      <c r="J475" s="4">
        <f>12.3018 * CHOOSE(CONTROL!$C$15, $D$11, 100%, $F$11)</f>
        <v>12.3018</v>
      </c>
      <c r="K475" s="4"/>
      <c r="L475" s="9">
        <v>29.306000000000001</v>
      </c>
      <c r="M475" s="9">
        <v>12.063700000000001</v>
      </c>
      <c r="N475" s="9">
        <v>4.9444999999999997</v>
      </c>
      <c r="O475" s="9">
        <v>0.37409999999999999</v>
      </c>
      <c r="P475" s="9">
        <v>1.2927</v>
      </c>
      <c r="Q475" s="9">
        <v>19.877800000000001</v>
      </c>
      <c r="R475" s="9"/>
      <c r="S475" s="11"/>
    </row>
    <row r="476" spans="1:19" ht="15.75">
      <c r="A476" s="13">
        <v>56004</v>
      </c>
      <c r="B476" s="8">
        <f>13.0369 * CHOOSE(CONTROL!$C$15, $D$11, 100%, $F$11)</f>
        <v>13.036899999999999</v>
      </c>
      <c r="C476" s="8">
        <f>13.0415 * CHOOSE(CONTROL!$C$15, $D$11, 100%, $F$11)</f>
        <v>13.041499999999999</v>
      </c>
      <c r="D476" s="8">
        <f>13.0721 * CHOOSE( CONTROL!$C$15, $D$11, 100%, $F$11)</f>
        <v>13.072100000000001</v>
      </c>
      <c r="E476" s="12">
        <f>13.0615 * CHOOSE( CONTROL!$C$15, $D$11, 100%, $F$11)</f>
        <v>13.061500000000001</v>
      </c>
      <c r="F476" s="4">
        <f>13.7517 * CHOOSE(CONTROL!$C$15, $D$11, 100%, $F$11)</f>
        <v>13.7517</v>
      </c>
      <c r="G476" s="8">
        <f>12.7172 * CHOOSE( CONTROL!$C$15, $D$11, 100%, $F$11)</f>
        <v>12.7172</v>
      </c>
      <c r="H476" s="4">
        <f>13.6661 * CHOOSE(CONTROL!$C$15, $D$11, 100%, $F$11)</f>
        <v>13.6661</v>
      </c>
      <c r="I476" s="8">
        <f>12.6045 * CHOOSE(CONTROL!$C$15, $D$11, 100%, $F$11)</f>
        <v>12.6045</v>
      </c>
      <c r="J476" s="4">
        <f>12.4888 * CHOOSE(CONTROL!$C$15, $D$11, 100%, $F$11)</f>
        <v>12.488799999999999</v>
      </c>
      <c r="K476" s="4"/>
      <c r="L476" s="9">
        <v>30.092199999999998</v>
      </c>
      <c r="M476" s="9">
        <v>11.6745</v>
      </c>
      <c r="N476" s="9">
        <v>4.7850000000000001</v>
      </c>
      <c r="O476" s="9">
        <v>0.36199999999999999</v>
      </c>
      <c r="P476" s="9">
        <v>1.1791</v>
      </c>
      <c r="Q476" s="9">
        <v>19.236599999999999</v>
      </c>
      <c r="R476" s="9"/>
      <c r="S476" s="11"/>
    </row>
    <row r="477" spans="1:19" ht="15.75">
      <c r="A477" s="13">
        <v>56035</v>
      </c>
      <c r="B477" s="8">
        <f>CHOOSE( CONTROL!$C$32, 13.3872, 13.3849) * CHOOSE(CONTROL!$C$15, $D$11, 100%, $F$11)</f>
        <v>13.3872</v>
      </c>
      <c r="C477" s="8">
        <f>CHOOSE( CONTROL!$C$32, 13.3953, 13.393) * CHOOSE(CONTROL!$C$15, $D$11, 100%, $F$11)</f>
        <v>13.395300000000001</v>
      </c>
      <c r="D477" s="8">
        <f>CHOOSE( CONTROL!$C$32, 13.4205, 13.4182) * CHOOSE( CONTROL!$C$15, $D$11, 100%, $F$11)</f>
        <v>13.420500000000001</v>
      </c>
      <c r="E477" s="12">
        <f>CHOOSE( CONTROL!$C$32, 13.4101, 13.4078) * CHOOSE( CONTROL!$C$15, $D$11, 100%, $F$11)</f>
        <v>13.4101</v>
      </c>
      <c r="F477" s="4">
        <f>CHOOSE( CONTROL!$C$32, 14.1007, 14.0983) * CHOOSE(CONTROL!$C$15, $D$11, 100%, $F$11)</f>
        <v>14.1007</v>
      </c>
      <c r="G477" s="8">
        <f>CHOOSE( CONTROL!$C$32, 13.0586, 13.0563) * CHOOSE( CONTROL!$C$15, $D$11, 100%, $F$11)</f>
        <v>13.0586</v>
      </c>
      <c r="H477" s="4">
        <f>CHOOSE( CONTROL!$C$32, 14.0069, 14.0046) * CHOOSE(CONTROL!$C$15, $D$11, 100%, $F$11)</f>
        <v>14.0069</v>
      </c>
      <c r="I477" s="8">
        <f>CHOOSE( CONTROL!$C$32, 12.94, 12.9378) * CHOOSE(CONTROL!$C$15, $D$11, 100%, $F$11)</f>
        <v>12.94</v>
      </c>
      <c r="J477" s="4">
        <f>CHOOSE( CONTROL!$C$32, 12.8238, 12.8216) * CHOOSE(CONTROL!$C$15, $D$11, 100%, $F$11)</f>
        <v>12.8238</v>
      </c>
      <c r="K477" s="4"/>
      <c r="L477" s="9">
        <v>30.7165</v>
      </c>
      <c r="M477" s="9">
        <v>12.063700000000001</v>
      </c>
      <c r="N477" s="9">
        <v>4.9444999999999997</v>
      </c>
      <c r="O477" s="9">
        <v>0.37409999999999999</v>
      </c>
      <c r="P477" s="9">
        <v>1.2183999999999999</v>
      </c>
      <c r="Q477" s="9">
        <v>19.877800000000001</v>
      </c>
      <c r="R477" s="9"/>
      <c r="S477" s="11"/>
    </row>
    <row r="478" spans="1:19" ht="15.75">
      <c r="A478" s="13">
        <v>56065</v>
      </c>
      <c r="B478" s="8">
        <f>CHOOSE( CONTROL!$C$32, 13.1725, 13.1702) * CHOOSE(CONTROL!$C$15, $D$11, 100%, $F$11)</f>
        <v>13.172499999999999</v>
      </c>
      <c r="C478" s="8">
        <f>CHOOSE( CONTROL!$C$32, 13.1806, 13.1783) * CHOOSE(CONTROL!$C$15, $D$11, 100%, $F$11)</f>
        <v>13.1806</v>
      </c>
      <c r="D478" s="8">
        <f>CHOOSE( CONTROL!$C$32, 13.206, 13.2037) * CHOOSE( CONTROL!$C$15, $D$11, 100%, $F$11)</f>
        <v>13.206</v>
      </c>
      <c r="E478" s="12">
        <f>CHOOSE( CONTROL!$C$32, 13.1956, 13.1933) * CHOOSE( CONTROL!$C$15, $D$11, 100%, $F$11)</f>
        <v>13.195600000000001</v>
      </c>
      <c r="F478" s="4">
        <f>CHOOSE( CONTROL!$C$32, 13.8859, 13.8836) * CHOOSE(CONTROL!$C$15, $D$11, 100%, $F$11)</f>
        <v>13.885899999999999</v>
      </c>
      <c r="G478" s="8">
        <f>CHOOSE( CONTROL!$C$32, 12.8492, 12.8469) * CHOOSE( CONTROL!$C$15, $D$11, 100%, $F$11)</f>
        <v>12.8492</v>
      </c>
      <c r="H478" s="4">
        <f>CHOOSE( CONTROL!$C$32, 13.7972, 13.7949) * CHOOSE(CONTROL!$C$15, $D$11, 100%, $F$11)</f>
        <v>13.7972</v>
      </c>
      <c r="I478" s="8">
        <f>CHOOSE( CONTROL!$C$32, 12.7347, 12.7325) * CHOOSE(CONTROL!$C$15, $D$11, 100%, $F$11)</f>
        <v>12.7347</v>
      </c>
      <c r="J478" s="4">
        <f>CHOOSE( CONTROL!$C$32, 12.6177, 12.6155) * CHOOSE(CONTROL!$C$15, $D$11, 100%, $F$11)</f>
        <v>12.617699999999999</v>
      </c>
      <c r="K478" s="4"/>
      <c r="L478" s="9">
        <v>29.7257</v>
      </c>
      <c r="M478" s="9">
        <v>11.6745</v>
      </c>
      <c r="N478" s="9">
        <v>4.7850000000000001</v>
      </c>
      <c r="O478" s="9">
        <v>0.36199999999999999</v>
      </c>
      <c r="P478" s="9">
        <v>1.1791</v>
      </c>
      <c r="Q478" s="9">
        <v>19.236599999999999</v>
      </c>
      <c r="R478" s="9"/>
      <c r="S478" s="11"/>
    </row>
    <row r="479" spans="1:19" ht="15.75">
      <c r="A479" s="13">
        <v>56096</v>
      </c>
      <c r="B479" s="8">
        <f>CHOOSE( CONTROL!$C$32, 13.7379, 13.7356) * CHOOSE(CONTROL!$C$15, $D$11, 100%, $F$11)</f>
        <v>13.7379</v>
      </c>
      <c r="C479" s="8">
        <f>CHOOSE( CONTROL!$C$32, 13.746, 13.7437) * CHOOSE(CONTROL!$C$15, $D$11, 100%, $F$11)</f>
        <v>13.746</v>
      </c>
      <c r="D479" s="8">
        <f>CHOOSE( CONTROL!$C$32, 13.7717, 13.7693) * CHOOSE( CONTROL!$C$15, $D$11, 100%, $F$11)</f>
        <v>13.771699999999999</v>
      </c>
      <c r="E479" s="12">
        <f>CHOOSE( CONTROL!$C$32, 13.7612, 13.7588) * CHOOSE( CONTROL!$C$15, $D$11, 100%, $F$11)</f>
        <v>13.761200000000001</v>
      </c>
      <c r="F479" s="4">
        <f>CHOOSE( CONTROL!$C$32, 14.4514, 14.449) * CHOOSE(CONTROL!$C$15, $D$11, 100%, $F$11)</f>
        <v>14.4514</v>
      </c>
      <c r="G479" s="8">
        <f>CHOOSE( CONTROL!$C$32, 13.4018, 13.3995) * CHOOSE( CONTROL!$C$15, $D$11, 100%, $F$11)</f>
        <v>13.4018</v>
      </c>
      <c r="H479" s="4">
        <f>CHOOSE( CONTROL!$C$32, 14.3495, 14.3472) * CHOOSE(CONTROL!$C$15, $D$11, 100%, $F$11)</f>
        <v>14.349500000000001</v>
      </c>
      <c r="I479" s="8">
        <f>CHOOSE( CONTROL!$C$32, 13.2791, 13.2768) * CHOOSE(CONTROL!$C$15, $D$11, 100%, $F$11)</f>
        <v>13.2791</v>
      </c>
      <c r="J479" s="4">
        <f>CHOOSE( CONTROL!$C$32, 13.1606, 13.1583) * CHOOSE(CONTROL!$C$15, $D$11, 100%, $F$11)</f>
        <v>13.160600000000001</v>
      </c>
      <c r="K479" s="4"/>
      <c r="L479" s="9">
        <v>30.7165</v>
      </c>
      <c r="M479" s="9">
        <v>12.063700000000001</v>
      </c>
      <c r="N479" s="9">
        <v>4.9444999999999997</v>
      </c>
      <c r="O479" s="9">
        <v>0.37409999999999999</v>
      </c>
      <c r="P479" s="9">
        <v>1.2183999999999999</v>
      </c>
      <c r="Q479" s="9">
        <v>19.877800000000001</v>
      </c>
      <c r="R479" s="9"/>
      <c r="S479" s="11"/>
    </row>
    <row r="480" spans="1:19" ht="15.75">
      <c r="A480" s="13">
        <v>56127</v>
      </c>
      <c r="B480" s="8">
        <f>CHOOSE( CONTROL!$C$32, 12.68, 12.6776) * CHOOSE(CONTROL!$C$15, $D$11, 100%, $F$11)</f>
        <v>12.68</v>
      </c>
      <c r="C480" s="8">
        <f>CHOOSE( CONTROL!$C$32, 12.6881, 12.6857) * CHOOSE(CONTROL!$C$15, $D$11, 100%, $F$11)</f>
        <v>12.6881</v>
      </c>
      <c r="D480" s="8">
        <f>CHOOSE( CONTROL!$C$32, 12.7138, 12.7115) * CHOOSE( CONTROL!$C$15, $D$11, 100%, $F$11)</f>
        <v>12.713800000000001</v>
      </c>
      <c r="E480" s="12">
        <f>CHOOSE( CONTROL!$C$32, 12.7033, 12.7009) * CHOOSE( CONTROL!$C$15, $D$11, 100%, $F$11)</f>
        <v>12.7033</v>
      </c>
      <c r="F480" s="4">
        <f>CHOOSE( CONTROL!$C$32, 13.3934, 13.3911) * CHOOSE(CONTROL!$C$15, $D$11, 100%, $F$11)</f>
        <v>13.3934</v>
      </c>
      <c r="G480" s="8">
        <f>CHOOSE( CONTROL!$C$32, 12.3686, 12.3663) * CHOOSE( CONTROL!$C$15, $D$11, 100%, $F$11)</f>
        <v>12.368600000000001</v>
      </c>
      <c r="H480" s="4">
        <f>CHOOSE( CONTROL!$C$32, 13.3162, 13.3139) * CHOOSE(CONTROL!$C$15, $D$11, 100%, $F$11)</f>
        <v>13.3162</v>
      </c>
      <c r="I480" s="8">
        <f>CHOOSE( CONTROL!$C$32, 12.2632, 12.261) * CHOOSE(CONTROL!$C$15, $D$11, 100%, $F$11)</f>
        <v>12.263199999999999</v>
      </c>
      <c r="J480" s="4">
        <f>CHOOSE( CONTROL!$C$32, 12.1448, 12.1426) * CHOOSE(CONTROL!$C$15, $D$11, 100%, $F$11)</f>
        <v>12.1448</v>
      </c>
      <c r="K480" s="4"/>
      <c r="L480" s="9">
        <v>30.7165</v>
      </c>
      <c r="M480" s="9">
        <v>12.063700000000001</v>
      </c>
      <c r="N480" s="9">
        <v>4.9444999999999997</v>
      </c>
      <c r="O480" s="9">
        <v>0.37409999999999999</v>
      </c>
      <c r="P480" s="9">
        <v>1.2183999999999999</v>
      </c>
      <c r="Q480" s="9">
        <v>19.877800000000001</v>
      </c>
      <c r="R480" s="9"/>
      <c r="S480" s="11"/>
    </row>
    <row r="481" spans="1:19" ht="15.75">
      <c r="A481" s="13">
        <v>56157</v>
      </c>
      <c r="B481" s="8">
        <f>CHOOSE( CONTROL!$C$32, 12.4151, 12.4127) * CHOOSE(CONTROL!$C$15, $D$11, 100%, $F$11)</f>
        <v>12.415100000000001</v>
      </c>
      <c r="C481" s="8">
        <f>CHOOSE( CONTROL!$C$32, 12.4231, 12.4208) * CHOOSE(CONTROL!$C$15, $D$11, 100%, $F$11)</f>
        <v>12.4231</v>
      </c>
      <c r="D481" s="8">
        <f>CHOOSE( CONTROL!$C$32, 12.4489, 12.4465) * CHOOSE( CONTROL!$C$15, $D$11, 100%, $F$11)</f>
        <v>12.4489</v>
      </c>
      <c r="E481" s="12">
        <f>CHOOSE( CONTROL!$C$32, 12.4383, 12.436) * CHOOSE( CONTROL!$C$15, $D$11, 100%, $F$11)</f>
        <v>12.4383</v>
      </c>
      <c r="F481" s="4">
        <f>CHOOSE( CONTROL!$C$32, 13.1285, 13.1261) * CHOOSE(CONTROL!$C$15, $D$11, 100%, $F$11)</f>
        <v>13.128500000000001</v>
      </c>
      <c r="G481" s="8">
        <f>CHOOSE( CONTROL!$C$32, 12.1099, 12.1076) * CHOOSE( CONTROL!$C$15, $D$11, 100%, $F$11)</f>
        <v>12.1099</v>
      </c>
      <c r="H481" s="4">
        <f>CHOOSE( CONTROL!$C$32, 13.0574, 13.0551) * CHOOSE(CONTROL!$C$15, $D$11, 100%, $F$11)</f>
        <v>13.057399999999999</v>
      </c>
      <c r="I481" s="8">
        <f>CHOOSE( CONTROL!$C$32, 12.0086, 12.0064) * CHOOSE(CONTROL!$C$15, $D$11, 100%, $F$11)</f>
        <v>12.008599999999999</v>
      </c>
      <c r="J481" s="4">
        <f>CHOOSE( CONTROL!$C$32, 11.8905, 11.8882) * CHOOSE(CONTROL!$C$15, $D$11, 100%, $F$11)</f>
        <v>11.890499999999999</v>
      </c>
      <c r="K481" s="4"/>
      <c r="L481" s="9">
        <v>29.7257</v>
      </c>
      <c r="M481" s="9">
        <v>11.6745</v>
      </c>
      <c r="N481" s="9">
        <v>4.7850000000000001</v>
      </c>
      <c r="O481" s="9">
        <v>0.36199999999999999</v>
      </c>
      <c r="P481" s="9">
        <v>1.1791</v>
      </c>
      <c r="Q481" s="9">
        <v>19.236599999999999</v>
      </c>
      <c r="R481" s="9"/>
      <c r="S481" s="11"/>
    </row>
    <row r="482" spans="1:19" ht="15.75">
      <c r="A482" s="13">
        <v>56188</v>
      </c>
      <c r="B482" s="8">
        <f>12.9611 * CHOOSE(CONTROL!$C$15, $D$11, 100%, $F$11)</f>
        <v>12.9611</v>
      </c>
      <c r="C482" s="8">
        <f>12.9665 * CHOOSE(CONTROL!$C$15, $D$11, 100%, $F$11)</f>
        <v>12.9665</v>
      </c>
      <c r="D482" s="8">
        <f>12.9973 * CHOOSE( CONTROL!$C$15, $D$11, 100%, $F$11)</f>
        <v>12.997299999999999</v>
      </c>
      <c r="E482" s="12">
        <f>12.9866 * CHOOSE( CONTROL!$C$15, $D$11, 100%, $F$11)</f>
        <v>12.986599999999999</v>
      </c>
      <c r="F482" s="4">
        <f>13.6762 * CHOOSE(CONTROL!$C$15, $D$11, 100%, $F$11)</f>
        <v>13.6762</v>
      </c>
      <c r="G482" s="8">
        <f>12.6446 * CHOOSE( CONTROL!$C$15, $D$11, 100%, $F$11)</f>
        <v>12.644600000000001</v>
      </c>
      <c r="H482" s="4">
        <f>13.5924 * CHOOSE(CONTROL!$C$15, $D$11, 100%, $F$11)</f>
        <v>13.5924</v>
      </c>
      <c r="I482" s="8">
        <f>12.5356 * CHOOSE(CONTROL!$C$15, $D$11, 100%, $F$11)</f>
        <v>12.535600000000001</v>
      </c>
      <c r="J482" s="4">
        <f>12.4163 * CHOOSE(CONTROL!$C$15, $D$11, 100%, $F$11)</f>
        <v>12.4163</v>
      </c>
      <c r="K482" s="4"/>
      <c r="L482" s="9">
        <v>31.095300000000002</v>
      </c>
      <c r="M482" s="9">
        <v>12.063700000000001</v>
      </c>
      <c r="N482" s="9">
        <v>4.9444999999999997</v>
      </c>
      <c r="O482" s="9">
        <v>0.37409999999999999</v>
      </c>
      <c r="P482" s="9">
        <v>1.2183999999999999</v>
      </c>
      <c r="Q482" s="9">
        <v>19.877800000000001</v>
      </c>
      <c r="R482" s="9"/>
      <c r="S482" s="11"/>
    </row>
    <row r="483" spans="1:19" ht="15.75">
      <c r="A483" s="13">
        <v>56218</v>
      </c>
      <c r="B483" s="8">
        <f>13.976 * CHOOSE(CONTROL!$C$15, $D$11, 100%, $F$11)</f>
        <v>13.976000000000001</v>
      </c>
      <c r="C483" s="8">
        <f>13.9811 * CHOOSE(CONTROL!$C$15, $D$11, 100%, $F$11)</f>
        <v>13.9811</v>
      </c>
      <c r="D483" s="8">
        <f>13.9642 * CHOOSE( CONTROL!$C$15, $D$11, 100%, $F$11)</f>
        <v>13.9642</v>
      </c>
      <c r="E483" s="12">
        <f>13.9698 * CHOOSE( CONTROL!$C$15, $D$11, 100%, $F$11)</f>
        <v>13.969799999999999</v>
      </c>
      <c r="F483" s="4">
        <f>14.6264 * CHOOSE(CONTROL!$C$15, $D$11, 100%, $F$11)</f>
        <v>14.6264</v>
      </c>
      <c r="G483" s="8">
        <f>13.6424 * CHOOSE( CONTROL!$C$15, $D$11, 100%, $F$11)</f>
        <v>13.6424</v>
      </c>
      <c r="H483" s="4">
        <f>14.5204 * CHOOSE(CONTROL!$C$15, $D$11, 100%, $F$11)</f>
        <v>14.5204</v>
      </c>
      <c r="I483" s="8">
        <f>13.5527 * CHOOSE(CONTROL!$C$15, $D$11, 100%, $F$11)</f>
        <v>13.5527</v>
      </c>
      <c r="J483" s="4">
        <f>13.3911 * CHOOSE(CONTROL!$C$15, $D$11, 100%, $F$11)</f>
        <v>13.3911</v>
      </c>
      <c r="K483" s="4"/>
      <c r="L483" s="9">
        <v>28.360600000000002</v>
      </c>
      <c r="M483" s="9">
        <v>11.6745</v>
      </c>
      <c r="N483" s="9">
        <v>4.7850000000000001</v>
      </c>
      <c r="O483" s="9">
        <v>0.36199999999999999</v>
      </c>
      <c r="P483" s="9">
        <v>1.2509999999999999</v>
      </c>
      <c r="Q483" s="9">
        <v>19.236599999999999</v>
      </c>
      <c r="R483" s="9"/>
      <c r="S483" s="11"/>
    </row>
    <row r="484" spans="1:19" ht="15.75">
      <c r="A484" s="13">
        <v>56249</v>
      </c>
      <c r="B484" s="8">
        <f>13.9506 * CHOOSE(CONTROL!$C$15, $D$11, 100%, $F$11)</f>
        <v>13.9506</v>
      </c>
      <c r="C484" s="8">
        <f>13.9558 * CHOOSE(CONTROL!$C$15, $D$11, 100%, $F$11)</f>
        <v>13.9558</v>
      </c>
      <c r="D484" s="8">
        <f>13.9403 * CHOOSE( CONTROL!$C$15, $D$11, 100%, $F$11)</f>
        <v>13.940300000000001</v>
      </c>
      <c r="E484" s="12">
        <f>13.9454 * CHOOSE( CONTROL!$C$15, $D$11, 100%, $F$11)</f>
        <v>13.945399999999999</v>
      </c>
      <c r="F484" s="4">
        <f>14.6011 * CHOOSE(CONTROL!$C$15, $D$11, 100%, $F$11)</f>
        <v>14.601100000000001</v>
      </c>
      <c r="G484" s="8">
        <f>13.6188 * CHOOSE( CONTROL!$C$15, $D$11, 100%, $F$11)</f>
        <v>13.6188</v>
      </c>
      <c r="H484" s="4">
        <f>14.4957 * CHOOSE(CONTROL!$C$15, $D$11, 100%, $F$11)</f>
        <v>14.495699999999999</v>
      </c>
      <c r="I484" s="8">
        <f>13.5331 * CHOOSE(CONTROL!$C$15, $D$11, 100%, $F$11)</f>
        <v>13.533099999999999</v>
      </c>
      <c r="J484" s="4">
        <f>13.3668 * CHOOSE(CONTROL!$C$15, $D$11, 100%, $F$11)</f>
        <v>13.3668</v>
      </c>
      <c r="K484" s="4"/>
      <c r="L484" s="9">
        <v>29.306000000000001</v>
      </c>
      <c r="M484" s="9">
        <v>12.063700000000001</v>
      </c>
      <c r="N484" s="9">
        <v>4.9444999999999997</v>
      </c>
      <c r="O484" s="9">
        <v>0.37409999999999999</v>
      </c>
      <c r="P484" s="9">
        <v>1.2927</v>
      </c>
      <c r="Q484" s="9">
        <v>19.877800000000001</v>
      </c>
      <c r="R484" s="9"/>
      <c r="S484" s="11"/>
    </row>
    <row r="485" spans="1:19" ht="15.75">
      <c r="A485" s="13">
        <v>56280</v>
      </c>
      <c r="B485" s="8">
        <f>14.3613 * CHOOSE(CONTROL!$C$15, $D$11, 100%, $F$11)</f>
        <v>14.3613</v>
      </c>
      <c r="C485" s="8">
        <f>14.3664 * CHOOSE(CONTROL!$C$15, $D$11, 100%, $F$11)</f>
        <v>14.366400000000001</v>
      </c>
      <c r="D485" s="8">
        <f>14.3466 * CHOOSE( CONTROL!$C$15, $D$11, 100%, $F$11)</f>
        <v>14.3466</v>
      </c>
      <c r="E485" s="12">
        <f>14.3533 * CHOOSE( CONTROL!$C$15, $D$11, 100%, $F$11)</f>
        <v>14.353300000000001</v>
      </c>
      <c r="F485" s="4">
        <f>15.0117 * CHOOSE(CONTROL!$C$15, $D$11, 100%, $F$11)</f>
        <v>15.011699999999999</v>
      </c>
      <c r="G485" s="8">
        <f>14.0106 * CHOOSE( CONTROL!$C$15, $D$11, 100%, $F$11)</f>
        <v>14.0106</v>
      </c>
      <c r="H485" s="4">
        <f>14.8968 * CHOOSE(CONTROL!$C$15, $D$11, 100%, $F$11)</f>
        <v>14.896800000000001</v>
      </c>
      <c r="I485" s="8">
        <f>13.8866 * CHOOSE(CONTROL!$C$15, $D$11, 100%, $F$11)</f>
        <v>13.8866</v>
      </c>
      <c r="J485" s="4">
        <f>13.7611 * CHOOSE(CONTROL!$C$15, $D$11, 100%, $F$11)</f>
        <v>13.761100000000001</v>
      </c>
      <c r="K485" s="4"/>
      <c r="L485" s="9">
        <v>29.306000000000001</v>
      </c>
      <c r="M485" s="9">
        <v>12.063700000000001</v>
      </c>
      <c r="N485" s="9">
        <v>4.9444999999999997</v>
      </c>
      <c r="O485" s="9">
        <v>0.37409999999999999</v>
      </c>
      <c r="P485" s="9">
        <v>1.2927</v>
      </c>
      <c r="Q485" s="9">
        <v>19.814599999999999</v>
      </c>
      <c r="R485" s="9"/>
      <c r="S485" s="11"/>
    </row>
    <row r="486" spans="1:19" ht="15.75">
      <c r="A486" s="13">
        <v>56308</v>
      </c>
      <c r="B486" s="8">
        <f>13.4347 * CHOOSE(CONTROL!$C$15, $D$11, 100%, $F$11)</f>
        <v>13.434699999999999</v>
      </c>
      <c r="C486" s="8">
        <f>13.4398 * CHOOSE(CONTROL!$C$15, $D$11, 100%, $F$11)</f>
        <v>13.4398</v>
      </c>
      <c r="D486" s="8">
        <f>13.42 * CHOOSE( CONTROL!$C$15, $D$11, 100%, $F$11)</f>
        <v>13.42</v>
      </c>
      <c r="E486" s="12">
        <f>13.4267 * CHOOSE( CONTROL!$C$15, $D$11, 100%, $F$11)</f>
        <v>13.4267</v>
      </c>
      <c r="F486" s="4">
        <f>14.0851 * CHOOSE(CONTROL!$C$15, $D$11, 100%, $F$11)</f>
        <v>14.085100000000001</v>
      </c>
      <c r="G486" s="8">
        <f>13.1055 * CHOOSE( CONTROL!$C$15, $D$11, 100%, $F$11)</f>
        <v>13.105499999999999</v>
      </c>
      <c r="H486" s="4">
        <f>13.9918 * CHOOSE(CONTROL!$C$15, $D$11, 100%, $F$11)</f>
        <v>13.9918</v>
      </c>
      <c r="I486" s="8">
        <f>12.9964 * CHOOSE(CONTROL!$C$15, $D$11, 100%, $F$11)</f>
        <v>12.9964</v>
      </c>
      <c r="J486" s="4">
        <f>12.8714 * CHOOSE(CONTROL!$C$15, $D$11, 100%, $F$11)</f>
        <v>12.8714</v>
      </c>
      <c r="K486" s="4"/>
      <c r="L486" s="9">
        <v>26.469899999999999</v>
      </c>
      <c r="M486" s="9">
        <v>10.8962</v>
      </c>
      <c r="N486" s="9">
        <v>4.4660000000000002</v>
      </c>
      <c r="O486" s="9">
        <v>0.33789999999999998</v>
      </c>
      <c r="P486" s="9">
        <v>1.1676</v>
      </c>
      <c r="Q486" s="9">
        <v>17.896999999999998</v>
      </c>
      <c r="R486" s="9"/>
      <c r="S486" s="11"/>
    </row>
    <row r="487" spans="1:19" ht="15.75">
      <c r="A487" s="13">
        <v>56339</v>
      </c>
      <c r="B487" s="8">
        <f>13.1493 * CHOOSE(CONTROL!$C$15, $D$11, 100%, $F$11)</f>
        <v>13.1493</v>
      </c>
      <c r="C487" s="8">
        <f>13.1544 * CHOOSE(CONTROL!$C$15, $D$11, 100%, $F$11)</f>
        <v>13.154400000000001</v>
      </c>
      <c r="D487" s="8">
        <f>13.1342 * CHOOSE( CONTROL!$C$15, $D$11, 100%, $F$11)</f>
        <v>13.1342</v>
      </c>
      <c r="E487" s="12">
        <f>13.141 * CHOOSE( CONTROL!$C$15, $D$11, 100%, $F$11)</f>
        <v>13.141</v>
      </c>
      <c r="F487" s="4">
        <f>13.7997 * CHOOSE(CONTROL!$C$15, $D$11, 100%, $F$11)</f>
        <v>13.7997</v>
      </c>
      <c r="G487" s="8">
        <f>12.8265 * CHOOSE( CONTROL!$C$15, $D$11, 100%, $F$11)</f>
        <v>12.826499999999999</v>
      </c>
      <c r="H487" s="4">
        <f>13.713 * CHOOSE(CONTROL!$C$15, $D$11, 100%, $F$11)</f>
        <v>13.712999999999999</v>
      </c>
      <c r="I487" s="8">
        <f>12.7212 * CHOOSE(CONTROL!$C$15, $D$11, 100%, $F$11)</f>
        <v>12.7212</v>
      </c>
      <c r="J487" s="4">
        <f>12.5974 * CHOOSE(CONTROL!$C$15, $D$11, 100%, $F$11)</f>
        <v>12.5974</v>
      </c>
      <c r="K487" s="4"/>
      <c r="L487" s="9">
        <v>29.306000000000001</v>
      </c>
      <c r="M487" s="9">
        <v>12.063700000000001</v>
      </c>
      <c r="N487" s="9">
        <v>4.9444999999999997</v>
      </c>
      <c r="O487" s="9">
        <v>0.37409999999999999</v>
      </c>
      <c r="P487" s="9">
        <v>1.2927</v>
      </c>
      <c r="Q487" s="9">
        <v>19.814599999999999</v>
      </c>
      <c r="R487" s="9"/>
      <c r="S487" s="11"/>
    </row>
    <row r="488" spans="1:19" ht="15.75">
      <c r="A488" s="13">
        <v>56369</v>
      </c>
      <c r="B488" s="8">
        <f>13.3495 * CHOOSE(CONTROL!$C$15, $D$11, 100%, $F$11)</f>
        <v>13.349500000000001</v>
      </c>
      <c r="C488" s="8">
        <f>13.3541 * CHOOSE(CONTROL!$C$15, $D$11, 100%, $F$11)</f>
        <v>13.354100000000001</v>
      </c>
      <c r="D488" s="8">
        <f>13.3846 * CHOOSE( CONTROL!$C$15, $D$11, 100%, $F$11)</f>
        <v>13.384600000000001</v>
      </c>
      <c r="E488" s="12">
        <f>13.374 * CHOOSE( CONTROL!$C$15, $D$11, 100%, $F$11)</f>
        <v>13.374000000000001</v>
      </c>
      <c r="F488" s="4">
        <f>14.0643 * CHOOSE(CONTROL!$C$15, $D$11, 100%, $F$11)</f>
        <v>14.064299999999999</v>
      </c>
      <c r="G488" s="8">
        <f>13.0225 * CHOOSE( CONTROL!$C$15, $D$11, 100%, $F$11)</f>
        <v>13.022500000000001</v>
      </c>
      <c r="H488" s="4">
        <f>13.9714 * CHOOSE(CONTROL!$C$15, $D$11, 100%, $F$11)</f>
        <v>13.971399999999999</v>
      </c>
      <c r="I488" s="8">
        <f>12.9048 * CHOOSE(CONTROL!$C$15, $D$11, 100%, $F$11)</f>
        <v>12.9048</v>
      </c>
      <c r="J488" s="4">
        <f>12.7889 * CHOOSE(CONTROL!$C$15, $D$11, 100%, $F$11)</f>
        <v>12.7889</v>
      </c>
      <c r="K488" s="4"/>
      <c r="L488" s="9">
        <v>30.092199999999998</v>
      </c>
      <c r="M488" s="9">
        <v>11.6745</v>
      </c>
      <c r="N488" s="9">
        <v>4.7850000000000001</v>
      </c>
      <c r="O488" s="9">
        <v>0.36199999999999999</v>
      </c>
      <c r="P488" s="9">
        <v>1.1791</v>
      </c>
      <c r="Q488" s="9">
        <v>19.1754</v>
      </c>
      <c r="R488" s="9"/>
      <c r="S488" s="11"/>
    </row>
    <row r="489" spans="1:19" ht="15.75">
      <c r="A489" s="13">
        <v>56400</v>
      </c>
      <c r="B489" s="8">
        <f>CHOOSE( CONTROL!$C$32, 13.7081, 13.7057) * CHOOSE(CONTROL!$C$15, $D$11, 100%, $F$11)</f>
        <v>13.7081</v>
      </c>
      <c r="C489" s="8">
        <f>CHOOSE( CONTROL!$C$32, 13.7162, 13.7138) * CHOOSE(CONTROL!$C$15, $D$11, 100%, $F$11)</f>
        <v>13.716200000000001</v>
      </c>
      <c r="D489" s="8">
        <f>CHOOSE( CONTROL!$C$32, 13.7414, 13.739) * CHOOSE( CONTROL!$C$15, $D$11, 100%, $F$11)</f>
        <v>13.741400000000001</v>
      </c>
      <c r="E489" s="12">
        <f>CHOOSE( CONTROL!$C$32, 13.731, 13.7286) * CHOOSE( CONTROL!$C$15, $D$11, 100%, $F$11)</f>
        <v>13.731</v>
      </c>
      <c r="F489" s="4">
        <f>CHOOSE( CONTROL!$C$32, 14.4215, 14.4192) * CHOOSE(CONTROL!$C$15, $D$11, 100%, $F$11)</f>
        <v>14.4215</v>
      </c>
      <c r="G489" s="8">
        <f>CHOOSE( CONTROL!$C$32, 13.372, 13.3697) * CHOOSE( CONTROL!$C$15, $D$11, 100%, $F$11)</f>
        <v>13.372</v>
      </c>
      <c r="H489" s="4">
        <f>CHOOSE( CONTROL!$C$32, 14.3203, 14.318) * CHOOSE(CONTROL!$C$15, $D$11, 100%, $F$11)</f>
        <v>14.3203</v>
      </c>
      <c r="I489" s="8">
        <f>CHOOSE( CONTROL!$C$32, 13.2482, 13.246) * CHOOSE(CONTROL!$C$15, $D$11, 100%, $F$11)</f>
        <v>13.248200000000001</v>
      </c>
      <c r="J489" s="4">
        <f>CHOOSE( CONTROL!$C$32, 13.1319, 13.1297) * CHOOSE(CONTROL!$C$15, $D$11, 100%, $F$11)</f>
        <v>13.1319</v>
      </c>
      <c r="K489" s="4"/>
      <c r="L489" s="9">
        <v>30.7165</v>
      </c>
      <c r="M489" s="9">
        <v>12.063700000000001</v>
      </c>
      <c r="N489" s="9">
        <v>4.9444999999999997</v>
      </c>
      <c r="O489" s="9">
        <v>0.37409999999999999</v>
      </c>
      <c r="P489" s="9">
        <v>1.2183999999999999</v>
      </c>
      <c r="Q489" s="9">
        <v>19.814599999999999</v>
      </c>
      <c r="R489" s="9"/>
      <c r="S489" s="11"/>
    </row>
    <row r="490" spans="1:19" ht="15.75">
      <c r="A490" s="13">
        <v>56430</v>
      </c>
      <c r="B490" s="8">
        <f>CHOOSE( CONTROL!$C$32, 13.4882, 13.4859) * CHOOSE(CONTROL!$C$15, $D$11, 100%, $F$11)</f>
        <v>13.488200000000001</v>
      </c>
      <c r="C490" s="8">
        <f>CHOOSE( CONTROL!$C$32, 13.4963, 13.494) * CHOOSE(CONTROL!$C$15, $D$11, 100%, $F$11)</f>
        <v>13.4963</v>
      </c>
      <c r="D490" s="8">
        <f>CHOOSE( CONTROL!$C$32, 13.5217, 13.5194) * CHOOSE( CONTROL!$C$15, $D$11, 100%, $F$11)</f>
        <v>13.521699999999999</v>
      </c>
      <c r="E490" s="12">
        <f>CHOOSE( CONTROL!$C$32, 13.5113, 13.509) * CHOOSE( CONTROL!$C$15, $D$11, 100%, $F$11)</f>
        <v>13.5113</v>
      </c>
      <c r="F490" s="4">
        <f>CHOOSE( CONTROL!$C$32, 14.2017, 14.1993) * CHOOSE(CONTROL!$C$15, $D$11, 100%, $F$11)</f>
        <v>14.201700000000001</v>
      </c>
      <c r="G490" s="8">
        <f>CHOOSE( CONTROL!$C$32, 13.1576, 13.1553) * CHOOSE( CONTROL!$C$15, $D$11, 100%, $F$11)</f>
        <v>13.1576</v>
      </c>
      <c r="H490" s="4">
        <f>CHOOSE( CONTROL!$C$32, 14.1056, 14.1033) * CHOOSE(CONTROL!$C$15, $D$11, 100%, $F$11)</f>
        <v>14.105600000000001</v>
      </c>
      <c r="I490" s="8">
        <f>CHOOSE( CONTROL!$C$32, 13.038, 13.0358) * CHOOSE(CONTROL!$C$15, $D$11, 100%, $F$11)</f>
        <v>13.038</v>
      </c>
      <c r="J490" s="4">
        <f>CHOOSE( CONTROL!$C$32, 12.9208, 12.9186) * CHOOSE(CONTROL!$C$15, $D$11, 100%, $F$11)</f>
        <v>12.9208</v>
      </c>
      <c r="K490" s="4"/>
      <c r="L490" s="9">
        <v>29.7257</v>
      </c>
      <c r="M490" s="9">
        <v>11.6745</v>
      </c>
      <c r="N490" s="9">
        <v>4.7850000000000001</v>
      </c>
      <c r="O490" s="9">
        <v>0.36199999999999999</v>
      </c>
      <c r="P490" s="9">
        <v>1.1791</v>
      </c>
      <c r="Q490" s="9">
        <v>19.1754</v>
      </c>
      <c r="R490" s="9"/>
      <c r="S490" s="11"/>
    </row>
    <row r="491" spans="1:19" ht="15.75">
      <c r="A491" s="13">
        <v>56461</v>
      </c>
      <c r="B491" s="8">
        <f>CHOOSE( CONTROL!$C$32, 14.0672, 14.0649) * CHOOSE(CONTROL!$C$15, $D$11, 100%, $F$11)</f>
        <v>14.0672</v>
      </c>
      <c r="C491" s="8">
        <f>CHOOSE( CONTROL!$C$32, 14.0753, 14.073) * CHOOSE(CONTROL!$C$15, $D$11, 100%, $F$11)</f>
        <v>14.0753</v>
      </c>
      <c r="D491" s="8">
        <f>CHOOSE( CONTROL!$C$32, 14.101, 14.0986) * CHOOSE( CONTROL!$C$15, $D$11, 100%, $F$11)</f>
        <v>14.101000000000001</v>
      </c>
      <c r="E491" s="12">
        <f>CHOOSE( CONTROL!$C$32, 14.0905, 14.0881) * CHOOSE( CONTROL!$C$15, $D$11, 100%, $F$11)</f>
        <v>14.0905</v>
      </c>
      <c r="F491" s="4">
        <f>CHOOSE( CONTROL!$C$32, 14.7807, 14.7783) * CHOOSE(CONTROL!$C$15, $D$11, 100%, $F$11)</f>
        <v>14.7807</v>
      </c>
      <c r="G491" s="8">
        <f>CHOOSE( CONTROL!$C$32, 13.7234, 13.7211) * CHOOSE( CONTROL!$C$15, $D$11, 100%, $F$11)</f>
        <v>13.7234</v>
      </c>
      <c r="H491" s="4">
        <f>CHOOSE( CONTROL!$C$32, 14.6711, 14.6688) * CHOOSE(CONTROL!$C$15, $D$11, 100%, $F$11)</f>
        <v>14.671099999999999</v>
      </c>
      <c r="I491" s="8">
        <f>CHOOSE( CONTROL!$C$32, 13.5954, 13.5931) * CHOOSE(CONTROL!$C$15, $D$11, 100%, $F$11)</f>
        <v>13.5954</v>
      </c>
      <c r="J491" s="4">
        <f>CHOOSE( CONTROL!$C$32, 13.4767, 13.4745) * CHOOSE(CONTROL!$C$15, $D$11, 100%, $F$11)</f>
        <v>13.476699999999999</v>
      </c>
      <c r="K491" s="4"/>
      <c r="L491" s="9">
        <v>30.7165</v>
      </c>
      <c r="M491" s="9">
        <v>12.063700000000001</v>
      </c>
      <c r="N491" s="9">
        <v>4.9444999999999997</v>
      </c>
      <c r="O491" s="9">
        <v>0.37409999999999999</v>
      </c>
      <c r="P491" s="9">
        <v>1.2183999999999999</v>
      </c>
      <c r="Q491" s="9">
        <v>19.814599999999999</v>
      </c>
      <c r="R491" s="9"/>
      <c r="S491" s="11"/>
    </row>
    <row r="492" spans="1:19" ht="15.75">
      <c r="A492" s="13">
        <v>56492</v>
      </c>
      <c r="B492" s="8">
        <f>CHOOSE( CONTROL!$C$32, 12.9839, 12.9815) * CHOOSE(CONTROL!$C$15, $D$11, 100%, $F$11)</f>
        <v>12.9839</v>
      </c>
      <c r="C492" s="8">
        <f>CHOOSE( CONTROL!$C$32, 12.9919, 12.9896) * CHOOSE(CONTROL!$C$15, $D$11, 100%, $F$11)</f>
        <v>12.991899999999999</v>
      </c>
      <c r="D492" s="8">
        <f>CHOOSE( CONTROL!$C$32, 13.0177, 13.0153) * CHOOSE( CONTROL!$C$15, $D$11, 100%, $F$11)</f>
        <v>13.0177</v>
      </c>
      <c r="E492" s="12">
        <f>CHOOSE( CONTROL!$C$32, 13.0071, 13.0048) * CHOOSE( CONTROL!$C$15, $D$11, 100%, $F$11)</f>
        <v>13.007099999999999</v>
      </c>
      <c r="F492" s="4">
        <f>CHOOSE( CONTROL!$C$32, 13.6973, 13.6949) * CHOOSE(CONTROL!$C$15, $D$11, 100%, $F$11)</f>
        <v>13.6973</v>
      </c>
      <c r="G492" s="8">
        <f>CHOOSE( CONTROL!$C$32, 12.6654, 12.6631) * CHOOSE( CONTROL!$C$15, $D$11, 100%, $F$11)</f>
        <v>12.6654</v>
      </c>
      <c r="H492" s="4">
        <f>CHOOSE( CONTROL!$C$32, 13.613, 13.6107) * CHOOSE(CONTROL!$C$15, $D$11, 100%, $F$11)</f>
        <v>13.613</v>
      </c>
      <c r="I492" s="8">
        <f>CHOOSE( CONTROL!$C$32, 12.5551, 12.5529) * CHOOSE(CONTROL!$C$15, $D$11, 100%, $F$11)</f>
        <v>12.555099999999999</v>
      </c>
      <c r="J492" s="4">
        <f>CHOOSE( CONTROL!$C$32, 12.4366, 12.4343) * CHOOSE(CONTROL!$C$15, $D$11, 100%, $F$11)</f>
        <v>12.4366</v>
      </c>
      <c r="K492" s="4"/>
      <c r="L492" s="9">
        <v>30.7165</v>
      </c>
      <c r="M492" s="9">
        <v>12.063700000000001</v>
      </c>
      <c r="N492" s="9">
        <v>4.9444999999999997</v>
      </c>
      <c r="O492" s="9">
        <v>0.37409999999999999</v>
      </c>
      <c r="P492" s="9">
        <v>1.2183999999999999</v>
      </c>
      <c r="Q492" s="9">
        <v>19.814599999999999</v>
      </c>
      <c r="R492" s="9"/>
      <c r="S492" s="11"/>
    </row>
    <row r="493" spans="1:19" ht="15.75">
      <c r="A493" s="13">
        <v>56522</v>
      </c>
      <c r="B493" s="8">
        <f>CHOOSE( CONTROL!$C$32, 12.7126, 12.7102) * CHOOSE(CONTROL!$C$15, $D$11, 100%, $F$11)</f>
        <v>12.7126</v>
      </c>
      <c r="C493" s="8">
        <f>CHOOSE( CONTROL!$C$32, 12.7207, 12.7183) * CHOOSE(CONTROL!$C$15, $D$11, 100%, $F$11)</f>
        <v>12.720700000000001</v>
      </c>
      <c r="D493" s="8">
        <f>CHOOSE( CONTROL!$C$32, 12.7464, 12.744) * CHOOSE( CONTROL!$C$15, $D$11, 100%, $F$11)</f>
        <v>12.7464</v>
      </c>
      <c r="E493" s="12">
        <f>CHOOSE( CONTROL!$C$32, 12.7359, 12.7335) * CHOOSE( CONTROL!$C$15, $D$11, 100%, $F$11)</f>
        <v>12.735900000000001</v>
      </c>
      <c r="F493" s="4">
        <f>CHOOSE( CONTROL!$C$32, 13.426, 13.4237) * CHOOSE(CONTROL!$C$15, $D$11, 100%, $F$11)</f>
        <v>13.426</v>
      </c>
      <c r="G493" s="8">
        <f>CHOOSE( CONTROL!$C$32, 12.4004, 12.3981) * CHOOSE( CONTROL!$C$15, $D$11, 100%, $F$11)</f>
        <v>12.400399999999999</v>
      </c>
      <c r="H493" s="4">
        <f>CHOOSE( CONTROL!$C$32, 13.348, 13.3457) * CHOOSE(CONTROL!$C$15, $D$11, 100%, $F$11)</f>
        <v>13.348000000000001</v>
      </c>
      <c r="I493" s="8">
        <f>CHOOSE( CONTROL!$C$32, 12.2944, 12.2922) * CHOOSE(CONTROL!$C$15, $D$11, 100%, $F$11)</f>
        <v>12.2944</v>
      </c>
      <c r="J493" s="4">
        <f>CHOOSE( CONTROL!$C$32, 12.1761, 12.1739) * CHOOSE(CONTROL!$C$15, $D$11, 100%, $F$11)</f>
        <v>12.1761</v>
      </c>
      <c r="K493" s="4"/>
      <c r="L493" s="9">
        <v>29.7257</v>
      </c>
      <c r="M493" s="9">
        <v>11.6745</v>
      </c>
      <c r="N493" s="9">
        <v>4.7850000000000001</v>
      </c>
      <c r="O493" s="9">
        <v>0.36199999999999999</v>
      </c>
      <c r="P493" s="9">
        <v>1.1791</v>
      </c>
      <c r="Q493" s="9">
        <v>19.1754</v>
      </c>
      <c r="R493" s="9"/>
      <c r="S493" s="11"/>
    </row>
    <row r="494" spans="1:19" ht="15.75">
      <c r="A494" s="13">
        <v>56553</v>
      </c>
      <c r="B494" s="8">
        <f>13.2718 * CHOOSE(CONTROL!$C$15, $D$11, 100%, $F$11)</f>
        <v>13.271800000000001</v>
      </c>
      <c r="C494" s="8">
        <f>13.2772 * CHOOSE(CONTROL!$C$15, $D$11, 100%, $F$11)</f>
        <v>13.277200000000001</v>
      </c>
      <c r="D494" s="8">
        <f>13.308 * CHOOSE( CONTROL!$C$15, $D$11, 100%, $F$11)</f>
        <v>13.308</v>
      </c>
      <c r="E494" s="12">
        <f>13.2973 * CHOOSE( CONTROL!$C$15, $D$11, 100%, $F$11)</f>
        <v>13.2973</v>
      </c>
      <c r="F494" s="4">
        <f>13.9869 * CHOOSE(CONTROL!$C$15, $D$11, 100%, $F$11)</f>
        <v>13.9869</v>
      </c>
      <c r="G494" s="8">
        <f>12.9481 * CHOOSE( CONTROL!$C$15, $D$11, 100%, $F$11)</f>
        <v>12.9481</v>
      </c>
      <c r="H494" s="4">
        <f>13.8959 * CHOOSE(CONTROL!$C$15, $D$11, 100%, $F$11)</f>
        <v>13.895899999999999</v>
      </c>
      <c r="I494" s="8">
        <f>12.8341 * CHOOSE(CONTROL!$C$15, $D$11, 100%, $F$11)</f>
        <v>12.834099999999999</v>
      </c>
      <c r="J494" s="4">
        <f>12.7147 * CHOOSE(CONTROL!$C$15, $D$11, 100%, $F$11)</f>
        <v>12.714700000000001</v>
      </c>
      <c r="K494" s="4"/>
      <c r="L494" s="9">
        <v>31.095300000000002</v>
      </c>
      <c r="M494" s="9">
        <v>12.063700000000001</v>
      </c>
      <c r="N494" s="9">
        <v>4.9444999999999997</v>
      </c>
      <c r="O494" s="9">
        <v>0.37409999999999999</v>
      </c>
      <c r="P494" s="9">
        <v>1.2183999999999999</v>
      </c>
      <c r="Q494" s="9">
        <v>19.814599999999999</v>
      </c>
      <c r="R494" s="9"/>
      <c r="S494" s="11"/>
    </row>
    <row r="495" spans="1:19" ht="15.75">
      <c r="A495" s="13">
        <v>56583</v>
      </c>
      <c r="B495" s="8">
        <f>14.3111 * CHOOSE(CONTROL!$C$15, $D$11, 100%, $F$11)</f>
        <v>14.3111</v>
      </c>
      <c r="C495" s="8">
        <f>14.3163 * CHOOSE(CONTROL!$C$15, $D$11, 100%, $F$11)</f>
        <v>14.3163</v>
      </c>
      <c r="D495" s="8">
        <f>14.2993 * CHOOSE( CONTROL!$C$15, $D$11, 100%, $F$11)</f>
        <v>14.299300000000001</v>
      </c>
      <c r="E495" s="12">
        <f>14.305 * CHOOSE( CONTROL!$C$15, $D$11, 100%, $F$11)</f>
        <v>14.305</v>
      </c>
      <c r="F495" s="4">
        <f>14.9616 * CHOOSE(CONTROL!$C$15, $D$11, 100%, $F$11)</f>
        <v>14.961600000000001</v>
      </c>
      <c r="G495" s="8">
        <f>13.9698 * CHOOSE( CONTROL!$C$15, $D$11, 100%, $F$11)</f>
        <v>13.969799999999999</v>
      </c>
      <c r="H495" s="4">
        <f>14.8478 * CHOOSE(CONTROL!$C$15, $D$11, 100%, $F$11)</f>
        <v>14.847799999999999</v>
      </c>
      <c r="I495" s="8">
        <f>13.8746 * CHOOSE(CONTROL!$C$15, $D$11, 100%, $F$11)</f>
        <v>13.874599999999999</v>
      </c>
      <c r="J495" s="4">
        <f>13.7129 * CHOOSE(CONTROL!$C$15, $D$11, 100%, $F$11)</f>
        <v>13.712899999999999</v>
      </c>
      <c r="K495" s="4"/>
      <c r="L495" s="9">
        <v>28.360600000000002</v>
      </c>
      <c r="M495" s="9">
        <v>11.6745</v>
      </c>
      <c r="N495" s="9">
        <v>4.7850000000000001</v>
      </c>
      <c r="O495" s="9">
        <v>0.36199999999999999</v>
      </c>
      <c r="P495" s="9">
        <v>1.2509999999999999</v>
      </c>
      <c r="Q495" s="9">
        <v>19.1754</v>
      </c>
      <c r="R495" s="9"/>
      <c r="S495" s="11"/>
    </row>
    <row r="496" spans="1:19" ht="15.75">
      <c r="A496" s="13">
        <v>56614</v>
      </c>
      <c r="B496" s="8">
        <f>14.2851 * CHOOSE(CONTROL!$C$15, $D$11, 100%, $F$11)</f>
        <v>14.2851</v>
      </c>
      <c r="C496" s="8">
        <f>14.2903 * CHOOSE(CONTROL!$C$15, $D$11, 100%, $F$11)</f>
        <v>14.2903</v>
      </c>
      <c r="D496" s="8">
        <f>14.2748 * CHOOSE( CONTROL!$C$15, $D$11, 100%, $F$11)</f>
        <v>14.274800000000001</v>
      </c>
      <c r="E496" s="12">
        <f>14.2799 * CHOOSE( CONTROL!$C$15, $D$11, 100%, $F$11)</f>
        <v>14.2799</v>
      </c>
      <c r="F496" s="4">
        <f>14.9356 * CHOOSE(CONTROL!$C$15, $D$11, 100%, $F$11)</f>
        <v>14.935600000000001</v>
      </c>
      <c r="G496" s="8">
        <f>13.9455 * CHOOSE( CONTROL!$C$15, $D$11, 100%, $F$11)</f>
        <v>13.945499999999999</v>
      </c>
      <c r="H496" s="4">
        <f>14.8224 * CHOOSE(CONTROL!$C$15, $D$11, 100%, $F$11)</f>
        <v>14.8224</v>
      </c>
      <c r="I496" s="8">
        <f>13.8544 * CHOOSE(CONTROL!$C$15, $D$11, 100%, $F$11)</f>
        <v>13.8544</v>
      </c>
      <c r="J496" s="4">
        <f>13.688 * CHOOSE(CONTROL!$C$15, $D$11, 100%, $F$11)</f>
        <v>13.688000000000001</v>
      </c>
      <c r="K496" s="4"/>
      <c r="L496" s="9">
        <v>29.306000000000001</v>
      </c>
      <c r="M496" s="9">
        <v>12.063700000000001</v>
      </c>
      <c r="N496" s="9">
        <v>4.9444999999999997</v>
      </c>
      <c r="O496" s="9">
        <v>0.37409999999999999</v>
      </c>
      <c r="P496" s="9">
        <v>1.2927</v>
      </c>
      <c r="Q496" s="9">
        <v>19.814599999999999</v>
      </c>
      <c r="R496" s="9"/>
      <c r="S496" s="11"/>
    </row>
    <row r="497" spans="1:19" ht="15.75">
      <c r="A497" s="13">
        <v>56645</v>
      </c>
      <c r="B497" s="8">
        <f>14.7056 * CHOOSE(CONTROL!$C$15, $D$11, 100%, $F$11)</f>
        <v>14.7056</v>
      </c>
      <c r="C497" s="8">
        <f>14.7108 * CHOOSE(CONTROL!$C$15, $D$11, 100%, $F$11)</f>
        <v>14.710800000000001</v>
      </c>
      <c r="D497" s="8">
        <f>14.691 * CHOOSE( CONTROL!$C$15, $D$11, 100%, $F$11)</f>
        <v>14.691000000000001</v>
      </c>
      <c r="E497" s="12">
        <f>14.6977 * CHOOSE( CONTROL!$C$15, $D$11, 100%, $F$11)</f>
        <v>14.697699999999999</v>
      </c>
      <c r="F497" s="4">
        <f>15.3561 * CHOOSE(CONTROL!$C$15, $D$11, 100%, $F$11)</f>
        <v>15.3561</v>
      </c>
      <c r="G497" s="8">
        <f>14.3469 * CHOOSE( CONTROL!$C$15, $D$11, 100%, $F$11)</f>
        <v>14.3469</v>
      </c>
      <c r="H497" s="4">
        <f>15.2331 * CHOOSE(CONTROL!$C$15, $D$11, 100%, $F$11)</f>
        <v>15.2331</v>
      </c>
      <c r="I497" s="8">
        <f>14.2174 * CHOOSE(CONTROL!$C$15, $D$11, 100%, $F$11)</f>
        <v>14.2174</v>
      </c>
      <c r="J497" s="4">
        <f>14.0917 * CHOOSE(CONTROL!$C$15, $D$11, 100%, $F$11)</f>
        <v>14.091699999999999</v>
      </c>
      <c r="K497" s="4"/>
      <c r="L497" s="9">
        <v>29.306000000000001</v>
      </c>
      <c r="M497" s="9">
        <v>12.063700000000001</v>
      </c>
      <c r="N497" s="9">
        <v>4.9444999999999997</v>
      </c>
      <c r="O497" s="9">
        <v>0.37409999999999999</v>
      </c>
      <c r="P497" s="9">
        <v>1.2927</v>
      </c>
      <c r="Q497" s="9">
        <v>19.751300000000001</v>
      </c>
      <c r="R497" s="9"/>
      <c r="S497" s="11"/>
    </row>
    <row r="498" spans="1:19" ht="15.75">
      <c r="A498" s="13">
        <v>56673</v>
      </c>
      <c r="B498" s="8">
        <f>13.7568 * CHOOSE(CONTROL!$C$15, $D$11, 100%, $F$11)</f>
        <v>13.7568</v>
      </c>
      <c r="C498" s="8">
        <f>13.762 * CHOOSE(CONTROL!$C$15, $D$11, 100%, $F$11)</f>
        <v>13.762</v>
      </c>
      <c r="D498" s="8">
        <f>13.7421 * CHOOSE( CONTROL!$C$15, $D$11, 100%, $F$11)</f>
        <v>13.742100000000001</v>
      </c>
      <c r="E498" s="12">
        <f>13.7488 * CHOOSE( CONTROL!$C$15, $D$11, 100%, $F$11)</f>
        <v>13.748799999999999</v>
      </c>
      <c r="F498" s="4">
        <f>14.4072 * CHOOSE(CONTROL!$C$15, $D$11, 100%, $F$11)</f>
        <v>14.4072</v>
      </c>
      <c r="G498" s="8">
        <f>13.4201 * CHOOSE( CONTROL!$C$15, $D$11, 100%, $F$11)</f>
        <v>13.4201</v>
      </c>
      <c r="H498" s="4">
        <f>14.3064 * CHOOSE(CONTROL!$C$15, $D$11, 100%, $F$11)</f>
        <v>14.3064</v>
      </c>
      <c r="I498" s="8">
        <f>13.3059 * CHOOSE(CONTROL!$C$15, $D$11, 100%, $F$11)</f>
        <v>13.305899999999999</v>
      </c>
      <c r="J498" s="4">
        <f>13.1807 * CHOOSE(CONTROL!$C$15, $D$11, 100%, $F$11)</f>
        <v>13.1807</v>
      </c>
      <c r="K498" s="4"/>
      <c r="L498" s="9">
        <v>26.469899999999999</v>
      </c>
      <c r="M498" s="9">
        <v>10.8962</v>
      </c>
      <c r="N498" s="9">
        <v>4.4660000000000002</v>
      </c>
      <c r="O498" s="9">
        <v>0.33789999999999998</v>
      </c>
      <c r="P498" s="9">
        <v>1.1676</v>
      </c>
      <c r="Q498" s="9">
        <v>17.8399</v>
      </c>
      <c r="R498" s="9"/>
      <c r="S498" s="11"/>
    </row>
    <row r="499" spans="1:19" ht="15.75">
      <c r="A499" s="13">
        <v>56704</v>
      </c>
      <c r="B499" s="8">
        <f>13.4645 * CHOOSE(CONTROL!$C$15, $D$11, 100%, $F$11)</f>
        <v>13.464499999999999</v>
      </c>
      <c r="C499" s="8">
        <f>13.4697 * CHOOSE(CONTROL!$C$15, $D$11, 100%, $F$11)</f>
        <v>13.4697</v>
      </c>
      <c r="D499" s="8">
        <f>13.4495 * CHOOSE( CONTROL!$C$15, $D$11, 100%, $F$11)</f>
        <v>13.4495</v>
      </c>
      <c r="E499" s="12">
        <f>13.4563 * CHOOSE( CONTROL!$C$15, $D$11, 100%, $F$11)</f>
        <v>13.456300000000001</v>
      </c>
      <c r="F499" s="4">
        <f>14.115 * CHOOSE(CONTROL!$C$15, $D$11, 100%, $F$11)</f>
        <v>14.115</v>
      </c>
      <c r="G499" s="8">
        <f>13.1344 * CHOOSE( CONTROL!$C$15, $D$11, 100%, $F$11)</f>
        <v>13.134399999999999</v>
      </c>
      <c r="H499" s="4">
        <f>14.0209 * CHOOSE(CONTROL!$C$15, $D$11, 100%, $F$11)</f>
        <v>14.020899999999999</v>
      </c>
      <c r="I499" s="8">
        <f>13.024 * CHOOSE(CONTROL!$C$15, $D$11, 100%, $F$11)</f>
        <v>13.023999999999999</v>
      </c>
      <c r="J499" s="4">
        <f>12.9001 * CHOOSE(CONTROL!$C$15, $D$11, 100%, $F$11)</f>
        <v>12.9001</v>
      </c>
      <c r="K499" s="4"/>
      <c r="L499" s="9">
        <v>29.306000000000001</v>
      </c>
      <c r="M499" s="9">
        <v>12.063700000000001</v>
      </c>
      <c r="N499" s="9">
        <v>4.9444999999999997</v>
      </c>
      <c r="O499" s="9">
        <v>0.37409999999999999</v>
      </c>
      <c r="P499" s="9">
        <v>1.2927</v>
      </c>
      <c r="Q499" s="9">
        <v>19.751300000000001</v>
      </c>
      <c r="R499" s="9"/>
      <c r="S499" s="11"/>
    </row>
    <row r="500" spans="1:19" ht="15.75">
      <c r="A500" s="13">
        <v>56734</v>
      </c>
      <c r="B500" s="8">
        <f>13.6695 * CHOOSE(CONTROL!$C$15, $D$11, 100%, $F$11)</f>
        <v>13.669499999999999</v>
      </c>
      <c r="C500" s="8">
        <f>13.6741 * CHOOSE(CONTROL!$C$15, $D$11, 100%, $F$11)</f>
        <v>13.674099999999999</v>
      </c>
      <c r="D500" s="8">
        <f>13.7047 * CHOOSE( CONTROL!$C$15, $D$11, 100%, $F$11)</f>
        <v>13.704700000000001</v>
      </c>
      <c r="E500" s="12">
        <f>13.6941 * CHOOSE( CONTROL!$C$15, $D$11, 100%, $F$11)</f>
        <v>13.694100000000001</v>
      </c>
      <c r="F500" s="4">
        <f>14.3843 * CHOOSE(CONTROL!$C$15, $D$11, 100%, $F$11)</f>
        <v>14.3843</v>
      </c>
      <c r="G500" s="8">
        <f>13.3351 * CHOOSE( CONTROL!$C$15, $D$11, 100%, $F$11)</f>
        <v>13.335100000000001</v>
      </c>
      <c r="H500" s="4">
        <f>14.284 * CHOOSE(CONTROL!$C$15, $D$11, 100%, $F$11)</f>
        <v>14.284000000000001</v>
      </c>
      <c r="I500" s="8">
        <f>13.2122 * CHOOSE(CONTROL!$C$15, $D$11, 100%, $F$11)</f>
        <v>13.212199999999999</v>
      </c>
      <c r="J500" s="4">
        <f>13.0962 * CHOOSE(CONTROL!$C$15, $D$11, 100%, $F$11)</f>
        <v>13.0962</v>
      </c>
      <c r="K500" s="4"/>
      <c r="L500" s="9">
        <v>30.092199999999998</v>
      </c>
      <c r="M500" s="9">
        <v>11.6745</v>
      </c>
      <c r="N500" s="9">
        <v>4.7850000000000001</v>
      </c>
      <c r="O500" s="9">
        <v>0.36199999999999999</v>
      </c>
      <c r="P500" s="9">
        <v>1.1791</v>
      </c>
      <c r="Q500" s="9">
        <v>19.1142</v>
      </c>
      <c r="R500" s="9"/>
      <c r="S500" s="11"/>
    </row>
    <row r="501" spans="1:19" ht="15.75">
      <c r="A501" s="13">
        <v>56765</v>
      </c>
      <c r="B501" s="8">
        <f>CHOOSE( CONTROL!$C$32, 14.0367, 14.0343) * CHOOSE(CONTROL!$C$15, $D$11, 100%, $F$11)</f>
        <v>14.0367</v>
      </c>
      <c r="C501" s="8">
        <f>CHOOSE( CONTROL!$C$32, 14.0448, 14.0424) * CHOOSE(CONTROL!$C$15, $D$11, 100%, $F$11)</f>
        <v>14.0448</v>
      </c>
      <c r="D501" s="8">
        <f>CHOOSE( CONTROL!$C$32, 14.07, 14.0676) * CHOOSE( CONTROL!$C$15, $D$11, 100%, $F$11)</f>
        <v>14.07</v>
      </c>
      <c r="E501" s="12">
        <f>CHOOSE( CONTROL!$C$32, 14.0596, 14.0572) * CHOOSE( CONTROL!$C$15, $D$11, 100%, $F$11)</f>
        <v>14.0596</v>
      </c>
      <c r="F501" s="4">
        <f>CHOOSE( CONTROL!$C$32, 14.7501, 14.7478) * CHOOSE(CONTROL!$C$15, $D$11, 100%, $F$11)</f>
        <v>14.7501</v>
      </c>
      <c r="G501" s="8">
        <f>CHOOSE( CONTROL!$C$32, 13.6929, 13.6906) * CHOOSE( CONTROL!$C$15, $D$11, 100%, $F$11)</f>
        <v>13.6929</v>
      </c>
      <c r="H501" s="4">
        <f>CHOOSE( CONTROL!$C$32, 14.6413, 14.639) * CHOOSE(CONTROL!$C$15, $D$11, 100%, $F$11)</f>
        <v>14.641299999999999</v>
      </c>
      <c r="I501" s="8">
        <f>CHOOSE( CONTROL!$C$32, 13.5639, 13.5616) * CHOOSE(CONTROL!$C$15, $D$11, 100%, $F$11)</f>
        <v>13.5639</v>
      </c>
      <c r="J501" s="4">
        <f>CHOOSE( CONTROL!$C$32, 13.4474, 13.4451) * CHOOSE(CONTROL!$C$15, $D$11, 100%, $F$11)</f>
        <v>13.4474</v>
      </c>
      <c r="K501" s="4"/>
      <c r="L501" s="9">
        <v>30.7165</v>
      </c>
      <c r="M501" s="9">
        <v>12.063700000000001</v>
      </c>
      <c r="N501" s="9">
        <v>4.9444999999999997</v>
      </c>
      <c r="O501" s="9">
        <v>0.37409999999999999</v>
      </c>
      <c r="P501" s="9">
        <v>1.2183999999999999</v>
      </c>
      <c r="Q501" s="9">
        <v>19.751300000000001</v>
      </c>
      <c r="R501" s="9"/>
      <c r="S501" s="11"/>
    </row>
    <row r="502" spans="1:19" ht="15.75">
      <c r="A502" s="13">
        <v>56795</v>
      </c>
      <c r="B502" s="8">
        <f>CHOOSE( CONTROL!$C$32, 13.8115, 13.8092) * CHOOSE(CONTROL!$C$15, $D$11, 100%, $F$11)</f>
        <v>13.811500000000001</v>
      </c>
      <c r="C502" s="8">
        <f>CHOOSE( CONTROL!$C$32, 13.8196, 13.8173) * CHOOSE(CONTROL!$C$15, $D$11, 100%, $F$11)</f>
        <v>13.819599999999999</v>
      </c>
      <c r="D502" s="8">
        <f>CHOOSE( CONTROL!$C$32, 13.845, 13.8427) * CHOOSE( CONTROL!$C$15, $D$11, 100%, $F$11)</f>
        <v>13.845000000000001</v>
      </c>
      <c r="E502" s="12">
        <f>CHOOSE( CONTROL!$C$32, 13.8346, 13.8323) * CHOOSE( CONTROL!$C$15, $D$11, 100%, $F$11)</f>
        <v>13.8346</v>
      </c>
      <c r="F502" s="4">
        <f>CHOOSE( CONTROL!$C$32, 14.525, 14.5226) * CHOOSE(CONTROL!$C$15, $D$11, 100%, $F$11)</f>
        <v>14.525</v>
      </c>
      <c r="G502" s="8">
        <f>CHOOSE( CONTROL!$C$32, 13.4733, 13.471) * CHOOSE( CONTROL!$C$15, $D$11, 100%, $F$11)</f>
        <v>13.4733</v>
      </c>
      <c r="H502" s="4">
        <f>CHOOSE( CONTROL!$C$32, 14.4213, 14.4191) * CHOOSE(CONTROL!$C$15, $D$11, 100%, $F$11)</f>
        <v>14.4213</v>
      </c>
      <c r="I502" s="8">
        <f>CHOOSE( CONTROL!$C$32, 13.3486, 13.3463) * CHOOSE(CONTROL!$C$15, $D$11, 100%, $F$11)</f>
        <v>13.348599999999999</v>
      </c>
      <c r="J502" s="4">
        <f>CHOOSE( CONTROL!$C$32, 13.2312, 13.229) * CHOOSE(CONTROL!$C$15, $D$11, 100%, $F$11)</f>
        <v>13.231199999999999</v>
      </c>
      <c r="K502" s="4"/>
      <c r="L502" s="9">
        <v>29.7257</v>
      </c>
      <c r="M502" s="9">
        <v>11.6745</v>
      </c>
      <c r="N502" s="9">
        <v>4.7850000000000001</v>
      </c>
      <c r="O502" s="9">
        <v>0.36199999999999999</v>
      </c>
      <c r="P502" s="9">
        <v>1.1791</v>
      </c>
      <c r="Q502" s="9">
        <v>19.1142</v>
      </c>
      <c r="R502" s="9"/>
      <c r="S502" s="11"/>
    </row>
    <row r="503" spans="1:19" ht="15.75">
      <c r="A503" s="13">
        <v>56826</v>
      </c>
      <c r="B503" s="8">
        <f>CHOOSE( CONTROL!$C$32, 14.4044, 14.4021) * CHOOSE(CONTROL!$C$15, $D$11, 100%, $F$11)</f>
        <v>14.404400000000001</v>
      </c>
      <c r="C503" s="8">
        <f>CHOOSE( CONTROL!$C$32, 14.4125, 14.4102) * CHOOSE(CONTROL!$C$15, $D$11, 100%, $F$11)</f>
        <v>14.4125</v>
      </c>
      <c r="D503" s="8">
        <f>CHOOSE( CONTROL!$C$32, 14.4382, 14.4358) * CHOOSE( CONTROL!$C$15, $D$11, 100%, $F$11)</f>
        <v>14.4382</v>
      </c>
      <c r="E503" s="12">
        <f>CHOOSE( CONTROL!$C$32, 14.4277, 14.4253) * CHOOSE( CONTROL!$C$15, $D$11, 100%, $F$11)</f>
        <v>14.4277</v>
      </c>
      <c r="F503" s="4">
        <f>CHOOSE( CONTROL!$C$32, 15.1179, 15.1155) * CHOOSE(CONTROL!$C$15, $D$11, 100%, $F$11)</f>
        <v>15.117900000000001</v>
      </c>
      <c r="G503" s="8">
        <f>CHOOSE( CONTROL!$C$32, 14.0528, 14.0505) * CHOOSE( CONTROL!$C$15, $D$11, 100%, $F$11)</f>
        <v>14.0528</v>
      </c>
      <c r="H503" s="4">
        <f>CHOOSE( CONTROL!$C$32, 15.0004, 14.9981) * CHOOSE(CONTROL!$C$15, $D$11, 100%, $F$11)</f>
        <v>15.000400000000001</v>
      </c>
      <c r="I503" s="8">
        <f>CHOOSE( CONTROL!$C$32, 13.9193, 13.9171) * CHOOSE(CONTROL!$C$15, $D$11, 100%, $F$11)</f>
        <v>13.9193</v>
      </c>
      <c r="J503" s="4">
        <f>CHOOSE( CONTROL!$C$32, 13.8005, 13.7982) * CHOOSE(CONTROL!$C$15, $D$11, 100%, $F$11)</f>
        <v>13.8005</v>
      </c>
      <c r="K503" s="4"/>
      <c r="L503" s="9">
        <v>30.7165</v>
      </c>
      <c r="M503" s="9">
        <v>12.063700000000001</v>
      </c>
      <c r="N503" s="9">
        <v>4.9444999999999997</v>
      </c>
      <c r="O503" s="9">
        <v>0.37409999999999999</v>
      </c>
      <c r="P503" s="9">
        <v>1.2183999999999999</v>
      </c>
      <c r="Q503" s="9">
        <v>19.751300000000001</v>
      </c>
      <c r="R503" s="9"/>
      <c r="S503" s="11"/>
    </row>
    <row r="504" spans="1:19" ht="15.75">
      <c r="A504" s="13">
        <v>56857</v>
      </c>
      <c r="B504" s="8">
        <f>CHOOSE( CONTROL!$C$32, 13.295, 13.2927) * CHOOSE(CONTROL!$C$15, $D$11, 100%, $F$11)</f>
        <v>13.295</v>
      </c>
      <c r="C504" s="8">
        <f>CHOOSE( CONTROL!$C$32, 13.3031, 13.3008) * CHOOSE(CONTROL!$C$15, $D$11, 100%, $F$11)</f>
        <v>13.303100000000001</v>
      </c>
      <c r="D504" s="8">
        <f>CHOOSE( CONTROL!$C$32, 13.3289, 13.3265) * CHOOSE( CONTROL!$C$15, $D$11, 100%, $F$11)</f>
        <v>13.328900000000001</v>
      </c>
      <c r="E504" s="12">
        <f>CHOOSE( CONTROL!$C$32, 13.3183, 13.316) * CHOOSE( CONTROL!$C$15, $D$11, 100%, $F$11)</f>
        <v>13.318300000000001</v>
      </c>
      <c r="F504" s="4">
        <f>CHOOSE( CONTROL!$C$32, 14.0085, 14.0061) * CHOOSE(CONTROL!$C$15, $D$11, 100%, $F$11)</f>
        <v>14.0085</v>
      </c>
      <c r="G504" s="8">
        <f>CHOOSE( CONTROL!$C$32, 12.9694, 12.9671) * CHOOSE( CONTROL!$C$15, $D$11, 100%, $F$11)</f>
        <v>12.9694</v>
      </c>
      <c r="H504" s="4">
        <f>CHOOSE( CONTROL!$C$32, 13.9169, 13.9146) * CHOOSE(CONTROL!$C$15, $D$11, 100%, $F$11)</f>
        <v>13.9169</v>
      </c>
      <c r="I504" s="8">
        <f>CHOOSE( CONTROL!$C$32, 12.854, 12.8518) * CHOOSE(CONTROL!$C$15, $D$11, 100%, $F$11)</f>
        <v>12.853999999999999</v>
      </c>
      <c r="J504" s="4">
        <f>CHOOSE( CONTROL!$C$32, 12.7353, 12.7331) * CHOOSE(CONTROL!$C$15, $D$11, 100%, $F$11)</f>
        <v>12.735300000000001</v>
      </c>
      <c r="K504" s="4"/>
      <c r="L504" s="9">
        <v>30.7165</v>
      </c>
      <c r="M504" s="9">
        <v>12.063700000000001</v>
      </c>
      <c r="N504" s="9">
        <v>4.9444999999999997</v>
      </c>
      <c r="O504" s="9">
        <v>0.37409999999999999</v>
      </c>
      <c r="P504" s="9">
        <v>1.2183999999999999</v>
      </c>
      <c r="Q504" s="9">
        <v>19.751300000000001</v>
      </c>
      <c r="R504" s="9"/>
      <c r="S504" s="11"/>
    </row>
    <row r="505" spans="1:19" ht="15.75">
      <c r="A505" s="13">
        <v>56887</v>
      </c>
      <c r="B505" s="8">
        <f>CHOOSE( CONTROL!$C$32, 13.0172, 13.0149) * CHOOSE(CONTROL!$C$15, $D$11, 100%, $F$11)</f>
        <v>13.017200000000001</v>
      </c>
      <c r="C505" s="8">
        <f>CHOOSE( CONTROL!$C$32, 13.0253, 13.023) * CHOOSE(CONTROL!$C$15, $D$11, 100%, $F$11)</f>
        <v>13.0253</v>
      </c>
      <c r="D505" s="8">
        <f>CHOOSE( CONTROL!$C$32, 13.051, 13.0487) * CHOOSE( CONTROL!$C$15, $D$11, 100%, $F$11)</f>
        <v>13.051</v>
      </c>
      <c r="E505" s="12">
        <f>CHOOSE( CONTROL!$C$32, 13.0405, 13.0382) * CHOOSE( CONTROL!$C$15, $D$11, 100%, $F$11)</f>
        <v>13.0405</v>
      </c>
      <c r="F505" s="4">
        <f>CHOOSE( CONTROL!$C$32, 13.7307, 13.7283) * CHOOSE(CONTROL!$C$15, $D$11, 100%, $F$11)</f>
        <v>13.730700000000001</v>
      </c>
      <c r="G505" s="8">
        <f>CHOOSE( CONTROL!$C$32, 12.698, 12.6957) * CHOOSE( CONTROL!$C$15, $D$11, 100%, $F$11)</f>
        <v>12.698</v>
      </c>
      <c r="H505" s="4">
        <f>CHOOSE( CONTROL!$C$32, 13.6456, 13.6433) * CHOOSE(CONTROL!$C$15, $D$11, 100%, $F$11)</f>
        <v>13.6456</v>
      </c>
      <c r="I505" s="8">
        <f>CHOOSE( CONTROL!$C$32, 12.5871, 12.5848) * CHOOSE(CONTROL!$C$15, $D$11, 100%, $F$11)</f>
        <v>12.5871</v>
      </c>
      <c r="J505" s="4">
        <f>CHOOSE( CONTROL!$C$32, 12.4686, 12.4664) * CHOOSE(CONTROL!$C$15, $D$11, 100%, $F$11)</f>
        <v>12.4686</v>
      </c>
      <c r="K505" s="4"/>
      <c r="L505" s="9">
        <v>29.7257</v>
      </c>
      <c r="M505" s="9">
        <v>11.6745</v>
      </c>
      <c r="N505" s="9">
        <v>4.7850000000000001</v>
      </c>
      <c r="O505" s="9">
        <v>0.36199999999999999</v>
      </c>
      <c r="P505" s="9">
        <v>1.1791</v>
      </c>
      <c r="Q505" s="9">
        <v>19.1142</v>
      </c>
      <c r="R505" s="9"/>
      <c r="S505" s="11"/>
    </row>
    <row r="506" spans="1:19" ht="15.75">
      <c r="A506" s="13">
        <v>56918</v>
      </c>
      <c r="B506" s="8">
        <f>13.59 * CHOOSE(CONTROL!$C$15, $D$11, 100%, $F$11)</f>
        <v>13.59</v>
      </c>
      <c r="C506" s="8">
        <f>13.5954 * CHOOSE(CONTROL!$C$15, $D$11, 100%, $F$11)</f>
        <v>13.5954</v>
      </c>
      <c r="D506" s="8">
        <f>13.6262 * CHOOSE( CONTROL!$C$15, $D$11, 100%, $F$11)</f>
        <v>13.626200000000001</v>
      </c>
      <c r="E506" s="12">
        <f>13.6155 * CHOOSE( CONTROL!$C$15, $D$11, 100%, $F$11)</f>
        <v>13.615500000000001</v>
      </c>
      <c r="F506" s="4">
        <f>14.3051 * CHOOSE(CONTROL!$C$15, $D$11, 100%, $F$11)</f>
        <v>14.305099999999999</v>
      </c>
      <c r="G506" s="8">
        <f>13.2589 * CHOOSE( CONTROL!$C$15, $D$11, 100%, $F$11)</f>
        <v>13.258900000000001</v>
      </c>
      <c r="H506" s="4">
        <f>14.2066 * CHOOSE(CONTROL!$C$15, $D$11, 100%, $F$11)</f>
        <v>14.2066</v>
      </c>
      <c r="I506" s="8">
        <f>13.1397 * CHOOSE(CONTROL!$C$15, $D$11, 100%, $F$11)</f>
        <v>13.139699999999999</v>
      </c>
      <c r="J506" s="4">
        <f>13.0202 * CHOOSE(CONTROL!$C$15, $D$11, 100%, $F$11)</f>
        <v>13.020200000000001</v>
      </c>
      <c r="K506" s="4"/>
      <c r="L506" s="9">
        <v>31.095300000000002</v>
      </c>
      <c r="M506" s="9">
        <v>12.063700000000001</v>
      </c>
      <c r="N506" s="9">
        <v>4.9444999999999997</v>
      </c>
      <c r="O506" s="9">
        <v>0.37409999999999999</v>
      </c>
      <c r="P506" s="9">
        <v>1.2183999999999999</v>
      </c>
      <c r="Q506" s="9">
        <v>19.751300000000001</v>
      </c>
      <c r="R506" s="9"/>
      <c r="S506" s="11"/>
    </row>
    <row r="507" spans="1:19" ht="15.75">
      <c r="A507" s="13">
        <v>56948</v>
      </c>
      <c r="B507" s="8">
        <f>14.6543 * CHOOSE(CONTROL!$C$15, $D$11, 100%, $F$11)</f>
        <v>14.654299999999999</v>
      </c>
      <c r="C507" s="8">
        <f>14.6594 * CHOOSE(CONTROL!$C$15, $D$11, 100%, $F$11)</f>
        <v>14.6594</v>
      </c>
      <c r="D507" s="8">
        <f>14.6425 * CHOOSE( CONTROL!$C$15, $D$11, 100%, $F$11)</f>
        <v>14.6425</v>
      </c>
      <c r="E507" s="12">
        <f>14.6481 * CHOOSE( CONTROL!$C$15, $D$11, 100%, $F$11)</f>
        <v>14.648099999999999</v>
      </c>
      <c r="F507" s="4">
        <f>15.3047 * CHOOSE(CONTROL!$C$15, $D$11, 100%, $F$11)</f>
        <v>15.3047</v>
      </c>
      <c r="G507" s="8">
        <f>14.3049 * CHOOSE( CONTROL!$C$15, $D$11, 100%, $F$11)</f>
        <v>14.3049</v>
      </c>
      <c r="H507" s="4">
        <f>15.1829 * CHOOSE(CONTROL!$C$15, $D$11, 100%, $F$11)</f>
        <v>15.1829</v>
      </c>
      <c r="I507" s="8">
        <f>14.2043 * CHOOSE(CONTROL!$C$15, $D$11, 100%, $F$11)</f>
        <v>14.2043</v>
      </c>
      <c r="J507" s="4">
        <f>14.0424 * CHOOSE(CONTROL!$C$15, $D$11, 100%, $F$11)</f>
        <v>14.042400000000001</v>
      </c>
      <c r="K507" s="4"/>
      <c r="L507" s="9">
        <v>28.360600000000002</v>
      </c>
      <c r="M507" s="9">
        <v>11.6745</v>
      </c>
      <c r="N507" s="9">
        <v>4.7850000000000001</v>
      </c>
      <c r="O507" s="9">
        <v>0.36199999999999999</v>
      </c>
      <c r="P507" s="9">
        <v>1.2509999999999999</v>
      </c>
      <c r="Q507" s="9">
        <v>19.1142</v>
      </c>
      <c r="R507" s="9"/>
      <c r="S507" s="11"/>
    </row>
    <row r="508" spans="1:19" ht="15.75">
      <c r="A508" s="13">
        <v>56979</v>
      </c>
      <c r="B508" s="8">
        <f>14.6277 * CHOOSE(CONTROL!$C$15, $D$11, 100%, $F$11)</f>
        <v>14.627700000000001</v>
      </c>
      <c r="C508" s="8">
        <f>14.6328 * CHOOSE(CONTROL!$C$15, $D$11, 100%, $F$11)</f>
        <v>14.6328</v>
      </c>
      <c r="D508" s="8">
        <f>14.6174 * CHOOSE( CONTROL!$C$15, $D$11, 100%, $F$11)</f>
        <v>14.6174</v>
      </c>
      <c r="E508" s="12">
        <f>14.6225 * CHOOSE( CONTROL!$C$15, $D$11, 100%, $F$11)</f>
        <v>14.6225</v>
      </c>
      <c r="F508" s="4">
        <f>15.2781 * CHOOSE(CONTROL!$C$15, $D$11, 100%, $F$11)</f>
        <v>15.2781</v>
      </c>
      <c r="G508" s="8">
        <f>14.2801 * CHOOSE( CONTROL!$C$15, $D$11, 100%, $F$11)</f>
        <v>14.280099999999999</v>
      </c>
      <c r="H508" s="4">
        <f>15.157 * CHOOSE(CONTROL!$C$15, $D$11, 100%, $F$11)</f>
        <v>15.157</v>
      </c>
      <c r="I508" s="8">
        <f>14.1834 * CHOOSE(CONTROL!$C$15, $D$11, 100%, $F$11)</f>
        <v>14.183400000000001</v>
      </c>
      <c r="J508" s="4">
        <f>14.0168 * CHOOSE(CONTROL!$C$15, $D$11, 100%, $F$11)</f>
        <v>14.0168</v>
      </c>
      <c r="K508" s="4"/>
      <c r="L508" s="9">
        <v>29.306000000000001</v>
      </c>
      <c r="M508" s="9">
        <v>12.063700000000001</v>
      </c>
      <c r="N508" s="9">
        <v>4.9444999999999997</v>
      </c>
      <c r="O508" s="9">
        <v>0.37409999999999999</v>
      </c>
      <c r="P508" s="9">
        <v>1.2927</v>
      </c>
      <c r="Q508" s="9">
        <v>19.751300000000001</v>
      </c>
      <c r="R508" s="9"/>
      <c r="S508" s="11"/>
    </row>
    <row r="509" spans="1:19" ht="15.75">
      <c r="A509" s="13">
        <v>57010</v>
      </c>
      <c r="B509" s="8">
        <f>15.0583 * CHOOSE(CONTROL!$C$15, $D$11, 100%, $F$11)</f>
        <v>15.058299999999999</v>
      </c>
      <c r="C509" s="8">
        <f>15.0635 * CHOOSE(CONTROL!$C$15, $D$11, 100%, $F$11)</f>
        <v>15.063499999999999</v>
      </c>
      <c r="D509" s="8">
        <f>15.0436 * CHOOSE( CONTROL!$C$15, $D$11, 100%, $F$11)</f>
        <v>15.0436</v>
      </c>
      <c r="E509" s="12">
        <f>15.0503 * CHOOSE( CONTROL!$C$15, $D$11, 100%, $F$11)</f>
        <v>15.0503</v>
      </c>
      <c r="F509" s="4">
        <f>15.7088 * CHOOSE(CONTROL!$C$15, $D$11, 100%, $F$11)</f>
        <v>15.7088</v>
      </c>
      <c r="G509" s="8">
        <f>14.6914 * CHOOSE( CONTROL!$C$15, $D$11, 100%, $F$11)</f>
        <v>14.6914</v>
      </c>
      <c r="H509" s="4">
        <f>15.5776 * CHOOSE(CONTROL!$C$15, $D$11, 100%, $F$11)</f>
        <v>15.5776</v>
      </c>
      <c r="I509" s="8">
        <f>14.5562 * CHOOSE(CONTROL!$C$15, $D$11, 100%, $F$11)</f>
        <v>14.5562</v>
      </c>
      <c r="J509" s="4">
        <f>14.4303 * CHOOSE(CONTROL!$C$15, $D$11, 100%, $F$11)</f>
        <v>14.430300000000001</v>
      </c>
      <c r="K509" s="4"/>
      <c r="L509" s="9">
        <v>29.306000000000001</v>
      </c>
      <c r="M509" s="9">
        <v>12.063700000000001</v>
      </c>
      <c r="N509" s="9">
        <v>4.9444999999999997</v>
      </c>
      <c r="O509" s="9">
        <v>0.37409999999999999</v>
      </c>
      <c r="P509" s="9">
        <v>1.2927</v>
      </c>
      <c r="Q509" s="9">
        <v>19.688099999999999</v>
      </c>
      <c r="R509" s="9"/>
      <c r="S509" s="11"/>
    </row>
    <row r="510" spans="1:19" ht="15.75">
      <c r="A510" s="13">
        <v>57038</v>
      </c>
      <c r="B510" s="8">
        <f>14.0866 * CHOOSE(CONTROL!$C$15, $D$11, 100%, $F$11)</f>
        <v>14.086600000000001</v>
      </c>
      <c r="C510" s="8">
        <f>14.0918 * CHOOSE(CONTROL!$C$15, $D$11, 100%, $F$11)</f>
        <v>14.091799999999999</v>
      </c>
      <c r="D510" s="8">
        <f>14.0719 * CHOOSE( CONTROL!$C$15, $D$11, 100%, $F$11)</f>
        <v>14.071899999999999</v>
      </c>
      <c r="E510" s="12">
        <f>14.0786 * CHOOSE( CONTROL!$C$15, $D$11, 100%, $F$11)</f>
        <v>14.0786</v>
      </c>
      <c r="F510" s="4">
        <f>14.7371 * CHOOSE(CONTROL!$C$15, $D$11, 100%, $F$11)</f>
        <v>14.7371</v>
      </c>
      <c r="G510" s="8">
        <f>13.7423 * CHOOSE( CONTROL!$C$15, $D$11, 100%, $F$11)</f>
        <v>13.7423</v>
      </c>
      <c r="H510" s="4">
        <f>14.6285 * CHOOSE(CONTROL!$C$15, $D$11, 100%, $F$11)</f>
        <v>14.628500000000001</v>
      </c>
      <c r="I510" s="8">
        <f>13.6227 * CHOOSE(CONTROL!$C$15, $D$11, 100%, $F$11)</f>
        <v>13.6227</v>
      </c>
      <c r="J510" s="4">
        <f>13.4974 * CHOOSE(CONTROL!$C$15, $D$11, 100%, $F$11)</f>
        <v>13.497400000000001</v>
      </c>
      <c r="K510" s="4"/>
      <c r="L510" s="9">
        <v>27.415299999999998</v>
      </c>
      <c r="M510" s="9">
        <v>11.285299999999999</v>
      </c>
      <c r="N510" s="9">
        <v>4.6254999999999997</v>
      </c>
      <c r="O510" s="9">
        <v>0.34989999999999999</v>
      </c>
      <c r="P510" s="9">
        <v>1.2093</v>
      </c>
      <c r="Q510" s="9">
        <v>18.417899999999999</v>
      </c>
      <c r="R510" s="9"/>
      <c r="S510" s="11"/>
    </row>
    <row r="511" spans="1:19" ht="15.75">
      <c r="A511" s="13">
        <v>57070</v>
      </c>
      <c r="B511" s="8">
        <f>13.7874 * CHOOSE(CONTROL!$C$15, $D$11, 100%, $F$11)</f>
        <v>13.7874</v>
      </c>
      <c r="C511" s="8">
        <f>13.7926 * CHOOSE(CONTROL!$C$15, $D$11, 100%, $F$11)</f>
        <v>13.7926</v>
      </c>
      <c r="D511" s="8">
        <f>13.7723 * CHOOSE( CONTROL!$C$15, $D$11, 100%, $F$11)</f>
        <v>13.7723</v>
      </c>
      <c r="E511" s="12">
        <f>13.7792 * CHOOSE( CONTROL!$C$15, $D$11, 100%, $F$11)</f>
        <v>13.779199999999999</v>
      </c>
      <c r="F511" s="4">
        <f>14.4378 * CHOOSE(CONTROL!$C$15, $D$11, 100%, $F$11)</f>
        <v>14.437799999999999</v>
      </c>
      <c r="G511" s="8">
        <f>13.4498 * CHOOSE( CONTROL!$C$15, $D$11, 100%, $F$11)</f>
        <v>13.4498</v>
      </c>
      <c r="H511" s="4">
        <f>14.3362 * CHOOSE(CONTROL!$C$15, $D$11, 100%, $F$11)</f>
        <v>14.3362</v>
      </c>
      <c r="I511" s="8">
        <f>13.3341 * CHOOSE(CONTROL!$C$15, $D$11, 100%, $F$11)</f>
        <v>13.334099999999999</v>
      </c>
      <c r="J511" s="4">
        <f>13.2101 * CHOOSE(CONTROL!$C$15, $D$11, 100%, $F$11)</f>
        <v>13.210100000000001</v>
      </c>
      <c r="K511" s="4"/>
      <c r="L511" s="9">
        <v>29.306000000000001</v>
      </c>
      <c r="M511" s="9">
        <v>12.063700000000001</v>
      </c>
      <c r="N511" s="9">
        <v>4.9444999999999997</v>
      </c>
      <c r="O511" s="9">
        <v>0.37409999999999999</v>
      </c>
      <c r="P511" s="9">
        <v>1.2927</v>
      </c>
      <c r="Q511" s="9">
        <v>19.688099999999999</v>
      </c>
      <c r="R511" s="9"/>
      <c r="S511" s="11"/>
    </row>
    <row r="512" spans="1:19" ht="15.75">
      <c r="A512" s="13">
        <v>57100</v>
      </c>
      <c r="B512" s="8">
        <f>13.9973 * CHOOSE(CONTROL!$C$15, $D$11, 100%, $F$11)</f>
        <v>13.997299999999999</v>
      </c>
      <c r="C512" s="8">
        <f>14.0019 * CHOOSE(CONTROL!$C$15, $D$11, 100%, $F$11)</f>
        <v>14.001899999999999</v>
      </c>
      <c r="D512" s="8">
        <f>14.0324 * CHOOSE( CONTROL!$C$15, $D$11, 100%, $F$11)</f>
        <v>14.032400000000001</v>
      </c>
      <c r="E512" s="12">
        <f>14.0218 * CHOOSE( CONTROL!$C$15, $D$11, 100%, $F$11)</f>
        <v>14.021800000000001</v>
      </c>
      <c r="F512" s="4">
        <f>14.7121 * CHOOSE(CONTROL!$C$15, $D$11, 100%, $F$11)</f>
        <v>14.7121</v>
      </c>
      <c r="G512" s="8">
        <f>13.6552 * CHOOSE( CONTROL!$C$15, $D$11, 100%, $F$11)</f>
        <v>13.655200000000001</v>
      </c>
      <c r="H512" s="4">
        <f>14.6041 * CHOOSE(CONTROL!$C$15, $D$11, 100%, $F$11)</f>
        <v>14.604100000000001</v>
      </c>
      <c r="I512" s="8">
        <f>13.527 * CHOOSE(CONTROL!$C$15, $D$11, 100%, $F$11)</f>
        <v>13.526999999999999</v>
      </c>
      <c r="J512" s="4">
        <f>13.4108 * CHOOSE(CONTROL!$C$15, $D$11, 100%, $F$11)</f>
        <v>13.4108</v>
      </c>
      <c r="K512" s="4"/>
      <c r="L512" s="9">
        <v>30.092199999999998</v>
      </c>
      <c r="M512" s="9">
        <v>11.6745</v>
      </c>
      <c r="N512" s="9">
        <v>4.7850000000000001</v>
      </c>
      <c r="O512" s="9">
        <v>0.36199999999999999</v>
      </c>
      <c r="P512" s="9">
        <v>1.1791</v>
      </c>
      <c r="Q512" s="9">
        <v>19.053000000000001</v>
      </c>
      <c r="R512" s="9"/>
      <c r="S512" s="11"/>
    </row>
    <row r="513" spans="1:19" ht="15.75">
      <c r="A513" s="13">
        <v>57131</v>
      </c>
      <c r="B513" s="8">
        <f>CHOOSE( CONTROL!$C$32, 14.3732, 14.3708) * CHOOSE(CONTROL!$C$15, $D$11, 100%, $F$11)</f>
        <v>14.373200000000001</v>
      </c>
      <c r="C513" s="8">
        <f>CHOOSE( CONTROL!$C$32, 14.3812, 14.3789) * CHOOSE(CONTROL!$C$15, $D$11, 100%, $F$11)</f>
        <v>14.3812</v>
      </c>
      <c r="D513" s="8">
        <f>CHOOSE( CONTROL!$C$32, 14.4064, 14.4041) * CHOOSE( CONTROL!$C$15, $D$11, 100%, $F$11)</f>
        <v>14.4064</v>
      </c>
      <c r="E513" s="12">
        <f>CHOOSE( CONTROL!$C$32, 14.396, 14.3937) * CHOOSE( CONTROL!$C$15, $D$11, 100%, $F$11)</f>
        <v>14.396000000000001</v>
      </c>
      <c r="F513" s="4">
        <f>CHOOSE( CONTROL!$C$32, 15.0866, 15.0842) * CHOOSE(CONTROL!$C$15, $D$11, 100%, $F$11)</f>
        <v>15.086600000000001</v>
      </c>
      <c r="G513" s="8">
        <f>CHOOSE( CONTROL!$C$32, 14.0216, 14.0193) * CHOOSE( CONTROL!$C$15, $D$11, 100%, $F$11)</f>
        <v>14.021599999999999</v>
      </c>
      <c r="H513" s="4">
        <f>CHOOSE( CONTROL!$C$32, 14.9699, 14.9676) * CHOOSE(CONTROL!$C$15, $D$11, 100%, $F$11)</f>
        <v>14.969900000000001</v>
      </c>
      <c r="I513" s="8">
        <f>CHOOSE( CONTROL!$C$32, 13.8871, 13.8848) * CHOOSE(CONTROL!$C$15, $D$11, 100%, $F$11)</f>
        <v>13.8871</v>
      </c>
      <c r="J513" s="4">
        <f>CHOOSE( CONTROL!$C$32, 13.7704, 13.7682) * CHOOSE(CONTROL!$C$15, $D$11, 100%, $F$11)</f>
        <v>13.7704</v>
      </c>
      <c r="K513" s="4"/>
      <c r="L513" s="9">
        <v>30.7165</v>
      </c>
      <c r="M513" s="9">
        <v>12.063700000000001</v>
      </c>
      <c r="N513" s="9">
        <v>4.9444999999999997</v>
      </c>
      <c r="O513" s="9">
        <v>0.37409999999999999</v>
      </c>
      <c r="P513" s="9">
        <v>1.2183999999999999</v>
      </c>
      <c r="Q513" s="9">
        <v>19.688099999999999</v>
      </c>
      <c r="R513" s="9"/>
      <c r="S513" s="11"/>
    </row>
    <row r="514" spans="1:19" ht="15.75">
      <c r="A514" s="13">
        <v>57161</v>
      </c>
      <c r="B514" s="8">
        <f>CHOOSE( CONTROL!$C$32, 14.1426, 14.1402) * CHOOSE(CONTROL!$C$15, $D$11, 100%, $F$11)</f>
        <v>14.1426</v>
      </c>
      <c r="C514" s="8">
        <f>CHOOSE( CONTROL!$C$32, 14.1507, 14.1483) * CHOOSE(CONTROL!$C$15, $D$11, 100%, $F$11)</f>
        <v>14.150700000000001</v>
      </c>
      <c r="D514" s="8">
        <f>CHOOSE( CONTROL!$C$32, 14.1761, 14.1737) * CHOOSE( CONTROL!$C$15, $D$11, 100%, $F$11)</f>
        <v>14.1761</v>
      </c>
      <c r="E514" s="12">
        <f>CHOOSE( CONTROL!$C$32, 14.1657, 14.1633) * CHOOSE( CONTROL!$C$15, $D$11, 100%, $F$11)</f>
        <v>14.165699999999999</v>
      </c>
      <c r="F514" s="4">
        <f>CHOOSE( CONTROL!$C$32, 14.856, 14.8537) * CHOOSE(CONTROL!$C$15, $D$11, 100%, $F$11)</f>
        <v>14.856</v>
      </c>
      <c r="G514" s="8">
        <f>CHOOSE( CONTROL!$C$32, 13.7967, 13.7944) * CHOOSE( CONTROL!$C$15, $D$11, 100%, $F$11)</f>
        <v>13.7967</v>
      </c>
      <c r="H514" s="4">
        <f>CHOOSE( CONTROL!$C$32, 14.7447, 14.7424) * CHOOSE(CONTROL!$C$15, $D$11, 100%, $F$11)</f>
        <v>14.7447</v>
      </c>
      <c r="I514" s="8">
        <f>CHOOSE( CONTROL!$C$32, 13.6666, 13.6643) * CHOOSE(CONTROL!$C$15, $D$11, 100%, $F$11)</f>
        <v>13.666600000000001</v>
      </c>
      <c r="J514" s="4">
        <f>CHOOSE( CONTROL!$C$32, 13.5491, 13.5468) * CHOOSE(CONTROL!$C$15, $D$11, 100%, $F$11)</f>
        <v>13.549099999999999</v>
      </c>
      <c r="K514" s="4"/>
      <c r="L514" s="9">
        <v>29.7257</v>
      </c>
      <c r="M514" s="9">
        <v>11.6745</v>
      </c>
      <c r="N514" s="9">
        <v>4.7850000000000001</v>
      </c>
      <c r="O514" s="9">
        <v>0.36199999999999999</v>
      </c>
      <c r="P514" s="9">
        <v>1.1791</v>
      </c>
      <c r="Q514" s="9">
        <v>19.053000000000001</v>
      </c>
      <c r="R514" s="9"/>
      <c r="S514" s="11"/>
    </row>
    <row r="515" spans="1:19" ht="15.75">
      <c r="A515" s="13">
        <v>57192</v>
      </c>
      <c r="B515" s="8">
        <f>CHOOSE( CONTROL!$C$32, 14.7497, 14.7474) * CHOOSE(CONTROL!$C$15, $D$11, 100%, $F$11)</f>
        <v>14.749700000000001</v>
      </c>
      <c r="C515" s="8">
        <f>CHOOSE( CONTROL!$C$32, 14.7578, 14.7555) * CHOOSE(CONTROL!$C$15, $D$11, 100%, $F$11)</f>
        <v>14.7578</v>
      </c>
      <c r="D515" s="8">
        <f>CHOOSE( CONTROL!$C$32, 14.7835, 14.7811) * CHOOSE( CONTROL!$C$15, $D$11, 100%, $F$11)</f>
        <v>14.7835</v>
      </c>
      <c r="E515" s="12">
        <f>CHOOSE( CONTROL!$C$32, 14.773, 14.7706) * CHOOSE( CONTROL!$C$15, $D$11, 100%, $F$11)</f>
        <v>14.773</v>
      </c>
      <c r="F515" s="4">
        <f>CHOOSE( CONTROL!$C$32, 15.4632, 15.4608) * CHOOSE(CONTROL!$C$15, $D$11, 100%, $F$11)</f>
        <v>15.463200000000001</v>
      </c>
      <c r="G515" s="8">
        <f>CHOOSE( CONTROL!$C$32, 14.3901, 14.3878) * CHOOSE( CONTROL!$C$15, $D$11, 100%, $F$11)</f>
        <v>14.3901</v>
      </c>
      <c r="H515" s="4">
        <f>CHOOSE( CONTROL!$C$32, 15.3377, 15.3354) * CHOOSE(CONTROL!$C$15, $D$11, 100%, $F$11)</f>
        <v>15.3377</v>
      </c>
      <c r="I515" s="8">
        <f>CHOOSE( CONTROL!$C$32, 14.251, 14.2488) * CHOOSE(CONTROL!$C$15, $D$11, 100%, $F$11)</f>
        <v>14.250999999999999</v>
      </c>
      <c r="J515" s="4">
        <f>CHOOSE( CONTROL!$C$32, 14.132, 14.1298) * CHOOSE(CONTROL!$C$15, $D$11, 100%, $F$11)</f>
        <v>14.132</v>
      </c>
      <c r="K515" s="4"/>
      <c r="L515" s="9">
        <v>30.7165</v>
      </c>
      <c r="M515" s="9">
        <v>12.063700000000001</v>
      </c>
      <c r="N515" s="9">
        <v>4.9444999999999997</v>
      </c>
      <c r="O515" s="9">
        <v>0.37409999999999999</v>
      </c>
      <c r="P515" s="9">
        <v>1.2183999999999999</v>
      </c>
      <c r="Q515" s="9">
        <v>19.688099999999999</v>
      </c>
      <c r="R515" s="9"/>
      <c r="S515" s="11"/>
    </row>
    <row r="516" spans="1:19" ht="15.75">
      <c r="A516" s="13">
        <v>57223</v>
      </c>
      <c r="B516" s="8">
        <f>CHOOSE( CONTROL!$C$32, 13.6137, 13.6114) * CHOOSE(CONTROL!$C$15, $D$11, 100%, $F$11)</f>
        <v>13.6137</v>
      </c>
      <c r="C516" s="8">
        <f>CHOOSE( CONTROL!$C$32, 13.6218, 13.6194) * CHOOSE(CONTROL!$C$15, $D$11, 100%, $F$11)</f>
        <v>13.6218</v>
      </c>
      <c r="D516" s="8">
        <f>CHOOSE( CONTROL!$C$32, 13.6475, 13.6452) * CHOOSE( CONTROL!$C$15, $D$11, 100%, $F$11)</f>
        <v>13.647500000000001</v>
      </c>
      <c r="E516" s="12">
        <f>CHOOSE( CONTROL!$C$32, 13.637, 13.6346) * CHOOSE( CONTROL!$C$15, $D$11, 100%, $F$11)</f>
        <v>13.637</v>
      </c>
      <c r="F516" s="4">
        <f>CHOOSE( CONTROL!$C$32, 14.3271, 14.3248) * CHOOSE(CONTROL!$C$15, $D$11, 100%, $F$11)</f>
        <v>14.3271</v>
      </c>
      <c r="G516" s="8">
        <f>CHOOSE( CONTROL!$C$32, 13.2806, 13.2783) * CHOOSE( CONTROL!$C$15, $D$11, 100%, $F$11)</f>
        <v>13.2806</v>
      </c>
      <c r="H516" s="4">
        <f>CHOOSE( CONTROL!$C$32, 14.2281, 14.2258) * CHOOSE(CONTROL!$C$15, $D$11, 100%, $F$11)</f>
        <v>14.2281</v>
      </c>
      <c r="I516" s="8">
        <f>CHOOSE( CONTROL!$C$32, 13.1601, 13.1579) * CHOOSE(CONTROL!$C$15, $D$11, 100%, $F$11)</f>
        <v>13.1601</v>
      </c>
      <c r="J516" s="4">
        <f>CHOOSE( CONTROL!$C$32, 13.0413, 13.039) * CHOOSE(CONTROL!$C$15, $D$11, 100%, $F$11)</f>
        <v>13.0413</v>
      </c>
      <c r="K516" s="4"/>
      <c r="L516" s="9">
        <v>30.7165</v>
      </c>
      <c r="M516" s="9">
        <v>12.063700000000001</v>
      </c>
      <c r="N516" s="9">
        <v>4.9444999999999997</v>
      </c>
      <c r="O516" s="9">
        <v>0.37409999999999999</v>
      </c>
      <c r="P516" s="9">
        <v>1.2183999999999999</v>
      </c>
      <c r="Q516" s="9">
        <v>19.688099999999999</v>
      </c>
      <c r="R516" s="9"/>
      <c r="S516" s="11"/>
    </row>
    <row r="517" spans="1:19" ht="15.75">
      <c r="A517" s="13">
        <v>57253</v>
      </c>
      <c r="B517" s="8">
        <f>CHOOSE( CONTROL!$C$32, 13.3292, 13.3269) * CHOOSE(CONTROL!$C$15, $D$11, 100%, $F$11)</f>
        <v>13.3292</v>
      </c>
      <c r="C517" s="8">
        <f>CHOOSE( CONTROL!$C$32, 13.3373, 13.335) * CHOOSE(CONTROL!$C$15, $D$11, 100%, $F$11)</f>
        <v>13.337300000000001</v>
      </c>
      <c r="D517" s="8">
        <f>CHOOSE( CONTROL!$C$32, 13.363, 13.3607) * CHOOSE( CONTROL!$C$15, $D$11, 100%, $F$11)</f>
        <v>13.363</v>
      </c>
      <c r="E517" s="12">
        <f>CHOOSE( CONTROL!$C$32, 13.3525, 13.3502) * CHOOSE( CONTROL!$C$15, $D$11, 100%, $F$11)</f>
        <v>13.352499999999999</v>
      </c>
      <c r="F517" s="4">
        <f>CHOOSE( CONTROL!$C$32, 14.0427, 14.0403) * CHOOSE(CONTROL!$C$15, $D$11, 100%, $F$11)</f>
        <v>14.0427</v>
      </c>
      <c r="G517" s="8">
        <f>CHOOSE( CONTROL!$C$32, 13.0027, 13.0004) * CHOOSE( CONTROL!$C$15, $D$11, 100%, $F$11)</f>
        <v>13.002700000000001</v>
      </c>
      <c r="H517" s="4">
        <f>CHOOSE( CONTROL!$C$32, 13.9503, 13.948) * CHOOSE(CONTROL!$C$15, $D$11, 100%, $F$11)</f>
        <v>13.9503</v>
      </c>
      <c r="I517" s="8">
        <f>CHOOSE( CONTROL!$C$32, 12.8868, 12.8845) * CHOOSE(CONTROL!$C$15, $D$11, 100%, $F$11)</f>
        <v>12.886799999999999</v>
      </c>
      <c r="J517" s="4">
        <f>CHOOSE( CONTROL!$C$32, 12.7682, 12.7659) * CHOOSE(CONTROL!$C$15, $D$11, 100%, $F$11)</f>
        <v>12.7682</v>
      </c>
      <c r="K517" s="4"/>
      <c r="L517" s="9">
        <v>29.7257</v>
      </c>
      <c r="M517" s="9">
        <v>11.6745</v>
      </c>
      <c r="N517" s="9">
        <v>4.7850000000000001</v>
      </c>
      <c r="O517" s="9">
        <v>0.36199999999999999</v>
      </c>
      <c r="P517" s="9">
        <v>1.1791</v>
      </c>
      <c r="Q517" s="9">
        <v>19.053000000000001</v>
      </c>
      <c r="R517" s="9"/>
      <c r="S517" s="11"/>
    </row>
    <row r="518" spans="1:19" ht="15.75">
      <c r="A518" s="13">
        <v>57284</v>
      </c>
      <c r="B518" s="8">
        <f>13.9158 * CHOOSE(CONTROL!$C$15, $D$11, 100%, $F$11)</f>
        <v>13.915800000000001</v>
      </c>
      <c r="C518" s="8">
        <f>13.9213 * CHOOSE(CONTROL!$C$15, $D$11, 100%, $F$11)</f>
        <v>13.9213</v>
      </c>
      <c r="D518" s="8">
        <f>13.9521 * CHOOSE( CONTROL!$C$15, $D$11, 100%, $F$11)</f>
        <v>13.9521</v>
      </c>
      <c r="E518" s="12">
        <f>13.9413 * CHOOSE( CONTROL!$C$15, $D$11, 100%, $F$11)</f>
        <v>13.9413</v>
      </c>
      <c r="F518" s="4">
        <f>14.631 * CHOOSE(CONTROL!$C$15, $D$11, 100%, $F$11)</f>
        <v>14.631</v>
      </c>
      <c r="G518" s="8">
        <f>13.5771 * CHOOSE( CONTROL!$C$15, $D$11, 100%, $F$11)</f>
        <v>13.5771</v>
      </c>
      <c r="H518" s="4">
        <f>14.5249 * CHOOSE(CONTROL!$C$15, $D$11, 100%, $F$11)</f>
        <v>14.524900000000001</v>
      </c>
      <c r="I518" s="8">
        <f>13.4527 * CHOOSE(CONTROL!$C$15, $D$11, 100%, $F$11)</f>
        <v>13.4527</v>
      </c>
      <c r="J518" s="4">
        <f>13.333 * CHOOSE(CONTROL!$C$15, $D$11, 100%, $F$11)</f>
        <v>13.333</v>
      </c>
      <c r="K518" s="4"/>
      <c r="L518" s="9">
        <v>31.095300000000002</v>
      </c>
      <c r="M518" s="9">
        <v>12.063700000000001</v>
      </c>
      <c r="N518" s="9">
        <v>4.9444999999999997</v>
      </c>
      <c r="O518" s="9">
        <v>0.37409999999999999</v>
      </c>
      <c r="P518" s="9">
        <v>1.2183999999999999</v>
      </c>
      <c r="Q518" s="9">
        <v>19.688099999999999</v>
      </c>
      <c r="R518" s="9"/>
      <c r="S518" s="11"/>
    </row>
    <row r="519" spans="1:19" ht="15.75">
      <c r="A519" s="13">
        <v>57314</v>
      </c>
      <c r="B519" s="8">
        <f>15.0057 * CHOOSE(CONTROL!$C$15, $D$11, 100%, $F$11)</f>
        <v>15.005699999999999</v>
      </c>
      <c r="C519" s="8">
        <f>15.0109 * CHOOSE(CONTROL!$C$15, $D$11, 100%, $F$11)</f>
        <v>15.010899999999999</v>
      </c>
      <c r="D519" s="8">
        <f>14.9939 * CHOOSE( CONTROL!$C$15, $D$11, 100%, $F$11)</f>
        <v>14.9939</v>
      </c>
      <c r="E519" s="12">
        <f>14.9996 * CHOOSE( CONTROL!$C$15, $D$11, 100%, $F$11)</f>
        <v>14.999599999999999</v>
      </c>
      <c r="F519" s="4">
        <f>15.6562 * CHOOSE(CONTROL!$C$15, $D$11, 100%, $F$11)</f>
        <v>15.6562</v>
      </c>
      <c r="G519" s="8">
        <f>14.6482 * CHOOSE( CONTROL!$C$15, $D$11, 100%, $F$11)</f>
        <v>14.648199999999999</v>
      </c>
      <c r="H519" s="4">
        <f>15.5262 * CHOOSE(CONTROL!$C$15, $D$11, 100%, $F$11)</f>
        <v>15.526199999999999</v>
      </c>
      <c r="I519" s="8">
        <f>14.5418 * CHOOSE(CONTROL!$C$15, $D$11, 100%, $F$11)</f>
        <v>14.5418</v>
      </c>
      <c r="J519" s="4">
        <f>14.3798 * CHOOSE(CONTROL!$C$15, $D$11, 100%, $F$11)</f>
        <v>14.379799999999999</v>
      </c>
      <c r="K519" s="4"/>
      <c r="L519" s="9">
        <v>28.360600000000002</v>
      </c>
      <c r="M519" s="9">
        <v>11.6745</v>
      </c>
      <c r="N519" s="9">
        <v>4.7850000000000001</v>
      </c>
      <c r="O519" s="9">
        <v>0.36199999999999999</v>
      </c>
      <c r="P519" s="9">
        <v>1.2509999999999999</v>
      </c>
      <c r="Q519" s="9">
        <v>19.053000000000001</v>
      </c>
      <c r="R519" s="9"/>
      <c r="S519" s="11"/>
    </row>
    <row r="520" spans="1:19" ht="15.75">
      <c r="A520" s="13">
        <v>57345</v>
      </c>
      <c r="B520" s="8">
        <f>14.9784 * CHOOSE(CONTROL!$C$15, $D$11, 100%, $F$11)</f>
        <v>14.978400000000001</v>
      </c>
      <c r="C520" s="8">
        <f>14.9836 * CHOOSE(CONTROL!$C$15, $D$11, 100%, $F$11)</f>
        <v>14.983599999999999</v>
      </c>
      <c r="D520" s="8">
        <f>14.9681 * CHOOSE( CONTROL!$C$15, $D$11, 100%, $F$11)</f>
        <v>14.9681</v>
      </c>
      <c r="E520" s="12">
        <f>14.9732 * CHOOSE( CONTROL!$C$15, $D$11, 100%, $F$11)</f>
        <v>14.9732</v>
      </c>
      <c r="F520" s="4">
        <f>15.6289 * CHOOSE(CONTROL!$C$15, $D$11, 100%, $F$11)</f>
        <v>15.6289</v>
      </c>
      <c r="G520" s="8">
        <f>14.6227 * CHOOSE( CONTROL!$C$15, $D$11, 100%, $F$11)</f>
        <v>14.6227</v>
      </c>
      <c r="H520" s="4">
        <f>15.4996 * CHOOSE(CONTROL!$C$15, $D$11, 100%, $F$11)</f>
        <v>15.499599999999999</v>
      </c>
      <c r="I520" s="8">
        <f>14.5204 * CHOOSE(CONTROL!$C$15, $D$11, 100%, $F$11)</f>
        <v>14.5204</v>
      </c>
      <c r="J520" s="4">
        <f>14.3536 * CHOOSE(CONTROL!$C$15, $D$11, 100%, $F$11)</f>
        <v>14.3536</v>
      </c>
      <c r="K520" s="4"/>
      <c r="L520" s="9">
        <v>29.306000000000001</v>
      </c>
      <c r="M520" s="9">
        <v>12.063700000000001</v>
      </c>
      <c r="N520" s="9">
        <v>4.9444999999999997</v>
      </c>
      <c r="O520" s="9">
        <v>0.37409999999999999</v>
      </c>
      <c r="P520" s="9">
        <v>1.2927</v>
      </c>
      <c r="Q520" s="9">
        <v>19.688099999999999</v>
      </c>
      <c r="R520" s="9"/>
      <c r="S520" s="11"/>
    </row>
    <row r="521" spans="1:19" ht="15.75">
      <c r="A521" s="13">
        <v>57376</v>
      </c>
      <c r="B521" s="8">
        <f>15.4194 * CHOOSE(CONTROL!$C$15, $D$11, 100%, $F$11)</f>
        <v>15.4194</v>
      </c>
      <c r="C521" s="8">
        <f>15.4246 * CHOOSE(CONTROL!$C$15, $D$11, 100%, $F$11)</f>
        <v>15.4246</v>
      </c>
      <c r="D521" s="8">
        <f>15.4048 * CHOOSE( CONTROL!$C$15, $D$11, 100%, $F$11)</f>
        <v>15.4048</v>
      </c>
      <c r="E521" s="12">
        <f>15.4115 * CHOOSE( CONTROL!$C$15, $D$11, 100%, $F$11)</f>
        <v>15.4115</v>
      </c>
      <c r="F521" s="4">
        <f>16.0699 * CHOOSE(CONTROL!$C$15, $D$11, 100%, $F$11)</f>
        <v>16.069900000000001</v>
      </c>
      <c r="G521" s="8">
        <f>15.0441 * CHOOSE( CONTROL!$C$15, $D$11, 100%, $F$11)</f>
        <v>15.0441</v>
      </c>
      <c r="H521" s="4">
        <f>15.9303 * CHOOSE(CONTROL!$C$15, $D$11, 100%, $F$11)</f>
        <v>15.930300000000001</v>
      </c>
      <c r="I521" s="8">
        <f>14.9031 * CHOOSE(CONTROL!$C$15, $D$11, 100%, $F$11)</f>
        <v>14.9031</v>
      </c>
      <c r="J521" s="4">
        <f>14.777 * CHOOSE(CONTROL!$C$15, $D$11, 100%, $F$11)</f>
        <v>14.776999999999999</v>
      </c>
      <c r="K521" s="4"/>
      <c r="L521" s="9">
        <v>29.306000000000001</v>
      </c>
      <c r="M521" s="9">
        <v>12.063700000000001</v>
      </c>
      <c r="N521" s="9">
        <v>4.9444999999999997</v>
      </c>
      <c r="O521" s="9">
        <v>0.37409999999999999</v>
      </c>
      <c r="P521" s="9">
        <v>1.2927</v>
      </c>
      <c r="Q521" s="9">
        <v>19.688099999999999</v>
      </c>
      <c r="R521" s="9"/>
      <c r="S521" s="11"/>
    </row>
    <row r="522" spans="1:19" ht="15.75">
      <c r="A522" s="13">
        <v>57404</v>
      </c>
      <c r="B522" s="8">
        <f>14.4244 * CHOOSE(CONTROL!$C$15, $D$11, 100%, $F$11)</f>
        <v>14.4244</v>
      </c>
      <c r="C522" s="8">
        <f>14.4296 * CHOOSE(CONTROL!$C$15, $D$11, 100%, $F$11)</f>
        <v>14.429600000000001</v>
      </c>
      <c r="D522" s="8">
        <f>14.4097 * CHOOSE( CONTROL!$C$15, $D$11, 100%, $F$11)</f>
        <v>14.409700000000001</v>
      </c>
      <c r="E522" s="12">
        <f>14.4164 * CHOOSE( CONTROL!$C$15, $D$11, 100%, $F$11)</f>
        <v>14.416399999999999</v>
      </c>
      <c r="F522" s="4">
        <f>15.0749 * CHOOSE(CONTROL!$C$15, $D$11, 100%, $F$11)</f>
        <v>15.0749</v>
      </c>
      <c r="G522" s="8">
        <f>14.0722 * CHOOSE( CONTROL!$C$15, $D$11, 100%, $F$11)</f>
        <v>14.0722</v>
      </c>
      <c r="H522" s="4">
        <f>14.9585 * CHOOSE(CONTROL!$C$15, $D$11, 100%, $F$11)</f>
        <v>14.958500000000001</v>
      </c>
      <c r="I522" s="8">
        <f>13.9472 * CHOOSE(CONTROL!$C$15, $D$11, 100%, $F$11)</f>
        <v>13.9472</v>
      </c>
      <c r="J522" s="4">
        <f>13.8217 * CHOOSE(CONTROL!$C$15, $D$11, 100%, $F$11)</f>
        <v>13.8217</v>
      </c>
      <c r="K522" s="4"/>
      <c r="L522" s="9">
        <v>26.469899999999999</v>
      </c>
      <c r="M522" s="9">
        <v>10.8962</v>
      </c>
      <c r="N522" s="9">
        <v>4.4660000000000002</v>
      </c>
      <c r="O522" s="9">
        <v>0.33789999999999998</v>
      </c>
      <c r="P522" s="9">
        <v>1.1676</v>
      </c>
      <c r="Q522" s="9">
        <v>17.782800000000002</v>
      </c>
      <c r="R522" s="9"/>
      <c r="S522" s="11"/>
    </row>
    <row r="523" spans="1:19" ht="15.75">
      <c r="A523" s="13">
        <v>57435</v>
      </c>
      <c r="B523" s="8">
        <f>14.118 * CHOOSE(CONTROL!$C$15, $D$11, 100%, $F$11)</f>
        <v>14.118</v>
      </c>
      <c r="C523" s="8">
        <f>14.1231 * CHOOSE(CONTROL!$C$15, $D$11, 100%, $F$11)</f>
        <v>14.123100000000001</v>
      </c>
      <c r="D523" s="8">
        <f>14.1029 * CHOOSE( CONTROL!$C$15, $D$11, 100%, $F$11)</f>
        <v>14.1029</v>
      </c>
      <c r="E523" s="12">
        <f>14.1097 * CHOOSE( CONTROL!$C$15, $D$11, 100%, $F$11)</f>
        <v>14.1097</v>
      </c>
      <c r="F523" s="4">
        <f>14.7684 * CHOOSE(CONTROL!$C$15, $D$11, 100%, $F$11)</f>
        <v>14.7684</v>
      </c>
      <c r="G523" s="8">
        <f>13.7727 * CHOOSE( CONTROL!$C$15, $D$11, 100%, $F$11)</f>
        <v>13.7727</v>
      </c>
      <c r="H523" s="4">
        <f>14.6591 * CHOOSE(CONTROL!$C$15, $D$11, 100%, $F$11)</f>
        <v>14.6591</v>
      </c>
      <c r="I523" s="8">
        <f>13.6517 * CHOOSE(CONTROL!$C$15, $D$11, 100%, $F$11)</f>
        <v>13.6517</v>
      </c>
      <c r="J523" s="4">
        <f>13.5275 * CHOOSE(CONTROL!$C$15, $D$11, 100%, $F$11)</f>
        <v>13.5275</v>
      </c>
      <c r="K523" s="4"/>
      <c r="L523" s="9">
        <v>29.306000000000001</v>
      </c>
      <c r="M523" s="9">
        <v>12.063700000000001</v>
      </c>
      <c r="N523" s="9">
        <v>4.9444999999999997</v>
      </c>
      <c r="O523" s="9">
        <v>0.37409999999999999</v>
      </c>
      <c r="P523" s="9">
        <v>1.2927</v>
      </c>
      <c r="Q523" s="9">
        <v>19.688099999999999</v>
      </c>
      <c r="R523" s="9"/>
      <c r="S523" s="11"/>
    </row>
    <row r="524" spans="1:19" ht="15.75">
      <c r="A524" s="13">
        <v>57465</v>
      </c>
      <c r="B524" s="8">
        <f>14.3329 * CHOOSE(CONTROL!$C$15, $D$11, 100%, $F$11)</f>
        <v>14.3329</v>
      </c>
      <c r="C524" s="8">
        <f>14.3375 * CHOOSE(CONTROL!$C$15, $D$11, 100%, $F$11)</f>
        <v>14.3375</v>
      </c>
      <c r="D524" s="8">
        <f>14.368 * CHOOSE( CONTROL!$C$15, $D$11, 100%, $F$11)</f>
        <v>14.368</v>
      </c>
      <c r="E524" s="12">
        <f>14.3574 * CHOOSE( CONTROL!$C$15, $D$11, 100%, $F$11)</f>
        <v>14.3574</v>
      </c>
      <c r="F524" s="4">
        <f>15.0477 * CHOOSE(CONTROL!$C$15, $D$11, 100%, $F$11)</f>
        <v>15.047700000000001</v>
      </c>
      <c r="G524" s="8">
        <f>13.983 * CHOOSE( CONTROL!$C$15, $D$11, 100%, $F$11)</f>
        <v>13.983000000000001</v>
      </c>
      <c r="H524" s="4">
        <f>14.9319 * CHOOSE(CONTROL!$C$15, $D$11, 100%, $F$11)</f>
        <v>14.931900000000001</v>
      </c>
      <c r="I524" s="8">
        <f>13.8494 * CHOOSE(CONTROL!$C$15, $D$11, 100%, $F$11)</f>
        <v>13.849399999999999</v>
      </c>
      <c r="J524" s="4">
        <f>13.7331 * CHOOSE(CONTROL!$C$15, $D$11, 100%, $F$11)</f>
        <v>13.7331</v>
      </c>
      <c r="K524" s="4"/>
      <c r="L524" s="9">
        <v>30.092199999999998</v>
      </c>
      <c r="M524" s="9">
        <v>11.6745</v>
      </c>
      <c r="N524" s="9">
        <v>4.7850000000000001</v>
      </c>
      <c r="O524" s="9">
        <v>0.36199999999999999</v>
      </c>
      <c r="P524" s="9">
        <v>1.1791</v>
      </c>
      <c r="Q524" s="9">
        <v>19.053000000000001</v>
      </c>
      <c r="R524" s="9"/>
      <c r="S524" s="11"/>
    </row>
    <row r="525" spans="1:19" ht="15.75">
      <c r="A525" s="13">
        <v>57496</v>
      </c>
      <c r="B525" s="8">
        <f>CHOOSE( CONTROL!$C$32, 14.7177, 14.7154) * CHOOSE(CONTROL!$C$15, $D$11, 100%, $F$11)</f>
        <v>14.717700000000001</v>
      </c>
      <c r="C525" s="8">
        <f>CHOOSE( CONTROL!$C$32, 14.7258, 14.7235) * CHOOSE(CONTROL!$C$15, $D$11, 100%, $F$11)</f>
        <v>14.7258</v>
      </c>
      <c r="D525" s="8">
        <f>CHOOSE( CONTROL!$C$32, 14.751, 14.7487) * CHOOSE( CONTROL!$C$15, $D$11, 100%, $F$11)</f>
        <v>14.750999999999999</v>
      </c>
      <c r="E525" s="12">
        <f>CHOOSE( CONTROL!$C$32, 14.7406, 14.7383) * CHOOSE( CONTROL!$C$15, $D$11, 100%, $F$11)</f>
        <v>14.740600000000001</v>
      </c>
      <c r="F525" s="4">
        <f>CHOOSE( CONTROL!$C$32, 15.4312, 15.4288) * CHOOSE(CONTROL!$C$15, $D$11, 100%, $F$11)</f>
        <v>15.4312</v>
      </c>
      <c r="G525" s="8">
        <f>CHOOSE( CONTROL!$C$32, 14.3581, 14.3558) * CHOOSE( CONTROL!$C$15, $D$11, 100%, $F$11)</f>
        <v>14.3581</v>
      </c>
      <c r="H525" s="4">
        <f>CHOOSE( CONTROL!$C$32, 15.3064, 15.3041) * CHOOSE(CONTROL!$C$15, $D$11, 100%, $F$11)</f>
        <v>15.3064</v>
      </c>
      <c r="I525" s="8">
        <f>CHOOSE( CONTROL!$C$32, 14.2181, 14.2158) * CHOOSE(CONTROL!$C$15, $D$11, 100%, $F$11)</f>
        <v>14.2181</v>
      </c>
      <c r="J525" s="4">
        <f>CHOOSE( CONTROL!$C$32, 14.1013, 14.099) * CHOOSE(CONTROL!$C$15, $D$11, 100%, $F$11)</f>
        <v>14.1013</v>
      </c>
      <c r="K525" s="4"/>
      <c r="L525" s="9">
        <v>30.7165</v>
      </c>
      <c r="M525" s="9">
        <v>12.063700000000001</v>
      </c>
      <c r="N525" s="9">
        <v>4.9444999999999997</v>
      </c>
      <c r="O525" s="9">
        <v>0.37409999999999999</v>
      </c>
      <c r="P525" s="9">
        <v>1.2183999999999999</v>
      </c>
      <c r="Q525" s="9">
        <v>19.688099999999999</v>
      </c>
      <c r="R525" s="9"/>
      <c r="S525" s="11"/>
    </row>
    <row r="526" spans="1:19" ht="15.75">
      <c r="A526" s="13">
        <v>57526</v>
      </c>
      <c r="B526" s="8">
        <f>CHOOSE( CONTROL!$C$32, 14.4816, 14.4793) * CHOOSE(CONTROL!$C$15, $D$11, 100%, $F$11)</f>
        <v>14.4816</v>
      </c>
      <c r="C526" s="8">
        <f>CHOOSE( CONTROL!$C$32, 14.4897, 14.4874) * CHOOSE(CONTROL!$C$15, $D$11, 100%, $F$11)</f>
        <v>14.489699999999999</v>
      </c>
      <c r="D526" s="8">
        <f>CHOOSE( CONTROL!$C$32, 14.5151, 14.5128) * CHOOSE( CONTROL!$C$15, $D$11, 100%, $F$11)</f>
        <v>14.5151</v>
      </c>
      <c r="E526" s="12">
        <f>CHOOSE( CONTROL!$C$32, 14.5047, 14.5024) * CHOOSE( CONTROL!$C$15, $D$11, 100%, $F$11)</f>
        <v>14.5047</v>
      </c>
      <c r="F526" s="4">
        <f>CHOOSE( CONTROL!$C$32, 15.1951, 15.1927) * CHOOSE(CONTROL!$C$15, $D$11, 100%, $F$11)</f>
        <v>15.1951</v>
      </c>
      <c r="G526" s="8">
        <f>CHOOSE( CONTROL!$C$32, 14.1278, 14.1255) * CHOOSE( CONTROL!$C$15, $D$11, 100%, $F$11)</f>
        <v>14.127800000000001</v>
      </c>
      <c r="H526" s="4">
        <f>CHOOSE( CONTROL!$C$32, 15.0758, 15.0735) * CHOOSE(CONTROL!$C$15, $D$11, 100%, $F$11)</f>
        <v>15.075799999999999</v>
      </c>
      <c r="I526" s="8">
        <f>CHOOSE( CONTROL!$C$32, 13.9922, 13.99) * CHOOSE(CONTROL!$C$15, $D$11, 100%, $F$11)</f>
        <v>13.9922</v>
      </c>
      <c r="J526" s="4">
        <f>CHOOSE( CONTROL!$C$32, 13.8746, 13.8723) * CHOOSE(CONTROL!$C$15, $D$11, 100%, $F$11)</f>
        <v>13.874599999999999</v>
      </c>
      <c r="K526" s="4"/>
      <c r="L526" s="9">
        <v>29.7257</v>
      </c>
      <c r="M526" s="9">
        <v>11.6745</v>
      </c>
      <c r="N526" s="9">
        <v>4.7850000000000001</v>
      </c>
      <c r="O526" s="9">
        <v>0.36199999999999999</v>
      </c>
      <c r="P526" s="9">
        <v>1.1791</v>
      </c>
      <c r="Q526" s="9">
        <v>19.053000000000001</v>
      </c>
      <c r="R526" s="9"/>
      <c r="S526" s="11"/>
    </row>
    <row r="527" spans="1:19" ht="15.75">
      <c r="A527" s="13">
        <v>57557</v>
      </c>
      <c r="B527" s="8">
        <f>CHOOSE( CONTROL!$C$32, 15.1034, 15.101) * CHOOSE(CONTROL!$C$15, $D$11, 100%, $F$11)</f>
        <v>15.103400000000001</v>
      </c>
      <c r="C527" s="8">
        <f>CHOOSE( CONTROL!$C$32, 15.1114, 15.1091) * CHOOSE(CONTROL!$C$15, $D$11, 100%, $F$11)</f>
        <v>15.1114</v>
      </c>
      <c r="D527" s="8">
        <f>CHOOSE( CONTROL!$C$32, 15.1371, 15.1348) * CHOOSE( CONTROL!$C$15, $D$11, 100%, $F$11)</f>
        <v>15.1371</v>
      </c>
      <c r="E527" s="12">
        <f>CHOOSE( CONTROL!$C$32, 15.1266, 15.1243) * CHOOSE( CONTROL!$C$15, $D$11, 100%, $F$11)</f>
        <v>15.1266</v>
      </c>
      <c r="F527" s="4">
        <f>CHOOSE( CONTROL!$C$32, 15.8168, 15.8144) * CHOOSE(CONTROL!$C$15, $D$11, 100%, $F$11)</f>
        <v>15.816800000000001</v>
      </c>
      <c r="G527" s="8">
        <f>CHOOSE( CONTROL!$C$32, 14.7354, 14.7331) * CHOOSE( CONTROL!$C$15, $D$11, 100%, $F$11)</f>
        <v>14.7354</v>
      </c>
      <c r="H527" s="4">
        <f>CHOOSE( CONTROL!$C$32, 15.6831, 15.6808) * CHOOSE(CONTROL!$C$15, $D$11, 100%, $F$11)</f>
        <v>15.6831</v>
      </c>
      <c r="I527" s="8">
        <f>CHOOSE( CONTROL!$C$32, 14.5907, 14.5884) * CHOOSE(CONTROL!$C$15, $D$11, 100%, $F$11)</f>
        <v>14.5907</v>
      </c>
      <c r="J527" s="4">
        <f>CHOOSE( CONTROL!$C$32, 14.4715, 14.4693) * CHOOSE(CONTROL!$C$15, $D$11, 100%, $F$11)</f>
        <v>14.471500000000001</v>
      </c>
      <c r="K527" s="4"/>
      <c r="L527" s="9">
        <v>30.7165</v>
      </c>
      <c r="M527" s="9">
        <v>12.063700000000001</v>
      </c>
      <c r="N527" s="9">
        <v>4.9444999999999997</v>
      </c>
      <c r="O527" s="9">
        <v>0.37409999999999999</v>
      </c>
      <c r="P527" s="9">
        <v>1.2183999999999999</v>
      </c>
      <c r="Q527" s="9">
        <v>19.688099999999999</v>
      </c>
      <c r="R527" s="9"/>
      <c r="S527" s="11"/>
    </row>
    <row r="528" spans="1:19" ht="15.75">
      <c r="A528" s="13">
        <v>57588</v>
      </c>
      <c r="B528" s="8">
        <f>CHOOSE( CONTROL!$C$32, 13.94, 13.9377) * CHOOSE(CONTROL!$C$15, $D$11, 100%, $F$11)</f>
        <v>13.94</v>
      </c>
      <c r="C528" s="8">
        <f>CHOOSE( CONTROL!$C$32, 13.9481, 13.9458) * CHOOSE(CONTROL!$C$15, $D$11, 100%, $F$11)</f>
        <v>13.9481</v>
      </c>
      <c r="D528" s="8">
        <f>CHOOSE( CONTROL!$C$32, 13.9738, 13.9715) * CHOOSE( CONTROL!$C$15, $D$11, 100%, $F$11)</f>
        <v>13.973800000000001</v>
      </c>
      <c r="E528" s="12">
        <f>CHOOSE( CONTROL!$C$32, 13.9633, 13.961) * CHOOSE( CONTROL!$C$15, $D$11, 100%, $F$11)</f>
        <v>13.9633</v>
      </c>
      <c r="F528" s="4">
        <f>CHOOSE( CONTROL!$C$32, 14.6535, 14.6511) * CHOOSE(CONTROL!$C$15, $D$11, 100%, $F$11)</f>
        <v>14.653499999999999</v>
      </c>
      <c r="G528" s="8">
        <f>CHOOSE( CONTROL!$C$32, 13.5993, 13.597) * CHOOSE( CONTROL!$C$15, $D$11, 100%, $F$11)</f>
        <v>13.599299999999999</v>
      </c>
      <c r="H528" s="4">
        <f>CHOOSE( CONTROL!$C$32, 14.5468, 14.5446) * CHOOSE(CONTROL!$C$15, $D$11, 100%, $F$11)</f>
        <v>14.546799999999999</v>
      </c>
      <c r="I528" s="8">
        <f>CHOOSE( CONTROL!$C$32, 13.4736, 13.4713) * CHOOSE(CONTROL!$C$15, $D$11, 100%, $F$11)</f>
        <v>13.473599999999999</v>
      </c>
      <c r="J528" s="4">
        <f>CHOOSE( CONTROL!$C$32, 13.3546, 13.3523) * CHOOSE(CONTROL!$C$15, $D$11, 100%, $F$11)</f>
        <v>13.3546</v>
      </c>
      <c r="K528" s="4"/>
      <c r="L528" s="9">
        <v>30.7165</v>
      </c>
      <c r="M528" s="9">
        <v>12.063700000000001</v>
      </c>
      <c r="N528" s="9">
        <v>4.9444999999999997</v>
      </c>
      <c r="O528" s="9">
        <v>0.37409999999999999</v>
      </c>
      <c r="P528" s="9">
        <v>1.2183999999999999</v>
      </c>
      <c r="Q528" s="9">
        <v>19.688099999999999</v>
      </c>
      <c r="R528" s="9"/>
      <c r="S528" s="11"/>
    </row>
    <row r="529" spans="1:19" ht="15.75">
      <c r="A529" s="13">
        <v>57618</v>
      </c>
      <c r="B529" s="8">
        <f>CHOOSE( CONTROL!$C$32, 13.6487, 13.6464) * CHOOSE(CONTROL!$C$15, $D$11, 100%, $F$11)</f>
        <v>13.6487</v>
      </c>
      <c r="C529" s="8">
        <f>CHOOSE( CONTROL!$C$32, 13.6568, 13.6544) * CHOOSE(CONTROL!$C$15, $D$11, 100%, $F$11)</f>
        <v>13.6568</v>
      </c>
      <c r="D529" s="8">
        <f>CHOOSE( CONTROL!$C$32, 13.6825, 13.6802) * CHOOSE( CONTROL!$C$15, $D$11, 100%, $F$11)</f>
        <v>13.682499999999999</v>
      </c>
      <c r="E529" s="12">
        <f>CHOOSE( CONTROL!$C$32, 13.672, 13.6696) * CHOOSE( CONTROL!$C$15, $D$11, 100%, $F$11)</f>
        <v>13.672000000000001</v>
      </c>
      <c r="F529" s="4">
        <f>CHOOSE( CONTROL!$C$32, 14.3621, 14.3598) * CHOOSE(CONTROL!$C$15, $D$11, 100%, $F$11)</f>
        <v>14.3621</v>
      </c>
      <c r="G529" s="8">
        <f>CHOOSE( CONTROL!$C$32, 13.3148, 13.3125) * CHOOSE( CONTROL!$C$15, $D$11, 100%, $F$11)</f>
        <v>13.3148</v>
      </c>
      <c r="H529" s="4">
        <f>CHOOSE( CONTROL!$C$32, 14.2623, 14.26) * CHOOSE(CONTROL!$C$15, $D$11, 100%, $F$11)</f>
        <v>14.2623</v>
      </c>
      <c r="I529" s="8">
        <f>CHOOSE( CONTROL!$C$32, 13.1936, 13.1914) * CHOOSE(CONTROL!$C$15, $D$11, 100%, $F$11)</f>
        <v>13.1936</v>
      </c>
      <c r="J529" s="4">
        <f>CHOOSE( CONTROL!$C$32, 13.0749, 13.0726) * CHOOSE(CONTROL!$C$15, $D$11, 100%, $F$11)</f>
        <v>13.0749</v>
      </c>
      <c r="K529" s="4"/>
      <c r="L529" s="9">
        <v>29.7257</v>
      </c>
      <c r="M529" s="9">
        <v>11.6745</v>
      </c>
      <c r="N529" s="9">
        <v>4.7850000000000001</v>
      </c>
      <c r="O529" s="9">
        <v>0.36199999999999999</v>
      </c>
      <c r="P529" s="9">
        <v>1.1791</v>
      </c>
      <c r="Q529" s="9">
        <v>19.053000000000001</v>
      </c>
      <c r="R529" s="9"/>
      <c r="S529" s="11"/>
    </row>
    <row r="530" spans="1:19" ht="15.75">
      <c r="A530" s="13">
        <v>57649</v>
      </c>
      <c r="B530" s="8">
        <f>14.2495 * CHOOSE(CONTROL!$C$15, $D$11, 100%, $F$11)</f>
        <v>14.249499999999999</v>
      </c>
      <c r="C530" s="8">
        <f>14.2549 * CHOOSE(CONTROL!$C$15, $D$11, 100%, $F$11)</f>
        <v>14.254899999999999</v>
      </c>
      <c r="D530" s="8">
        <f>14.2857 * CHOOSE( CONTROL!$C$15, $D$11, 100%, $F$11)</f>
        <v>14.2857</v>
      </c>
      <c r="E530" s="12">
        <f>14.275 * CHOOSE( CONTROL!$C$15, $D$11, 100%, $F$11)</f>
        <v>14.275</v>
      </c>
      <c r="F530" s="4">
        <f>14.9647 * CHOOSE(CONTROL!$C$15, $D$11, 100%, $F$11)</f>
        <v>14.964700000000001</v>
      </c>
      <c r="G530" s="8">
        <f>13.903 * CHOOSE( CONTROL!$C$15, $D$11, 100%, $F$11)</f>
        <v>13.903</v>
      </c>
      <c r="H530" s="4">
        <f>14.8508 * CHOOSE(CONTROL!$C$15, $D$11, 100%, $F$11)</f>
        <v>14.8508</v>
      </c>
      <c r="I530" s="8">
        <f>13.7732 * CHOOSE(CONTROL!$C$15, $D$11, 100%, $F$11)</f>
        <v>13.773199999999999</v>
      </c>
      <c r="J530" s="4">
        <f>13.6534 * CHOOSE(CONTROL!$C$15, $D$11, 100%, $F$11)</f>
        <v>13.6534</v>
      </c>
      <c r="K530" s="4"/>
      <c r="L530" s="9">
        <v>31.095300000000002</v>
      </c>
      <c r="M530" s="9">
        <v>12.063700000000001</v>
      </c>
      <c r="N530" s="9">
        <v>4.9444999999999997</v>
      </c>
      <c r="O530" s="9">
        <v>0.37409999999999999</v>
      </c>
      <c r="P530" s="9">
        <v>1.2183999999999999</v>
      </c>
      <c r="Q530" s="9">
        <v>19.688099999999999</v>
      </c>
      <c r="R530" s="9"/>
      <c r="S530" s="11"/>
    </row>
    <row r="531" spans="1:19" ht="15.75">
      <c r="A531" s="13">
        <v>57679</v>
      </c>
      <c r="B531" s="8">
        <f>15.3656 * CHOOSE(CONTROL!$C$15, $D$11, 100%, $F$11)</f>
        <v>15.365600000000001</v>
      </c>
      <c r="C531" s="8">
        <f>15.3707 * CHOOSE(CONTROL!$C$15, $D$11, 100%, $F$11)</f>
        <v>15.370699999999999</v>
      </c>
      <c r="D531" s="8">
        <f>15.3538 * CHOOSE( CONTROL!$C$15, $D$11, 100%, $F$11)</f>
        <v>15.3538</v>
      </c>
      <c r="E531" s="12">
        <f>15.3594 * CHOOSE( CONTROL!$C$15, $D$11, 100%, $F$11)</f>
        <v>15.359400000000001</v>
      </c>
      <c r="F531" s="4">
        <f>16.016 * CHOOSE(CONTROL!$C$15, $D$11, 100%, $F$11)</f>
        <v>16.015999999999998</v>
      </c>
      <c r="G531" s="8">
        <f>14.9997 * CHOOSE( CONTROL!$C$15, $D$11, 100%, $F$11)</f>
        <v>14.999700000000001</v>
      </c>
      <c r="H531" s="4">
        <f>15.8777 * CHOOSE(CONTROL!$C$15, $D$11, 100%, $F$11)</f>
        <v>15.877700000000001</v>
      </c>
      <c r="I531" s="8">
        <f>14.8875 * CHOOSE(CONTROL!$C$15, $D$11, 100%, $F$11)</f>
        <v>14.887499999999999</v>
      </c>
      <c r="J531" s="4">
        <f>14.7253 * CHOOSE(CONTROL!$C$15, $D$11, 100%, $F$11)</f>
        <v>14.725300000000001</v>
      </c>
      <c r="K531" s="4"/>
      <c r="L531" s="9">
        <v>28.360600000000002</v>
      </c>
      <c r="M531" s="9">
        <v>11.6745</v>
      </c>
      <c r="N531" s="9">
        <v>4.7850000000000001</v>
      </c>
      <c r="O531" s="9">
        <v>0.36199999999999999</v>
      </c>
      <c r="P531" s="9">
        <v>1.2509999999999999</v>
      </c>
      <c r="Q531" s="9">
        <v>19.053000000000001</v>
      </c>
      <c r="R531" s="9"/>
      <c r="S531" s="11"/>
    </row>
    <row r="532" spans="1:19" ht="15.75">
      <c r="A532" s="13">
        <v>57710</v>
      </c>
      <c r="B532" s="8">
        <f>15.3377 * CHOOSE(CONTROL!$C$15, $D$11, 100%, $F$11)</f>
        <v>15.3377</v>
      </c>
      <c r="C532" s="8">
        <f>15.3428 * CHOOSE(CONTROL!$C$15, $D$11, 100%, $F$11)</f>
        <v>15.3428</v>
      </c>
      <c r="D532" s="8">
        <f>15.3274 * CHOOSE( CONTROL!$C$15, $D$11, 100%, $F$11)</f>
        <v>15.327400000000001</v>
      </c>
      <c r="E532" s="12">
        <f>15.3325 * CHOOSE( CONTROL!$C$15, $D$11, 100%, $F$11)</f>
        <v>15.3325</v>
      </c>
      <c r="F532" s="4">
        <f>15.9881 * CHOOSE(CONTROL!$C$15, $D$11, 100%, $F$11)</f>
        <v>15.988099999999999</v>
      </c>
      <c r="G532" s="8">
        <f>14.9735 * CHOOSE( CONTROL!$C$15, $D$11, 100%, $F$11)</f>
        <v>14.9735</v>
      </c>
      <c r="H532" s="4">
        <f>15.8504 * CHOOSE(CONTROL!$C$15, $D$11, 100%, $F$11)</f>
        <v>15.8504</v>
      </c>
      <c r="I532" s="8">
        <f>14.8654 * CHOOSE(CONTROL!$C$15, $D$11, 100%, $F$11)</f>
        <v>14.865399999999999</v>
      </c>
      <c r="J532" s="4">
        <f>14.6985 * CHOOSE(CONTROL!$C$15, $D$11, 100%, $F$11)</f>
        <v>14.698499999999999</v>
      </c>
      <c r="K532" s="4"/>
      <c r="L532" s="9">
        <v>29.306000000000001</v>
      </c>
      <c r="M532" s="9">
        <v>12.063700000000001</v>
      </c>
      <c r="N532" s="9">
        <v>4.9444999999999997</v>
      </c>
      <c r="O532" s="9">
        <v>0.37409999999999999</v>
      </c>
      <c r="P532" s="9">
        <v>1.2927</v>
      </c>
      <c r="Q532" s="9">
        <v>19.688099999999999</v>
      </c>
      <c r="R532" s="9"/>
      <c r="S532" s="11"/>
    </row>
    <row r="533" spans="1:19" ht="15.75">
      <c r="A533" s="13">
        <v>57741</v>
      </c>
      <c r="B533" s="8">
        <f>15.7892 * CHOOSE(CONTROL!$C$15, $D$11, 100%, $F$11)</f>
        <v>15.789199999999999</v>
      </c>
      <c r="C533" s="8">
        <f>15.7944 * CHOOSE(CONTROL!$C$15, $D$11, 100%, $F$11)</f>
        <v>15.7944</v>
      </c>
      <c r="D533" s="8">
        <f>15.7746 * CHOOSE( CONTROL!$C$15, $D$11, 100%, $F$11)</f>
        <v>15.7746</v>
      </c>
      <c r="E533" s="12">
        <f>15.7813 * CHOOSE( CONTROL!$C$15, $D$11, 100%, $F$11)</f>
        <v>15.7813</v>
      </c>
      <c r="F533" s="4">
        <f>16.4397 * CHOOSE(CONTROL!$C$15, $D$11, 100%, $F$11)</f>
        <v>16.439699999999998</v>
      </c>
      <c r="G533" s="8">
        <f>15.4053 * CHOOSE( CONTROL!$C$15, $D$11, 100%, $F$11)</f>
        <v>15.4053</v>
      </c>
      <c r="H533" s="4">
        <f>16.2915 * CHOOSE(CONTROL!$C$15, $D$11, 100%, $F$11)</f>
        <v>16.291499999999999</v>
      </c>
      <c r="I533" s="8">
        <f>15.2583 * CHOOSE(CONTROL!$C$15, $D$11, 100%, $F$11)</f>
        <v>15.2583</v>
      </c>
      <c r="J533" s="4">
        <f>15.1321 * CHOOSE(CONTROL!$C$15, $D$11, 100%, $F$11)</f>
        <v>15.132099999999999</v>
      </c>
      <c r="K533" s="4"/>
      <c r="L533" s="9">
        <v>29.306000000000001</v>
      </c>
      <c r="M533" s="9">
        <v>12.063700000000001</v>
      </c>
      <c r="N533" s="9">
        <v>4.9444999999999997</v>
      </c>
      <c r="O533" s="9">
        <v>0.37409999999999999</v>
      </c>
      <c r="P533" s="9">
        <v>1.2927</v>
      </c>
      <c r="Q533" s="9">
        <v>19.688099999999999</v>
      </c>
      <c r="R533" s="9"/>
      <c r="S533" s="11"/>
    </row>
    <row r="534" spans="1:19" ht="15.75">
      <c r="A534" s="13">
        <v>57769</v>
      </c>
      <c r="B534" s="8">
        <f>14.7703 * CHOOSE(CONTROL!$C$15, $D$11, 100%, $F$11)</f>
        <v>14.770300000000001</v>
      </c>
      <c r="C534" s="8">
        <f>14.7755 * CHOOSE(CONTROL!$C$15, $D$11, 100%, $F$11)</f>
        <v>14.775499999999999</v>
      </c>
      <c r="D534" s="8">
        <f>14.7556 * CHOOSE( CONTROL!$C$15, $D$11, 100%, $F$11)</f>
        <v>14.755599999999999</v>
      </c>
      <c r="E534" s="12">
        <f>14.7623 * CHOOSE( CONTROL!$C$15, $D$11, 100%, $F$11)</f>
        <v>14.7623</v>
      </c>
      <c r="F534" s="4">
        <f>15.4208 * CHOOSE(CONTROL!$C$15, $D$11, 100%, $F$11)</f>
        <v>15.4208</v>
      </c>
      <c r="G534" s="8">
        <f>14.4101 * CHOOSE( CONTROL!$C$15, $D$11, 100%, $F$11)</f>
        <v>14.4101</v>
      </c>
      <c r="H534" s="4">
        <f>15.2963 * CHOOSE(CONTROL!$C$15, $D$11, 100%, $F$11)</f>
        <v>15.2963</v>
      </c>
      <c r="I534" s="8">
        <f>14.2795 * CHOOSE(CONTROL!$C$15, $D$11, 100%, $F$11)</f>
        <v>14.279500000000001</v>
      </c>
      <c r="J534" s="4">
        <f>14.1538 * CHOOSE(CONTROL!$C$15, $D$11, 100%, $F$11)</f>
        <v>14.1538</v>
      </c>
      <c r="K534" s="4"/>
      <c r="L534" s="9">
        <v>26.469899999999999</v>
      </c>
      <c r="M534" s="9">
        <v>10.8962</v>
      </c>
      <c r="N534" s="9">
        <v>4.4660000000000002</v>
      </c>
      <c r="O534" s="9">
        <v>0.33789999999999998</v>
      </c>
      <c r="P534" s="9">
        <v>1.1676</v>
      </c>
      <c r="Q534" s="9">
        <v>17.782800000000002</v>
      </c>
      <c r="R534" s="9"/>
      <c r="S534" s="11"/>
    </row>
    <row r="535" spans="1:19" ht="15.75">
      <c r="A535" s="13">
        <v>57800</v>
      </c>
      <c r="B535" s="8">
        <f>14.4565 * CHOOSE(CONTROL!$C$15, $D$11, 100%, $F$11)</f>
        <v>14.4565</v>
      </c>
      <c r="C535" s="8">
        <f>14.4617 * CHOOSE(CONTROL!$C$15, $D$11, 100%, $F$11)</f>
        <v>14.4617</v>
      </c>
      <c r="D535" s="8">
        <f>14.4415 * CHOOSE( CONTROL!$C$15, $D$11, 100%, $F$11)</f>
        <v>14.4415</v>
      </c>
      <c r="E535" s="12">
        <f>14.4483 * CHOOSE( CONTROL!$C$15, $D$11, 100%, $F$11)</f>
        <v>14.4483</v>
      </c>
      <c r="F535" s="4">
        <f>15.107 * CHOOSE(CONTROL!$C$15, $D$11, 100%, $F$11)</f>
        <v>15.106999999999999</v>
      </c>
      <c r="G535" s="8">
        <f>14.1033 * CHOOSE( CONTROL!$C$15, $D$11, 100%, $F$11)</f>
        <v>14.103300000000001</v>
      </c>
      <c r="H535" s="4">
        <f>14.9898 * CHOOSE(CONTROL!$C$15, $D$11, 100%, $F$11)</f>
        <v>14.989800000000001</v>
      </c>
      <c r="I535" s="8">
        <f>13.9769 * CHOOSE(CONTROL!$C$15, $D$11, 100%, $F$11)</f>
        <v>13.976900000000001</v>
      </c>
      <c r="J535" s="4">
        <f>13.8525 * CHOOSE(CONTROL!$C$15, $D$11, 100%, $F$11)</f>
        <v>13.852499999999999</v>
      </c>
      <c r="K535" s="4"/>
      <c r="L535" s="9">
        <v>29.306000000000001</v>
      </c>
      <c r="M535" s="9">
        <v>12.063700000000001</v>
      </c>
      <c r="N535" s="9">
        <v>4.9444999999999997</v>
      </c>
      <c r="O535" s="9">
        <v>0.37409999999999999</v>
      </c>
      <c r="P535" s="9">
        <v>1.2927</v>
      </c>
      <c r="Q535" s="9">
        <v>19.688099999999999</v>
      </c>
      <c r="R535" s="9"/>
      <c r="S535" s="11"/>
    </row>
    <row r="536" spans="1:19" ht="15.75">
      <c r="A536" s="13">
        <v>57830</v>
      </c>
      <c r="B536" s="8">
        <f>14.6766 * CHOOSE(CONTROL!$C$15, $D$11, 100%, $F$11)</f>
        <v>14.676600000000001</v>
      </c>
      <c r="C536" s="8">
        <f>14.6812 * CHOOSE(CONTROL!$C$15, $D$11, 100%, $F$11)</f>
        <v>14.6812</v>
      </c>
      <c r="D536" s="8">
        <f>14.7117 * CHOOSE( CONTROL!$C$15, $D$11, 100%, $F$11)</f>
        <v>14.7117</v>
      </c>
      <c r="E536" s="12">
        <f>14.7011 * CHOOSE( CONTROL!$C$15, $D$11, 100%, $F$11)</f>
        <v>14.7011</v>
      </c>
      <c r="F536" s="4">
        <f>15.3914 * CHOOSE(CONTROL!$C$15, $D$11, 100%, $F$11)</f>
        <v>15.391400000000001</v>
      </c>
      <c r="G536" s="8">
        <f>14.3187 * CHOOSE( CONTROL!$C$15, $D$11, 100%, $F$11)</f>
        <v>14.3187</v>
      </c>
      <c r="H536" s="4">
        <f>15.2676 * CHOOSE(CONTROL!$C$15, $D$11, 100%, $F$11)</f>
        <v>15.2676</v>
      </c>
      <c r="I536" s="8">
        <f>14.1795 * CHOOSE(CONTROL!$C$15, $D$11, 100%, $F$11)</f>
        <v>14.179500000000001</v>
      </c>
      <c r="J536" s="4">
        <f>14.063 * CHOOSE(CONTROL!$C$15, $D$11, 100%, $F$11)</f>
        <v>14.063000000000001</v>
      </c>
      <c r="K536" s="4"/>
      <c r="L536" s="9">
        <v>30.092199999999998</v>
      </c>
      <c r="M536" s="9">
        <v>11.6745</v>
      </c>
      <c r="N536" s="9">
        <v>4.7850000000000001</v>
      </c>
      <c r="O536" s="9">
        <v>0.36199999999999999</v>
      </c>
      <c r="P536" s="9">
        <v>1.1791</v>
      </c>
      <c r="Q536" s="9">
        <v>19.053000000000001</v>
      </c>
      <c r="R536" s="9"/>
      <c r="S536" s="11"/>
    </row>
    <row r="537" spans="1:19" ht="15.75">
      <c r="A537" s="13">
        <v>57861</v>
      </c>
      <c r="B537" s="8">
        <f>CHOOSE( CONTROL!$C$32, 15.0706, 15.0682) * CHOOSE(CONTROL!$C$15, $D$11, 100%, $F$11)</f>
        <v>15.070600000000001</v>
      </c>
      <c r="C537" s="8">
        <f>CHOOSE( CONTROL!$C$32, 15.0786, 15.0763) * CHOOSE(CONTROL!$C$15, $D$11, 100%, $F$11)</f>
        <v>15.0786</v>
      </c>
      <c r="D537" s="8">
        <f>CHOOSE( CONTROL!$C$32, 15.1038, 15.1015) * CHOOSE( CONTROL!$C$15, $D$11, 100%, $F$11)</f>
        <v>15.1038</v>
      </c>
      <c r="E537" s="12">
        <f>CHOOSE( CONTROL!$C$32, 15.0934, 15.0911) * CHOOSE( CONTROL!$C$15, $D$11, 100%, $F$11)</f>
        <v>15.093400000000001</v>
      </c>
      <c r="F537" s="4">
        <f>CHOOSE( CONTROL!$C$32, 15.784, 15.7816) * CHOOSE(CONTROL!$C$15, $D$11, 100%, $F$11)</f>
        <v>15.784000000000001</v>
      </c>
      <c r="G537" s="8">
        <f>CHOOSE( CONTROL!$C$32, 14.7027, 14.7004) * CHOOSE( CONTROL!$C$15, $D$11, 100%, $F$11)</f>
        <v>14.7027</v>
      </c>
      <c r="H537" s="4">
        <f>CHOOSE( CONTROL!$C$32, 15.651, 15.6488) * CHOOSE(CONTROL!$C$15, $D$11, 100%, $F$11)</f>
        <v>15.651</v>
      </c>
      <c r="I537" s="8">
        <f>CHOOSE( CONTROL!$C$32, 14.557, 14.5547) * CHOOSE(CONTROL!$C$15, $D$11, 100%, $F$11)</f>
        <v>14.557</v>
      </c>
      <c r="J537" s="4">
        <f>CHOOSE( CONTROL!$C$32, 14.44, 14.4378) * CHOOSE(CONTROL!$C$15, $D$11, 100%, $F$11)</f>
        <v>14.44</v>
      </c>
      <c r="K537" s="4"/>
      <c r="L537" s="9">
        <v>30.7165</v>
      </c>
      <c r="M537" s="9">
        <v>12.063700000000001</v>
      </c>
      <c r="N537" s="9">
        <v>4.9444999999999997</v>
      </c>
      <c r="O537" s="9">
        <v>0.37409999999999999</v>
      </c>
      <c r="P537" s="9">
        <v>1.2183999999999999</v>
      </c>
      <c r="Q537" s="9">
        <v>19.688099999999999</v>
      </c>
      <c r="R537" s="9"/>
      <c r="S537" s="11"/>
    </row>
    <row r="538" spans="1:19" ht="15.75">
      <c r="A538" s="13">
        <v>57891</v>
      </c>
      <c r="B538" s="8">
        <f>CHOOSE( CONTROL!$C$32, 14.8288, 14.8264) * CHOOSE(CONTROL!$C$15, $D$11, 100%, $F$11)</f>
        <v>14.828799999999999</v>
      </c>
      <c r="C538" s="8">
        <f>CHOOSE( CONTROL!$C$32, 14.8369, 14.8345) * CHOOSE(CONTROL!$C$15, $D$11, 100%, $F$11)</f>
        <v>14.8369</v>
      </c>
      <c r="D538" s="8">
        <f>CHOOSE( CONTROL!$C$32, 14.8623, 14.8599) * CHOOSE( CONTROL!$C$15, $D$11, 100%, $F$11)</f>
        <v>14.862299999999999</v>
      </c>
      <c r="E538" s="12">
        <f>CHOOSE( CONTROL!$C$32, 14.8519, 14.8495) * CHOOSE( CONTROL!$C$15, $D$11, 100%, $F$11)</f>
        <v>14.851900000000001</v>
      </c>
      <c r="F538" s="4">
        <f>CHOOSE( CONTROL!$C$32, 15.5422, 15.5399) * CHOOSE(CONTROL!$C$15, $D$11, 100%, $F$11)</f>
        <v>15.542199999999999</v>
      </c>
      <c r="G538" s="8">
        <f>CHOOSE( CONTROL!$C$32, 14.4669, 14.4646) * CHOOSE( CONTROL!$C$15, $D$11, 100%, $F$11)</f>
        <v>14.466900000000001</v>
      </c>
      <c r="H538" s="4">
        <f>CHOOSE( CONTROL!$C$32, 15.4149, 15.4126) * CHOOSE(CONTROL!$C$15, $D$11, 100%, $F$11)</f>
        <v>15.414899999999999</v>
      </c>
      <c r="I538" s="8">
        <f>CHOOSE( CONTROL!$C$32, 14.3257, 14.3235) * CHOOSE(CONTROL!$C$15, $D$11, 100%, $F$11)</f>
        <v>14.325699999999999</v>
      </c>
      <c r="J538" s="4">
        <f>CHOOSE( CONTROL!$C$32, 14.2079, 14.2056) * CHOOSE(CONTROL!$C$15, $D$11, 100%, $F$11)</f>
        <v>14.2079</v>
      </c>
      <c r="K538" s="4"/>
      <c r="L538" s="9">
        <v>29.7257</v>
      </c>
      <c r="M538" s="9">
        <v>11.6745</v>
      </c>
      <c r="N538" s="9">
        <v>4.7850000000000001</v>
      </c>
      <c r="O538" s="9">
        <v>0.36199999999999999</v>
      </c>
      <c r="P538" s="9">
        <v>1.1791</v>
      </c>
      <c r="Q538" s="9">
        <v>19.053000000000001</v>
      </c>
      <c r="R538" s="9"/>
      <c r="S538" s="11"/>
    </row>
    <row r="539" spans="1:19" ht="15.75">
      <c r="A539" s="13">
        <v>57922</v>
      </c>
      <c r="B539" s="8">
        <f>CHOOSE( CONTROL!$C$32, 15.4655, 15.4631) * CHOOSE(CONTROL!$C$15, $D$11, 100%, $F$11)</f>
        <v>15.4655</v>
      </c>
      <c r="C539" s="8">
        <f>CHOOSE( CONTROL!$C$32, 15.4735, 15.4712) * CHOOSE(CONTROL!$C$15, $D$11, 100%, $F$11)</f>
        <v>15.4735</v>
      </c>
      <c r="D539" s="8">
        <f>CHOOSE( CONTROL!$C$32, 15.4992, 15.4969) * CHOOSE( CONTROL!$C$15, $D$11, 100%, $F$11)</f>
        <v>15.4992</v>
      </c>
      <c r="E539" s="12">
        <f>CHOOSE( CONTROL!$C$32, 15.4887, 15.4864) * CHOOSE( CONTROL!$C$15, $D$11, 100%, $F$11)</f>
        <v>15.4887</v>
      </c>
      <c r="F539" s="4">
        <f>CHOOSE( CONTROL!$C$32, 16.1789, 16.1765) * CHOOSE(CONTROL!$C$15, $D$11, 100%, $F$11)</f>
        <v>16.178899999999999</v>
      </c>
      <c r="G539" s="8">
        <f>CHOOSE( CONTROL!$C$32, 15.0891, 15.0868) * CHOOSE( CONTROL!$C$15, $D$11, 100%, $F$11)</f>
        <v>15.0891</v>
      </c>
      <c r="H539" s="4">
        <f>CHOOSE( CONTROL!$C$32, 16.0368, 16.0345) * CHOOSE(CONTROL!$C$15, $D$11, 100%, $F$11)</f>
        <v>16.036799999999999</v>
      </c>
      <c r="I539" s="8">
        <f>CHOOSE( CONTROL!$C$32, 14.9385, 14.9363) * CHOOSE(CONTROL!$C$15, $D$11, 100%, $F$11)</f>
        <v>14.938499999999999</v>
      </c>
      <c r="J539" s="4">
        <f>CHOOSE( CONTROL!$C$32, 14.8192, 14.8169) * CHOOSE(CONTROL!$C$15, $D$11, 100%, $F$11)</f>
        <v>14.8192</v>
      </c>
      <c r="K539" s="4"/>
      <c r="L539" s="9">
        <v>30.7165</v>
      </c>
      <c r="M539" s="9">
        <v>12.063700000000001</v>
      </c>
      <c r="N539" s="9">
        <v>4.9444999999999997</v>
      </c>
      <c r="O539" s="9">
        <v>0.37409999999999999</v>
      </c>
      <c r="P539" s="9">
        <v>1.2183999999999999</v>
      </c>
      <c r="Q539" s="9">
        <v>19.688099999999999</v>
      </c>
      <c r="R539" s="9"/>
      <c r="S539" s="11"/>
    </row>
    <row r="540" spans="1:19" ht="15.75">
      <c r="A540" s="13">
        <v>57953</v>
      </c>
      <c r="B540" s="8">
        <f>CHOOSE( CONTROL!$C$32, 14.2742, 14.2718) * CHOOSE(CONTROL!$C$15, $D$11, 100%, $F$11)</f>
        <v>14.2742</v>
      </c>
      <c r="C540" s="8">
        <f>CHOOSE( CONTROL!$C$32, 14.2823, 14.2799) * CHOOSE(CONTROL!$C$15, $D$11, 100%, $F$11)</f>
        <v>14.282299999999999</v>
      </c>
      <c r="D540" s="8">
        <f>CHOOSE( CONTROL!$C$32, 14.308, 14.3056) * CHOOSE( CONTROL!$C$15, $D$11, 100%, $F$11)</f>
        <v>14.308</v>
      </c>
      <c r="E540" s="12">
        <f>CHOOSE( CONTROL!$C$32, 14.2975, 14.2951) * CHOOSE( CONTROL!$C$15, $D$11, 100%, $F$11)</f>
        <v>14.297499999999999</v>
      </c>
      <c r="F540" s="4">
        <f>CHOOSE( CONTROL!$C$32, 14.9876, 14.9853) * CHOOSE(CONTROL!$C$15, $D$11, 100%, $F$11)</f>
        <v>14.9876</v>
      </c>
      <c r="G540" s="8">
        <f>CHOOSE( CONTROL!$C$32, 13.9257, 13.9234) * CHOOSE( CONTROL!$C$15, $D$11, 100%, $F$11)</f>
        <v>13.925700000000001</v>
      </c>
      <c r="H540" s="4">
        <f>CHOOSE( CONTROL!$C$32, 14.8732, 14.8709) * CHOOSE(CONTROL!$C$15, $D$11, 100%, $F$11)</f>
        <v>14.873200000000001</v>
      </c>
      <c r="I540" s="8">
        <f>CHOOSE( CONTROL!$C$32, 13.7946, 13.7923) * CHOOSE(CONTROL!$C$15, $D$11, 100%, $F$11)</f>
        <v>13.794600000000001</v>
      </c>
      <c r="J540" s="4">
        <f>CHOOSE( CONTROL!$C$32, 13.6754, 13.6732) * CHOOSE(CONTROL!$C$15, $D$11, 100%, $F$11)</f>
        <v>13.6754</v>
      </c>
      <c r="K540" s="4"/>
      <c r="L540" s="9">
        <v>30.7165</v>
      </c>
      <c r="M540" s="9">
        <v>12.063700000000001</v>
      </c>
      <c r="N540" s="9">
        <v>4.9444999999999997</v>
      </c>
      <c r="O540" s="9">
        <v>0.37409999999999999</v>
      </c>
      <c r="P540" s="9">
        <v>1.2183999999999999</v>
      </c>
      <c r="Q540" s="9">
        <v>19.688099999999999</v>
      </c>
      <c r="R540" s="9"/>
      <c r="S540" s="11"/>
    </row>
    <row r="541" spans="1:19" ht="15.75">
      <c r="A541" s="13">
        <v>57983</v>
      </c>
      <c r="B541" s="8">
        <f>CHOOSE( CONTROL!$C$32, 13.9759, 13.9735) * CHOOSE(CONTROL!$C$15, $D$11, 100%, $F$11)</f>
        <v>13.975899999999999</v>
      </c>
      <c r="C541" s="8">
        <f>CHOOSE( CONTROL!$C$32, 13.9839, 13.9816) * CHOOSE(CONTROL!$C$15, $D$11, 100%, $F$11)</f>
        <v>13.9839</v>
      </c>
      <c r="D541" s="8">
        <f>CHOOSE( CONTROL!$C$32, 14.0097, 14.0073) * CHOOSE( CONTROL!$C$15, $D$11, 100%, $F$11)</f>
        <v>14.0097</v>
      </c>
      <c r="E541" s="12">
        <f>CHOOSE( CONTROL!$C$32, 13.9991, 13.9968) * CHOOSE( CONTROL!$C$15, $D$11, 100%, $F$11)</f>
        <v>13.9991</v>
      </c>
      <c r="F541" s="4">
        <f>CHOOSE( CONTROL!$C$32, 14.6893, 14.6869) * CHOOSE(CONTROL!$C$15, $D$11, 100%, $F$11)</f>
        <v>14.689299999999999</v>
      </c>
      <c r="G541" s="8">
        <f>CHOOSE( CONTROL!$C$32, 13.6343, 13.632) * CHOOSE( CONTROL!$C$15, $D$11, 100%, $F$11)</f>
        <v>13.6343</v>
      </c>
      <c r="H541" s="4">
        <f>CHOOSE( CONTROL!$C$32, 14.5819, 14.5796) * CHOOSE(CONTROL!$C$15, $D$11, 100%, $F$11)</f>
        <v>14.581899999999999</v>
      </c>
      <c r="I541" s="8">
        <f>CHOOSE( CONTROL!$C$32, 13.5079, 13.5056) * CHOOSE(CONTROL!$C$15, $D$11, 100%, $F$11)</f>
        <v>13.507899999999999</v>
      </c>
      <c r="J541" s="4">
        <f>CHOOSE( CONTROL!$C$32, 13.389, 13.3867) * CHOOSE(CONTROL!$C$15, $D$11, 100%, $F$11)</f>
        <v>13.388999999999999</v>
      </c>
      <c r="K541" s="4"/>
      <c r="L541" s="9">
        <v>29.7257</v>
      </c>
      <c r="M541" s="9">
        <v>11.6745</v>
      </c>
      <c r="N541" s="9">
        <v>4.7850000000000001</v>
      </c>
      <c r="O541" s="9">
        <v>0.36199999999999999</v>
      </c>
      <c r="P541" s="9">
        <v>1.1791</v>
      </c>
      <c r="Q541" s="9">
        <v>19.053000000000001</v>
      </c>
      <c r="R541" s="9"/>
      <c r="S541" s="11"/>
    </row>
    <row r="542" spans="1:19" ht="15.75">
      <c r="A542" s="13">
        <v>58014</v>
      </c>
      <c r="B542" s="8">
        <f>14.5912 * CHOOSE(CONTROL!$C$15, $D$11, 100%, $F$11)</f>
        <v>14.591200000000001</v>
      </c>
      <c r="C542" s="8">
        <f>14.5966 * CHOOSE(CONTROL!$C$15, $D$11, 100%, $F$11)</f>
        <v>14.5966</v>
      </c>
      <c r="D542" s="8">
        <f>14.6274 * CHOOSE( CONTROL!$C$15, $D$11, 100%, $F$11)</f>
        <v>14.6274</v>
      </c>
      <c r="E542" s="12">
        <f>14.6167 * CHOOSE( CONTROL!$C$15, $D$11, 100%, $F$11)</f>
        <v>14.6167</v>
      </c>
      <c r="F542" s="4">
        <f>15.3063 * CHOOSE(CONTROL!$C$15, $D$11, 100%, $F$11)</f>
        <v>15.3063</v>
      </c>
      <c r="G542" s="8">
        <f>14.2368 * CHOOSE( CONTROL!$C$15, $D$11, 100%, $F$11)</f>
        <v>14.236800000000001</v>
      </c>
      <c r="H542" s="4">
        <f>15.1845 * CHOOSE(CONTROL!$C$15, $D$11, 100%, $F$11)</f>
        <v>15.1845</v>
      </c>
      <c r="I542" s="8">
        <f>14.1015 * CHOOSE(CONTROL!$C$15, $D$11, 100%, $F$11)</f>
        <v>14.1015</v>
      </c>
      <c r="J542" s="4">
        <f>13.9814 * CHOOSE(CONTROL!$C$15, $D$11, 100%, $F$11)</f>
        <v>13.981400000000001</v>
      </c>
      <c r="K542" s="4"/>
      <c r="L542" s="9">
        <v>31.095300000000002</v>
      </c>
      <c r="M542" s="9">
        <v>12.063700000000001</v>
      </c>
      <c r="N542" s="9">
        <v>4.9444999999999997</v>
      </c>
      <c r="O542" s="9">
        <v>0.37409999999999999</v>
      </c>
      <c r="P542" s="9">
        <v>1.2183999999999999</v>
      </c>
      <c r="Q542" s="9">
        <v>19.688099999999999</v>
      </c>
      <c r="R542" s="9"/>
      <c r="S542" s="11"/>
    </row>
    <row r="543" spans="1:19" ht="15.75">
      <c r="A543" s="13">
        <v>58044</v>
      </c>
      <c r="B543" s="8">
        <f>15.7341 * CHOOSE(CONTROL!$C$15, $D$11, 100%, $F$11)</f>
        <v>15.7341</v>
      </c>
      <c r="C543" s="8">
        <f>15.7393 * CHOOSE(CONTROL!$C$15, $D$11, 100%, $F$11)</f>
        <v>15.7393</v>
      </c>
      <c r="D543" s="8">
        <f>15.7223 * CHOOSE( CONTROL!$C$15, $D$11, 100%, $F$11)</f>
        <v>15.722300000000001</v>
      </c>
      <c r="E543" s="12">
        <f>15.728 * CHOOSE( CONTROL!$C$15, $D$11, 100%, $F$11)</f>
        <v>15.728</v>
      </c>
      <c r="F543" s="4">
        <f>16.3845 * CHOOSE(CONTROL!$C$15, $D$11, 100%, $F$11)</f>
        <v>16.384499999999999</v>
      </c>
      <c r="G543" s="8">
        <f>15.3596 * CHOOSE( CONTROL!$C$15, $D$11, 100%, $F$11)</f>
        <v>15.3596</v>
      </c>
      <c r="H543" s="4">
        <f>16.2376 * CHOOSE(CONTROL!$C$15, $D$11, 100%, $F$11)</f>
        <v>16.2376</v>
      </c>
      <c r="I543" s="8">
        <f>15.2415 * CHOOSE(CONTROL!$C$15, $D$11, 100%, $F$11)</f>
        <v>15.2415</v>
      </c>
      <c r="J543" s="4">
        <f>15.0791 * CHOOSE(CONTROL!$C$15, $D$11, 100%, $F$11)</f>
        <v>15.0791</v>
      </c>
      <c r="K543" s="4"/>
      <c r="L543" s="9">
        <v>28.360600000000002</v>
      </c>
      <c r="M543" s="9">
        <v>11.6745</v>
      </c>
      <c r="N543" s="9">
        <v>4.7850000000000001</v>
      </c>
      <c r="O543" s="9">
        <v>0.36199999999999999</v>
      </c>
      <c r="P543" s="9">
        <v>1.2509999999999999</v>
      </c>
      <c r="Q543" s="9">
        <v>19.053000000000001</v>
      </c>
      <c r="R543" s="9"/>
      <c r="S543" s="11"/>
    </row>
    <row r="544" spans="1:19" ht="15.75">
      <c r="A544" s="13">
        <v>58075</v>
      </c>
      <c r="B544" s="8">
        <f>15.7055 * CHOOSE(CONTROL!$C$15, $D$11, 100%, $F$11)</f>
        <v>15.705500000000001</v>
      </c>
      <c r="C544" s="8">
        <f>15.7107 * CHOOSE(CONTROL!$C$15, $D$11, 100%, $F$11)</f>
        <v>15.710699999999999</v>
      </c>
      <c r="D544" s="8">
        <f>15.6952 * CHOOSE( CONTROL!$C$15, $D$11, 100%, $F$11)</f>
        <v>15.6952</v>
      </c>
      <c r="E544" s="12">
        <f>15.7003 * CHOOSE( CONTROL!$C$15, $D$11, 100%, $F$11)</f>
        <v>15.7003</v>
      </c>
      <c r="F544" s="4">
        <f>16.356 * CHOOSE(CONTROL!$C$15, $D$11, 100%, $F$11)</f>
        <v>16.356000000000002</v>
      </c>
      <c r="G544" s="8">
        <f>15.3328 * CHOOSE( CONTROL!$C$15, $D$11, 100%, $F$11)</f>
        <v>15.332800000000001</v>
      </c>
      <c r="H544" s="4">
        <f>16.2097 * CHOOSE(CONTROL!$C$15, $D$11, 100%, $F$11)</f>
        <v>16.209700000000002</v>
      </c>
      <c r="I544" s="8">
        <f>15.2188 * CHOOSE(CONTROL!$C$15, $D$11, 100%, $F$11)</f>
        <v>15.2188</v>
      </c>
      <c r="J544" s="4">
        <f>15.0517 * CHOOSE(CONTROL!$C$15, $D$11, 100%, $F$11)</f>
        <v>15.0517</v>
      </c>
      <c r="K544" s="4"/>
      <c r="L544" s="9">
        <v>29.306000000000001</v>
      </c>
      <c r="M544" s="9">
        <v>12.063700000000001</v>
      </c>
      <c r="N544" s="9">
        <v>4.9444999999999997</v>
      </c>
      <c r="O544" s="9">
        <v>0.37409999999999999</v>
      </c>
      <c r="P544" s="9">
        <v>1.2927</v>
      </c>
      <c r="Q544" s="9">
        <v>19.688099999999999</v>
      </c>
      <c r="R544" s="9"/>
      <c r="S544" s="11"/>
    </row>
    <row r="545" spans="1:19" ht="15.75">
      <c r="A545" s="13">
        <v>58106</v>
      </c>
      <c r="B545" s="8">
        <f>16.1679 * CHOOSE(CONTROL!$C$15, $D$11, 100%, $F$11)</f>
        <v>16.167899999999999</v>
      </c>
      <c r="C545" s="8">
        <f>16.1731 * CHOOSE(CONTROL!$C$15, $D$11, 100%, $F$11)</f>
        <v>16.173100000000002</v>
      </c>
      <c r="D545" s="8">
        <f>16.1533 * CHOOSE( CONTROL!$C$15, $D$11, 100%, $F$11)</f>
        <v>16.153300000000002</v>
      </c>
      <c r="E545" s="12">
        <f>16.16 * CHOOSE( CONTROL!$C$15, $D$11, 100%, $F$11)</f>
        <v>16.16</v>
      </c>
      <c r="F545" s="4">
        <f>16.8184 * CHOOSE(CONTROL!$C$15, $D$11, 100%, $F$11)</f>
        <v>16.8184</v>
      </c>
      <c r="G545" s="8">
        <f>15.7752 * CHOOSE( CONTROL!$C$15, $D$11, 100%, $F$11)</f>
        <v>15.7752</v>
      </c>
      <c r="H545" s="4">
        <f>16.6614 * CHOOSE(CONTROL!$C$15, $D$11, 100%, $F$11)</f>
        <v>16.6614</v>
      </c>
      <c r="I545" s="8">
        <f>15.6221 * CHOOSE(CONTROL!$C$15, $D$11, 100%, $F$11)</f>
        <v>15.6221</v>
      </c>
      <c r="J545" s="4">
        <f>15.4957 * CHOOSE(CONTROL!$C$15, $D$11, 100%, $F$11)</f>
        <v>15.495699999999999</v>
      </c>
      <c r="K545" s="4"/>
      <c r="L545" s="9">
        <v>29.306000000000001</v>
      </c>
      <c r="M545" s="9">
        <v>12.063700000000001</v>
      </c>
      <c r="N545" s="9">
        <v>4.9444999999999997</v>
      </c>
      <c r="O545" s="9">
        <v>0.37409999999999999</v>
      </c>
      <c r="P545" s="9">
        <v>1.2927</v>
      </c>
      <c r="Q545" s="9">
        <v>19.688099999999999</v>
      </c>
      <c r="R545" s="9"/>
      <c r="S545" s="11"/>
    </row>
    <row r="546" spans="1:19" ht="15.75">
      <c r="A546" s="13">
        <v>58134</v>
      </c>
      <c r="B546" s="8">
        <f>15.1245 * CHOOSE(CONTROL!$C$15, $D$11, 100%, $F$11)</f>
        <v>15.124499999999999</v>
      </c>
      <c r="C546" s="8">
        <f>15.1297 * CHOOSE(CONTROL!$C$15, $D$11, 100%, $F$11)</f>
        <v>15.1297</v>
      </c>
      <c r="D546" s="8">
        <f>15.1098 * CHOOSE( CONTROL!$C$15, $D$11, 100%, $F$11)</f>
        <v>15.1098</v>
      </c>
      <c r="E546" s="12">
        <f>15.1165 * CHOOSE( CONTROL!$C$15, $D$11, 100%, $F$11)</f>
        <v>15.1165</v>
      </c>
      <c r="F546" s="4">
        <f>15.775 * CHOOSE(CONTROL!$C$15, $D$11, 100%, $F$11)</f>
        <v>15.775</v>
      </c>
      <c r="G546" s="8">
        <f>14.756 * CHOOSE( CONTROL!$C$15, $D$11, 100%, $F$11)</f>
        <v>14.756</v>
      </c>
      <c r="H546" s="4">
        <f>15.6423 * CHOOSE(CONTROL!$C$15, $D$11, 100%, $F$11)</f>
        <v>15.642300000000001</v>
      </c>
      <c r="I546" s="8">
        <f>14.6197 * CHOOSE(CONTROL!$C$15, $D$11, 100%, $F$11)</f>
        <v>14.6197</v>
      </c>
      <c r="J546" s="4">
        <f>14.4939 * CHOOSE(CONTROL!$C$15, $D$11, 100%, $F$11)</f>
        <v>14.4939</v>
      </c>
      <c r="K546" s="4"/>
      <c r="L546" s="9">
        <v>26.469899999999999</v>
      </c>
      <c r="M546" s="9">
        <v>10.8962</v>
      </c>
      <c r="N546" s="9">
        <v>4.4660000000000002</v>
      </c>
      <c r="O546" s="9">
        <v>0.33789999999999998</v>
      </c>
      <c r="P546" s="9">
        <v>1.1676</v>
      </c>
      <c r="Q546" s="9">
        <v>17.782800000000002</v>
      </c>
      <c r="R546" s="9"/>
      <c r="S546" s="11"/>
    </row>
    <row r="547" spans="1:19" ht="15.75">
      <c r="A547" s="13">
        <v>58165</v>
      </c>
      <c r="B547" s="8">
        <f>14.8032 * CHOOSE(CONTROL!$C$15, $D$11, 100%, $F$11)</f>
        <v>14.8032</v>
      </c>
      <c r="C547" s="8">
        <f>14.8084 * CHOOSE(CONTROL!$C$15, $D$11, 100%, $F$11)</f>
        <v>14.808400000000001</v>
      </c>
      <c r="D547" s="8">
        <f>14.7881 * CHOOSE( CONTROL!$C$15, $D$11, 100%, $F$11)</f>
        <v>14.7881</v>
      </c>
      <c r="E547" s="12">
        <f>14.795 * CHOOSE( CONTROL!$C$15, $D$11, 100%, $F$11)</f>
        <v>14.795</v>
      </c>
      <c r="F547" s="4">
        <f>15.4536 * CHOOSE(CONTROL!$C$15, $D$11, 100%, $F$11)</f>
        <v>15.4536</v>
      </c>
      <c r="G547" s="8">
        <f>14.4419 * CHOOSE( CONTROL!$C$15, $D$11, 100%, $F$11)</f>
        <v>14.4419</v>
      </c>
      <c r="H547" s="4">
        <f>15.3284 * CHOOSE(CONTROL!$C$15, $D$11, 100%, $F$11)</f>
        <v>15.3284</v>
      </c>
      <c r="I547" s="8">
        <f>14.3099 * CHOOSE(CONTROL!$C$15, $D$11, 100%, $F$11)</f>
        <v>14.309900000000001</v>
      </c>
      <c r="J547" s="4">
        <f>14.1853 * CHOOSE(CONTROL!$C$15, $D$11, 100%, $F$11)</f>
        <v>14.1853</v>
      </c>
      <c r="K547" s="4"/>
      <c r="L547" s="9">
        <v>29.306000000000001</v>
      </c>
      <c r="M547" s="9">
        <v>12.063700000000001</v>
      </c>
      <c r="N547" s="9">
        <v>4.9444999999999997</v>
      </c>
      <c r="O547" s="9">
        <v>0.37409999999999999</v>
      </c>
      <c r="P547" s="9">
        <v>1.2927</v>
      </c>
      <c r="Q547" s="9">
        <v>19.688099999999999</v>
      </c>
      <c r="R547" s="9"/>
      <c r="S547" s="11"/>
    </row>
    <row r="548" spans="1:19" ht="15.75">
      <c r="A548" s="13">
        <v>58195</v>
      </c>
      <c r="B548" s="8">
        <f>15.0285 * CHOOSE(CONTROL!$C$15, $D$11, 100%, $F$11)</f>
        <v>15.028499999999999</v>
      </c>
      <c r="C548" s="8">
        <f>15.0331 * CHOOSE(CONTROL!$C$15, $D$11, 100%, $F$11)</f>
        <v>15.033099999999999</v>
      </c>
      <c r="D548" s="8">
        <f>15.0636 * CHOOSE( CONTROL!$C$15, $D$11, 100%, $F$11)</f>
        <v>15.063599999999999</v>
      </c>
      <c r="E548" s="12">
        <f>15.053 * CHOOSE( CONTROL!$C$15, $D$11, 100%, $F$11)</f>
        <v>15.053000000000001</v>
      </c>
      <c r="F548" s="4">
        <f>15.7433 * CHOOSE(CONTROL!$C$15, $D$11, 100%, $F$11)</f>
        <v>15.7433</v>
      </c>
      <c r="G548" s="8">
        <f>14.6624 * CHOOSE( CONTROL!$C$15, $D$11, 100%, $F$11)</f>
        <v>14.6624</v>
      </c>
      <c r="H548" s="4">
        <f>15.6113 * CHOOSE(CONTROL!$C$15, $D$11, 100%, $F$11)</f>
        <v>15.6113</v>
      </c>
      <c r="I548" s="8">
        <f>14.5176 * CHOOSE(CONTROL!$C$15, $D$11, 100%, $F$11)</f>
        <v>14.5176</v>
      </c>
      <c r="J548" s="4">
        <f>14.4009 * CHOOSE(CONTROL!$C$15, $D$11, 100%, $F$11)</f>
        <v>14.4009</v>
      </c>
      <c r="K548" s="4"/>
      <c r="L548" s="9">
        <v>30.092199999999998</v>
      </c>
      <c r="M548" s="9">
        <v>11.6745</v>
      </c>
      <c r="N548" s="9">
        <v>4.7850000000000001</v>
      </c>
      <c r="O548" s="9">
        <v>0.36199999999999999</v>
      </c>
      <c r="P548" s="9">
        <v>1.1791</v>
      </c>
      <c r="Q548" s="9">
        <v>19.053000000000001</v>
      </c>
      <c r="R548" s="9"/>
      <c r="S548" s="11"/>
    </row>
    <row r="549" spans="1:19" ht="15.75">
      <c r="A549" s="13">
        <v>58226</v>
      </c>
      <c r="B549" s="8">
        <f>CHOOSE( CONTROL!$C$32, 15.4319, 15.4295) * CHOOSE(CONTROL!$C$15, $D$11, 100%, $F$11)</f>
        <v>15.431900000000001</v>
      </c>
      <c r="C549" s="8">
        <f>CHOOSE( CONTROL!$C$32, 15.44, 15.4376) * CHOOSE(CONTROL!$C$15, $D$11, 100%, $F$11)</f>
        <v>15.44</v>
      </c>
      <c r="D549" s="8">
        <f>CHOOSE( CONTROL!$C$32, 15.4652, 15.4628) * CHOOSE( CONTROL!$C$15, $D$11, 100%, $F$11)</f>
        <v>15.465199999999999</v>
      </c>
      <c r="E549" s="12">
        <f>CHOOSE( CONTROL!$C$32, 15.4548, 15.4524) * CHOOSE( CONTROL!$C$15, $D$11, 100%, $F$11)</f>
        <v>15.454800000000001</v>
      </c>
      <c r="F549" s="4">
        <f>CHOOSE( CONTROL!$C$32, 16.1453, 16.143) * CHOOSE(CONTROL!$C$15, $D$11, 100%, $F$11)</f>
        <v>16.145299999999999</v>
      </c>
      <c r="G549" s="8">
        <f>CHOOSE( CONTROL!$C$32, 15.0556, 15.0533) * CHOOSE( CONTROL!$C$15, $D$11, 100%, $F$11)</f>
        <v>15.0556</v>
      </c>
      <c r="H549" s="4">
        <f>CHOOSE( CONTROL!$C$32, 16.0039, 16.0017) * CHOOSE(CONTROL!$C$15, $D$11, 100%, $F$11)</f>
        <v>16.003900000000002</v>
      </c>
      <c r="I549" s="8">
        <f>CHOOSE( CONTROL!$C$32, 14.9041, 14.9018) * CHOOSE(CONTROL!$C$15, $D$11, 100%, $F$11)</f>
        <v>14.9041</v>
      </c>
      <c r="J549" s="4">
        <f>CHOOSE( CONTROL!$C$32, 14.7869, 14.7847) * CHOOSE(CONTROL!$C$15, $D$11, 100%, $F$11)</f>
        <v>14.786899999999999</v>
      </c>
      <c r="K549" s="4"/>
      <c r="L549" s="9">
        <v>30.7165</v>
      </c>
      <c r="M549" s="9">
        <v>12.063700000000001</v>
      </c>
      <c r="N549" s="9">
        <v>4.9444999999999997</v>
      </c>
      <c r="O549" s="9">
        <v>0.37409999999999999</v>
      </c>
      <c r="P549" s="9">
        <v>1.2183999999999999</v>
      </c>
      <c r="Q549" s="9">
        <v>19.688099999999999</v>
      </c>
      <c r="R549" s="9"/>
      <c r="S549" s="11"/>
    </row>
    <row r="550" spans="1:19" ht="15.75">
      <c r="A550" s="13">
        <v>58256</v>
      </c>
      <c r="B550" s="8">
        <f>CHOOSE( CONTROL!$C$32, 15.1843, 15.1819) * CHOOSE(CONTROL!$C$15, $D$11, 100%, $F$11)</f>
        <v>15.1843</v>
      </c>
      <c r="C550" s="8">
        <f>CHOOSE( CONTROL!$C$32, 15.1924, 15.19) * CHOOSE(CONTROL!$C$15, $D$11, 100%, $F$11)</f>
        <v>15.192399999999999</v>
      </c>
      <c r="D550" s="8">
        <f>CHOOSE( CONTROL!$C$32, 15.2178, 15.2154) * CHOOSE( CONTROL!$C$15, $D$11, 100%, $F$11)</f>
        <v>15.2178</v>
      </c>
      <c r="E550" s="12">
        <f>CHOOSE( CONTROL!$C$32, 15.2074, 15.205) * CHOOSE( CONTROL!$C$15, $D$11, 100%, $F$11)</f>
        <v>15.2074</v>
      </c>
      <c r="F550" s="4">
        <f>CHOOSE( CONTROL!$C$32, 15.8977, 15.8954) * CHOOSE(CONTROL!$C$15, $D$11, 100%, $F$11)</f>
        <v>15.8977</v>
      </c>
      <c r="G550" s="8">
        <f>CHOOSE( CONTROL!$C$32, 14.8141, 14.8118) * CHOOSE( CONTROL!$C$15, $D$11, 100%, $F$11)</f>
        <v>14.8141</v>
      </c>
      <c r="H550" s="4">
        <f>CHOOSE( CONTROL!$C$32, 15.7621, 15.7598) * CHOOSE(CONTROL!$C$15, $D$11, 100%, $F$11)</f>
        <v>15.7621</v>
      </c>
      <c r="I550" s="8">
        <f>CHOOSE( CONTROL!$C$32, 14.6672, 14.665) * CHOOSE(CONTROL!$C$15, $D$11, 100%, $F$11)</f>
        <v>14.667199999999999</v>
      </c>
      <c r="J550" s="4">
        <f>CHOOSE( CONTROL!$C$32, 14.5492, 14.547) * CHOOSE(CONTROL!$C$15, $D$11, 100%, $F$11)</f>
        <v>14.549200000000001</v>
      </c>
      <c r="K550" s="4"/>
      <c r="L550" s="9">
        <v>29.7257</v>
      </c>
      <c r="M550" s="9">
        <v>11.6745</v>
      </c>
      <c r="N550" s="9">
        <v>4.7850000000000001</v>
      </c>
      <c r="O550" s="9">
        <v>0.36199999999999999</v>
      </c>
      <c r="P550" s="9">
        <v>1.1791</v>
      </c>
      <c r="Q550" s="9">
        <v>19.053000000000001</v>
      </c>
      <c r="R550" s="9"/>
      <c r="S550" s="11"/>
    </row>
    <row r="551" spans="1:19" ht="15.75">
      <c r="A551" s="13">
        <v>58287</v>
      </c>
      <c r="B551" s="8">
        <f>CHOOSE( CONTROL!$C$32, 15.8363, 15.8339) * CHOOSE(CONTROL!$C$15, $D$11, 100%, $F$11)</f>
        <v>15.8363</v>
      </c>
      <c r="C551" s="8">
        <f>CHOOSE( CONTROL!$C$32, 15.8444, 15.842) * CHOOSE(CONTROL!$C$15, $D$11, 100%, $F$11)</f>
        <v>15.8444</v>
      </c>
      <c r="D551" s="8">
        <f>CHOOSE( CONTROL!$C$32, 15.87, 15.8677) * CHOOSE( CONTROL!$C$15, $D$11, 100%, $F$11)</f>
        <v>15.87</v>
      </c>
      <c r="E551" s="12">
        <f>CHOOSE( CONTROL!$C$32, 15.8595, 15.8572) * CHOOSE( CONTROL!$C$15, $D$11, 100%, $F$11)</f>
        <v>15.859500000000001</v>
      </c>
      <c r="F551" s="4">
        <f>CHOOSE( CONTROL!$C$32, 16.5497, 16.5474) * CHOOSE(CONTROL!$C$15, $D$11, 100%, $F$11)</f>
        <v>16.549700000000001</v>
      </c>
      <c r="G551" s="8">
        <f>CHOOSE( CONTROL!$C$32, 15.4513, 15.449) * CHOOSE( CONTROL!$C$15, $D$11, 100%, $F$11)</f>
        <v>15.4513</v>
      </c>
      <c r="H551" s="4">
        <f>CHOOSE( CONTROL!$C$32, 16.3989, 16.3966) * CHOOSE(CONTROL!$C$15, $D$11, 100%, $F$11)</f>
        <v>16.398900000000001</v>
      </c>
      <c r="I551" s="8">
        <f>CHOOSE( CONTROL!$C$32, 15.2947, 15.2925) * CHOOSE(CONTROL!$C$15, $D$11, 100%, $F$11)</f>
        <v>15.294700000000001</v>
      </c>
      <c r="J551" s="4">
        <f>CHOOSE( CONTROL!$C$32, 15.1752, 15.1729) * CHOOSE(CONTROL!$C$15, $D$11, 100%, $F$11)</f>
        <v>15.1752</v>
      </c>
      <c r="K551" s="4"/>
      <c r="L551" s="9">
        <v>30.7165</v>
      </c>
      <c r="M551" s="9">
        <v>12.063700000000001</v>
      </c>
      <c r="N551" s="9">
        <v>4.9444999999999997</v>
      </c>
      <c r="O551" s="9">
        <v>0.37409999999999999</v>
      </c>
      <c r="P551" s="9">
        <v>1.2183999999999999</v>
      </c>
      <c r="Q551" s="9">
        <v>19.688099999999999</v>
      </c>
      <c r="R551" s="9"/>
      <c r="S551" s="11"/>
    </row>
    <row r="552" spans="1:19" ht="15.75">
      <c r="A552" s="13">
        <v>58318</v>
      </c>
      <c r="B552" s="8">
        <f>CHOOSE( CONTROL!$C$32, 14.6164, 14.614) * CHOOSE(CONTROL!$C$15, $D$11, 100%, $F$11)</f>
        <v>14.616400000000001</v>
      </c>
      <c r="C552" s="8">
        <f>CHOOSE( CONTROL!$C$32, 14.6244, 14.6221) * CHOOSE(CONTROL!$C$15, $D$11, 100%, $F$11)</f>
        <v>14.6244</v>
      </c>
      <c r="D552" s="8">
        <f>CHOOSE( CONTROL!$C$32, 14.6502, 14.6478) * CHOOSE( CONTROL!$C$15, $D$11, 100%, $F$11)</f>
        <v>14.6502</v>
      </c>
      <c r="E552" s="12">
        <f>CHOOSE( CONTROL!$C$32, 14.6396, 14.6373) * CHOOSE( CONTROL!$C$15, $D$11, 100%, $F$11)</f>
        <v>14.6396</v>
      </c>
      <c r="F552" s="4">
        <f>CHOOSE( CONTROL!$C$32, 15.3298, 15.3274) * CHOOSE(CONTROL!$C$15, $D$11, 100%, $F$11)</f>
        <v>15.329800000000001</v>
      </c>
      <c r="G552" s="8">
        <f>CHOOSE( CONTROL!$C$32, 14.2599, 14.2576) * CHOOSE( CONTROL!$C$15, $D$11, 100%, $F$11)</f>
        <v>14.2599</v>
      </c>
      <c r="H552" s="4">
        <f>CHOOSE( CONTROL!$C$32, 15.2074, 15.2051) * CHOOSE(CONTROL!$C$15, $D$11, 100%, $F$11)</f>
        <v>15.2074</v>
      </c>
      <c r="I552" s="8">
        <f>CHOOSE( CONTROL!$C$32, 14.1233, 14.121) * CHOOSE(CONTROL!$C$15, $D$11, 100%, $F$11)</f>
        <v>14.1233</v>
      </c>
      <c r="J552" s="4">
        <f>CHOOSE( CONTROL!$C$32, 14.0039, 14.0017) * CHOOSE(CONTROL!$C$15, $D$11, 100%, $F$11)</f>
        <v>14.0039</v>
      </c>
      <c r="K552" s="4"/>
      <c r="L552" s="9">
        <v>30.7165</v>
      </c>
      <c r="M552" s="9">
        <v>12.063700000000001</v>
      </c>
      <c r="N552" s="9">
        <v>4.9444999999999997</v>
      </c>
      <c r="O552" s="9">
        <v>0.37409999999999999</v>
      </c>
      <c r="P552" s="9">
        <v>1.2183999999999999</v>
      </c>
      <c r="Q552" s="9">
        <v>19.688099999999999</v>
      </c>
      <c r="R552" s="9"/>
      <c r="S552" s="11"/>
    </row>
    <row r="553" spans="1:19" ht="15.75">
      <c r="A553" s="13">
        <v>58348</v>
      </c>
      <c r="B553" s="8">
        <f>CHOOSE( CONTROL!$C$32, 14.3109, 14.3085) * CHOOSE(CONTROL!$C$15, $D$11, 100%, $F$11)</f>
        <v>14.3109</v>
      </c>
      <c r="C553" s="8">
        <f>CHOOSE( CONTROL!$C$32, 14.319, 14.3166) * CHOOSE(CONTROL!$C$15, $D$11, 100%, $F$11)</f>
        <v>14.319000000000001</v>
      </c>
      <c r="D553" s="8">
        <f>CHOOSE( CONTROL!$C$32, 14.3447, 14.3423) * CHOOSE( CONTROL!$C$15, $D$11, 100%, $F$11)</f>
        <v>14.3447</v>
      </c>
      <c r="E553" s="12">
        <f>CHOOSE( CONTROL!$C$32, 14.3342, 14.3318) * CHOOSE( CONTROL!$C$15, $D$11, 100%, $F$11)</f>
        <v>14.334199999999999</v>
      </c>
      <c r="F553" s="4">
        <f>CHOOSE( CONTROL!$C$32, 15.0243, 15.022) * CHOOSE(CONTROL!$C$15, $D$11, 100%, $F$11)</f>
        <v>15.0243</v>
      </c>
      <c r="G553" s="8">
        <f>CHOOSE( CONTROL!$C$32, 13.9615, 13.9592) * CHOOSE( CONTROL!$C$15, $D$11, 100%, $F$11)</f>
        <v>13.961499999999999</v>
      </c>
      <c r="H553" s="4">
        <f>CHOOSE( CONTROL!$C$32, 14.9091, 14.9068) * CHOOSE(CONTROL!$C$15, $D$11, 100%, $F$11)</f>
        <v>14.9091</v>
      </c>
      <c r="I553" s="8">
        <f>CHOOSE( CONTROL!$C$32, 13.8297, 13.8275) * CHOOSE(CONTROL!$C$15, $D$11, 100%, $F$11)</f>
        <v>13.829700000000001</v>
      </c>
      <c r="J553" s="4">
        <f>CHOOSE( CONTROL!$C$32, 13.7106, 13.7084) * CHOOSE(CONTROL!$C$15, $D$11, 100%, $F$11)</f>
        <v>13.710599999999999</v>
      </c>
      <c r="K553" s="4"/>
      <c r="L553" s="9">
        <v>29.7257</v>
      </c>
      <c r="M553" s="9">
        <v>11.6745</v>
      </c>
      <c r="N553" s="9">
        <v>4.7850000000000001</v>
      </c>
      <c r="O553" s="9">
        <v>0.36199999999999999</v>
      </c>
      <c r="P553" s="9">
        <v>1.1791</v>
      </c>
      <c r="Q553" s="9">
        <v>19.053000000000001</v>
      </c>
      <c r="R553" s="9"/>
      <c r="S553" s="11"/>
    </row>
    <row r="554" spans="1:19" ht="15.75">
      <c r="A554" s="13">
        <v>58379</v>
      </c>
      <c r="B554" s="8">
        <f>14.9411 * CHOOSE(CONTROL!$C$15, $D$11, 100%, $F$11)</f>
        <v>14.9411</v>
      </c>
      <c r="C554" s="8">
        <f>14.9465 * CHOOSE(CONTROL!$C$15, $D$11, 100%, $F$11)</f>
        <v>14.9465</v>
      </c>
      <c r="D554" s="8">
        <f>14.9773 * CHOOSE( CONTROL!$C$15, $D$11, 100%, $F$11)</f>
        <v>14.9773</v>
      </c>
      <c r="E554" s="12">
        <f>14.9666 * CHOOSE( CONTROL!$C$15, $D$11, 100%, $F$11)</f>
        <v>14.9666</v>
      </c>
      <c r="F554" s="4">
        <f>15.6562 * CHOOSE(CONTROL!$C$15, $D$11, 100%, $F$11)</f>
        <v>15.6562</v>
      </c>
      <c r="G554" s="8">
        <f>14.5785 * CHOOSE( CONTROL!$C$15, $D$11, 100%, $F$11)</f>
        <v>14.5785</v>
      </c>
      <c r="H554" s="4">
        <f>15.5263 * CHOOSE(CONTROL!$C$15, $D$11, 100%, $F$11)</f>
        <v>15.526300000000001</v>
      </c>
      <c r="I554" s="8">
        <f>14.4376 * CHOOSE(CONTROL!$C$15, $D$11, 100%, $F$11)</f>
        <v>14.4376</v>
      </c>
      <c r="J554" s="4">
        <f>14.3174 * CHOOSE(CONTROL!$C$15, $D$11, 100%, $F$11)</f>
        <v>14.317399999999999</v>
      </c>
      <c r="K554" s="4"/>
      <c r="L554" s="9">
        <v>31.095300000000002</v>
      </c>
      <c r="M554" s="9">
        <v>12.063700000000001</v>
      </c>
      <c r="N554" s="9">
        <v>4.9444999999999997</v>
      </c>
      <c r="O554" s="9">
        <v>0.37409999999999999</v>
      </c>
      <c r="P554" s="9">
        <v>1.2183999999999999</v>
      </c>
      <c r="Q554" s="9">
        <v>19.688099999999999</v>
      </c>
      <c r="R554" s="9"/>
      <c r="S554" s="11"/>
    </row>
    <row r="555" spans="1:19" ht="15.75">
      <c r="A555" s="13">
        <v>58409</v>
      </c>
      <c r="B555" s="8">
        <f>16.1114 * CHOOSE(CONTROL!$C$15, $D$11, 100%, $F$11)</f>
        <v>16.1114</v>
      </c>
      <c r="C555" s="8">
        <f>16.1166 * CHOOSE(CONTROL!$C$15, $D$11, 100%, $F$11)</f>
        <v>16.116599999999998</v>
      </c>
      <c r="D555" s="8">
        <f>16.0997 * CHOOSE( CONTROL!$C$15, $D$11, 100%, $F$11)</f>
        <v>16.099699999999999</v>
      </c>
      <c r="E555" s="12">
        <f>16.1053 * CHOOSE( CONTROL!$C$15, $D$11, 100%, $F$11)</f>
        <v>16.1053</v>
      </c>
      <c r="F555" s="4">
        <f>16.7619 * CHOOSE(CONTROL!$C$15, $D$11, 100%, $F$11)</f>
        <v>16.761900000000001</v>
      </c>
      <c r="G555" s="8">
        <f>15.7282 * CHOOSE( CONTROL!$C$15, $D$11, 100%, $F$11)</f>
        <v>15.728199999999999</v>
      </c>
      <c r="H555" s="4">
        <f>16.6062 * CHOOSE(CONTROL!$C$15, $D$11, 100%, $F$11)</f>
        <v>16.606200000000001</v>
      </c>
      <c r="I555" s="8">
        <f>15.604 * CHOOSE(CONTROL!$C$15, $D$11, 100%, $F$11)</f>
        <v>15.603999999999999</v>
      </c>
      <c r="J555" s="4">
        <f>15.4414 * CHOOSE(CONTROL!$C$15, $D$11, 100%, $F$11)</f>
        <v>15.4414</v>
      </c>
      <c r="K555" s="4"/>
      <c r="L555" s="9">
        <v>28.360600000000002</v>
      </c>
      <c r="M555" s="9">
        <v>11.6745</v>
      </c>
      <c r="N555" s="9">
        <v>4.7850000000000001</v>
      </c>
      <c r="O555" s="9">
        <v>0.36199999999999999</v>
      </c>
      <c r="P555" s="9">
        <v>1.2509999999999999</v>
      </c>
      <c r="Q555" s="9">
        <v>19.053000000000001</v>
      </c>
      <c r="R555" s="9"/>
      <c r="S555" s="11"/>
    </row>
    <row r="556" spans="1:19" ht="15.75">
      <c r="A556" s="13">
        <v>58440</v>
      </c>
      <c r="B556" s="8">
        <f>16.0822 * CHOOSE(CONTROL!$C$15, $D$11, 100%, $F$11)</f>
        <v>16.0822</v>
      </c>
      <c r="C556" s="8">
        <f>16.0874 * CHOOSE(CONTROL!$C$15, $D$11, 100%, $F$11)</f>
        <v>16.087399999999999</v>
      </c>
      <c r="D556" s="8">
        <f>16.0719 * CHOOSE( CONTROL!$C$15, $D$11, 100%, $F$11)</f>
        <v>16.071899999999999</v>
      </c>
      <c r="E556" s="12">
        <f>16.077 * CHOOSE( CONTROL!$C$15, $D$11, 100%, $F$11)</f>
        <v>16.077000000000002</v>
      </c>
      <c r="F556" s="4">
        <f>16.7327 * CHOOSE(CONTROL!$C$15, $D$11, 100%, $F$11)</f>
        <v>16.732700000000001</v>
      </c>
      <c r="G556" s="8">
        <f>15.7007 * CHOOSE( CONTROL!$C$15, $D$11, 100%, $F$11)</f>
        <v>15.700699999999999</v>
      </c>
      <c r="H556" s="4">
        <f>16.5776 * CHOOSE(CONTROL!$C$15, $D$11, 100%, $F$11)</f>
        <v>16.5776</v>
      </c>
      <c r="I556" s="8">
        <f>15.5806 * CHOOSE(CONTROL!$C$15, $D$11, 100%, $F$11)</f>
        <v>15.5806</v>
      </c>
      <c r="J556" s="4">
        <f>15.4133 * CHOOSE(CONTROL!$C$15, $D$11, 100%, $F$11)</f>
        <v>15.4133</v>
      </c>
      <c r="K556" s="4"/>
      <c r="L556" s="9">
        <v>29.306000000000001</v>
      </c>
      <c r="M556" s="9">
        <v>12.063700000000001</v>
      </c>
      <c r="N556" s="9">
        <v>4.9444999999999997</v>
      </c>
      <c r="O556" s="9">
        <v>0.37409999999999999</v>
      </c>
      <c r="P556" s="9">
        <v>1.2927</v>
      </c>
      <c r="Q556" s="9">
        <v>19.688099999999999</v>
      </c>
      <c r="R556" s="9"/>
      <c r="S556" s="11"/>
    </row>
    <row r="557" spans="1:19" ht="15.75">
      <c r="A557" s="13">
        <v>58471</v>
      </c>
      <c r="B557" s="8">
        <f>16.5557 * CHOOSE(CONTROL!$C$15, $D$11, 100%, $F$11)</f>
        <v>16.555700000000002</v>
      </c>
      <c r="C557" s="8">
        <f>16.5609 * CHOOSE(CONTROL!$C$15, $D$11, 100%, $F$11)</f>
        <v>16.5609</v>
      </c>
      <c r="D557" s="8">
        <f>16.5411 * CHOOSE( CONTROL!$C$15, $D$11, 100%, $F$11)</f>
        <v>16.5411</v>
      </c>
      <c r="E557" s="12">
        <f>16.5478 * CHOOSE( CONTROL!$C$15, $D$11, 100%, $F$11)</f>
        <v>16.547799999999999</v>
      </c>
      <c r="F557" s="4">
        <f>17.2062 * CHOOSE(CONTROL!$C$15, $D$11, 100%, $F$11)</f>
        <v>17.206199999999999</v>
      </c>
      <c r="G557" s="8">
        <f>16.1539 * CHOOSE( CONTROL!$C$15, $D$11, 100%, $F$11)</f>
        <v>16.1539</v>
      </c>
      <c r="H557" s="4">
        <f>17.0401 * CHOOSE(CONTROL!$C$15, $D$11, 100%, $F$11)</f>
        <v>17.040099999999999</v>
      </c>
      <c r="I557" s="8">
        <f>15.9946 * CHOOSE(CONTROL!$C$15, $D$11, 100%, $F$11)</f>
        <v>15.9946</v>
      </c>
      <c r="J557" s="4">
        <f>15.868 * CHOOSE(CONTROL!$C$15, $D$11, 100%, $F$11)</f>
        <v>15.868</v>
      </c>
      <c r="K557" s="4"/>
      <c r="L557" s="9">
        <v>29.306000000000001</v>
      </c>
      <c r="M557" s="9">
        <v>12.063700000000001</v>
      </c>
      <c r="N557" s="9">
        <v>4.9444999999999997</v>
      </c>
      <c r="O557" s="9">
        <v>0.37409999999999999</v>
      </c>
      <c r="P557" s="9">
        <v>1.2927</v>
      </c>
      <c r="Q557" s="9">
        <v>19.688099999999999</v>
      </c>
      <c r="R557" s="9"/>
      <c r="S557" s="11"/>
    </row>
    <row r="558" spans="1:19" ht="15.75">
      <c r="A558" s="13">
        <v>58499</v>
      </c>
      <c r="B558" s="8">
        <f>15.4873 * CHOOSE(CONTROL!$C$15, $D$11, 100%, $F$11)</f>
        <v>15.487299999999999</v>
      </c>
      <c r="C558" s="8">
        <f>15.4924 * CHOOSE(CONTROL!$C$15, $D$11, 100%, $F$11)</f>
        <v>15.4924</v>
      </c>
      <c r="D558" s="8">
        <f>15.4726 * CHOOSE( CONTROL!$C$15, $D$11, 100%, $F$11)</f>
        <v>15.4726</v>
      </c>
      <c r="E558" s="12">
        <f>15.4793 * CHOOSE( CONTROL!$C$15, $D$11, 100%, $F$11)</f>
        <v>15.4793</v>
      </c>
      <c r="F558" s="4">
        <f>16.1377 * CHOOSE(CONTROL!$C$15, $D$11, 100%, $F$11)</f>
        <v>16.137699999999999</v>
      </c>
      <c r="G558" s="8">
        <f>15.1103 * CHOOSE( CONTROL!$C$15, $D$11, 100%, $F$11)</f>
        <v>15.110300000000001</v>
      </c>
      <c r="H558" s="4">
        <f>15.9965 * CHOOSE(CONTROL!$C$15, $D$11, 100%, $F$11)</f>
        <v>15.996499999999999</v>
      </c>
      <c r="I558" s="8">
        <f>14.9681 * CHOOSE(CONTROL!$C$15, $D$11, 100%, $F$11)</f>
        <v>14.9681</v>
      </c>
      <c r="J558" s="4">
        <f>14.8421 * CHOOSE(CONTROL!$C$15, $D$11, 100%, $F$11)</f>
        <v>14.8421</v>
      </c>
      <c r="K558" s="4"/>
      <c r="L558" s="9">
        <v>27.415299999999998</v>
      </c>
      <c r="M558" s="9">
        <v>11.285299999999999</v>
      </c>
      <c r="N558" s="9">
        <v>4.6254999999999997</v>
      </c>
      <c r="O558" s="9">
        <v>0.34989999999999999</v>
      </c>
      <c r="P558" s="9">
        <v>1.2093</v>
      </c>
      <c r="Q558" s="9">
        <v>18.417899999999999</v>
      </c>
      <c r="R558" s="9"/>
      <c r="S558" s="11"/>
    </row>
    <row r="559" spans="1:19" ht="15.75">
      <c r="A559" s="13">
        <v>58531</v>
      </c>
      <c r="B559" s="8">
        <f>15.1582 * CHOOSE(CONTROL!$C$15, $D$11, 100%, $F$11)</f>
        <v>15.158200000000001</v>
      </c>
      <c r="C559" s="8">
        <f>15.1634 * CHOOSE(CONTROL!$C$15, $D$11, 100%, $F$11)</f>
        <v>15.163399999999999</v>
      </c>
      <c r="D559" s="8">
        <f>15.1431 * CHOOSE( CONTROL!$C$15, $D$11, 100%, $F$11)</f>
        <v>15.1431</v>
      </c>
      <c r="E559" s="12">
        <f>15.15 * CHOOSE( CONTROL!$C$15, $D$11, 100%, $F$11)</f>
        <v>15.15</v>
      </c>
      <c r="F559" s="4">
        <f>15.8086 * CHOOSE(CONTROL!$C$15, $D$11, 100%, $F$11)</f>
        <v>15.8086</v>
      </c>
      <c r="G559" s="8">
        <f>14.7886 * CHOOSE( CONTROL!$C$15, $D$11, 100%, $F$11)</f>
        <v>14.788600000000001</v>
      </c>
      <c r="H559" s="4">
        <f>15.6751 * CHOOSE(CONTROL!$C$15, $D$11, 100%, $F$11)</f>
        <v>15.6751</v>
      </c>
      <c r="I559" s="8">
        <f>14.6509 * CHOOSE(CONTROL!$C$15, $D$11, 100%, $F$11)</f>
        <v>14.6509</v>
      </c>
      <c r="J559" s="4">
        <f>14.5262 * CHOOSE(CONTROL!$C$15, $D$11, 100%, $F$11)</f>
        <v>14.526199999999999</v>
      </c>
      <c r="K559" s="4"/>
      <c r="L559" s="9">
        <v>29.306000000000001</v>
      </c>
      <c r="M559" s="9">
        <v>12.063700000000001</v>
      </c>
      <c r="N559" s="9">
        <v>4.9444999999999997</v>
      </c>
      <c r="O559" s="9">
        <v>0.37409999999999999</v>
      </c>
      <c r="P559" s="9">
        <v>1.2927</v>
      </c>
      <c r="Q559" s="9">
        <v>19.688099999999999</v>
      </c>
      <c r="R559" s="9"/>
      <c r="S559" s="11"/>
    </row>
    <row r="560" spans="1:19" ht="15.75">
      <c r="A560" s="13">
        <v>58561</v>
      </c>
      <c r="B560" s="8">
        <f>15.3889 * CHOOSE(CONTROL!$C$15, $D$11, 100%, $F$11)</f>
        <v>15.3889</v>
      </c>
      <c r="C560" s="8">
        <f>15.3935 * CHOOSE(CONTROL!$C$15, $D$11, 100%, $F$11)</f>
        <v>15.3935</v>
      </c>
      <c r="D560" s="8">
        <f>15.424 * CHOOSE( CONTROL!$C$15, $D$11, 100%, $F$11)</f>
        <v>15.423999999999999</v>
      </c>
      <c r="E560" s="12">
        <f>15.4134 * CHOOSE( CONTROL!$C$15, $D$11, 100%, $F$11)</f>
        <v>15.413399999999999</v>
      </c>
      <c r="F560" s="4">
        <f>16.1037 * CHOOSE(CONTROL!$C$15, $D$11, 100%, $F$11)</f>
        <v>16.1037</v>
      </c>
      <c r="G560" s="8">
        <f>15.0144 * CHOOSE( CONTROL!$C$15, $D$11, 100%, $F$11)</f>
        <v>15.0144</v>
      </c>
      <c r="H560" s="4">
        <f>15.9633 * CHOOSE(CONTROL!$C$15, $D$11, 100%, $F$11)</f>
        <v>15.9633</v>
      </c>
      <c r="I560" s="8">
        <f>14.8638 * CHOOSE(CONTROL!$C$15, $D$11, 100%, $F$11)</f>
        <v>14.863799999999999</v>
      </c>
      <c r="J560" s="4">
        <f>14.747 * CHOOSE(CONTROL!$C$15, $D$11, 100%, $F$11)</f>
        <v>14.747</v>
      </c>
      <c r="K560" s="4"/>
      <c r="L560" s="9">
        <v>30.092199999999998</v>
      </c>
      <c r="M560" s="9">
        <v>11.6745</v>
      </c>
      <c r="N560" s="9">
        <v>4.7850000000000001</v>
      </c>
      <c r="O560" s="9">
        <v>0.36199999999999999</v>
      </c>
      <c r="P560" s="9">
        <v>1.1791</v>
      </c>
      <c r="Q560" s="9">
        <v>19.053000000000001</v>
      </c>
      <c r="R560" s="9"/>
      <c r="S560" s="11"/>
    </row>
    <row r="561" spans="1:19" ht="15.75">
      <c r="A561" s="13">
        <v>58592</v>
      </c>
      <c r="B561" s="8">
        <f>CHOOSE( CONTROL!$C$32, 15.8019, 15.7995) * CHOOSE(CONTROL!$C$15, $D$11, 100%, $F$11)</f>
        <v>15.8019</v>
      </c>
      <c r="C561" s="8">
        <f>CHOOSE( CONTROL!$C$32, 15.81, 15.8076) * CHOOSE(CONTROL!$C$15, $D$11, 100%, $F$11)</f>
        <v>15.81</v>
      </c>
      <c r="D561" s="8">
        <f>CHOOSE( CONTROL!$C$32, 15.8352, 15.8328) * CHOOSE( CONTROL!$C$15, $D$11, 100%, $F$11)</f>
        <v>15.8352</v>
      </c>
      <c r="E561" s="12">
        <f>CHOOSE( CONTROL!$C$32, 15.8248, 15.8224) * CHOOSE( CONTROL!$C$15, $D$11, 100%, $F$11)</f>
        <v>15.8248</v>
      </c>
      <c r="F561" s="4">
        <f>CHOOSE( CONTROL!$C$32, 16.5153, 16.513) * CHOOSE(CONTROL!$C$15, $D$11, 100%, $F$11)</f>
        <v>16.5153</v>
      </c>
      <c r="G561" s="8">
        <f>CHOOSE( CONTROL!$C$32, 15.417, 15.4147) * CHOOSE( CONTROL!$C$15, $D$11, 100%, $F$11)</f>
        <v>15.417</v>
      </c>
      <c r="H561" s="4">
        <f>CHOOSE( CONTROL!$C$32, 16.3653, 16.363) * CHOOSE(CONTROL!$C$15, $D$11, 100%, $F$11)</f>
        <v>16.365300000000001</v>
      </c>
      <c r="I561" s="8">
        <f>CHOOSE( CONTROL!$C$32, 15.2595, 15.2572) * CHOOSE(CONTROL!$C$15, $D$11, 100%, $F$11)</f>
        <v>15.259499999999999</v>
      </c>
      <c r="J561" s="4">
        <f>CHOOSE( CONTROL!$C$32, 15.1422, 15.1399) * CHOOSE(CONTROL!$C$15, $D$11, 100%, $F$11)</f>
        <v>15.142200000000001</v>
      </c>
      <c r="K561" s="4"/>
      <c r="L561" s="9">
        <v>30.7165</v>
      </c>
      <c r="M561" s="9">
        <v>12.063700000000001</v>
      </c>
      <c r="N561" s="9">
        <v>4.9444999999999997</v>
      </c>
      <c r="O561" s="9">
        <v>0.37409999999999999</v>
      </c>
      <c r="P561" s="9">
        <v>1.2183999999999999</v>
      </c>
      <c r="Q561" s="9">
        <v>19.688099999999999</v>
      </c>
      <c r="R561" s="9"/>
      <c r="S561" s="11"/>
    </row>
    <row r="562" spans="1:19" ht="15.75">
      <c r="A562" s="13">
        <v>58622</v>
      </c>
      <c r="B562" s="8">
        <f>CHOOSE( CONTROL!$C$32, 15.5483, 15.546) * CHOOSE(CONTROL!$C$15, $D$11, 100%, $F$11)</f>
        <v>15.548299999999999</v>
      </c>
      <c r="C562" s="8">
        <f>CHOOSE( CONTROL!$C$32, 15.5564, 15.5541) * CHOOSE(CONTROL!$C$15, $D$11, 100%, $F$11)</f>
        <v>15.5564</v>
      </c>
      <c r="D562" s="8">
        <f>CHOOSE( CONTROL!$C$32, 15.5818, 15.5795) * CHOOSE( CONTROL!$C$15, $D$11, 100%, $F$11)</f>
        <v>15.581799999999999</v>
      </c>
      <c r="E562" s="12">
        <f>CHOOSE( CONTROL!$C$32, 15.5714, 15.5691) * CHOOSE( CONTROL!$C$15, $D$11, 100%, $F$11)</f>
        <v>15.571400000000001</v>
      </c>
      <c r="F562" s="4">
        <f>CHOOSE( CONTROL!$C$32, 16.2618, 16.2594) * CHOOSE(CONTROL!$C$15, $D$11, 100%, $F$11)</f>
        <v>16.261800000000001</v>
      </c>
      <c r="G562" s="8">
        <f>CHOOSE( CONTROL!$C$32, 15.1697, 15.1674) * CHOOSE( CONTROL!$C$15, $D$11, 100%, $F$11)</f>
        <v>15.169700000000001</v>
      </c>
      <c r="H562" s="4">
        <f>CHOOSE( CONTROL!$C$32, 16.1177, 16.1154) * CHOOSE(CONTROL!$C$15, $D$11, 100%, $F$11)</f>
        <v>16.117699999999999</v>
      </c>
      <c r="I562" s="8">
        <f>CHOOSE( CONTROL!$C$32, 15.0169, 15.0147) * CHOOSE(CONTROL!$C$15, $D$11, 100%, $F$11)</f>
        <v>15.0169</v>
      </c>
      <c r="J562" s="4">
        <f>CHOOSE( CONTROL!$C$32, 14.8987, 14.8965) * CHOOSE(CONTROL!$C$15, $D$11, 100%, $F$11)</f>
        <v>14.8987</v>
      </c>
      <c r="K562" s="4"/>
      <c r="L562" s="9">
        <v>29.7257</v>
      </c>
      <c r="M562" s="9">
        <v>11.6745</v>
      </c>
      <c r="N562" s="9">
        <v>4.7850000000000001</v>
      </c>
      <c r="O562" s="9">
        <v>0.36199999999999999</v>
      </c>
      <c r="P562" s="9">
        <v>1.1791</v>
      </c>
      <c r="Q562" s="9">
        <v>19.053000000000001</v>
      </c>
      <c r="R562" s="9"/>
      <c r="S562" s="11"/>
    </row>
    <row r="563" spans="1:19" ht="15.75">
      <c r="A563" s="13">
        <v>58653</v>
      </c>
      <c r="B563" s="8">
        <f>CHOOSE( CONTROL!$C$32, 16.216, 16.2136) * CHOOSE(CONTROL!$C$15, $D$11, 100%, $F$11)</f>
        <v>16.216000000000001</v>
      </c>
      <c r="C563" s="8">
        <f>CHOOSE( CONTROL!$C$32, 16.2241, 16.2217) * CHOOSE(CONTROL!$C$15, $D$11, 100%, $F$11)</f>
        <v>16.2241</v>
      </c>
      <c r="D563" s="8">
        <f>CHOOSE( CONTROL!$C$32, 16.2497, 16.2474) * CHOOSE( CONTROL!$C$15, $D$11, 100%, $F$11)</f>
        <v>16.249700000000001</v>
      </c>
      <c r="E563" s="12">
        <f>CHOOSE( CONTROL!$C$32, 16.2392, 16.2369) * CHOOSE( CONTROL!$C$15, $D$11, 100%, $F$11)</f>
        <v>16.2392</v>
      </c>
      <c r="F563" s="4">
        <f>CHOOSE( CONTROL!$C$32, 16.9294, 16.9271) * CHOOSE(CONTROL!$C$15, $D$11, 100%, $F$11)</f>
        <v>16.929400000000001</v>
      </c>
      <c r="G563" s="8">
        <f>CHOOSE( CONTROL!$C$32, 15.8222, 15.8199) * CHOOSE( CONTROL!$C$15, $D$11, 100%, $F$11)</f>
        <v>15.8222</v>
      </c>
      <c r="H563" s="4">
        <f>CHOOSE( CONTROL!$C$32, 16.7698, 16.7675) * CHOOSE(CONTROL!$C$15, $D$11, 100%, $F$11)</f>
        <v>16.7698</v>
      </c>
      <c r="I563" s="8">
        <f>CHOOSE( CONTROL!$C$32, 15.6595, 15.6572) * CHOOSE(CONTROL!$C$15, $D$11, 100%, $F$11)</f>
        <v>15.6595</v>
      </c>
      <c r="J563" s="4">
        <f>CHOOSE( CONTROL!$C$32, 15.5397, 15.5375) * CHOOSE(CONTROL!$C$15, $D$11, 100%, $F$11)</f>
        <v>15.5397</v>
      </c>
      <c r="K563" s="4"/>
      <c r="L563" s="9">
        <v>30.7165</v>
      </c>
      <c r="M563" s="9">
        <v>12.063700000000001</v>
      </c>
      <c r="N563" s="9">
        <v>4.9444999999999997</v>
      </c>
      <c r="O563" s="9">
        <v>0.37409999999999999</v>
      </c>
      <c r="P563" s="9">
        <v>1.2183999999999999</v>
      </c>
      <c r="Q563" s="9">
        <v>19.688099999999999</v>
      </c>
      <c r="R563" s="9"/>
      <c r="S563" s="11"/>
    </row>
    <row r="564" spans="1:19" ht="15.75">
      <c r="A564" s="13">
        <v>58684</v>
      </c>
      <c r="B564" s="8">
        <f>CHOOSE( CONTROL!$C$32, 14.9668, 14.9644) * CHOOSE(CONTROL!$C$15, $D$11, 100%, $F$11)</f>
        <v>14.966799999999999</v>
      </c>
      <c r="C564" s="8">
        <f>CHOOSE( CONTROL!$C$32, 14.9748, 14.9725) * CHOOSE(CONTROL!$C$15, $D$11, 100%, $F$11)</f>
        <v>14.9748</v>
      </c>
      <c r="D564" s="8">
        <f>CHOOSE( CONTROL!$C$32, 15.0006, 14.9982) * CHOOSE( CONTROL!$C$15, $D$11, 100%, $F$11)</f>
        <v>15.0006</v>
      </c>
      <c r="E564" s="12">
        <f>CHOOSE( CONTROL!$C$32, 14.99, 14.9877) * CHOOSE( CONTROL!$C$15, $D$11, 100%, $F$11)</f>
        <v>14.99</v>
      </c>
      <c r="F564" s="4">
        <f>CHOOSE( CONTROL!$C$32, 15.6802, 15.6778) * CHOOSE(CONTROL!$C$15, $D$11, 100%, $F$11)</f>
        <v>15.680199999999999</v>
      </c>
      <c r="G564" s="8">
        <f>CHOOSE( CONTROL!$C$32, 14.6021, 14.5999) * CHOOSE( CONTROL!$C$15, $D$11, 100%, $F$11)</f>
        <v>14.6021</v>
      </c>
      <c r="H564" s="4">
        <f>CHOOSE( CONTROL!$C$32, 15.5497, 15.5474) * CHOOSE(CONTROL!$C$15, $D$11, 100%, $F$11)</f>
        <v>15.5497</v>
      </c>
      <c r="I564" s="8">
        <f>CHOOSE( CONTROL!$C$32, 14.4599, 14.4576) * CHOOSE(CONTROL!$C$15, $D$11, 100%, $F$11)</f>
        <v>14.459899999999999</v>
      </c>
      <c r="J564" s="4">
        <f>CHOOSE( CONTROL!$C$32, 14.3404, 14.3381) * CHOOSE(CONTROL!$C$15, $D$11, 100%, $F$11)</f>
        <v>14.340400000000001</v>
      </c>
      <c r="K564" s="4"/>
      <c r="L564" s="9">
        <v>30.7165</v>
      </c>
      <c r="M564" s="9">
        <v>12.063700000000001</v>
      </c>
      <c r="N564" s="9">
        <v>4.9444999999999997</v>
      </c>
      <c r="O564" s="9">
        <v>0.37409999999999999</v>
      </c>
      <c r="P564" s="9">
        <v>1.2183999999999999</v>
      </c>
      <c r="Q564" s="9">
        <v>19.688099999999999</v>
      </c>
      <c r="R564" s="9"/>
      <c r="S564" s="11"/>
    </row>
    <row r="565" spans="1:19" ht="15.75">
      <c r="A565" s="13">
        <v>58714</v>
      </c>
      <c r="B565" s="8">
        <f>CHOOSE( CONTROL!$C$32, 14.6539, 14.6516) * CHOOSE(CONTROL!$C$15, $D$11, 100%, $F$11)</f>
        <v>14.6539</v>
      </c>
      <c r="C565" s="8">
        <f>CHOOSE( CONTROL!$C$32, 14.662, 14.6597) * CHOOSE(CONTROL!$C$15, $D$11, 100%, $F$11)</f>
        <v>14.662000000000001</v>
      </c>
      <c r="D565" s="8">
        <f>CHOOSE( CONTROL!$C$32, 14.6877, 14.6854) * CHOOSE( CONTROL!$C$15, $D$11, 100%, $F$11)</f>
        <v>14.6877</v>
      </c>
      <c r="E565" s="12">
        <f>CHOOSE( CONTROL!$C$32, 14.6772, 14.6749) * CHOOSE( CONTROL!$C$15, $D$11, 100%, $F$11)</f>
        <v>14.677199999999999</v>
      </c>
      <c r="F565" s="4">
        <f>CHOOSE( CONTROL!$C$32, 15.3674, 15.365) * CHOOSE(CONTROL!$C$15, $D$11, 100%, $F$11)</f>
        <v>15.3674</v>
      </c>
      <c r="G565" s="8">
        <f>CHOOSE( CONTROL!$C$32, 14.2966, 14.2943) * CHOOSE( CONTROL!$C$15, $D$11, 100%, $F$11)</f>
        <v>14.2966</v>
      </c>
      <c r="H565" s="4">
        <f>CHOOSE( CONTROL!$C$32, 15.2441, 15.2418) * CHOOSE(CONTROL!$C$15, $D$11, 100%, $F$11)</f>
        <v>15.2441</v>
      </c>
      <c r="I565" s="8">
        <f>CHOOSE( CONTROL!$C$32, 14.1593, 14.157) * CHOOSE(CONTROL!$C$15, $D$11, 100%, $F$11)</f>
        <v>14.1593</v>
      </c>
      <c r="J565" s="4">
        <f>CHOOSE( CONTROL!$C$32, 14.04, 14.0378) * CHOOSE(CONTROL!$C$15, $D$11, 100%, $F$11)</f>
        <v>14.04</v>
      </c>
      <c r="K565" s="4"/>
      <c r="L565" s="9">
        <v>29.7257</v>
      </c>
      <c r="M565" s="9">
        <v>11.6745</v>
      </c>
      <c r="N565" s="9">
        <v>4.7850000000000001</v>
      </c>
      <c r="O565" s="9">
        <v>0.36199999999999999</v>
      </c>
      <c r="P565" s="9">
        <v>1.1791</v>
      </c>
      <c r="Q565" s="9">
        <v>19.053000000000001</v>
      </c>
      <c r="R565" s="9"/>
      <c r="S565" s="11"/>
    </row>
    <row r="566" spans="1:19" ht="15.75">
      <c r="A566" s="13">
        <v>58745</v>
      </c>
      <c r="B566" s="8">
        <f>15.2994 * CHOOSE(CONTROL!$C$15, $D$11, 100%, $F$11)</f>
        <v>15.2994</v>
      </c>
      <c r="C566" s="8">
        <f>15.3048 * CHOOSE(CONTROL!$C$15, $D$11, 100%, $F$11)</f>
        <v>15.3048</v>
      </c>
      <c r="D566" s="8">
        <f>15.3356 * CHOOSE( CONTROL!$C$15, $D$11, 100%, $F$11)</f>
        <v>15.335599999999999</v>
      </c>
      <c r="E566" s="12">
        <f>15.3249 * CHOOSE( CONTROL!$C$15, $D$11, 100%, $F$11)</f>
        <v>15.3249</v>
      </c>
      <c r="F566" s="4">
        <f>16.0146 * CHOOSE(CONTROL!$C$15, $D$11, 100%, $F$11)</f>
        <v>16.014600000000002</v>
      </c>
      <c r="G566" s="8">
        <f>14.9285 * CHOOSE( CONTROL!$C$15, $D$11, 100%, $F$11)</f>
        <v>14.9285</v>
      </c>
      <c r="H566" s="4">
        <f>15.8762 * CHOOSE(CONTROL!$C$15, $D$11, 100%, $F$11)</f>
        <v>15.876200000000001</v>
      </c>
      <c r="I566" s="8">
        <f>14.7818 * CHOOSE(CONTROL!$C$15, $D$11, 100%, $F$11)</f>
        <v>14.7818</v>
      </c>
      <c r="J566" s="4">
        <f>14.6614 * CHOOSE(CONTROL!$C$15, $D$11, 100%, $F$11)</f>
        <v>14.6614</v>
      </c>
      <c r="K566" s="4"/>
      <c r="L566" s="9">
        <v>31.095300000000002</v>
      </c>
      <c r="M566" s="9">
        <v>12.063700000000001</v>
      </c>
      <c r="N566" s="9">
        <v>4.9444999999999997</v>
      </c>
      <c r="O566" s="9">
        <v>0.37409999999999999</v>
      </c>
      <c r="P566" s="9">
        <v>1.2183999999999999</v>
      </c>
      <c r="Q566" s="9">
        <v>19.688099999999999</v>
      </c>
      <c r="R566" s="9"/>
      <c r="S566" s="11"/>
    </row>
    <row r="567" spans="1:19" ht="15.75">
      <c r="A567" s="13">
        <v>58775</v>
      </c>
      <c r="B567" s="8">
        <f>16.4979 * CHOOSE(CONTROL!$C$15, $D$11, 100%, $F$11)</f>
        <v>16.497900000000001</v>
      </c>
      <c r="C567" s="8">
        <f>16.5031 * CHOOSE(CONTROL!$C$15, $D$11, 100%, $F$11)</f>
        <v>16.5031</v>
      </c>
      <c r="D567" s="8">
        <f>16.4861 * CHOOSE( CONTROL!$C$15, $D$11, 100%, $F$11)</f>
        <v>16.4861</v>
      </c>
      <c r="E567" s="12">
        <f>16.4918 * CHOOSE( CONTROL!$C$15, $D$11, 100%, $F$11)</f>
        <v>16.491800000000001</v>
      </c>
      <c r="F567" s="4">
        <f>17.1483 * CHOOSE(CONTROL!$C$15, $D$11, 100%, $F$11)</f>
        <v>17.148299999999999</v>
      </c>
      <c r="G567" s="8">
        <f>16.1056 * CHOOSE( CONTROL!$C$15, $D$11, 100%, $F$11)</f>
        <v>16.105599999999999</v>
      </c>
      <c r="H567" s="4">
        <f>16.9836 * CHOOSE(CONTROL!$C$15, $D$11, 100%, $F$11)</f>
        <v>16.983599999999999</v>
      </c>
      <c r="I567" s="8">
        <f>15.9752 * CHOOSE(CONTROL!$C$15, $D$11, 100%, $F$11)</f>
        <v>15.975199999999999</v>
      </c>
      <c r="J567" s="4">
        <f>15.8124 * CHOOSE(CONTROL!$C$15, $D$11, 100%, $F$11)</f>
        <v>15.8124</v>
      </c>
      <c r="K567" s="4"/>
      <c r="L567" s="9">
        <v>28.360600000000002</v>
      </c>
      <c r="M567" s="9">
        <v>11.6745</v>
      </c>
      <c r="N567" s="9">
        <v>4.7850000000000001</v>
      </c>
      <c r="O567" s="9">
        <v>0.36199999999999999</v>
      </c>
      <c r="P567" s="9">
        <v>1.2509999999999999</v>
      </c>
      <c r="Q567" s="9">
        <v>19.053000000000001</v>
      </c>
      <c r="R567" s="9"/>
      <c r="S567" s="11"/>
    </row>
    <row r="568" spans="1:19" ht="15.75">
      <c r="A568" s="13">
        <v>58806</v>
      </c>
      <c r="B568" s="8">
        <f>16.4679 * CHOOSE(CONTROL!$C$15, $D$11, 100%, $F$11)</f>
        <v>16.4679</v>
      </c>
      <c r="C568" s="8">
        <f>16.4731 * CHOOSE(CONTROL!$C$15, $D$11, 100%, $F$11)</f>
        <v>16.473099999999999</v>
      </c>
      <c r="D568" s="8">
        <f>16.4576 * CHOOSE( CONTROL!$C$15, $D$11, 100%, $F$11)</f>
        <v>16.457599999999999</v>
      </c>
      <c r="E568" s="12">
        <f>16.4627 * CHOOSE( CONTROL!$C$15, $D$11, 100%, $F$11)</f>
        <v>16.462700000000002</v>
      </c>
      <c r="F568" s="4">
        <f>17.1184 * CHOOSE(CONTROL!$C$15, $D$11, 100%, $F$11)</f>
        <v>17.118400000000001</v>
      </c>
      <c r="G568" s="8">
        <f>16.0774 * CHOOSE( CONTROL!$C$15, $D$11, 100%, $F$11)</f>
        <v>16.077400000000001</v>
      </c>
      <c r="H568" s="4">
        <f>16.9544 * CHOOSE(CONTROL!$C$15, $D$11, 100%, $F$11)</f>
        <v>16.9544</v>
      </c>
      <c r="I568" s="8">
        <f>15.9512 * CHOOSE(CONTROL!$C$15, $D$11, 100%, $F$11)</f>
        <v>15.9512</v>
      </c>
      <c r="J568" s="4">
        <f>15.7837 * CHOOSE(CONTROL!$C$15, $D$11, 100%, $F$11)</f>
        <v>15.7837</v>
      </c>
      <c r="K568" s="4"/>
      <c r="L568" s="9">
        <v>29.306000000000001</v>
      </c>
      <c r="M568" s="9">
        <v>12.063700000000001</v>
      </c>
      <c r="N568" s="9">
        <v>4.9444999999999997</v>
      </c>
      <c r="O568" s="9">
        <v>0.37409999999999999</v>
      </c>
      <c r="P568" s="9">
        <v>1.2927</v>
      </c>
      <c r="Q568" s="9">
        <v>19.688099999999999</v>
      </c>
      <c r="R568" s="9"/>
      <c r="S568" s="11"/>
    </row>
    <row r="569" spans="1:19" ht="15.75">
      <c r="A569" s="13">
        <v>58837</v>
      </c>
      <c r="B569" s="8">
        <f>16.9528 * CHOOSE(CONTROL!$C$15, $D$11, 100%, $F$11)</f>
        <v>16.9528</v>
      </c>
      <c r="C569" s="8">
        <f>16.958 * CHOOSE(CONTROL!$C$15, $D$11, 100%, $F$11)</f>
        <v>16.957999999999998</v>
      </c>
      <c r="D569" s="8">
        <f>16.9382 * CHOOSE( CONTROL!$C$15, $D$11, 100%, $F$11)</f>
        <v>16.938199999999998</v>
      </c>
      <c r="E569" s="12">
        <f>16.9449 * CHOOSE( CONTROL!$C$15, $D$11, 100%, $F$11)</f>
        <v>16.944900000000001</v>
      </c>
      <c r="F569" s="4">
        <f>17.6033 * CHOOSE(CONTROL!$C$15, $D$11, 100%, $F$11)</f>
        <v>17.603300000000001</v>
      </c>
      <c r="G569" s="8">
        <f>16.5418 * CHOOSE( CONTROL!$C$15, $D$11, 100%, $F$11)</f>
        <v>16.541799999999999</v>
      </c>
      <c r="H569" s="4">
        <f>17.428 * CHOOSE(CONTROL!$C$15, $D$11, 100%, $F$11)</f>
        <v>17.428000000000001</v>
      </c>
      <c r="I569" s="8">
        <f>16.3761 * CHOOSE(CONTROL!$C$15, $D$11, 100%, $F$11)</f>
        <v>16.376100000000001</v>
      </c>
      <c r="J569" s="4">
        <f>16.2492 * CHOOSE(CONTROL!$C$15, $D$11, 100%, $F$11)</f>
        <v>16.249199999999998</v>
      </c>
      <c r="K569" s="4"/>
      <c r="L569" s="9">
        <v>29.306000000000001</v>
      </c>
      <c r="M569" s="9">
        <v>12.063700000000001</v>
      </c>
      <c r="N569" s="9">
        <v>4.9444999999999997</v>
      </c>
      <c r="O569" s="9">
        <v>0.37409999999999999</v>
      </c>
      <c r="P569" s="9">
        <v>1.2927</v>
      </c>
      <c r="Q569" s="9">
        <v>19.688099999999999</v>
      </c>
      <c r="R569" s="9"/>
      <c r="S569" s="11"/>
    </row>
    <row r="570" spans="1:19" ht="15.75">
      <c r="A570" s="13">
        <v>58865</v>
      </c>
      <c r="B570" s="8">
        <f>15.8587 * CHOOSE(CONTROL!$C$15, $D$11, 100%, $F$11)</f>
        <v>15.858700000000001</v>
      </c>
      <c r="C570" s="8">
        <f>15.8639 * CHOOSE(CONTROL!$C$15, $D$11, 100%, $F$11)</f>
        <v>15.863899999999999</v>
      </c>
      <c r="D570" s="8">
        <f>15.844 * CHOOSE( CONTROL!$C$15, $D$11, 100%, $F$11)</f>
        <v>15.843999999999999</v>
      </c>
      <c r="E570" s="12">
        <f>15.8507 * CHOOSE( CONTROL!$C$15, $D$11, 100%, $F$11)</f>
        <v>15.8507</v>
      </c>
      <c r="F570" s="4">
        <f>16.5092 * CHOOSE(CONTROL!$C$15, $D$11, 100%, $F$11)</f>
        <v>16.5092</v>
      </c>
      <c r="G570" s="8">
        <f>15.4731 * CHOOSE( CONTROL!$C$15, $D$11, 100%, $F$11)</f>
        <v>15.473100000000001</v>
      </c>
      <c r="H570" s="4">
        <f>16.3593 * CHOOSE(CONTROL!$C$15, $D$11, 100%, $F$11)</f>
        <v>16.359300000000001</v>
      </c>
      <c r="I570" s="8">
        <f>15.3249 * CHOOSE(CONTROL!$C$15, $D$11, 100%, $F$11)</f>
        <v>15.3249</v>
      </c>
      <c r="J570" s="4">
        <f>15.1988 * CHOOSE(CONTROL!$C$15, $D$11, 100%, $F$11)</f>
        <v>15.1988</v>
      </c>
      <c r="K570" s="4"/>
      <c r="L570" s="9">
        <v>26.469899999999999</v>
      </c>
      <c r="M570" s="9">
        <v>10.8962</v>
      </c>
      <c r="N570" s="9">
        <v>4.4660000000000002</v>
      </c>
      <c r="O570" s="9">
        <v>0.33789999999999998</v>
      </c>
      <c r="P570" s="9">
        <v>1.1676</v>
      </c>
      <c r="Q570" s="9">
        <v>17.782800000000002</v>
      </c>
      <c r="R570" s="9"/>
      <c r="S570" s="11"/>
    </row>
    <row r="571" spans="1:19" ht="15.75">
      <c r="A571" s="13">
        <v>58893</v>
      </c>
      <c r="B571" s="8">
        <f>15.5217 * CHOOSE(CONTROL!$C$15, $D$11, 100%, $F$11)</f>
        <v>15.521699999999999</v>
      </c>
      <c r="C571" s="8">
        <f>15.5269 * CHOOSE(CONTROL!$C$15, $D$11, 100%, $F$11)</f>
        <v>15.526899999999999</v>
      </c>
      <c r="D571" s="8">
        <f>15.5067 * CHOOSE( CONTROL!$C$15, $D$11, 100%, $F$11)</f>
        <v>15.5067</v>
      </c>
      <c r="E571" s="12">
        <f>15.5135 * CHOOSE( CONTROL!$C$15, $D$11, 100%, $F$11)</f>
        <v>15.513500000000001</v>
      </c>
      <c r="F571" s="4">
        <f>16.1722 * CHOOSE(CONTROL!$C$15, $D$11, 100%, $F$11)</f>
        <v>16.1722</v>
      </c>
      <c r="G571" s="8">
        <f>15.1437 * CHOOSE( CONTROL!$C$15, $D$11, 100%, $F$11)</f>
        <v>15.143700000000001</v>
      </c>
      <c r="H571" s="4">
        <f>16.0302 * CHOOSE(CONTROL!$C$15, $D$11, 100%, $F$11)</f>
        <v>16.030200000000001</v>
      </c>
      <c r="I571" s="8">
        <f>15.0001 * CHOOSE(CONTROL!$C$15, $D$11, 100%, $F$11)</f>
        <v>15.0001</v>
      </c>
      <c r="J571" s="4">
        <f>14.8752 * CHOOSE(CONTROL!$C$15, $D$11, 100%, $F$11)</f>
        <v>14.8752</v>
      </c>
      <c r="K571" s="4"/>
      <c r="L571" s="9">
        <v>29.306000000000001</v>
      </c>
      <c r="M571" s="9">
        <v>12.063700000000001</v>
      </c>
      <c r="N571" s="9">
        <v>4.9444999999999997</v>
      </c>
      <c r="O571" s="9">
        <v>0.37409999999999999</v>
      </c>
      <c r="P571" s="9">
        <v>1.2927</v>
      </c>
      <c r="Q571" s="9">
        <v>19.688099999999999</v>
      </c>
      <c r="R571" s="9"/>
      <c r="S571" s="11"/>
    </row>
    <row r="572" spans="1:19" ht="15.75">
      <c r="A572" s="13">
        <v>58926</v>
      </c>
      <c r="B572" s="8">
        <f>15.758 * CHOOSE(CONTROL!$C$15, $D$11, 100%, $F$11)</f>
        <v>15.757999999999999</v>
      </c>
      <c r="C572" s="8">
        <f>15.7626 * CHOOSE(CONTROL!$C$15, $D$11, 100%, $F$11)</f>
        <v>15.762600000000001</v>
      </c>
      <c r="D572" s="8">
        <f>15.7931 * CHOOSE( CONTROL!$C$15, $D$11, 100%, $F$11)</f>
        <v>15.793100000000001</v>
      </c>
      <c r="E572" s="12">
        <f>15.7825 * CHOOSE( CONTROL!$C$15, $D$11, 100%, $F$11)</f>
        <v>15.782500000000001</v>
      </c>
      <c r="F572" s="4">
        <f>16.4728 * CHOOSE(CONTROL!$C$15, $D$11, 100%, $F$11)</f>
        <v>16.472799999999999</v>
      </c>
      <c r="G572" s="8">
        <f>15.3749 * CHOOSE( CONTROL!$C$15, $D$11, 100%, $F$11)</f>
        <v>15.3749</v>
      </c>
      <c r="H572" s="4">
        <f>16.3238 * CHOOSE(CONTROL!$C$15, $D$11, 100%, $F$11)</f>
        <v>16.323799999999999</v>
      </c>
      <c r="I572" s="8">
        <f>15.2183 * CHOOSE(CONTROL!$C$15, $D$11, 100%, $F$11)</f>
        <v>15.218299999999999</v>
      </c>
      <c r="J572" s="4">
        <f>15.1013 * CHOOSE(CONTROL!$C$15, $D$11, 100%, $F$11)</f>
        <v>15.1013</v>
      </c>
      <c r="K572" s="4"/>
      <c r="L572" s="9">
        <v>30.092199999999998</v>
      </c>
      <c r="M572" s="9">
        <v>11.6745</v>
      </c>
      <c r="N572" s="9">
        <v>4.7850000000000001</v>
      </c>
      <c r="O572" s="9">
        <v>0.36199999999999999</v>
      </c>
      <c r="P572" s="9">
        <v>1.1791</v>
      </c>
      <c r="Q572" s="9">
        <v>19.053000000000001</v>
      </c>
      <c r="R572" s="9"/>
      <c r="S572" s="11"/>
    </row>
    <row r="573" spans="1:19" ht="15.75">
      <c r="A573" s="13">
        <v>58957</v>
      </c>
      <c r="B573" s="8">
        <f>CHOOSE( CONTROL!$C$32, 16.1808, 16.1784) * CHOOSE(CONTROL!$C$15, $D$11, 100%, $F$11)</f>
        <v>16.180800000000001</v>
      </c>
      <c r="C573" s="8">
        <f>CHOOSE( CONTROL!$C$32, 16.1889, 16.1865) * CHOOSE(CONTROL!$C$15, $D$11, 100%, $F$11)</f>
        <v>16.1889</v>
      </c>
      <c r="D573" s="8">
        <f>CHOOSE( CONTROL!$C$32, 16.2141, 16.2117) * CHOOSE( CONTROL!$C$15, $D$11, 100%, $F$11)</f>
        <v>16.214099999999998</v>
      </c>
      <c r="E573" s="12">
        <f>CHOOSE( CONTROL!$C$32, 16.2037, 16.2013) * CHOOSE( CONTROL!$C$15, $D$11, 100%, $F$11)</f>
        <v>16.203700000000001</v>
      </c>
      <c r="F573" s="4">
        <f>CHOOSE( CONTROL!$C$32, 16.8942, 16.8919) * CHOOSE(CONTROL!$C$15, $D$11, 100%, $F$11)</f>
        <v>16.894200000000001</v>
      </c>
      <c r="G573" s="8">
        <f>CHOOSE( CONTROL!$C$32, 15.7871, 15.7848) * CHOOSE( CONTROL!$C$15, $D$11, 100%, $F$11)</f>
        <v>15.787100000000001</v>
      </c>
      <c r="H573" s="4">
        <f>CHOOSE( CONTROL!$C$32, 16.7354, 16.7331) * CHOOSE(CONTROL!$C$15, $D$11, 100%, $F$11)</f>
        <v>16.735399999999998</v>
      </c>
      <c r="I573" s="8">
        <f>CHOOSE( CONTROL!$C$32, 15.6234, 15.6212) * CHOOSE(CONTROL!$C$15, $D$11, 100%, $F$11)</f>
        <v>15.6234</v>
      </c>
      <c r="J573" s="4">
        <f>CHOOSE( CONTROL!$C$32, 15.5059, 15.5037) * CHOOSE(CONTROL!$C$15, $D$11, 100%, $F$11)</f>
        <v>15.5059</v>
      </c>
      <c r="K573" s="4"/>
      <c r="L573" s="9">
        <v>30.7165</v>
      </c>
      <c r="M573" s="9">
        <v>12.063700000000001</v>
      </c>
      <c r="N573" s="9">
        <v>4.9444999999999997</v>
      </c>
      <c r="O573" s="9">
        <v>0.37409999999999999</v>
      </c>
      <c r="P573" s="9">
        <v>1.2183999999999999</v>
      </c>
      <c r="Q573" s="9">
        <v>19.688099999999999</v>
      </c>
      <c r="R573" s="9"/>
      <c r="S573" s="11"/>
    </row>
    <row r="574" spans="1:19" ht="15.75">
      <c r="A574" s="13">
        <v>58987</v>
      </c>
      <c r="B574" s="8">
        <f>CHOOSE( CONTROL!$C$32, 15.9211, 15.9188) * CHOOSE(CONTROL!$C$15, $D$11, 100%, $F$11)</f>
        <v>15.921099999999999</v>
      </c>
      <c r="C574" s="8">
        <f>CHOOSE( CONTROL!$C$32, 15.9292, 15.9269) * CHOOSE(CONTROL!$C$15, $D$11, 100%, $F$11)</f>
        <v>15.9292</v>
      </c>
      <c r="D574" s="8">
        <f>CHOOSE( CONTROL!$C$32, 15.9546, 15.9523) * CHOOSE( CONTROL!$C$15, $D$11, 100%, $F$11)</f>
        <v>15.954599999999999</v>
      </c>
      <c r="E574" s="12">
        <f>CHOOSE( CONTROL!$C$32, 15.9442, 15.9419) * CHOOSE( CONTROL!$C$15, $D$11, 100%, $F$11)</f>
        <v>15.9442</v>
      </c>
      <c r="F574" s="4">
        <f>CHOOSE( CONTROL!$C$32, 16.6346, 16.6322) * CHOOSE(CONTROL!$C$15, $D$11, 100%, $F$11)</f>
        <v>16.634599999999999</v>
      </c>
      <c r="G574" s="8">
        <f>CHOOSE( CONTROL!$C$32, 15.5338, 15.5315) * CHOOSE( CONTROL!$C$15, $D$11, 100%, $F$11)</f>
        <v>15.533799999999999</v>
      </c>
      <c r="H574" s="4">
        <f>CHOOSE( CONTROL!$C$32, 16.4818, 16.4795) * CHOOSE(CONTROL!$C$15, $D$11, 100%, $F$11)</f>
        <v>16.4818</v>
      </c>
      <c r="I574" s="8">
        <f>CHOOSE( CONTROL!$C$32, 15.375, 15.3728) * CHOOSE(CONTROL!$C$15, $D$11, 100%, $F$11)</f>
        <v>15.375</v>
      </c>
      <c r="J574" s="4">
        <f>CHOOSE( CONTROL!$C$32, 15.2567, 15.2544) * CHOOSE(CONTROL!$C$15, $D$11, 100%, $F$11)</f>
        <v>15.2567</v>
      </c>
      <c r="K574" s="4"/>
      <c r="L574" s="9">
        <v>29.7257</v>
      </c>
      <c r="M574" s="9">
        <v>11.6745</v>
      </c>
      <c r="N574" s="9">
        <v>4.7850000000000001</v>
      </c>
      <c r="O574" s="9">
        <v>0.36199999999999999</v>
      </c>
      <c r="P574" s="9">
        <v>1.1791</v>
      </c>
      <c r="Q574" s="9">
        <v>19.053000000000001</v>
      </c>
      <c r="R574" s="9"/>
      <c r="S574" s="11"/>
    </row>
    <row r="575" spans="1:19" ht="15.75">
      <c r="A575" s="13">
        <v>59018</v>
      </c>
      <c r="B575" s="8">
        <f>CHOOSE( CONTROL!$C$32, 16.6048, 16.6025) * CHOOSE(CONTROL!$C$15, $D$11, 100%, $F$11)</f>
        <v>16.604800000000001</v>
      </c>
      <c r="C575" s="8">
        <f>CHOOSE( CONTROL!$C$32, 16.6129, 16.6106) * CHOOSE(CONTROL!$C$15, $D$11, 100%, $F$11)</f>
        <v>16.6129</v>
      </c>
      <c r="D575" s="8">
        <f>CHOOSE( CONTROL!$C$32, 16.6386, 16.6362) * CHOOSE( CONTROL!$C$15, $D$11, 100%, $F$11)</f>
        <v>16.6386</v>
      </c>
      <c r="E575" s="12">
        <f>CHOOSE( CONTROL!$C$32, 16.6281, 16.6257) * CHOOSE( CONTROL!$C$15, $D$11, 100%, $F$11)</f>
        <v>16.6281</v>
      </c>
      <c r="F575" s="4">
        <f>CHOOSE( CONTROL!$C$32, 17.3183, 17.3159) * CHOOSE(CONTROL!$C$15, $D$11, 100%, $F$11)</f>
        <v>17.318300000000001</v>
      </c>
      <c r="G575" s="8">
        <f>CHOOSE( CONTROL!$C$32, 16.2019, 16.1996) * CHOOSE( CONTROL!$C$15, $D$11, 100%, $F$11)</f>
        <v>16.201899999999998</v>
      </c>
      <c r="H575" s="4">
        <f>CHOOSE( CONTROL!$C$32, 17.1496, 17.1473) * CHOOSE(CONTROL!$C$15, $D$11, 100%, $F$11)</f>
        <v>17.1496</v>
      </c>
      <c r="I575" s="8">
        <f>CHOOSE( CONTROL!$C$32, 16.033, 16.0307) * CHOOSE(CONTROL!$C$15, $D$11, 100%, $F$11)</f>
        <v>16.033000000000001</v>
      </c>
      <c r="J575" s="4">
        <f>CHOOSE( CONTROL!$C$32, 15.9131, 15.9108) * CHOOSE(CONTROL!$C$15, $D$11, 100%, $F$11)</f>
        <v>15.9131</v>
      </c>
      <c r="K575" s="4"/>
      <c r="L575" s="9">
        <v>30.7165</v>
      </c>
      <c r="M575" s="9">
        <v>12.063700000000001</v>
      </c>
      <c r="N575" s="9">
        <v>4.9444999999999997</v>
      </c>
      <c r="O575" s="9">
        <v>0.37409999999999999</v>
      </c>
      <c r="P575" s="9">
        <v>1.2183999999999999</v>
      </c>
      <c r="Q575" s="9">
        <v>19.688099999999999</v>
      </c>
      <c r="R575" s="9"/>
      <c r="S575" s="11"/>
    </row>
    <row r="576" spans="1:19" ht="15.75">
      <c r="A576" s="13">
        <v>59049</v>
      </c>
      <c r="B576" s="8">
        <f>CHOOSE( CONTROL!$C$32, 15.3256, 15.3232) * CHOOSE(CONTROL!$C$15, $D$11, 100%, $F$11)</f>
        <v>15.3256</v>
      </c>
      <c r="C576" s="8">
        <f>CHOOSE( CONTROL!$C$32, 15.3337, 15.3313) * CHOOSE(CONTROL!$C$15, $D$11, 100%, $F$11)</f>
        <v>15.3337</v>
      </c>
      <c r="D576" s="8">
        <f>CHOOSE( CONTROL!$C$32, 15.3594, 15.3571) * CHOOSE( CONTROL!$C$15, $D$11, 100%, $F$11)</f>
        <v>15.359400000000001</v>
      </c>
      <c r="E576" s="12">
        <f>CHOOSE( CONTROL!$C$32, 15.3489, 15.3465) * CHOOSE( CONTROL!$C$15, $D$11, 100%, $F$11)</f>
        <v>15.3489</v>
      </c>
      <c r="F576" s="4">
        <f>CHOOSE( CONTROL!$C$32, 16.039, 16.0367) * CHOOSE(CONTROL!$C$15, $D$11, 100%, $F$11)</f>
        <v>16.039000000000001</v>
      </c>
      <c r="G576" s="8">
        <f>CHOOSE( CONTROL!$C$32, 14.9526, 14.9503) * CHOOSE( CONTROL!$C$15, $D$11, 100%, $F$11)</f>
        <v>14.9526</v>
      </c>
      <c r="H576" s="4">
        <f>CHOOSE( CONTROL!$C$32, 15.9001, 15.8978) * CHOOSE(CONTROL!$C$15, $D$11, 100%, $F$11)</f>
        <v>15.9001</v>
      </c>
      <c r="I576" s="8">
        <f>CHOOSE( CONTROL!$C$32, 14.8045, 14.8023) * CHOOSE(CONTROL!$C$15, $D$11, 100%, $F$11)</f>
        <v>14.804500000000001</v>
      </c>
      <c r="J576" s="4">
        <f>CHOOSE( CONTROL!$C$32, 14.6849, 14.6826) * CHOOSE(CONTROL!$C$15, $D$11, 100%, $F$11)</f>
        <v>14.684900000000001</v>
      </c>
      <c r="K576" s="4"/>
      <c r="L576" s="9">
        <v>30.7165</v>
      </c>
      <c r="M576" s="9">
        <v>12.063700000000001</v>
      </c>
      <c r="N576" s="9">
        <v>4.9444999999999997</v>
      </c>
      <c r="O576" s="9">
        <v>0.37409999999999999</v>
      </c>
      <c r="P576" s="9">
        <v>1.2183999999999999</v>
      </c>
      <c r="Q576" s="9">
        <v>19.688099999999999</v>
      </c>
      <c r="R576" s="9"/>
      <c r="S576" s="11"/>
    </row>
    <row r="577" spans="1:19" ht="15.75">
      <c r="A577" s="13">
        <v>59079</v>
      </c>
      <c r="B577" s="8">
        <f>CHOOSE( CONTROL!$C$32, 15.0053, 15.0029) * CHOOSE(CONTROL!$C$15, $D$11, 100%, $F$11)</f>
        <v>15.0053</v>
      </c>
      <c r="C577" s="8">
        <f>CHOOSE( CONTROL!$C$32, 15.0133, 15.011) * CHOOSE(CONTROL!$C$15, $D$11, 100%, $F$11)</f>
        <v>15.013299999999999</v>
      </c>
      <c r="D577" s="8">
        <f>CHOOSE( CONTROL!$C$32, 15.039, 15.0367) * CHOOSE( CONTROL!$C$15, $D$11, 100%, $F$11)</f>
        <v>15.039</v>
      </c>
      <c r="E577" s="12">
        <f>CHOOSE( CONTROL!$C$32, 15.0285, 15.0262) * CHOOSE( CONTROL!$C$15, $D$11, 100%, $F$11)</f>
        <v>15.028499999999999</v>
      </c>
      <c r="F577" s="4">
        <f>CHOOSE( CONTROL!$C$32, 15.7187, 15.7163) * CHOOSE(CONTROL!$C$15, $D$11, 100%, $F$11)</f>
        <v>15.7187</v>
      </c>
      <c r="G577" s="8">
        <f>CHOOSE( CONTROL!$C$32, 14.6397, 14.6374) * CHOOSE( CONTROL!$C$15, $D$11, 100%, $F$11)</f>
        <v>14.639699999999999</v>
      </c>
      <c r="H577" s="4">
        <f>CHOOSE( CONTROL!$C$32, 15.5873, 15.585) * CHOOSE(CONTROL!$C$15, $D$11, 100%, $F$11)</f>
        <v>15.587300000000001</v>
      </c>
      <c r="I577" s="8">
        <f>CHOOSE( CONTROL!$C$32, 14.4967, 14.4945) * CHOOSE(CONTROL!$C$15, $D$11, 100%, $F$11)</f>
        <v>14.496700000000001</v>
      </c>
      <c r="J577" s="4">
        <f>CHOOSE( CONTROL!$C$32, 14.3773, 14.3751) * CHOOSE(CONTROL!$C$15, $D$11, 100%, $F$11)</f>
        <v>14.3773</v>
      </c>
      <c r="K577" s="4"/>
      <c r="L577" s="9">
        <v>29.7257</v>
      </c>
      <c r="M577" s="9">
        <v>11.6745</v>
      </c>
      <c r="N577" s="9">
        <v>4.7850000000000001</v>
      </c>
      <c r="O577" s="9">
        <v>0.36199999999999999</v>
      </c>
      <c r="P577" s="9">
        <v>1.1791</v>
      </c>
      <c r="Q577" s="9">
        <v>19.053000000000001</v>
      </c>
      <c r="R577" s="9"/>
      <c r="S577" s="11"/>
    </row>
    <row r="578" spans="1:19" ht="15.75">
      <c r="A578" s="13">
        <v>59110</v>
      </c>
      <c r="B578" s="8">
        <f>15.6663 * CHOOSE(CONTROL!$C$15, $D$11, 100%, $F$11)</f>
        <v>15.6663</v>
      </c>
      <c r="C578" s="8">
        <f>15.6717 * CHOOSE(CONTROL!$C$15, $D$11, 100%, $F$11)</f>
        <v>15.6717</v>
      </c>
      <c r="D578" s="8">
        <f>15.7025 * CHOOSE( CONTROL!$C$15, $D$11, 100%, $F$11)</f>
        <v>15.702500000000001</v>
      </c>
      <c r="E578" s="12">
        <f>15.6918 * CHOOSE( CONTROL!$C$15, $D$11, 100%, $F$11)</f>
        <v>15.691800000000001</v>
      </c>
      <c r="F578" s="4">
        <f>16.3815 * CHOOSE(CONTROL!$C$15, $D$11, 100%, $F$11)</f>
        <v>16.381499999999999</v>
      </c>
      <c r="G578" s="8">
        <f>15.2868 * CHOOSE( CONTROL!$C$15, $D$11, 100%, $F$11)</f>
        <v>15.286799999999999</v>
      </c>
      <c r="H578" s="4">
        <f>16.2346 * CHOOSE(CONTROL!$C$15, $D$11, 100%, $F$11)</f>
        <v>16.2346</v>
      </c>
      <c r="I578" s="8">
        <f>15.1342 * CHOOSE(CONTROL!$C$15, $D$11, 100%, $F$11)</f>
        <v>15.1342</v>
      </c>
      <c r="J578" s="4">
        <f>15.0137 * CHOOSE(CONTROL!$C$15, $D$11, 100%, $F$11)</f>
        <v>15.0137</v>
      </c>
      <c r="K578" s="4"/>
      <c r="L578" s="9">
        <v>31.095300000000002</v>
      </c>
      <c r="M578" s="9">
        <v>12.063700000000001</v>
      </c>
      <c r="N578" s="9">
        <v>4.9444999999999997</v>
      </c>
      <c r="O578" s="9">
        <v>0.37409999999999999</v>
      </c>
      <c r="P578" s="9">
        <v>1.2183999999999999</v>
      </c>
      <c r="Q578" s="9">
        <v>19.688099999999999</v>
      </c>
      <c r="R578" s="9"/>
      <c r="S578" s="11"/>
    </row>
    <row r="579" spans="1:19" ht="15.75">
      <c r="A579" s="13">
        <v>59140</v>
      </c>
      <c r="B579" s="8">
        <f>16.8936 * CHOOSE(CONTROL!$C$15, $D$11, 100%, $F$11)</f>
        <v>16.893599999999999</v>
      </c>
      <c r="C579" s="8">
        <f>16.8988 * CHOOSE(CONTROL!$C$15, $D$11, 100%, $F$11)</f>
        <v>16.898800000000001</v>
      </c>
      <c r="D579" s="8">
        <f>16.8818 * CHOOSE( CONTROL!$C$15, $D$11, 100%, $F$11)</f>
        <v>16.881799999999998</v>
      </c>
      <c r="E579" s="12">
        <f>16.8875 * CHOOSE( CONTROL!$C$15, $D$11, 100%, $F$11)</f>
        <v>16.887499999999999</v>
      </c>
      <c r="F579" s="4">
        <f>17.5441 * CHOOSE(CONTROL!$C$15, $D$11, 100%, $F$11)</f>
        <v>17.5441</v>
      </c>
      <c r="G579" s="8">
        <f>16.4921 * CHOOSE( CONTROL!$C$15, $D$11, 100%, $F$11)</f>
        <v>16.492100000000001</v>
      </c>
      <c r="H579" s="4">
        <f>17.3701 * CHOOSE(CONTROL!$C$15, $D$11, 100%, $F$11)</f>
        <v>17.370100000000001</v>
      </c>
      <c r="I579" s="8">
        <f>16.3553 * CHOOSE(CONTROL!$C$15, $D$11, 100%, $F$11)</f>
        <v>16.3553</v>
      </c>
      <c r="J579" s="4">
        <f>16.1924 * CHOOSE(CONTROL!$C$15, $D$11, 100%, $F$11)</f>
        <v>16.192399999999999</v>
      </c>
      <c r="K579" s="4"/>
      <c r="L579" s="9">
        <v>28.360600000000002</v>
      </c>
      <c r="M579" s="9">
        <v>11.6745</v>
      </c>
      <c r="N579" s="9">
        <v>4.7850000000000001</v>
      </c>
      <c r="O579" s="9">
        <v>0.36199999999999999</v>
      </c>
      <c r="P579" s="9">
        <v>1.2509999999999999</v>
      </c>
      <c r="Q579" s="9">
        <v>19.053000000000001</v>
      </c>
      <c r="R579" s="9"/>
      <c r="S579" s="11"/>
    </row>
    <row r="580" spans="1:19" ht="15.75">
      <c r="A580" s="13">
        <v>59171</v>
      </c>
      <c r="B580" s="8">
        <f>16.8629 * CHOOSE(CONTROL!$C$15, $D$11, 100%, $F$11)</f>
        <v>16.8629</v>
      </c>
      <c r="C580" s="8">
        <f>16.8681 * CHOOSE(CONTROL!$C$15, $D$11, 100%, $F$11)</f>
        <v>16.868099999999998</v>
      </c>
      <c r="D580" s="8">
        <f>16.8526 * CHOOSE( CONTROL!$C$15, $D$11, 100%, $F$11)</f>
        <v>16.852599999999999</v>
      </c>
      <c r="E580" s="12">
        <f>16.8577 * CHOOSE( CONTROL!$C$15, $D$11, 100%, $F$11)</f>
        <v>16.857700000000001</v>
      </c>
      <c r="F580" s="4">
        <f>17.5134 * CHOOSE(CONTROL!$C$15, $D$11, 100%, $F$11)</f>
        <v>17.513400000000001</v>
      </c>
      <c r="G580" s="8">
        <f>16.4632 * CHOOSE( CONTROL!$C$15, $D$11, 100%, $F$11)</f>
        <v>16.463200000000001</v>
      </c>
      <c r="H580" s="4">
        <f>17.3402 * CHOOSE(CONTROL!$C$15, $D$11, 100%, $F$11)</f>
        <v>17.340199999999999</v>
      </c>
      <c r="I580" s="8">
        <f>16.3306 * CHOOSE(CONTROL!$C$15, $D$11, 100%, $F$11)</f>
        <v>16.3306</v>
      </c>
      <c r="J580" s="4">
        <f>16.1629 * CHOOSE(CONTROL!$C$15, $D$11, 100%, $F$11)</f>
        <v>16.1629</v>
      </c>
      <c r="K580" s="4"/>
      <c r="L580" s="9">
        <v>29.306000000000001</v>
      </c>
      <c r="M580" s="9">
        <v>12.063700000000001</v>
      </c>
      <c r="N580" s="9">
        <v>4.9444999999999997</v>
      </c>
      <c r="O580" s="9">
        <v>0.37409999999999999</v>
      </c>
      <c r="P580" s="9">
        <v>1.2927</v>
      </c>
      <c r="Q580" s="9">
        <v>19.688099999999999</v>
      </c>
      <c r="R580" s="9"/>
      <c r="S580" s="11"/>
    </row>
    <row r="581" spans="1:19" ht="15.75">
      <c r="A581" s="13">
        <v>59202</v>
      </c>
      <c r="B581" s="8">
        <f>17.3595 * CHOOSE(CONTROL!$C$15, $D$11, 100%, $F$11)</f>
        <v>17.359500000000001</v>
      </c>
      <c r="C581" s="8">
        <f>17.3647 * CHOOSE(CONTROL!$C$15, $D$11, 100%, $F$11)</f>
        <v>17.364699999999999</v>
      </c>
      <c r="D581" s="8">
        <f>17.3448 * CHOOSE( CONTROL!$C$15, $D$11, 100%, $F$11)</f>
        <v>17.344799999999999</v>
      </c>
      <c r="E581" s="12">
        <f>17.3515 * CHOOSE( CONTROL!$C$15, $D$11, 100%, $F$11)</f>
        <v>17.351500000000001</v>
      </c>
      <c r="F581" s="4">
        <f>18.01 * CHOOSE(CONTROL!$C$15, $D$11, 100%, $F$11)</f>
        <v>18.010000000000002</v>
      </c>
      <c r="G581" s="8">
        <f>16.939 * CHOOSE( CONTROL!$C$15, $D$11, 100%, $F$11)</f>
        <v>16.939</v>
      </c>
      <c r="H581" s="4">
        <f>17.8252 * CHOOSE(CONTROL!$C$15, $D$11, 100%, $F$11)</f>
        <v>17.825199999999999</v>
      </c>
      <c r="I581" s="8">
        <f>16.7667 * CHOOSE(CONTROL!$C$15, $D$11, 100%, $F$11)</f>
        <v>16.7667</v>
      </c>
      <c r="J581" s="4">
        <f>16.6397 * CHOOSE(CONTROL!$C$15, $D$11, 100%, $F$11)</f>
        <v>16.639700000000001</v>
      </c>
      <c r="K581" s="4"/>
      <c r="L581" s="9">
        <v>29.306000000000001</v>
      </c>
      <c r="M581" s="9">
        <v>12.063700000000001</v>
      </c>
      <c r="N581" s="9">
        <v>4.9444999999999997</v>
      </c>
      <c r="O581" s="9">
        <v>0.37409999999999999</v>
      </c>
      <c r="P581" s="9">
        <v>1.2927</v>
      </c>
      <c r="Q581" s="9">
        <v>19.688099999999999</v>
      </c>
      <c r="R581" s="9"/>
      <c r="S581" s="11"/>
    </row>
    <row r="582" spans="1:19" ht="15.75">
      <c r="A582" s="13">
        <v>59230</v>
      </c>
      <c r="B582" s="8">
        <f>16.2391 * CHOOSE(CONTROL!$C$15, $D$11, 100%, $F$11)</f>
        <v>16.239100000000001</v>
      </c>
      <c r="C582" s="8">
        <f>16.2442 * CHOOSE(CONTROL!$C$15, $D$11, 100%, $F$11)</f>
        <v>16.244199999999999</v>
      </c>
      <c r="D582" s="8">
        <f>16.2244 * CHOOSE( CONTROL!$C$15, $D$11, 100%, $F$11)</f>
        <v>16.224399999999999</v>
      </c>
      <c r="E582" s="12">
        <f>16.2311 * CHOOSE( CONTROL!$C$15, $D$11, 100%, $F$11)</f>
        <v>16.231100000000001</v>
      </c>
      <c r="F582" s="4">
        <f>16.8895 * CHOOSE(CONTROL!$C$15, $D$11, 100%, $F$11)</f>
        <v>16.889500000000002</v>
      </c>
      <c r="G582" s="8">
        <f>15.8446 * CHOOSE( CONTROL!$C$15, $D$11, 100%, $F$11)</f>
        <v>15.8446</v>
      </c>
      <c r="H582" s="4">
        <f>16.7308 * CHOOSE(CONTROL!$C$15, $D$11, 100%, $F$11)</f>
        <v>16.730799999999999</v>
      </c>
      <c r="I582" s="8">
        <f>15.6903 * CHOOSE(CONTROL!$C$15, $D$11, 100%, $F$11)</f>
        <v>15.690300000000001</v>
      </c>
      <c r="J582" s="4">
        <f>15.5639 * CHOOSE(CONTROL!$C$15, $D$11, 100%, $F$11)</f>
        <v>15.5639</v>
      </c>
      <c r="K582" s="4"/>
      <c r="L582" s="9">
        <v>26.469899999999999</v>
      </c>
      <c r="M582" s="9">
        <v>10.8962</v>
      </c>
      <c r="N582" s="9">
        <v>4.4660000000000002</v>
      </c>
      <c r="O582" s="9">
        <v>0.33789999999999998</v>
      </c>
      <c r="P582" s="9">
        <v>1.1676</v>
      </c>
      <c r="Q582" s="9">
        <v>17.782800000000002</v>
      </c>
      <c r="R582" s="9"/>
      <c r="S582" s="11"/>
    </row>
    <row r="583" spans="1:19" ht="15.75">
      <c r="A583" s="13">
        <v>59261</v>
      </c>
      <c r="B583" s="8">
        <f>15.894 * CHOOSE(CONTROL!$C$15, $D$11, 100%, $F$11)</f>
        <v>15.894</v>
      </c>
      <c r="C583" s="8">
        <f>15.8992 * CHOOSE(CONTROL!$C$15, $D$11, 100%, $F$11)</f>
        <v>15.8992</v>
      </c>
      <c r="D583" s="8">
        <f>15.8789 * CHOOSE( CONTROL!$C$15, $D$11, 100%, $F$11)</f>
        <v>15.8789</v>
      </c>
      <c r="E583" s="12">
        <f>15.8858 * CHOOSE( CONTROL!$C$15, $D$11, 100%, $F$11)</f>
        <v>15.8858</v>
      </c>
      <c r="F583" s="4">
        <f>16.5444 * CHOOSE(CONTROL!$C$15, $D$11, 100%, $F$11)</f>
        <v>16.5444</v>
      </c>
      <c r="G583" s="8">
        <f>15.5073 * CHOOSE( CONTROL!$C$15, $D$11, 100%, $F$11)</f>
        <v>15.507300000000001</v>
      </c>
      <c r="H583" s="4">
        <f>16.3938 * CHOOSE(CONTROL!$C$15, $D$11, 100%, $F$11)</f>
        <v>16.393799999999999</v>
      </c>
      <c r="I583" s="8">
        <f>15.3577 * CHOOSE(CONTROL!$C$15, $D$11, 100%, $F$11)</f>
        <v>15.357699999999999</v>
      </c>
      <c r="J583" s="4">
        <f>15.2326 * CHOOSE(CONTROL!$C$15, $D$11, 100%, $F$11)</f>
        <v>15.2326</v>
      </c>
      <c r="K583" s="4"/>
      <c r="L583" s="9">
        <v>29.306000000000001</v>
      </c>
      <c r="M583" s="9">
        <v>12.063700000000001</v>
      </c>
      <c r="N583" s="9">
        <v>4.9444999999999997</v>
      </c>
      <c r="O583" s="9">
        <v>0.37409999999999999</v>
      </c>
      <c r="P583" s="9">
        <v>1.2927</v>
      </c>
      <c r="Q583" s="9">
        <v>19.688099999999999</v>
      </c>
      <c r="R583" s="9"/>
      <c r="S583" s="11"/>
    </row>
    <row r="584" spans="1:19" ht="15.75">
      <c r="A584" s="13">
        <v>59291</v>
      </c>
      <c r="B584" s="8">
        <f>16.1359 * CHOOSE(CONTROL!$C$15, $D$11, 100%, $F$11)</f>
        <v>16.135899999999999</v>
      </c>
      <c r="C584" s="8">
        <f>16.1405 * CHOOSE(CONTROL!$C$15, $D$11, 100%, $F$11)</f>
        <v>16.140499999999999</v>
      </c>
      <c r="D584" s="8">
        <f>16.171 * CHOOSE( CONTROL!$C$15, $D$11, 100%, $F$11)</f>
        <v>16.170999999999999</v>
      </c>
      <c r="E584" s="12">
        <f>16.1604 * CHOOSE( CONTROL!$C$15, $D$11, 100%, $F$11)</f>
        <v>16.160399999999999</v>
      </c>
      <c r="F584" s="4">
        <f>16.8507 * CHOOSE(CONTROL!$C$15, $D$11, 100%, $F$11)</f>
        <v>16.8507</v>
      </c>
      <c r="G584" s="8">
        <f>15.744 * CHOOSE( CONTROL!$C$15, $D$11, 100%, $F$11)</f>
        <v>15.744</v>
      </c>
      <c r="H584" s="4">
        <f>16.6929 * CHOOSE(CONTROL!$C$15, $D$11, 100%, $F$11)</f>
        <v>16.692900000000002</v>
      </c>
      <c r="I584" s="8">
        <f>15.5813 * CHOOSE(CONTROL!$C$15, $D$11, 100%, $F$11)</f>
        <v>15.581300000000001</v>
      </c>
      <c r="J584" s="4">
        <f>15.4641 * CHOOSE(CONTROL!$C$15, $D$11, 100%, $F$11)</f>
        <v>15.4641</v>
      </c>
      <c r="K584" s="4"/>
      <c r="L584" s="9">
        <v>30.092199999999998</v>
      </c>
      <c r="M584" s="9">
        <v>11.6745</v>
      </c>
      <c r="N584" s="9">
        <v>4.7850000000000001</v>
      </c>
      <c r="O584" s="9">
        <v>0.36199999999999999</v>
      </c>
      <c r="P584" s="9">
        <v>1.1791</v>
      </c>
      <c r="Q584" s="9">
        <v>19.053000000000001</v>
      </c>
      <c r="R584" s="9"/>
      <c r="S584" s="11"/>
    </row>
    <row r="585" spans="1:19" ht="15.75">
      <c r="A585" s="13">
        <v>59322</v>
      </c>
      <c r="B585" s="8">
        <f>CHOOSE( CONTROL!$C$32, 16.5688, 16.5664) * CHOOSE(CONTROL!$C$15, $D$11, 100%, $F$11)</f>
        <v>16.5688</v>
      </c>
      <c r="C585" s="8">
        <f>CHOOSE( CONTROL!$C$32, 16.5769, 16.5745) * CHOOSE(CONTROL!$C$15, $D$11, 100%, $F$11)</f>
        <v>16.576899999999998</v>
      </c>
      <c r="D585" s="8">
        <f>CHOOSE( CONTROL!$C$32, 16.602, 16.5997) * CHOOSE( CONTROL!$C$15, $D$11, 100%, $F$11)</f>
        <v>16.602</v>
      </c>
      <c r="E585" s="12">
        <f>CHOOSE( CONTROL!$C$32, 16.5917, 16.5893) * CHOOSE( CONTROL!$C$15, $D$11, 100%, $F$11)</f>
        <v>16.591699999999999</v>
      </c>
      <c r="F585" s="4">
        <f>CHOOSE( CONTROL!$C$32, 17.2822, 17.2799) * CHOOSE(CONTROL!$C$15, $D$11, 100%, $F$11)</f>
        <v>17.2822</v>
      </c>
      <c r="G585" s="8">
        <f>CHOOSE( CONTROL!$C$32, 16.166, 16.1637) * CHOOSE( CONTROL!$C$15, $D$11, 100%, $F$11)</f>
        <v>16.166</v>
      </c>
      <c r="H585" s="4">
        <f>CHOOSE( CONTROL!$C$32, 17.1144, 17.1121) * CHOOSE(CONTROL!$C$15, $D$11, 100%, $F$11)</f>
        <v>17.1144</v>
      </c>
      <c r="I585" s="8">
        <f>CHOOSE( CONTROL!$C$32, 15.9961, 15.9939) * CHOOSE(CONTROL!$C$15, $D$11, 100%, $F$11)</f>
        <v>15.9961</v>
      </c>
      <c r="J585" s="4">
        <f>CHOOSE( CONTROL!$C$32, 15.8784, 15.8762) * CHOOSE(CONTROL!$C$15, $D$11, 100%, $F$11)</f>
        <v>15.878399999999999</v>
      </c>
      <c r="K585" s="4"/>
      <c r="L585" s="9">
        <v>30.7165</v>
      </c>
      <c r="M585" s="9">
        <v>12.063700000000001</v>
      </c>
      <c r="N585" s="9">
        <v>4.9444999999999997</v>
      </c>
      <c r="O585" s="9">
        <v>0.37409999999999999</v>
      </c>
      <c r="P585" s="9">
        <v>1.2183999999999999</v>
      </c>
      <c r="Q585" s="9">
        <v>19.688099999999999</v>
      </c>
      <c r="R585" s="9"/>
      <c r="S585" s="11"/>
    </row>
    <row r="586" spans="1:19" ht="15.75">
      <c r="A586" s="13">
        <v>59352</v>
      </c>
      <c r="B586" s="8">
        <f>CHOOSE( CONTROL!$C$32, 16.3029, 16.3006) * CHOOSE(CONTROL!$C$15, $D$11, 100%, $F$11)</f>
        <v>16.302900000000001</v>
      </c>
      <c r="C586" s="8">
        <f>CHOOSE( CONTROL!$C$32, 16.311, 16.3086) * CHOOSE(CONTROL!$C$15, $D$11, 100%, $F$11)</f>
        <v>16.311</v>
      </c>
      <c r="D586" s="8">
        <f>CHOOSE( CONTROL!$C$32, 16.3364, 16.334) * CHOOSE( CONTROL!$C$15, $D$11, 100%, $F$11)</f>
        <v>16.336400000000001</v>
      </c>
      <c r="E586" s="12">
        <f>CHOOSE( CONTROL!$C$32, 16.326, 16.3236) * CHOOSE( CONTROL!$C$15, $D$11, 100%, $F$11)</f>
        <v>16.326000000000001</v>
      </c>
      <c r="F586" s="4">
        <f>CHOOSE( CONTROL!$C$32, 17.0163, 17.014) * CHOOSE(CONTROL!$C$15, $D$11, 100%, $F$11)</f>
        <v>17.016300000000001</v>
      </c>
      <c r="G586" s="8">
        <f>CHOOSE( CONTROL!$C$32, 15.9067, 15.9044) * CHOOSE( CONTROL!$C$15, $D$11, 100%, $F$11)</f>
        <v>15.906700000000001</v>
      </c>
      <c r="H586" s="4">
        <f>CHOOSE( CONTROL!$C$32, 16.8547, 16.8524) * CHOOSE(CONTROL!$C$15, $D$11, 100%, $F$11)</f>
        <v>16.854700000000001</v>
      </c>
      <c r="I586" s="8">
        <f>CHOOSE( CONTROL!$C$32, 15.7417, 15.7395) * CHOOSE(CONTROL!$C$15, $D$11, 100%, $F$11)</f>
        <v>15.7417</v>
      </c>
      <c r="J586" s="4">
        <f>CHOOSE( CONTROL!$C$32, 15.6232, 15.6209) * CHOOSE(CONTROL!$C$15, $D$11, 100%, $F$11)</f>
        <v>15.623200000000001</v>
      </c>
      <c r="K586" s="4"/>
      <c r="L586" s="9">
        <v>29.7257</v>
      </c>
      <c r="M586" s="9">
        <v>11.6745</v>
      </c>
      <c r="N586" s="9">
        <v>4.7850000000000001</v>
      </c>
      <c r="O586" s="9">
        <v>0.36199999999999999</v>
      </c>
      <c r="P586" s="9">
        <v>1.1791</v>
      </c>
      <c r="Q586" s="9">
        <v>19.053000000000001</v>
      </c>
      <c r="R586" s="9"/>
      <c r="S586" s="11"/>
    </row>
    <row r="587" spans="1:19" ht="15.75">
      <c r="A587" s="13">
        <v>59383</v>
      </c>
      <c r="B587" s="8">
        <f>CHOOSE( CONTROL!$C$32, 17.003, 17.0007) * CHOOSE(CONTROL!$C$15, $D$11, 100%, $F$11)</f>
        <v>17.003</v>
      </c>
      <c r="C587" s="8">
        <f>CHOOSE( CONTROL!$C$32, 17.0111, 17.0088) * CHOOSE(CONTROL!$C$15, $D$11, 100%, $F$11)</f>
        <v>17.011099999999999</v>
      </c>
      <c r="D587" s="8">
        <f>CHOOSE( CONTROL!$C$32, 17.0368, 17.0344) * CHOOSE( CONTROL!$C$15, $D$11, 100%, $F$11)</f>
        <v>17.036799999999999</v>
      </c>
      <c r="E587" s="12">
        <f>CHOOSE( CONTROL!$C$32, 17.0263, 17.0239) * CHOOSE( CONTROL!$C$15, $D$11, 100%, $F$11)</f>
        <v>17.026299999999999</v>
      </c>
      <c r="F587" s="4">
        <f>CHOOSE( CONTROL!$C$32, 17.7164, 17.7141) * CHOOSE(CONTROL!$C$15, $D$11, 100%, $F$11)</f>
        <v>17.7164</v>
      </c>
      <c r="G587" s="8">
        <f>CHOOSE( CONTROL!$C$32, 16.5908, 16.5886) * CHOOSE( CONTROL!$C$15, $D$11, 100%, $F$11)</f>
        <v>16.590800000000002</v>
      </c>
      <c r="H587" s="4">
        <f>CHOOSE( CONTROL!$C$32, 17.5385, 17.5362) * CHOOSE(CONTROL!$C$15, $D$11, 100%, $F$11)</f>
        <v>17.538499999999999</v>
      </c>
      <c r="I587" s="8">
        <f>CHOOSE( CONTROL!$C$32, 16.4155, 16.4132) * CHOOSE(CONTROL!$C$15, $D$11, 100%, $F$11)</f>
        <v>16.415500000000002</v>
      </c>
      <c r="J587" s="4">
        <f>CHOOSE( CONTROL!$C$32, 16.2954, 16.2931) * CHOOSE(CONTROL!$C$15, $D$11, 100%, $F$11)</f>
        <v>16.295400000000001</v>
      </c>
      <c r="K587" s="4"/>
      <c r="L587" s="9">
        <v>30.7165</v>
      </c>
      <c r="M587" s="9">
        <v>12.063700000000001</v>
      </c>
      <c r="N587" s="9">
        <v>4.9444999999999997</v>
      </c>
      <c r="O587" s="9">
        <v>0.37409999999999999</v>
      </c>
      <c r="P587" s="9">
        <v>1.2183999999999999</v>
      </c>
      <c r="Q587" s="9">
        <v>19.688099999999999</v>
      </c>
      <c r="R587" s="9"/>
      <c r="S587" s="11"/>
    </row>
    <row r="588" spans="1:19" ht="15.75">
      <c r="A588" s="13">
        <v>59414</v>
      </c>
      <c r="B588" s="8">
        <f>CHOOSE( CONTROL!$C$32, 15.693, 15.6907) * CHOOSE(CONTROL!$C$15, $D$11, 100%, $F$11)</f>
        <v>15.693</v>
      </c>
      <c r="C588" s="8">
        <f>CHOOSE( CONTROL!$C$32, 15.7011, 15.6988) * CHOOSE(CONTROL!$C$15, $D$11, 100%, $F$11)</f>
        <v>15.7011</v>
      </c>
      <c r="D588" s="8">
        <f>CHOOSE( CONTROL!$C$32, 15.7269, 15.7245) * CHOOSE( CONTROL!$C$15, $D$11, 100%, $F$11)</f>
        <v>15.726900000000001</v>
      </c>
      <c r="E588" s="12">
        <f>CHOOSE( CONTROL!$C$32, 15.7163, 15.714) * CHOOSE( CONTROL!$C$15, $D$11, 100%, $F$11)</f>
        <v>15.7163</v>
      </c>
      <c r="F588" s="4">
        <f>CHOOSE( CONTROL!$C$32, 16.4065, 16.4041) * CHOOSE(CONTROL!$C$15, $D$11, 100%, $F$11)</f>
        <v>16.406500000000001</v>
      </c>
      <c r="G588" s="8">
        <f>CHOOSE( CONTROL!$C$32, 15.3115, 15.3092) * CHOOSE( CONTROL!$C$15, $D$11, 100%, $F$11)</f>
        <v>15.311500000000001</v>
      </c>
      <c r="H588" s="4">
        <f>CHOOSE( CONTROL!$C$32, 16.259, 16.2567) * CHOOSE(CONTROL!$C$15, $D$11, 100%, $F$11)</f>
        <v>16.259</v>
      </c>
      <c r="I588" s="8">
        <f>CHOOSE( CONTROL!$C$32, 15.1575, 15.1552) * CHOOSE(CONTROL!$C$15, $D$11, 100%, $F$11)</f>
        <v>15.157500000000001</v>
      </c>
      <c r="J588" s="4">
        <f>CHOOSE( CONTROL!$C$32, 15.0377, 15.0354) * CHOOSE(CONTROL!$C$15, $D$11, 100%, $F$11)</f>
        <v>15.037699999999999</v>
      </c>
      <c r="K588" s="4"/>
      <c r="L588" s="9">
        <v>30.7165</v>
      </c>
      <c r="M588" s="9">
        <v>12.063700000000001</v>
      </c>
      <c r="N588" s="9">
        <v>4.9444999999999997</v>
      </c>
      <c r="O588" s="9">
        <v>0.37409999999999999</v>
      </c>
      <c r="P588" s="9">
        <v>1.2183999999999999</v>
      </c>
      <c r="Q588" s="9">
        <v>19.688099999999999</v>
      </c>
      <c r="R588" s="9"/>
      <c r="S588" s="11"/>
    </row>
    <row r="589" spans="1:19" ht="15.75">
      <c r="A589" s="13">
        <v>59444</v>
      </c>
      <c r="B589" s="8">
        <f>CHOOSE( CONTROL!$C$32, 15.365, 15.3627) * CHOOSE(CONTROL!$C$15, $D$11, 100%, $F$11)</f>
        <v>15.365</v>
      </c>
      <c r="C589" s="8">
        <f>CHOOSE( CONTROL!$C$32, 15.3731, 15.3707) * CHOOSE(CONTROL!$C$15, $D$11, 100%, $F$11)</f>
        <v>15.373100000000001</v>
      </c>
      <c r="D589" s="8">
        <f>CHOOSE( CONTROL!$C$32, 15.3988, 15.3965) * CHOOSE( CONTROL!$C$15, $D$11, 100%, $F$11)</f>
        <v>15.3988</v>
      </c>
      <c r="E589" s="12">
        <f>CHOOSE( CONTROL!$C$32, 15.3883, 15.3859) * CHOOSE( CONTROL!$C$15, $D$11, 100%, $F$11)</f>
        <v>15.388299999999999</v>
      </c>
      <c r="F589" s="4">
        <f>CHOOSE( CONTROL!$C$32, 16.0784, 16.0761) * CHOOSE(CONTROL!$C$15, $D$11, 100%, $F$11)</f>
        <v>16.078399999999998</v>
      </c>
      <c r="G589" s="8">
        <f>CHOOSE( CONTROL!$C$32, 14.9911, 14.9888) * CHOOSE( CONTROL!$C$15, $D$11, 100%, $F$11)</f>
        <v>14.991099999999999</v>
      </c>
      <c r="H589" s="4">
        <f>CHOOSE( CONTROL!$C$32, 15.9386, 15.9363) * CHOOSE(CONTROL!$C$15, $D$11, 100%, $F$11)</f>
        <v>15.938599999999999</v>
      </c>
      <c r="I589" s="8">
        <f>CHOOSE( CONTROL!$C$32, 14.8423, 14.84) * CHOOSE(CONTROL!$C$15, $D$11, 100%, $F$11)</f>
        <v>14.8423</v>
      </c>
      <c r="J589" s="4">
        <f>CHOOSE( CONTROL!$C$32, 14.7227, 14.7205) * CHOOSE(CONTROL!$C$15, $D$11, 100%, $F$11)</f>
        <v>14.7227</v>
      </c>
      <c r="K589" s="4"/>
      <c r="L589" s="9">
        <v>29.7257</v>
      </c>
      <c r="M589" s="9">
        <v>11.6745</v>
      </c>
      <c r="N589" s="9">
        <v>4.7850000000000001</v>
      </c>
      <c r="O589" s="9">
        <v>0.36199999999999999</v>
      </c>
      <c r="P589" s="9">
        <v>1.1791</v>
      </c>
      <c r="Q589" s="9">
        <v>19.053000000000001</v>
      </c>
      <c r="R589" s="9"/>
      <c r="S589" s="11"/>
    </row>
    <row r="590" spans="1:19" ht="15.75">
      <c r="A590" s="13">
        <v>59475</v>
      </c>
      <c r="B590" s="8">
        <f>16.042 * CHOOSE(CONTROL!$C$15, $D$11, 100%, $F$11)</f>
        <v>16.042000000000002</v>
      </c>
      <c r="C590" s="8">
        <f>16.0475 * CHOOSE(CONTROL!$C$15, $D$11, 100%, $F$11)</f>
        <v>16.047499999999999</v>
      </c>
      <c r="D590" s="8">
        <f>16.0783 * CHOOSE( CONTROL!$C$15, $D$11, 100%, $F$11)</f>
        <v>16.078299999999999</v>
      </c>
      <c r="E590" s="12">
        <f>16.0675 * CHOOSE( CONTROL!$C$15, $D$11, 100%, $F$11)</f>
        <v>16.067499999999999</v>
      </c>
      <c r="F590" s="4">
        <f>16.7572 * CHOOSE(CONTROL!$C$15, $D$11, 100%, $F$11)</f>
        <v>16.757200000000001</v>
      </c>
      <c r="G590" s="8">
        <f>15.6538 * CHOOSE( CONTROL!$C$15, $D$11, 100%, $F$11)</f>
        <v>15.6538</v>
      </c>
      <c r="H590" s="4">
        <f>16.6016 * CHOOSE(CONTROL!$C$15, $D$11, 100%, $F$11)</f>
        <v>16.601600000000001</v>
      </c>
      <c r="I590" s="8">
        <f>15.4951 * CHOOSE(CONTROL!$C$15, $D$11, 100%, $F$11)</f>
        <v>15.495100000000001</v>
      </c>
      <c r="J590" s="4">
        <f>15.3744 * CHOOSE(CONTROL!$C$15, $D$11, 100%, $F$11)</f>
        <v>15.3744</v>
      </c>
      <c r="K590" s="4"/>
      <c r="L590" s="9">
        <v>31.095300000000002</v>
      </c>
      <c r="M590" s="9">
        <v>12.063700000000001</v>
      </c>
      <c r="N590" s="9">
        <v>4.9444999999999997</v>
      </c>
      <c r="O590" s="9">
        <v>0.37409999999999999</v>
      </c>
      <c r="P590" s="9">
        <v>1.2183999999999999</v>
      </c>
      <c r="Q590" s="9">
        <v>19.688099999999999</v>
      </c>
      <c r="R590" s="9"/>
      <c r="S590" s="11"/>
    </row>
    <row r="591" spans="1:19" ht="15.75">
      <c r="A591" s="13">
        <v>59505</v>
      </c>
      <c r="B591" s="8">
        <f>17.2988 * CHOOSE(CONTROL!$C$15, $D$11, 100%, $F$11)</f>
        <v>17.2988</v>
      </c>
      <c r="C591" s="8">
        <f>17.304 * CHOOSE(CONTROL!$C$15, $D$11, 100%, $F$11)</f>
        <v>17.303999999999998</v>
      </c>
      <c r="D591" s="8">
        <f>17.287 * CHOOSE( CONTROL!$C$15, $D$11, 100%, $F$11)</f>
        <v>17.286999999999999</v>
      </c>
      <c r="E591" s="12">
        <f>17.2927 * CHOOSE( CONTROL!$C$15, $D$11, 100%, $F$11)</f>
        <v>17.2927</v>
      </c>
      <c r="F591" s="4">
        <f>17.9493 * CHOOSE(CONTROL!$C$15, $D$11, 100%, $F$11)</f>
        <v>17.949300000000001</v>
      </c>
      <c r="G591" s="8">
        <f>16.8879 * CHOOSE( CONTROL!$C$15, $D$11, 100%, $F$11)</f>
        <v>16.887899999999998</v>
      </c>
      <c r="H591" s="4">
        <f>17.7659 * CHOOSE(CONTROL!$C$15, $D$11, 100%, $F$11)</f>
        <v>17.765899999999998</v>
      </c>
      <c r="I591" s="8">
        <f>16.7446 * CHOOSE(CONTROL!$C$15, $D$11, 100%, $F$11)</f>
        <v>16.744599999999998</v>
      </c>
      <c r="J591" s="4">
        <f>16.5814 * CHOOSE(CONTROL!$C$15, $D$11, 100%, $F$11)</f>
        <v>16.581399999999999</v>
      </c>
      <c r="K591" s="4"/>
      <c r="L591" s="9">
        <v>28.360600000000002</v>
      </c>
      <c r="M591" s="9">
        <v>11.6745</v>
      </c>
      <c r="N591" s="9">
        <v>4.7850000000000001</v>
      </c>
      <c r="O591" s="9">
        <v>0.36199999999999999</v>
      </c>
      <c r="P591" s="9">
        <v>1.2509999999999999</v>
      </c>
      <c r="Q591" s="9">
        <v>19.053000000000001</v>
      </c>
      <c r="R591" s="9"/>
      <c r="S591" s="11"/>
    </row>
    <row r="592" spans="1:19" ht="15.75">
      <c r="A592" s="13">
        <v>59536</v>
      </c>
      <c r="B592" s="8">
        <f>17.2674 * CHOOSE(CONTROL!$C$15, $D$11, 100%, $F$11)</f>
        <v>17.267399999999999</v>
      </c>
      <c r="C592" s="8">
        <f>17.2726 * CHOOSE(CONTROL!$C$15, $D$11, 100%, $F$11)</f>
        <v>17.272600000000001</v>
      </c>
      <c r="D592" s="8">
        <f>17.2571 * CHOOSE( CONTROL!$C$15, $D$11, 100%, $F$11)</f>
        <v>17.257100000000001</v>
      </c>
      <c r="E592" s="12">
        <f>17.2622 * CHOOSE( CONTROL!$C$15, $D$11, 100%, $F$11)</f>
        <v>17.2622</v>
      </c>
      <c r="F592" s="4">
        <f>17.9179 * CHOOSE(CONTROL!$C$15, $D$11, 100%, $F$11)</f>
        <v>17.917899999999999</v>
      </c>
      <c r="G592" s="8">
        <f>16.8583 * CHOOSE( CONTROL!$C$15, $D$11, 100%, $F$11)</f>
        <v>16.8583</v>
      </c>
      <c r="H592" s="4">
        <f>17.7352 * CHOOSE(CONTROL!$C$15, $D$11, 100%, $F$11)</f>
        <v>17.735199999999999</v>
      </c>
      <c r="I592" s="8">
        <f>16.7191 * CHOOSE(CONTROL!$C$15, $D$11, 100%, $F$11)</f>
        <v>16.719100000000001</v>
      </c>
      <c r="J592" s="4">
        <f>16.5513 * CHOOSE(CONTROL!$C$15, $D$11, 100%, $F$11)</f>
        <v>16.551300000000001</v>
      </c>
      <c r="K592" s="4"/>
      <c r="L592" s="9">
        <v>29.306000000000001</v>
      </c>
      <c r="M592" s="9">
        <v>12.063700000000001</v>
      </c>
      <c r="N592" s="9">
        <v>4.9444999999999997</v>
      </c>
      <c r="O592" s="9">
        <v>0.37409999999999999</v>
      </c>
      <c r="P592" s="9">
        <v>1.2927</v>
      </c>
      <c r="Q592" s="9">
        <v>19.688099999999999</v>
      </c>
      <c r="R592" s="9"/>
      <c r="S592" s="11"/>
    </row>
    <row r="593" spans="1:19" ht="15.75">
      <c r="A593" s="13">
        <v>59567</v>
      </c>
      <c r="B593" s="8">
        <f>17.7759 * CHOOSE(CONTROL!$C$15, $D$11, 100%, $F$11)</f>
        <v>17.7759</v>
      </c>
      <c r="C593" s="8">
        <f>17.7811 * CHOOSE(CONTROL!$C$15, $D$11, 100%, $F$11)</f>
        <v>17.781099999999999</v>
      </c>
      <c r="D593" s="8">
        <f>17.7613 * CHOOSE( CONTROL!$C$15, $D$11, 100%, $F$11)</f>
        <v>17.761299999999999</v>
      </c>
      <c r="E593" s="12">
        <f>17.768 * CHOOSE( CONTROL!$C$15, $D$11, 100%, $F$11)</f>
        <v>17.768000000000001</v>
      </c>
      <c r="F593" s="4">
        <f>18.4264 * CHOOSE(CONTROL!$C$15, $D$11, 100%, $F$11)</f>
        <v>18.426400000000001</v>
      </c>
      <c r="G593" s="8">
        <f>17.3457 * CHOOSE( CONTROL!$C$15, $D$11, 100%, $F$11)</f>
        <v>17.345700000000001</v>
      </c>
      <c r="H593" s="4">
        <f>18.2319 * CHOOSE(CONTROL!$C$15, $D$11, 100%, $F$11)</f>
        <v>18.2319</v>
      </c>
      <c r="I593" s="8">
        <f>17.1667 * CHOOSE(CONTROL!$C$15, $D$11, 100%, $F$11)</f>
        <v>17.166699999999999</v>
      </c>
      <c r="J593" s="4">
        <f>17.0395 * CHOOSE(CONTROL!$C$15, $D$11, 100%, $F$11)</f>
        <v>17.0395</v>
      </c>
      <c r="K593" s="4"/>
      <c r="L593" s="9">
        <v>29.306000000000001</v>
      </c>
      <c r="M593" s="9">
        <v>12.063700000000001</v>
      </c>
      <c r="N593" s="9">
        <v>4.9444999999999997</v>
      </c>
      <c r="O593" s="9">
        <v>0.37409999999999999</v>
      </c>
      <c r="P593" s="9">
        <v>1.2927</v>
      </c>
      <c r="Q593" s="9">
        <v>19.688099999999999</v>
      </c>
      <c r="R593" s="9"/>
      <c r="S593" s="11"/>
    </row>
    <row r="594" spans="1:19" ht="15.75">
      <c r="A594" s="13">
        <v>59595</v>
      </c>
      <c r="B594" s="8">
        <f>16.6286 * CHOOSE(CONTROL!$C$15, $D$11, 100%, $F$11)</f>
        <v>16.628599999999999</v>
      </c>
      <c r="C594" s="8">
        <f>16.6338 * CHOOSE(CONTROL!$C$15, $D$11, 100%, $F$11)</f>
        <v>16.633800000000001</v>
      </c>
      <c r="D594" s="8">
        <f>16.6139 * CHOOSE( CONTROL!$C$15, $D$11, 100%, $F$11)</f>
        <v>16.613900000000001</v>
      </c>
      <c r="E594" s="12">
        <f>16.6206 * CHOOSE( CONTROL!$C$15, $D$11, 100%, $F$11)</f>
        <v>16.6206</v>
      </c>
      <c r="F594" s="4">
        <f>17.279 * CHOOSE(CONTROL!$C$15, $D$11, 100%, $F$11)</f>
        <v>17.279</v>
      </c>
      <c r="G594" s="8">
        <f>16.225 * CHOOSE( CONTROL!$C$15, $D$11, 100%, $F$11)</f>
        <v>16.225000000000001</v>
      </c>
      <c r="H594" s="4">
        <f>17.1113 * CHOOSE(CONTROL!$C$15, $D$11, 100%, $F$11)</f>
        <v>17.1113</v>
      </c>
      <c r="I594" s="8">
        <f>16.0644 * CHOOSE(CONTROL!$C$15, $D$11, 100%, $F$11)</f>
        <v>16.064399999999999</v>
      </c>
      <c r="J594" s="4">
        <f>15.9379 * CHOOSE(CONTROL!$C$15, $D$11, 100%, $F$11)</f>
        <v>15.937900000000001</v>
      </c>
      <c r="K594" s="4"/>
      <c r="L594" s="9">
        <v>26.469899999999999</v>
      </c>
      <c r="M594" s="9">
        <v>10.8962</v>
      </c>
      <c r="N594" s="9">
        <v>4.4660000000000002</v>
      </c>
      <c r="O594" s="9">
        <v>0.33789999999999998</v>
      </c>
      <c r="P594" s="9">
        <v>1.1676</v>
      </c>
      <c r="Q594" s="9">
        <v>17.782800000000002</v>
      </c>
      <c r="R594" s="9"/>
      <c r="S594" s="11"/>
    </row>
    <row r="595" spans="1:19" ht="15.75">
      <c r="A595" s="13">
        <v>59626</v>
      </c>
      <c r="B595" s="8">
        <f>16.2752 * CHOOSE(CONTROL!$C$15, $D$11, 100%, $F$11)</f>
        <v>16.275200000000002</v>
      </c>
      <c r="C595" s="8">
        <f>16.2804 * CHOOSE(CONTROL!$C$15, $D$11, 100%, $F$11)</f>
        <v>16.2804</v>
      </c>
      <c r="D595" s="8">
        <f>16.2601 * CHOOSE( CONTROL!$C$15, $D$11, 100%, $F$11)</f>
        <v>16.260100000000001</v>
      </c>
      <c r="E595" s="12">
        <f>16.267 * CHOOSE( CONTROL!$C$15, $D$11, 100%, $F$11)</f>
        <v>16.266999999999999</v>
      </c>
      <c r="F595" s="4">
        <f>16.9256 * CHOOSE(CONTROL!$C$15, $D$11, 100%, $F$11)</f>
        <v>16.925599999999999</v>
      </c>
      <c r="G595" s="8">
        <f>15.8796 * CHOOSE( CONTROL!$C$15, $D$11, 100%, $F$11)</f>
        <v>15.8796</v>
      </c>
      <c r="H595" s="4">
        <f>16.7661 * CHOOSE(CONTROL!$C$15, $D$11, 100%, $F$11)</f>
        <v>16.766100000000002</v>
      </c>
      <c r="I595" s="8">
        <f>15.7239 * CHOOSE(CONTROL!$C$15, $D$11, 100%, $F$11)</f>
        <v>15.7239</v>
      </c>
      <c r="J595" s="4">
        <f>15.5986 * CHOOSE(CONTROL!$C$15, $D$11, 100%, $F$11)</f>
        <v>15.598599999999999</v>
      </c>
      <c r="K595" s="4"/>
      <c r="L595" s="9">
        <v>29.306000000000001</v>
      </c>
      <c r="M595" s="9">
        <v>12.063700000000001</v>
      </c>
      <c r="N595" s="9">
        <v>4.9444999999999997</v>
      </c>
      <c r="O595" s="9">
        <v>0.37409999999999999</v>
      </c>
      <c r="P595" s="9">
        <v>1.2927</v>
      </c>
      <c r="Q595" s="9">
        <v>19.688099999999999</v>
      </c>
      <c r="R595" s="9"/>
      <c r="S595" s="11"/>
    </row>
    <row r="596" spans="1:19" ht="15.75">
      <c r="A596" s="13">
        <v>59656</v>
      </c>
      <c r="B596" s="8">
        <f>16.5229 * CHOOSE(CONTROL!$C$15, $D$11, 100%, $F$11)</f>
        <v>16.5229</v>
      </c>
      <c r="C596" s="8">
        <f>16.5275 * CHOOSE(CONTROL!$C$15, $D$11, 100%, $F$11)</f>
        <v>16.5275</v>
      </c>
      <c r="D596" s="8">
        <f>16.558 * CHOOSE( CONTROL!$C$15, $D$11, 100%, $F$11)</f>
        <v>16.558</v>
      </c>
      <c r="E596" s="12">
        <f>16.5474 * CHOOSE( CONTROL!$C$15, $D$11, 100%, $F$11)</f>
        <v>16.5474</v>
      </c>
      <c r="F596" s="4">
        <f>17.2377 * CHOOSE(CONTROL!$C$15, $D$11, 100%, $F$11)</f>
        <v>17.2377</v>
      </c>
      <c r="G596" s="8">
        <f>16.122 * CHOOSE( CONTROL!$C$15, $D$11, 100%, $F$11)</f>
        <v>16.122</v>
      </c>
      <c r="H596" s="4">
        <f>17.0709 * CHOOSE(CONTROL!$C$15, $D$11, 100%, $F$11)</f>
        <v>17.070900000000002</v>
      </c>
      <c r="I596" s="8">
        <f>15.9531 * CHOOSE(CONTROL!$C$15, $D$11, 100%, $F$11)</f>
        <v>15.953099999999999</v>
      </c>
      <c r="J596" s="4">
        <f>15.8357 * CHOOSE(CONTROL!$C$15, $D$11, 100%, $F$11)</f>
        <v>15.835699999999999</v>
      </c>
      <c r="K596" s="4"/>
      <c r="L596" s="9">
        <v>30.092199999999998</v>
      </c>
      <c r="M596" s="9">
        <v>11.6745</v>
      </c>
      <c r="N596" s="9">
        <v>4.7850000000000001</v>
      </c>
      <c r="O596" s="9">
        <v>0.36199999999999999</v>
      </c>
      <c r="P596" s="9">
        <v>1.1791</v>
      </c>
      <c r="Q596" s="9">
        <v>19.053000000000001</v>
      </c>
      <c r="R596" s="9"/>
      <c r="S596" s="11"/>
    </row>
    <row r="597" spans="1:19" ht="15.75">
      <c r="A597" s="13">
        <v>59687</v>
      </c>
      <c r="B597" s="8">
        <f>CHOOSE( CONTROL!$C$32, 16.9661, 16.9637) * CHOOSE(CONTROL!$C$15, $D$11, 100%, $F$11)</f>
        <v>16.966100000000001</v>
      </c>
      <c r="C597" s="8">
        <f>CHOOSE( CONTROL!$C$32, 16.9742, 16.9718) * CHOOSE(CONTROL!$C$15, $D$11, 100%, $F$11)</f>
        <v>16.9742</v>
      </c>
      <c r="D597" s="8">
        <f>CHOOSE( CONTROL!$C$32, 16.9994, 16.997) * CHOOSE( CONTROL!$C$15, $D$11, 100%, $F$11)</f>
        <v>16.999400000000001</v>
      </c>
      <c r="E597" s="12">
        <f>CHOOSE( CONTROL!$C$32, 16.989, 16.9866) * CHOOSE( CONTROL!$C$15, $D$11, 100%, $F$11)</f>
        <v>16.989000000000001</v>
      </c>
      <c r="F597" s="4">
        <f>CHOOSE( CONTROL!$C$32, 17.6795, 17.6772) * CHOOSE(CONTROL!$C$15, $D$11, 100%, $F$11)</f>
        <v>17.679500000000001</v>
      </c>
      <c r="G597" s="8">
        <f>CHOOSE( CONTROL!$C$32, 16.5541, 16.5518) * CHOOSE( CONTROL!$C$15, $D$11, 100%, $F$11)</f>
        <v>16.554099999999998</v>
      </c>
      <c r="H597" s="4">
        <f>CHOOSE( CONTROL!$C$32, 17.5024, 17.5001) * CHOOSE(CONTROL!$C$15, $D$11, 100%, $F$11)</f>
        <v>17.502400000000002</v>
      </c>
      <c r="I597" s="8">
        <f>CHOOSE( CONTROL!$C$32, 16.3778, 16.3755) * CHOOSE(CONTROL!$C$15, $D$11, 100%, $F$11)</f>
        <v>16.377800000000001</v>
      </c>
      <c r="J597" s="4">
        <f>CHOOSE( CONTROL!$C$32, 16.2599, 16.2577) * CHOOSE(CONTROL!$C$15, $D$11, 100%, $F$11)</f>
        <v>16.259899999999998</v>
      </c>
      <c r="K597" s="4"/>
      <c r="L597" s="9">
        <v>30.7165</v>
      </c>
      <c r="M597" s="9">
        <v>12.063700000000001</v>
      </c>
      <c r="N597" s="9">
        <v>4.9444999999999997</v>
      </c>
      <c r="O597" s="9">
        <v>0.37409999999999999</v>
      </c>
      <c r="P597" s="9">
        <v>1.2183999999999999</v>
      </c>
      <c r="Q597" s="9">
        <v>19.688099999999999</v>
      </c>
      <c r="R597" s="9"/>
      <c r="S597" s="11"/>
    </row>
    <row r="598" spans="1:19" ht="15.75">
      <c r="A598" s="13">
        <v>59717</v>
      </c>
      <c r="B598" s="8">
        <f>CHOOSE( CONTROL!$C$32, 16.6938, 16.6915) * CHOOSE(CONTROL!$C$15, $D$11, 100%, $F$11)</f>
        <v>16.6938</v>
      </c>
      <c r="C598" s="8">
        <f>CHOOSE( CONTROL!$C$32, 16.7019, 16.6996) * CHOOSE(CONTROL!$C$15, $D$11, 100%, $F$11)</f>
        <v>16.701899999999998</v>
      </c>
      <c r="D598" s="8">
        <f>CHOOSE( CONTROL!$C$32, 16.7273, 16.725) * CHOOSE( CONTROL!$C$15, $D$11, 100%, $F$11)</f>
        <v>16.7273</v>
      </c>
      <c r="E598" s="12">
        <f>CHOOSE( CONTROL!$C$32, 16.7169, 16.7146) * CHOOSE( CONTROL!$C$15, $D$11, 100%, $F$11)</f>
        <v>16.716899999999999</v>
      </c>
      <c r="F598" s="4">
        <f>CHOOSE( CONTROL!$C$32, 17.4073, 17.4049) * CHOOSE(CONTROL!$C$15, $D$11, 100%, $F$11)</f>
        <v>17.407299999999999</v>
      </c>
      <c r="G598" s="8">
        <f>CHOOSE( CONTROL!$C$32, 16.2885, 16.2862) * CHOOSE( CONTROL!$C$15, $D$11, 100%, $F$11)</f>
        <v>16.288499999999999</v>
      </c>
      <c r="H598" s="4">
        <f>CHOOSE( CONTROL!$C$32, 17.2365, 17.2342) * CHOOSE(CONTROL!$C$15, $D$11, 100%, $F$11)</f>
        <v>17.236499999999999</v>
      </c>
      <c r="I598" s="8">
        <f>CHOOSE( CONTROL!$C$32, 16.1173, 16.115) * CHOOSE(CONTROL!$C$15, $D$11, 100%, $F$11)</f>
        <v>16.1173</v>
      </c>
      <c r="J598" s="4">
        <f>CHOOSE( CONTROL!$C$32, 15.9985, 15.9963) * CHOOSE(CONTROL!$C$15, $D$11, 100%, $F$11)</f>
        <v>15.9985</v>
      </c>
      <c r="K598" s="4"/>
      <c r="L598" s="9">
        <v>29.7257</v>
      </c>
      <c r="M598" s="9">
        <v>11.6745</v>
      </c>
      <c r="N598" s="9">
        <v>4.7850000000000001</v>
      </c>
      <c r="O598" s="9">
        <v>0.36199999999999999</v>
      </c>
      <c r="P598" s="9">
        <v>1.1791</v>
      </c>
      <c r="Q598" s="9">
        <v>19.053000000000001</v>
      </c>
      <c r="R598" s="9"/>
      <c r="S598" s="11"/>
    </row>
    <row r="599" spans="1:19" ht="15.75">
      <c r="A599" s="13">
        <v>59748</v>
      </c>
      <c r="B599" s="8">
        <f>CHOOSE( CONTROL!$C$32, 17.4108, 17.4084) * CHOOSE(CONTROL!$C$15, $D$11, 100%, $F$11)</f>
        <v>17.410799999999998</v>
      </c>
      <c r="C599" s="8">
        <f>CHOOSE( CONTROL!$C$32, 17.4189, 17.4165) * CHOOSE(CONTROL!$C$15, $D$11, 100%, $F$11)</f>
        <v>17.418900000000001</v>
      </c>
      <c r="D599" s="8">
        <f>CHOOSE( CONTROL!$C$32, 17.4445, 17.4422) * CHOOSE( CONTROL!$C$15, $D$11, 100%, $F$11)</f>
        <v>17.444500000000001</v>
      </c>
      <c r="E599" s="12">
        <f>CHOOSE( CONTROL!$C$32, 17.434, 17.4317) * CHOOSE( CONTROL!$C$15, $D$11, 100%, $F$11)</f>
        <v>17.434000000000001</v>
      </c>
      <c r="F599" s="4">
        <f>CHOOSE( CONTROL!$C$32, 18.1242, 18.1219) * CHOOSE(CONTROL!$C$15, $D$11, 100%, $F$11)</f>
        <v>18.124199999999998</v>
      </c>
      <c r="G599" s="8">
        <f>CHOOSE( CONTROL!$C$32, 16.9891, 16.9868) * CHOOSE( CONTROL!$C$15, $D$11, 100%, $F$11)</f>
        <v>16.989100000000001</v>
      </c>
      <c r="H599" s="4">
        <f>CHOOSE( CONTROL!$C$32, 17.9367, 17.9344) * CHOOSE(CONTROL!$C$15, $D$11, 100%, $F$11)</f>
        <v>17.936699999999998</v>
      </c>
      <c r="I599" s="8">
        <f>CHOOSE( CONTROL!$C$32, 16.8071, 16.8049) * CHOOSE(CONTROL!$C$15, $D$11, 100%, $F$11)</f>
        <v>16.807099999999998</v>
      </c>
      <c r="J599" s="4">
        <f>CHOOSE( CONTROL!$C$32, 16.6869, 16.6846) * CHOOSE(CONTROL!$C$15, $D$11, 100%, $F$11)</f>
        <v>16.686900000000001</v>
      </c>
      <c r="K599" s="4"/>
      <c r="L599" s="9">
        <v>30.7165</v>
      </c>
      <c r="M599" s="9">
        <v>12.063700000000001</v>
      </c>
      <c r="N599" s="9">
        <v>4.9444999999999997</v>
      </c>
      <c r="O599" s="9">
        <v>0.37409999999999999</v>
      </c>
      <c r="P599" s="9">
        <v>1.2183999999999999</v>
      </c>
      <c r="Q599" s="9">
        <v>19.688099999999999</v>
      </c>
      <c r="R599" s="9"/>
      <c r="S599" s="11"/>
    </row>
    <row r="600" spans="1:19" ht="15.75">
      <c r="A600" s="13">
        <v>59779</v>
      </c>
      <c r="B600" s="8">
        <f>CHOOSE( CONTROL!$C$32, 16.0693, 16.067) * CHOOSE(CONTROL!$C$15, $D$11, 100%, $F$11)</f>
        <v>16.069299999999998</v>
      </c>
      <c r="C600" s="8">
        <f>CHOOSE( CONTROL!$C$32, 16.0774, 16.0751) * CHOOSE(CONTROL!$C$15, $D$11, 100%, $F$11)</f>
        <v>16.077400000000001</v>
      </c>
      <c r="D600" s="8">
        <f>CHOOSE( CONTROL!$C$32, 16.1031, 16.1008) * CHOOSE( CONTROL!$C$15, $D$11, 100%, $F$11)</f>
        <v>16.103100000000001</v>
      </c>
      <c r="E600" s="12">
        <f>CHOOSE( CONTROL!$C$32, 16.0926, 16.0903) * CHOOSE( CONTROL!$C$15, $D$11, 100%, $F$11)</f>
        <v>16.092600000000001</v>
      </c>
      <c r="F600" s="4">
        <f>CHOOSE( CONTROL!$C$32, 16.7827, 16.7804) * CHOOSE(CONTROL!$C$15, $D$11, 100%, $F$11)</f>
        <v>16.782699999999998</v>
      </c>
      <c r="G600" s="8">
        <f>CHOOSE( CONTROL!$C$32, 15.679, 15.6767) * CHOOSE( CONTROL!$C$15, $D$11, 100%, $F$11)</f>
        <v>15.679</v>
      </c>
      <c r="H600" s="4">
        <f>CHOOSE( CONTROL!$C$32, 16.6265, 16.6242) * CHOOSE(CONTROL!$C$15, $D$11, 100%, $F$11)</f>
        <v>16.6265</v>
      </c>
      <c r="I600" s="8">
        <f>CHOOSE( CONTROL!$C$32, 15.5189, 15.5167) * CHOOSE(CONTROL!$C$15, $D$11, 100%, $F$11)</f>
        <v>15.5189</v>
      </c>
      <c r="J600" s="4">
        <f>CHOOSE( CONTROL!$C$32, 15.3989, 15.3967) * CHOOSE(CONTROL!$C$15, $D$11, 100%, $F$11)</f>
        <v>15.398899999999999</v>
      </c>
      <c r="K600" s="4"/>
      <c r="L600" s="9">
        <v>30.7165</v>
      </c>
      <c r="M600" s="9">
        <v>12.063700000000001</v>
      </c>
      <c r="N600" s="9">
        <v>4.9444999999999997</v>
      </c>
      <c r="O600" s="9">
        <v>0.37409999999999999</v>
      </c>
      <c r="P600" s="9">
        <v>1.2183999999999999</v>
      </c>
      <c r="Q600" s="9">
        <v>19.688099999999999</v>
      </c>
      <c r="R600" s="9"/>
      <c r="S600" s="11"/>
    </row>
    <row r="601" spans="1:19" ht="15.75">
      <c r="A601" s="13">
        <v>59809</v>
      </c>
      <c r="B601" s="8">
        <f>CHOOSE( CONTROL!$C$32, 15.7334, 15.731) * CHOOSE(CONTROL!$C$15, $D$11, 100%, $F$11)</f>
        <v>15.7334</v>
      </c>
      <c r="C601" s="8">
        <f>CHOOSE( CONTROL!$C$32, 15.7415, 15.7391) * CHOOSE(CONTROL!$C$15, $D$11, 100%, $F$11)</f>
        <v>15.7415</v>
      </c>
      <c r="D601" s="8">
        <f>CHOOSE( CONTROL!$C$32, 15.7672, 15.7648) * CHOOSE( CONTROL!$C$15, $D$11, 100%, $F$11)</f>
        <v>15.767200000000001</v>
      </c>
      <c r="E601" s="12">
        <f>CHOOSE( CONTROL!$C$32, 15.7567, 15.7543) * CHOOSE( CONTROL!$C$15, $D$11, 100%, $F$11)</f>
        <v>15.7567</v>
      </c>
      <c r="F601" s="4">
        <f>CHOOSE( CONTROL!$C$32, 16.4468, 16.4445) * CHOOSE(CONTROL!$C$15, $D$11, 100%, $F$11)</f>
        <v>16.4468</v>
      </c>
      <c r="G601" s="8">
        <f>CHOOSE( CONTROL!$C$32, 15.3509, 15.3486) * CHOOSE( CONTROL!$C$15, $D$11, 100%, $F$11)</f>
        <v>15.350899999999999</v>
      </c>
      <c r="H601" s="4">
        <f>CHOOSE( CONTROL!$C$32, 16.2984, 16.2962) * CHOOSE(CONTROL!$C$15, $D$11, 100%, $F$11)</f>
        <v>16.298400000000001</v>
      </c>
      <c r="I601" s="8">
        <f>CHOOSE( CONTROL!$C$32, 15.1962, 15.1939) * CHOOSE(CONTROL!$C$15, $D$11, 100%, $F$11)</f>
        <v>15.196199999999999</v>
      </c>
      <c r="J601" s="4">
        <f>CHOOSE( CONTROL!$C$32, 15.0764, 15.0742) * CHOOSE(CONTROL!$C$15, $D$11, 100%, $F$11)</f>
        <v>15.0764</v>
      </c>
      <c r="K601" s="4"/>
      <c r="L601" s="9">
        <v>29.7257</v>
      </c>
      <c r="M601" s="9">
        <v>11.6745</v>
      </c>
      <c r="N601" s="9">
        <v>4.7850000000000001</v>
      </c>
      <c r="O601" s="9">
        <v>0.36199999999999999</v>
      </c>
      <c r="P601" s="9">
        <v>1.1791</v>
      </c>
      <c r="Q601" s="9">
        <v>19.053000000000001</v>
      </c>
      <c r="R601" s="9"/>
      <c r="S601" s="11"/>
    </row>
    <row r="602" spans="1:19" ht="15.75">
      <c r="A602" s="13">
        <v>59840</v>
      </c>
      <c r="B602" s="8">
        <f>16.4268 * CHOOSE(CONTROL!$C$15, $D$11, 100%, $F$11)</f>
        <v>16.4268</v>
      </c>
      <c r="C602" s="8">
        <f>16.4322 * CHOOSE(CONTROL!$C$15, $D$11, 100%, $F$11)</f>
        <v>16.432200000000002</v>
      </c>
      <c r="D602" s="8">
        <f>16.463 * CHOOSE( CONTROL!$C$15, $D$11, 100%, $F$11)</f>
        <v>16.463000000000001</v>
      </c>
      <c r="E602" s="12">
        <f>16.4523 * CHOOSE( CONTROL!$C$15, $D$11, 100%, $F$11)</f>
        <v>16.452300000000001</v>
      </c>
      <c r="F602" s="4">
        <f>17.142 * CHOOSE(CONTROL!$C$15, $D$11, 100%, $F$11)</f>
        <v>17.141999999999999</v>
      </c>
      <c r="G602" s="8">
        <f>16.0296 * CHOOSE( CONTROL!$C$15, $D$11, 100%, $F$11)</f>
        <v>16.029599999999999</v>
      </c>
      <c r="H602" s="4">
        <f>16.9774 * CHOOSE(CONTROL!$C$15, $D$11, 100%, $F$11)</f>
        <v>16.977399999999999</v>
      </c>
      <c r="I602" s="8">
        <f>15.8647 * CHOOSE(CONTROL!$C$15, $D$11, 100%, $F$11)</f>
        <v>15.864699999999999</v>
      </c>
      <c r="J602" s="4">
        <f>15.7438 * CHOOSE(CONTROL!$C$15, $D$11, 100%, $F$11)</f>
        <v>15.7438</v>
      </c>
      <c r="K602" s="4"/>
      <c r="L602" s="9">
        <v>31.095300000000002</v>
      </c>
      <c r="M602" s="9">
        <v>12.063700000000001</v>
      </c>
      <c r="N602" s="9">
        <v>4.9444999999999997</v>
      </c>
      <c r="O602" s="9">
        <v>0.37409999999999999</v>
      </c>
      <c r="P602" s="9">
        <v>1.2183999999999999</v>
      </c>
      <c r="Q602" s="9">
        <v>19.688099999999999</v>
      </c>
      <c r="R602" s="9"/>
      <c r="S602" s="11"/>
    </row>
    <row r="603" spans="1:19" ht="15.75">
      <c r="A603" s="13">
        <v>59870</v>
      </c>
      <c r="B603" s="8">
        <f>17.7138 * CHOOSE(CONTROL!$C$15, $D$11, 100%, $F$11)</f>
        <v>17.713799999999999</v>
      </c>
      <c r="C603" s="8">
        <f>17.719 * CHOOSE(CONTROL!$C$15, $D$11, 100%, $F$11)</f>
        <v>17.719000000000001</v>
      </c>
      <c r="D603" s="8">
        <f>17.702 * CHOOSE( CONTROL!$C$15, $D$11, 100%, $F$11)</f>
        <v>17.702000000000002</v>
      </c>
      <c r="E603" s="12">
        <f>17.7077 * CHOOSE( CONTROL!$C$15, $D$11, 100%, $F$11)</f>
        <v>17.707699999999999</v>
      </c>
      <c r="F603" s="4">
        <f>18.3643 * CHOOSE(CONTROL!$C$15, $D$11, 100%, $F$11)</f>
        <v>18.3643</v>
      </c>
      <c r="G603" s="8">
        <f>17.2932 * CHOOSE( CONTROL!$C$15, $D$11, 100%, $F$11)</f>
        <v>17.293199999999999</v>
      </c>
      <c r="H603" s="4">
        <f>18.1712 * CHOOSE(CONTROL!$C$15, $D$11, 100%, $F$11)</f>
        <v>18.171199999999999</v>
      </c>
      <c r="I603" s="8">
        <f>17.1432 * CHOOSE(CONTROL!$C$15, $D$11, 100%, $F$11)</f>
        <v>17.1432</v>
      </c>
      <c r="J603" s="4">
        <f>16.9798 * CHOOSE(CONTROL!$C$15, $D$11, 100%, $F$11)</f>
        <v>16.979800000000001</v>
      </c>
      <c r="K603" s="4"/>
      <c r="L603" s="9">
        <v>28.360600000000002</v>
      </c>
      <c r="M603" s="9">
        <v>11.6745</v>
      </c>
      <c r="N603" s="9">
        <v>4.7850000000000001</v>
      </c>
      <c r="O603" s="9">
        <v>0.36199999999999999</v>
      </c>
      <c r="P603" s="9">
        <v>1.2509999999999999</v>
      </c>
      <c r="Q603" s="9">
        <v>19.053000000000001</v>
      </c>
      <c r="R603" s="9"/>
      <c r="S603" s="11"/>
    </row>
    <row r="604" spans="1:19" ht="15.75">
      <c r="A604" s="13">
        <v>59901</v>
      </c>
      <c r="B604" s="8">
        <f>17.6816 * CHOOSE(CONTROL!$C$15, $D$11, 100%, $F$11)</f>
        <v>17.6816</v>
      </c>
      <c r="C604" s="8">
        <f>17.6868 * CHOOSE(CONTROL!$C$15, $D$11, 100%, $F$11)</f>
        <v>17.686800000000002</v>
      </c>
      <c r="D604" s="8">
        <f>17.6713 * CHOOSE( CONTROL!$C$15, $D$11, 100%, $F$11)</f>
        <v>17.671299999999999</v>
      </c>
      <c r="E604" s="12">
        <f>17.6764 * CHOOSE( CONTROL!$C$15, $D$11, 100%, $F$11)</f>
        <v>17.676400000000001</v>
      </c>
      <c r="F604" s="4">
        <f>18.3321 * CHOOSE(CONTROL!$C$15, $D$11, 100%, $F$11)</f>
        <v>18.332100000000001</v>
      </c>
      <c r="G604" s="8">
        <f>17.2629 * CHOOSE( CONTROL!$C$15, $D$11, 100%, $F$11)</f>
        <v>17.262899999999998</v>
      </c>
      <c r="H604" s="4">
        <f>18.1398 * CHOOSE(CONTROL!$C$15, $D$11, 100%, $F$11)</f>
        <v>18.139800000000001</v>
      </c>
      <c r="I604" s="8">
        <f>17.117 * CHOOSE(CONTROL!$C$15, $D$11, 100%, $F$11)</f>
        <v>17.117000000000001</v>
      </c>
      <c r="J604" s="4">
        <f>16.949 * CHOOSE(CONTROL!$C$15, $D$11, 100%, $F$11)</f>
        <v>16.949000000000002</v>
      </c>
      <c r="K604" s="4"/>
      <c r="L604" s="9">
        <v>29.306000000000001</v>
      </c>
      <c r="M604" s="9">
        <v>12.063700000000001</v>
      </c>
      <c r="N604" s="9">
        <v>4.9444999999999997</v>
      </c>
      <c r="O604" s="9">
        <v>0.37409999999999999</v>
      </c>
      <c r="P604" s="9">
        <v>1.2927</v>
      </c>
      <c r="Q604" s="9">
        <v>19.688099999999999</v>
      </c>
      <c r="R604" s="9"/>
      <c r="S604" s="11"/>
    </row>
    <row r="605" spans="1:19" ht="15.75">
      <c r="A605" s="13">
        <v>59932</v>
      </c>
      <c r="B605" s="8">
        <f>18.2023 * CHOOSE(CONTROL!$C$15, $D$11, 100%, $F$11)</f>
        <v>18.202300000000001</v>
      </c>
      <c r="C605" s="8">
        <f>18.2075 * CHOOSE(CONTROL!$C$15, $D$11, 100%, $F$11)</f>
        <v>18.2075</v>
      </c>
      <c r="D605" s="8">
        <f>18.1877 * CHOOSE( CONTROL!$C$15, $D$11, 100%, $F$11)</f>
        <v>18.1877</v>
      </c>
      <c r="E605" s="12">
        <f>18.1944 * CHOOSE( CONTROL!$C$15, $D$11, 100%, $F$11)</f>
        <v>18.194400000000002</v>
      </c>
      <c r="F605" s="4">
        <f>18.8528 * CHOOSE(CONTROL!$C$15, $D$11, 100%, $F$11)</f>
        <v>18.852799999999998</v>
      </c>
      <c r="G605" s="8">
        <f>17.7622 * CHOOSE( CONTROL!$C$15, $D$11, 100%, $F$11)</f>
        <v>17.7622</v>
      </c>
      <c r="H605" s="4">
        <f>18.6484 * CHOOSE(CONTROL!$C$15, $D$11, 100%, $F$11)</f>
        <v>18.648399999999999</v>
      </c>
      <c r="I605" s="8">
        <f>17.5763 * CHOOSE(CONTROL!$C$15, $D$11, 100%, $F$11)</f>
        <v>17.5763</v>
      </c>
      <c r="J605" s="4">
        <f>17.4489 * CHOOSE(CONTROL!$C$15, $D$11, 100%, $F$11)</f>
        <v>17.448899999999998</v>
      </c>
      <c r="K605" s="4"/>
      <c r="L605" s="9">
        <v>29.306000000000001</v>
      </c>
      <c r="M605" s="9">
        <v>12.063700000000001</v>
      </c>
      <c r="N605" s="9">
        <v>4.9444999999999997</v>
      </c>
      <c r="O605" s="9">
        <v>0.37409999999999999</v>
      </c>
      <c r="P605" s="9">
        <v>1.2927</v>
      </c>
      <c r="Q605" s="9">
        <v>19.688099999999999</v>
      </c>
      <c r="R605" s="9"/>
      <c r="S605" s="11"/>
    </row>
    <row r="606" spans="1:19" ht="15.75">
      <c r="A606" s="13">
        <v>59961</v>
      </c>
      <c r="B606" s="8">
        <f>17.0274 * CHOOSE(CONTROL!$C$15, $D$11, 100%, $F$11)</f>
        <v>17.0274</v>
      </c>
      <c r="C606" s="8">
        <f>17.0326 * CHOOSE(CONTROL!$C$15, $D$11, 100%, $F$11)</f>
        <v>17.032599999999999</v>
      </c>
      <c r="D606" s="8">
        <f>17.0127 * CHOOSE( CONTROL!$C$15, $D$11, 100%, $F$11)</f>
        <v>17.012699999999999</v>
      </c>
      <c r="E606" s="12">
        <f>17.0194 * CHOOSE( CONTROL!$C$15, $D$11, 100%, $F$11)</f>
        <v>17.019400000000001</v>
      </c>
      <c r="F606" s="4">
        <f>17.6779 * CHOOSE(CONTROL!$C$15, $D$11, 100%, $F$11)</f>
        <v>17.677900000000001</v>
      </c>
      <c r="G606" s="8">
        <f>16.6146 * CHOOSE( CONTROL!$C$15, $D$11, 100%, $F$11)</f>
        <v>16.614599999999999</v>
      </c>
      <c r="H606" s="4">
        <f>17.5008 * CHOOSE(CONTROL!$C$15, $D$11, 100%, $F$11)</f>
        <v>17.500800000000002</v>
      </c>
      <c r="I606" s="8">
        <f>16.4476 * CHOOSE(CONTROL!$C$15, $D$11, 100%, $F$11)</f>
        <v>16.447600000000001</v>
      </c>
      <c r="J606" s="4">
        <f>16.3209 * CHOOSE(CONTROL!$C$15, $D$11, 100%, $F$11)</f>
        <v>16.320900000000002</v>
      </c>
      <c r="K606" s="4"/>
      <c r="L606" s="9">
        <v>27.415299999999998</v>
      </c>
      <c r="M606" s="9">
        <v>11.285299999999999</v>
      </c>
      <c r="N606" s="9">
        <v>4.6254999999999997</v>
      </c>
      <c r="O606" s="9">
        <v>0.34989999999999999</v>
      </c>
      <c r="P606" s="9">
        <v>1.2093</v>
      </c>
      <c r="Q606" s="9">
        <v>18.417899999999999</v>
      </c>
      <c r="R606" s="9"/>
      <c r="S606" s="11"/>
    </row>
    <row r="607" spans="1:19" ht="15.75">
      <c r="A607" s="13">
        <v>59992</v>
      </c>
      <c r="B607" s="8">
        <f>16.6656 * CHOOSE(CONTROL!$C$15, $D$11, 100%, $F$11)</f>
        <v>16.665600000000001</v>
      </c>
      <c r="C607" s="8">
        <f>16.6707 * CHOOSE(CONTROL!$C$15, $D$11, 100%, $F$11)</f>
        <v>16.6707</v>
      </c>
      <c r="D607" s="8">
        <f>16.6505 * CHOOSE( CONTROL!$C$15, $D$11, 100%, $F$11)</f>
        <v>16.650500000000001</v>
      </c>
      <c r="E607" s="12">
        <f>16.6573 * CHOOSE( CONTROL!$C$15, $D$11, 100%, $F$11)</f>
        <v>16.657299999999999</v>
      </c>
      <c r="F607" s="4">
        <f>17.316 * CHOOSE(CONTROL!$C$15, $D$11, 100%, $F$11)</f>
        <v>17.315999999999999</v>
      </c>
      <c r="G607" s="8">
        <f>16.2609 * CHOOSE( CONTROL!$C$15, $D$11, 100%, $F$11)</f>
        <v>16.260899999999999</v>
      </c>
      <c r="H607" s="4">
        <f>17.1474 * CHOOSE(CONTROL!$C$15, $D$11, 100%, $F$11)</f>
        <v>17.147400000000001</v>
      </c>
      <c r="I607" s="8">
        <f>16.0989 * CHOOSE(CONTROL!$C$15, $D$11, 100%, $F$11)</f>
        <v>16.0989</v>
      </c>
      <c r="J607" s="4">
        <f>15.9734 * CHOOSE(CONTROL!$C$15, $D$11, 100%, $F$11)</f>
        <v>15.9734</v>
      </c>
      <c r="K607" s="4"/>
      <c r="L607" s="9">
        <v>29.306000000000001</v>
      </c>
      <c r="M607" s="9">
        <v>12.063700000000001</v>
      </c>
      <c r="N607" s="9">
        <v>4.9444999999999997</v>
      </c>
      <c r="O607" s="9">
        <v>0.37409999999999999</v>
      </c>
      <c r="P607" s="9">
        <v>1.2927</v>
      </c>
      <c r="Q607" s="9">
        <v>19.688099999999999</v>
      </c>
      <c r="R607" s="9"/>
      <c r="S607" s="11"/>
    </row>
    <row r="608" spans="1:19" ht="15.75">
      <c r="A608" s="13">
        <v>60022</v>
      </c>
      <c r="B608" s="8">
        <f>16.9192 * CHOOSE(CONTROL!$C$15, $D$11, 100%, $F$11)</f>
        <v>16.9192</v>
      </c>
      <c r="C608" s="8">
        <f>16.9238 * CHOOSE(CONTROL!$C$15, $D$11, 100%, $F$11)</f>
        <v>16.9238</v>
      </c>
      <c r="D608" s="8">
        <f>16.9543 * CHOOSE( CONTROL!$C$15, $D$11, 100%, $F$11)</f>
        <v>16.9543</v>
      </c>
      <c r="E608" s="12">
        <f>16.9437 * CHOOSE( CONTROL!$C$15, $D$11, 100%, $F$11)</f>
        <v>16.9437</v>
      </c>
      <c r="F608" s="4">
        <f>17.634 * CHOOSE(CONTROL!$C$15, $D$11, 100%, $F$11)</f>
        <v>17.634</v>
      </c>
      <c r="G608" s="8">
        <f>16.5091 * CHOOSE( CONTROL!$C$15, $D$11, 100%, $F$11)</f>
        <v>16.5091</v>
      </c>
      <c r="H608" s="4">
        <f>17.4579 * CHOOSE(CONTROL!$C$15, $D$11, 100%, $F$11)</f>
        <v>17.457899999999999</v>
      </c>
      <c r="I608" s="8">
        <f>16.3338 * CHOOSE(CONTROL!$C$15, $D$11, 100%, $F$11)</f>
        <v>16.3338</v>
      </c>
      <c r="J608" s="4">
        <f>16.2162 * CHOOSE(CONTROL!$C$15, $D$11, 100%, $F$11)</f>
        <v>16.216200000000001</v>
      </c>
      <c r="K608" s="4"/>
      <c r="L608" s="9">
        <v>30.092199999999998</v>
      </c>
      <c r="M608" s="9">
        <v>11.6745</v>
      </c>
      <c r="N608" s="9">
        <v>4.7850000000000001</v>
      </c>
      <c r="O608" s="9">
        <v>0.36199999999999999</v>
      </c>
      <c r="P608" s="9">
        <v>1.1791</v>
      </c>
      <c r="Q608" s="9">
        <v>19.053000000000001</v>
      </c>
      <c r="R608" s="9"/>
      <c r="S608" s="11"/>
    </row>
    <row r="609" spans="1:19" ht="15.75">
      <c r="A609" s="13">
        <v>60053</v>
      </c>
      <c r="B609" s="8">
        <f>CHOOSE( CONTROL!$C$32, 17.3729, 17.3706) * CHOOSE(CONTROL!$C$15, $D$11, 100%, $F$11)</f>
        <v>17.372900000000001</v>
      </c>
      <c r="C609" s="8">
        <f>CHOOSE( CONTROL!$C$32, 17.381, 17.3787) * CHOOSE(CONTROL!$C$15, $D$11, 100%, $F$11)</f>
        <v>17.381</v>
      </c>
      <c r="D609" s="8">
        <f>CHOOSE( CONTROL!$C$32, 17.4062, 17.4039) * CHOOSE( CONTROL!$C$15, $D$11, 100%, $F$11)</f>
        <v>17.406199999999998</v>
      </c>
      <c r="E609" s="12">
        <f>CHOOSE( CONTROL!$C$32, 17.3958, 17.3935) * CHOOSE( CONTROL!$C$15, $D$11, 100%, $F$11)</f>
        <v>17.395800000000001</v>
      </c>
      <c r="F609" s="4">
        <f>CHOOSE( CONTROL!$C$32, 18.0864, 18.084) * CHOOSE(CONTROL!$C$15, $D$11, 100%, $F$11)</f>
        <v>18.086400000000001</v>
      </c>
      <c r="G609" s="8">
        <f>CHOOSE( CONTROL!$C$32, 16.9515, 16.9492) * CHOOSE( CONTROL!$C$15, $D$11, 100%, $F$11)</f>
        <v>16.951499999999999</v>
      </c>
      <c r="H609" s="4">
        <f>CHOOSE( CONTROL!$C$32, 17.8998, 17.8975) * CHOOSE(CONTROL!$C$15, $D$11, 100%, $F$11)</f>
        <v>17.899799999999999</v>
      </c>
      <c r="I609" s="8">
        <f>CHOOSE( CONTROL!$C$32, 16.7686, 16.7664) * CHOOSE(CONTROL!$C$15, $D$11, 100%, $F$11)</f>
        <v>16.768599999999999</v>
      </c>
      <c r="J609" s="4">
        <f>CHOOSE( CONTROL!$C$32, 16.6505, 16.6483) * CHOOSE(CONTROL!$C$15, $D$11, 100%, $F$11)</f>
        <v>16.650500000000001</v>
      </c>
      <c r="K609" s="4"/>
      <c r="L609" s="9">
        <v>30.7165</v>
      </c>
      <c r="M609" s="9">
        <v>12.063700000000001</v>
      </c>
      <c r="N609" s="9">
        <v>4.9444999999999997</v>
      </c>
      <c r="O609" s="9">
        <v>0.37409999999999999</v>
      </c>
      <c r="P609" s="9">
        <v>1.2183999999999999</v>
      </c>
      <c r="Q609" s="9">
        <v>19.688099999999999</v>
      </c>
      <c r="R609" s="9"/>
      <c r="S609" s="11"/>
    </row>
    <row r="610" spans="1:19" ht="15.75">
      <c r="A610" s="13">
        <v>60083</v>
      </c>
      <c r="B610" s="8">
        <f>CHOOSE( CONTROL!$C$32, 17.0942, 17.0918) * CHOOSE(CONTROL!$C$15, $D$11, 100%, $F$11)</f>
        <v>17.094200000000001</v>
      </c>
      <c r="C610" s="8">
        <f>CHOOSE( CONTROL!$C$32, 17.1022, 17.0999) * CHOOSE(CONTROL!$C$15, $D$11, 100%, $F$11)</f>
        <v>17.1022</v>
      </c>
      <c r="D610" s="8">
        <f>CHOOSE( CONTROL!$C$32, 17.1276, 17.1253) * CHOOSE( CONTROL!$C$15, $D$11, 100%, $F$11)</f>
        <v>17.127600000000001</v>
      </c>
      <c r="E610" s="12">
        <f>CHOOSE( CONTROL!$C$32, 17.1172, 17.1149) * CHOOSE( CONTROL!$C$15, $D$11, 100%, $F$11)</f>
        <v>17.1172</v>
      </c>
      <c r="F610" s="4">
        <f>CHOOSE( CONTROL!$C$32, 17.8076, 17.8052) * CHOOSE(CONTROL!$C$15, $D$11, 100%, $F$11)</f>
        <v>17.807600000000001</v>
      </c>
      <c r="G610" s="8">
        <f>CHOOSE( CONTROL!$C$32, 16.6795, 16.6772) * CHOOSE( CONTROL!$C$15, $D$11, 100%, $F$11)</f>
        <v>16.679500000000001</v>
      </c>
      <c r="H610" s="4">
        <f>CHOOSE( CONTROL!$C$32, 17.6275, 17.6252) * CHOOSE(CONTROL!$C$15, $D$11, 100%, $F$11)</f>
        <v>17.627500000000001</v>
      </c>
      <c r="I610" s="8">
        <f>CHOOSE( CONTROL!$C$32, 16.5018, 16.4995) * CHOOSE(CONTROL!$C$15, $D$11, 100%, $F$11)</f>
        <v>16.501799999999999</v>
      </c>
      <c r="J610" s="4">
        <f>CHOOSE( CONTROL!$C$32, 16.3829, 16.3806) * CHOOSE(CONTROL!$C$15, $D$11, 100%, $F$11)</f>
        <v>16.382899999999999</v>
      </c>
      <c r="K610" s="4"/>
      <c r="L610" s="9">
        <v>29.7257</v>
      </c>
      <c r="M610" s="9">
        <v>11.6745</v>
      </c>
      <c r="N610" s="9">
        <v>4.7850000000000001</v>
      </c>
      <c r="O610" s="9">
        <v>0.36199999999999999</v>
      </c>
      <c r="P610" s="9">
        <v>1.1791</v>
      </c>
      <c r="Q610" s="9">
        <v>19.053000000000001</v>
      </c>
      <c r="R610" s="9"/>
      <c r="S610" s="11"/>
    </row>
    <row r="611" spans="1:19" ht="15.75">
      <c r="A611" s="13">
        <v>60114</v>
      </c>
      <c r="B611" s="8">
        <f>CHOOSE( CONTROL!$C$32, 17.8283, 17.826) * CHOOSE(CONTROL!$C$15, $D$11, 100%, $F$11)</f>
        <v>17.828299999999999</v>
      </c>
      <c r="C611" s="8">
        <f>CHOOSE( CONTROL!$C$32, 17.8364, 17.8341) * CHOOSE(CONTROL!$C$15, $D$11, 100%, $F$11)</f>
        <v>17.836400000000001</v>
      </c>
      <c r="D611" s="8">
        <f>CHOOSE( CONTROL!$C$32, 17.8621, 17.8597) * CHOOSE( CONTROL!$C$15, $D$11, 100%, $F$11)</f>
        <v>17.862100000000002</v>
      </c>
      <c r="E611" s="12">
        <f>CHOOSE( CONTROL!$C$32, 17.8516, 17.8492) * CHOOSE( CONTROL!$C$15, $D$11, 100%, $F$11)</f>
        <v>17.851600000000001</v>
      </c>
      <c r="F611" s="4">
        <f>CHOOSE( CONTROL!$C$32, 18.5417, 18.5394) * CHOOSE(CONTROL!$C$15, $D$11, 100%, $F$11)</f>
        <v>18.541699999999999</v>
      </c>
      <c r="G611" s="8">
        <f>CHOOSE( CONTROL!$C$32, 17.3969, 17.3946) * CHOOSE( CONTROL!$C$15, $D$11, 100%, $F$11)</f>
        <v>17.396899999999999</v>
      </c>
      <c r="H611" s="4">
        <f>CHOOSE( CONTROL!$C$32, 18.3446, 18.3423) * CHOOSE(CONTROL!$C$15, $D$11, 100%, $F$11)</f>
        <v>18.3446</v>
      </c>
      <c r="I611" s="8">
        <f>CHOOSE( CONTROL!$C$32, 17.2082, 17.206) * CHOOSE(CONTROL!$C$15, $D$11, 100%, $F$11)</f>
        <v>17.208200000000001</v>
      </c>
      <c r="J611" s="4">
        <f>CHOOSE( CONTROL!$C$32, 17.0877, 17.0855) * CHOOSE(CONTROL!$C$15, $D$11, 100%, $F$11)</f>
        <v>17.087700000000002</v>
      </c>
      <c r="K611" s="4"/>
      <c r="L611" s="9">
        <v>30.7165</v>
      </c>
      <c r="M611" s="9">
        <v>12.063700000000001</v>
      </c>
      <c r="N611" s="9">
        <v>4.9444999999999997</v>
      </c>
      <c r="O611" s="9">
        <v>0.37409999999999999</v>
      </c>
      <c r="P611" s="9">
        <v>1.2183999999999999</v>
      </c>
      <c r="Q611" s="9">
        <v>19.688099999999999</v>
      </c>
      <c r="R611" s="9"/>
      <c r="S611" s="11"/>
    </row>
    <row r="612" spans="1:19" ht="15.75">
      <c r="A612" s="13">
        <v>60145</v>
      </c>
      <c r="B612" s="8">
        <f>CHOOSE( CONTROL!$C$32, 16.4546, 16.4523) * CHOOSE(CONTROL!$C$15, $D$11, 100%, $F$11)</f>
        <v>16.454599999999999</v>
      </c>
      <c r="C612" s="8">
        <f>CHOOSE( CONTROL!$C$32, 16.4627, 16.4604) * CHOOSE(CONTROL!$C$15, $D$11, 100%, $F$11)</f>
        <v>16.462700000000002</v>
      </c>
      <c r="D612" s="8">
        <f>CHOOSE( CONTROL!$C$32, 16.4884, 16.4861) * CHOOSE( CONTROL!$C$15, $D$11, 100%, $F$11)</f>
        <v>16.488399999999999</v>
      </c>
      <c r="E612" s="12">
        <f>CHOOSE( CONTROL!$C$32, 16.4779, 16.4756) * CHOOSE( CONTROL!$C$15, $D$11, 100%, $F$11)</f>
        <v>16.477900000000002</v>
      </c>
      <c r="F612" s="4">
        <f>CHOOSE( CONTROL!$C$32, 17.1681, 17.1657) * CHOOSE(CONTROL!$C$15, $D$11, 100%, $F$11)</f>
        <v>17.168099999999999</v>
      </c>
      <c r="G612" s="8">
        <f>CHOOSE( CONTROL!$C$32, 16.0554, 16.0531) * CHOOSE( CONTROL!$C$15, $D$11, 100%, $F$11)</f>
        <v>16.055399999999999</v>
      </c>
      <c r="H612" s="4">
        <f>CHOOSE( CONTROL!$C$32, 17.0029, 17.0006) * CHOOSE(CONTROL!$C$15, $D$11, 100%, $F$11)</f>
        <v>17.0029</v>
      </c>
      <c r="I612" s="8">
        <f>CHOOSE( CONTROL!$C$32, 15.8891, 15.8868) * CHOOSE(CONTROL!$C$15, $D$11, 100%, $F$11)</f>
        <v>15.889099999999999</v>
      </c>
      <c r="J612" s="4">
        <f>CHOOSE( CONTROL!$C$32, 15.7689, 15.7666) * CHOOSE(CONTROL!$C$15, $D$11, 100%, $F$11)</f>
        <v>15.7689</v>
      </c>
      <c r="K612" s="4"/>
      <c r="L612" s="9">
        <v>30.7165</v>
      </c>
      <c r="M612" s="9">
        <v>12.063700000000001</v>
      </c>
      <c r="N612" s="9">
        <v>4.9444999999999997</v>
      </c>
      <c r="O612" s="9">
        <v>0.37409999999999999</v>
      </c>
      <c r="P612" s="9">
        <v>1.2183999999999999</v>
      </c>
      <c r="Q612" s="9">
        <v>19.688099999999999</v>
      </c>
      <c r="R612" s="9"/>
      <c r="S612" s="11"/>
    </row>
    <row r="613" spans="1:19" ht="15.75">
      <c r="A613" s="13">
        <v>60175</v>
      </c>
      <c r="B613" s="8">
        <f>CHOOSE( CONTROL!$C$32, 16.1106, 16.1083) * CHOOSE(CONTROL!$C$15, $D$11, 100%, $F$11)</f>
        <v>16.110600000000002</v>
      </c>
      <c r="C613" s="8">
        <f>CHOOSE( CONTROL!$C$32, 16.1187, 16.1164) * CHOOSE(CONTROL!$C$15, $D$11, 100%, $F$11)</f>
        <v>16.1187</v>
      </c>
      <c r="D613" s="8">
        <f>CHOOSE( CONTROL!$C$32, 16.1444, 16.1421) * CHOOSE( CONTROL!$C$15, $D$11, 100%, $F$11)</f>
        <v>16.144400000000001</v>
      </c>
      <c r="E613" s="12">
        <f>CHOOSE( CONTROL!$C$32, 16.1339, 16.1316) * CHOOSE( CONTROL!$C$15, $D$11, 100%, $F$11)</f>
        <v>16.133900000000001</v>
      </c>
      <c r="F613" s="4">
        <f>CHOOSE( CONTROL!$C$32, 16.8241, 16.8217) * CHOOSE(CONTROL!$C$15, $D$11, 100%, $F$11)</f>
        <v>16.824100000000001</v>
      </c>
      <c r="G613" s="8">
        <f>CHOOSE( CONTROL!$C$32, 15.7193, 15.7171) * CHOOSE( CONTROL!$C$15, $D$11, 100%, $F$11)</f>
        <v>15.7193</v>
      </c>
      <c r="H613" s="4">
        <f>CHOOSE( CONTROL!$C$32, 16.6669, 16.6646) * CHOOSE(CONTROL!$C$15, $D$11, 100%, $F$11)</f>
        <v>16.666899999999998</v>
      </c>
      <c r="I613" s="8">
        <f>CHOOSE( CONTROL!$C$32, 15.5585, 15.5563) * CHOOSE(CONTROL!$C$15, $D$11, 100%, $F$11)</f>
        <v>15.5585</v>
      </c>
      <c r="J613" s="4">
        <f>CHOOSE( CONTROL!$C$32, 15.4386, 15.4364) * CHOOSE(CONTROL!$C$15, $D$11, 100%, $F$11)</f>
        <v>15.438599999999999</v>
      </c>
      <c r="K613" s="4"/>
      <c r="L613" s="9">
        <v>29.7257</v>
      </c>
      <c r="M613" s="9">
        <v>11.6745</v>
      </c>
      <c r="N613" s="9">
        <v>4.7850000000000001</v>
      </c>
      <c r="O613" s="9">
        <v>0.36199999999999999</v>
      </c>
      <c r="P613" s="9">
        <v>1.1791</v>
      </c>
      <c r="Q613" s="9">
        <v>19.053000000000001</v>
      </c>
      <c r="R613" s="9"/>
      <c r="S613" s="11"/>
    </row>
    <row r="614" spans="1:19" ht="15.75">
      <c r="A614" s="13">
        <v>60206</v>
      </c>
      <c r="B614" s="8">
        <f>16.8208 * CHOOSE(CONTROL!$C$15, $D$11, 100%, $F$11)</f>
        <v>16.820799999999998</v>
      </c>
      <c r="C614" s="8">
        <f>16.8262 * CHOOSE(CONTROL!$C$15, $D$11, 100%, $F$11)</f>
        <v>16.8262</v>
      </c>
      <c r="D614" s="8">
        <f>16.857 * CHOOSE( CONTROL!$C$15, $D$11, 100%, $F$11)</f>
        <v>16.856999999999999</v>
      </c>
      <c r="E614" s="12">
        <f>16.8463 * CHOOSE( CONTROL!$C$15, $D$11, 100%, $F$11)</f>
        <v>16.846299999999999</v>
      </c>
      <c r="F614" s="4">
        <f>17.536 * CHOOSE(CONTROL!$C$15, $D$11, 100%, $F$11)</f>
        <v>17.536000000000001</v>
      </c>
      <c r="G614" s="8">
        <f>16.4144 * CHOOSE( CONTROL!$C$15, $D$11, 100%, $F$11)</f>
        <v>16.414400000000001</v>
      </c>
      <c r="H614" s="4">
        <f>17.3622 * CHOOSE(CONTROL!$C$15, $D$11, 100%, $F$11)</f>
        <v>17.362200000000001</v>
      </c>
      <c r="I614" s="8">
        <f>16.2432 * CHOOSE(CONTROL!$C$15, $D$11, 100%, $F$11)</f>
        <v>16.243200000000002</v>
      </c>
      <c r="J614" s="4">
        <f>16.1221 * CHOOSE(CONTROL!$C$15, $D$11, 100%, $F$11)</f>
        <v>16.1221</v>
      </c>
      <c r="K614" s="4"/>
      <c r="L614" s="9">
        <v>31.095300000000002</v>
      </c>
      <c r="M614" s="9">
        <v>12.063700000000001</v>
      </c>
      <c r="N614" s="9">
        <v>4.9444999999999997</v>
      </c>
      <c r="O614" s="9">
        <v>0.37409999999999999</v>
      </c>
      <c r="P614" s="9">
        <v>1.2183999999999999</v>
      </c>
      <c r="Q614" s="9">
        <v>19.688099999999999</v>
      </c>
      <c r="R614" s="9"/>
      <c r="S614" s="11"/>
    </row>
    <row r="615" spans="1:19" ht="15.75">
      <c r="A615" s="13">
        <v>60236</v>
      </c>
      <c r="B615" s="8">
        <f>18.1387 * CHOOSE(CONTROL!$C$15, $D$11, 100%, $F$11)</f>
        <v>18.1387</v>
      </c>
      <c r="C615" s="8">
        <f>18.1439 * CHOOSE(CONTROL!$C$15, $D$11, 100%, $F$11)</f>
        <v>18.143899999999999</v>
      </c>
      <c r="D615" s="8">
        <f>18.1269 * CHOOSE( CONTROL!$C$15, $D$11, 100%, $F$11)</f>
        <v>18.126899999999999</v>
      </c>
      <c r="E615" s="12">
        <f>18.1326 * CHOOSE( CONTROL!$C$15, $D$11, 100%, $F$11)</f>
        <v>18.1326</v>
      </c>
      <c r="F615" s="4">
        <f>18.7892 * CHOOSE(CONTROL!$C$15, $D$11, 100%, $F$11)</f>
        <v>18.789200000000001</v>
      </c>
      <c r="G615" s="8">
        <f>17.7082 * CHOOSE( CONTROL!$C$15, $D$11, 100%, $F$11)</f>
        <v>17.708200000000001</v>
      </c>
      <c r="H615" s="4">
        <f>18.5862 * CHOOSE(CONTROL!$C$15, $D$11, 100%, $F$11)</f>
        <v>18.586200000000002</v>
      </c>
      <c r="I615" s="8">
        <f>17.5514 * CHOOSE(CONTROL!$C$15, $D$11, 100%, $F$11)</f>
        <v>17.551400000000001</v>
      </c>
      <c r="J615" s="4">
        <f>17.3878 * CHOOSE(CONTROL!$C$15, $D$11, 100%, $F$11)</f>
        <v>17.387799999999999</v>
      </c>
      <c r="K615" s="4"/>
      <c r="L615" s="9">
        <v>28.360600000000002</v>
      </c>
      <c r="M615" s="9">
        <v>11.6745</v>
      </c>
      <c r="N615" s="9">
        <v>4.7850000000000001</v>
      </c>
      <c r="O615" s="9">
        <v>0.36199999999999999</v>
      </c>
      <c r="P615" s="9">
        <v>1.2509999999999999</v>
      </c>
      <c r="Q615" s="9">
        <v>19.053000000000001</v>
      </c>
      <c r="R615" s="9"/>
      <c r="S615" s="11"/>
    </row>
    <row r="616" spans="1:19" ht="15.75">
      <c r="A616" s="13">
        <v>60267</v>
      </c>
      <c r="B616" s="8">
        <f>18.1058 * CHOOSE(CONTROL!$C$15, $D$11, 100%, $F$11)</f>
        <v>18.105799999999999</v>
      </c>
      <c r="C616" s="8">
        <f>18.111 * CHOOSE(CONTROL!$C$15, $D$11, 100%, $F$11)</f>
        <v>18.111000000000001</v>
      </c>
      <c r="D616" s="8">
        <f>18.0955 * CHOOSE( CONTROL!$C$15, $D$11, 100%, $F$11)</f>
        <v>18.095500000000001</v>
      </c>
      <c r="E616" s="12">
        <f>18.1006 * CHOOSE( CONTROL!$C$15, $D$11, 100%, $F$11)</f>
        <v>18.1006</v>
      </c>
      <c r="F616" s="4">
        <f>18.7563 * CHOOSE(CONTROL!$C$15, $D$11, 100%, $F$11)</f>
        <v>18.7563</v>
      </c>
      <c r="G616" s="8">
        <f>17.6772 * CHOOSE( CONTROL!$C$15, $D$11, 100%, $F$11)</f>
        <v>17.677199999999999</v>
      </c>
      <c r="H616" s="4">
        <f>18.5541 * CHOOSE(CONTROL!$C$15, $D$11, 100%, $F$11)</f>
        <v>18.554099999999998</v>
      </c>
      <c r="I616" s="8">
        <f>17.5245 * CHOOSE(CONTROL!$C$15, $D$11, 100%, $F$11)</f>
        <v>17.5245</v>
      </c>
      <c r="J616" s="4">
        <f>17.3562 * CHOOSE(CONTROL!$C$15, $D$11, 100%, $F$11)</f>
        <v>17.356200000000001</v>
      </c>
      <c r="K616" s="4"/>
      <c r="L616" s="9">
        <v>29.306000000000001</v>
      </c>
      <c r="M616" s="9">
        <v>12.063700000000001</v>
      </c>
      <c r="N616" s="9">
        <v>4.9444999999999997</v>
      </c>
      <c r="O616" s="9">
        <v>0.37409999999999999</v>
      </c>
      <c r="P616" s="9">
        <v>1.2927</v>
      </c>
      <c r="Q616" s="9">
        <v>19.688099999999999</v>
      </c>
      <c r="R616" s="9"/>
      <c r="S616" s="11"/>
    </row>
    <row r="617" spans="1:19" ht="15.75">
      <c r="A617" s="13">
        <v>60298</v>
      </c>
      <c r="B617" s="8">
        <f>18.639 * CHOOSE(CONTROL!$C$15, $D$11, 100%, $F$11)</f>
        <v>18.638999999999999</v>
      </c>
      <c r="C617" s="8">
        <f>18.6442 * CHOOSE(CONTROL!$C$15, $D$11, 100%, $F$11)</f>
        <v>18.644200000000001</v>
      </c>
      <c r="D617" s="8">
        <f>18.6244 * CHOOSE( CONTROL!$C$15, $D$11, 100%, $F$11)</f>
        <v>18.624400000000001</v>
      </c>
      <c r="E617" s="12">
        <f>18.6311 * CHOOSE( CONTROL!$C$15, $D$11, 100%, $F$11)</f>
        <v>18.6311</v>
      </c>
      <c r="F617" s="4">
        <f>19.2895 * CHOOSE(CONTROL!$C$15, $D$11, 100%, $F$11)</f>
        <v>19.2895</v>
      </c>
      <c r="G617" s="8">
        <f>18.1887 * CHOOSE( CONTROL!$C$15, $D$11, 100%, $F$11)</f>
        <v>18.188700000000001</v>
      </c>
      <c r="H617" s="4">
        <f>19.0749 * CHOOSE(CONTROL!$C$15, $D$11, 100%, $F$11)</f>
        <v>19.0749</v>
      </c>
      <c r="I617" s="8">
        <f>17.9958 * CHOOSE(CONTROL!$C$15, $D$11, 100%, $F$11)</f>
        <v>17.995799999999999</v>
      </c>
      <c r="J617" s="4">
        <f>17.8681 * CHOOSE(CONTROL!$C$15, $D$11, 100%, $F$11)</f>
        <v>17.868099999999998</v>
      </c>
      <c r="K617" s="4"/>
      <c r="L617" s="9">
        <v>29.306000000000001</v>
      </c>
      <c r="M617" s="9">
        <v>12.063700000000001</v>
      </c>
      <c r="N617" s="9">
        <v>4.9444999999999997</v>
      </c>
      <c r="O617" s="9">
        <v>0.37409999999999999</v>
      </c>
      <c r="P617" s="9">
        <v>1.2927</v>
      </c>
      <c r="Q617" s="9">
        <v>19.688099999999999</v>
      </c>
      <c r="R617" s="9"/>
      <c r="S617" s="11"/>
    </row>
    <row r="618" spans="1:19" ht="15.75">
      <c r="A618" s="13">
        <v>60326</v>
      </c>
      <c r="B618" s="8">
        <f>17.4359 * CHOOSE(CONTROL!$C$15, $D$11, 100%, $F$11)</f>
        <v>17.4359</v>
      </c>
      <c r="C618" s="8">
        <f>17.4411 * CHOOSE(CONTROL!$C$15, $D$11, 100%, $F$11)</f>
        <v>17.441099999999999</v>
      </c>
      <c r="D618" s="8">
        <f>17.4212 * CHOOSE( CONTROL!$C$15, $D$11, 100%, $F$11)</f>
        <v>17.421199999999999</v>
      </c>
      <c r="E618" s="12">
        <f>17.4279 * CHOOSE( CONTROL!$C$15, $D$11, 100%, $F$11)</f>
        <v>17.427900000000001</v>
      </c>
      <c r="F618" s="4">
        <f>18.0863 * CHOOSE(CONTROL!$C$15, $D$11, 100%, $F$11)</f>
        <v>18.086300000000001</v>
      </c>
      <c r="G618" s="8">
        <f>17.0135 * CHOOSE( CONTROL!$C$15, $D$11, 100%, $F$11)</f>
        <v>17.013500000000001</v>
      </c>
      <c r="H618" s="4">
        <f>17.8998 * CHOOSE(CONTROL!$C$15, $D$11, 100%, $F$11)</f>
        <v>17.899799999999999</v>
      </c>
      <c r="I618" s="8">
        <f>16.8399 * CHOOSE(CONTROL!$C$15, $D$11, 100%, $F$11)</f>
        <v>16.8399</v>
      </c>
      <c r="J618" s="4">
        <f>16.713 * CHOOSE(CONTROL!$C$15, $D$11, 100%, $F$11)</f>
        <v>16.713000000000001</v>
      </c>
      <c r="K618" s="4"/>
      <c r="L618" s="9">
        <v>26.469899999999999</v>
      </c>
      <c r="M618" s="9">
        <v>10.8962</v>
      </c>
      <c r="N618" s="9">
        <v>4.4660000000000002</v>
      </c>
      <c r="O618" s="9">
        <v>0.33789999999999998</v>
      </c>
      <c r="P618" s="9">
        <v>1.1676</v>
      </c>
      <c r="Q618" s="9">
        <v>17.782800000000002</v>
      </c>
      <c r="R618" s="9"/>
      <c r="S618" s="11"/>
    </row>
    <row r="619" spans="1:19" ht="15.75">
      <c r="A619" s="13">
        <v>60357</v>
      </c>
      <c r="B619" s="8">
        <f>17.0653 * CHOOSE(CONTROL!$C$15, $D$11, 100%, $F$11)</f>
        <v>17.065300000000001</v>
      </c>
      <c r="C619" s="8">
        <f>17.0705 * CHOOSE(CONTROL!$C$15, $D$11, 100%, $F$11)</f>
        <v>17.070499999999999</v>
      </c>
      <c r="D619" s="8">
        <f>17.0503 * CHOOSE( CONTROL!$C$15, $D$11, 100%, $F$11)</f>
        <v>17.0503</v>
      </c>
      <c r="E619" s="12">
        <f>17.0571 * CHOOSE( CONTROL!$C$15, $D$11, 100%, $F$11)</f>
        <v>17.057099999999998</v>
      </c>
      <c r="F619" s="4">
        <f>17.7158 * CHOOSE(CONTROL!$C$15, $D$11, 100%, $F$11)</f>
        <v>17.715800000000002</v>
      </c>
      <c r="G619" s="8">
        <f>16.6513 * CHOOSE( CONTROL!$C$15, $D$11, 100%, $F$11)</f>
        <v>16.651299999999999</v>
      </c>
      <c r="H619" s="4">
        <f>17.5378 * CHOOSE(CONTROL!$C$15, $D$11, 100%, $F$11)</f>
        <v>17.537800000000001</v>
      </c>
      <c r="I619" s="8">
        <f>16.4829 * CHOOSE(CONTROL!$C$15, $D$11, 100%, $F$11)</f>
        <v>16.482900000000001</v>
      </c>
      <c r="J619" s="4">
        <f>16.3572 * CHOOSE(CONTROL!$C$15, $D$11, 100%, $F$11)</f>
        <v>16.357199999999999</v>
      </c>
      <c r="K619" s="4"/>
      <c r="L619" s="9">
        <v>29.306000000000001</v>
      </c>
      <c r="M619" s="9">
        <v>12.063700000000001</v>
      </c>
      <c r="N619" s="9">
        <v>4.9444999999999997</v>
      </c>
      <c r="O619" s="9">
        <v>0.37409999999999999</v>
      </c>
      <c r="P619" s="9">
        <v>1.2927</v>
      </c>
      <c r="Q619" s="9">
        <v>19.688099999999999</v>
      </c>
      <c r="R619" s="9"/>
      <c r="S619" s="11"/>
    </row>
    <row r="620" spans="1:19" ht="15.75">
      <c r="A620" s="13">
        <v>60387</v>
      </c>
      <c r="B620" s="8">
        <f>17.325 * CHOOSE(CONTROL!$C$15, $D$11, 100%, $F$11)</f>
        <v>17.324999999999999</v>
      </c>
      <c r="C620" s="8">
        <f>17.3296 * CHOOSE(CONTROL!$C$15, $D$11, 100%, $F$11)</f>
        <v>17.329599999999999</v>
      </c>
      <c r="D620" s="8">
        <f>17.3602 * CHOOSE( CONTROL!$C$15, $D$11, 100%, $F$11)</f>
        <v>17.360199999999999</v>
      </c>
      <c r="E620" s="12">
        <f>17.3496 * CHOOSE( CONTROL!$C$15, $D$11, 100%, $F$11)</f>
        <v>17.349599999999999</v>
      </c>
      <c r="F620" s="4">
        <f>18.0398 * CHOOSE(CONTROL!$C$15, $D$11, 100%, $F$11)</f>
        <v>18.0398</v>
      </c>
      <c r="G620" s="8">
        <f>16.9054 * CHOOSE( CONTROL!$C$15, $D$11, 100%, $F$11)</f>
        <v>16.9054</v>
      </c>
      <c r="H620" s="4">
        <f>17.8543 * CHOOSE(CONTROL!$C$15, $D$11, 100%, $F$11)</f>
        <v>17.854299999999999</v>
      </c>
      <c r="I620" s="8">
        <f>16.7236 * CHOOSE(CONTROL!$C$15, $D$11, 100%, $F$11)</f>
        <v>16.723600000000001</v>
      </c>
      <c r="J620" s="4">
        <f>16.6058 * CHOOSE(CONTROL!$C$15, $D$11, 100%, $F$11)</f>
        <v>16.605799999999999</v>
      </c>
      <c r="K620" s="4"/>
      <c r="L620" s="9">
        <v>30.092199999999998</v>
      </c>
      <c r="M620" s="9">
        <v>11.6745</v>
      </c>
      <c r="N620" s="9">
        <v>4.7850000000000001</v>
      </c>
      <c r="O620" s="9">
        <v>0.36199999999999999</v>
      </c>
      <c r="P620" s="9">
        <v>1.1791</v>
      </c>
      <c r="Q620" s="9">
        <v>19.053000000000001</v>
      </c>
      <c r="R620" s="9"/>
      <c r="S620" s="11"/>
    </row>
    <row r="621" spans="1:19" ht="15.75">
      <c r="A621" s="13">
        <v>60418</v>
      </c>
      <c r="B621" s="8">
        <f>CHOOSE( CONTROL!$C$32, 17.7896, 17.7872) * CHOOSE(CONTROL!$C$15, $D$11, 100%, $F$11)</f>
        <v>17.7896</v>
      </c>
      <c r="C621" s="8">
        <f>CHOOSE( CONTROL!$C$32, 17.7977, 17.7953) * CHOOSE(CONTROL!$C$15, $D$11, 100%, $F$11)</f>
        <v>17.797699999999999</v>
      </c>
      <c r="D621" s="8">
        <f>CHOOSE( CONTROL!$C$32, 17.8229, 17.8205) * CHOOSE( CONTROL!$C$15, $D$11, 100%, $F$11)</f>
        <v>17.822900000000001</v>
      </c>
      <c r="E621" s="12">
        <f>CHOOSE( CONTROL!$C$32, 17.8125, 17.8101) * CHOOSE( CONTROL!$C$15, $D$11, 100%, $F$11)</f>
        <v>17.8125</v>
      </c>
      <c r="F621" s="4">
        <f>CHOOSE( CONTROL!$C$32, 18.503, 18.5007) * CHOOSE(CONTROL!$C$15, $D$11, 100%, $F$11)</f>
        <v>18.503</v>
      </c>
      <c r="G621" s="8">
        <f>CHOOSE( CONTROL!$C$32, 17.3584, 17.3561) * CHOOSE( CONTROL!$C$15, $D$11, 100%, $F$11)</f>
        <v>17.3584</v>
      </c>
      <c r="H621" s="4">
        <f>CHOOSE( CONTROL!$C$32, 18.3067, 18.3044) * CHOOSE(CONTROL!$C$15, $D$11, 100%, $F$11)</f>
        <v>18.306699999999999</v>
      </c>
      <c r="I621" s="8">
        <f>CHOOSE( CONTROL!$C$32, 17.1688, 17.1666) * CHOOSE(CONTROL!$C$15, $D$11, 100%, $F$11)</f>
        <v>17.168800000000001</v>
      </c>
      <c r="J621" s="4">
        <f>CHOOSE( CONTROL!$C$32, 17.0506, 17.0483) * CHOOSE(CONTROL!$C$15, $D$11, 100%, $F$11)</f>
        <v>17.050599999999999</v>
      </c>
      <c r="K621" s="4"/>
      <c r="L621" s="9">
        <v>30.7165</v>
      </c>
      <c r="M621" s="9">
        <v>12.063700000000001</v>
      </c>
      <c r="N621" s="9">
        <v>4.9444999999999997</v>
      </c>
      <c r="O621" s="9">
        <v>0.37409999999999999</v>
      </c>
      <c r="P621" s="9">
        <v>1.2183999999999999</v>
      </c>
      <c r="Q621" s="9">
        <v>19.688099999999999</v>
      </c>
      <c r="R621" s="9"/>
      <c r="S621" s="11"/>
    </row>
    <row r="622" spans="1:19" ht="15.75">
      <c r="A622" s="13">
        <v>60448</v>
      </c>
      <c r="B622" s="8">
        <f>CHOOSE( CONTROL!$C$32, 17.5041, 17.5018) * CHOOSE(CONTROL!$C$15, $D$11, 100%, $F$11)</f>
        <v>17.504100000000001</v>
      </c>
      <c r="C622" s="8">
        <f>CHOOSE( CONTROL!$C$32, 17.5122, 17.5098) * CHOOSE(CONTROL!$C$15, $D$11, 100%, $F$11)</f>
        <v>17.5122</v>
      </c>
      <c r="D622" s="8">
        <f>CHOOSE( CONTROL!$C$32, 17.5376, 17.5352) * CHOOSE( CONTROL!$C$15, $D$11, 100%, $F$11)</f>
        <v>17.537600000000001</v>
      </c>
      <c r="E622" s="12">
        <f>CHOOSE( CONTROL!$C$32, 17.5272, 17.5248) * CHOOSE( CONTROL!$C$15, $D$11, 100%, $F$11)</f>
        <v>17.527200000000001</v>
      </c>
      <c r="F622" s="4">
        <f>CHOOSE( CONTROL!$C$32, 18.2175, 18.2152) * CHOOSE(CONTROL!$C$15, $D$11, 100%, $F$11)</f>
        <v>18.217500000000001</v>
      </c>
      <c r="G622" s="8">
        <f>CHOOSE( CONTROL!$C$32, 17.0799, 17.0776) * CHOOSE( CONTROL!$C$15, $D$11, 100%, $F$11)</f>
        <v>17.079899999999999</v>
      </c>
      <c r="H622" s="4">
        <f>CHOOSE( CONTROL!$C$32, 18.0279, 18.0256) * CHOOSE(CONTROL!$C$15, $D$11, 100%, $F$11)</f>
        <v>18.027899999999999</v>
      </c>
      <c r="I622" s="8">
        <f>CHOOSE( CONTROL!$C$32, 16.8956, 16.8933) * CHOOSE(CONTROL!$C$15, $D$11, 100%, $F$11)</f>
        <v>16.895600000000002</v>
      </c>
      <c r="J622" s="4">
        <f>CHOOSE( CONTROL!$C$32, 16.7765, 16.7742) * CHOOSE(CONTROL!$C$15, $D$11, 100%, $F$11)</f>
        <v>16.776499999999999</v>
      </c>
      <c r="K622" s="4"/>
      <c r="L622" s="9">
        <v>29.7257</v>
      </c>
      <c r="M622" s="9">
        <v>11.6745</v>
      </c>
      <c r="N622" s="9">
        <v>4.7850000000000001</v>
      </c>
      <c r="O622" s="9">
        <v>0.36199999999999999</v>
      </c>
      <c r="P622" s="9">
        <v>1.1791</v>
      </c>
      <c r="Q622" s="9">
        <v>19.053000000000001</v>
      </c>
      <c r="R622" s="9"/>
      <c r="S622" s="11"/>
    </row>
    <row r="623" spans="1:19" ht="15.75">
      <c r="A623" s="13">
        <v>60479</v>
      </c>
      <c r="B623" s="8">
        <f>CHOOSE( CONTROL!$C$32, 18.2559, 18.2535) * CHOOSE(CONTROL!$C$15, $D$11, 100%, $F$11)</f>
        <v>18.2559</v>
      </c>
      <c r="C623" s="8">
        <f>CHOOSE( CONTROL!$C$32, 18.264, 18.2616) * CHOOSE(CONTROL!$C$15, $D$11, 100%, $F$11)</f>
        <v>18.263999999999999</v>
      </c>
      <c r="D623" s="8">
        <f>CHOOSE( CONTROL!$C$32, 18.2896, 18.2873) * CHOOSE( CONTROL!$C$15, $D$11, 100%, $F$11)</f>
        <v>18.2896</v>
      </c>
      <c r="E623" s="12">
        <f>CHOOSE( CONTROL!$C$32, 18.2791, 18.2768) * CHOOSE( CONTROL!$C$15, $D$11, 100%, $F$11)</f>
        <v>18.2791</v>
      </c>
      <c r="F623" s="4">
        <f>CHOOSE( CONTROL!$C$32, 18.9693, 18.967) * CHOOSE(CONTROL!$C$15, $D$11, 100%, $F$11)</f>
        <v>18.9693</v>
      </c>
      <c r="G623" s="8">
        <f>CHOOSE( CONTROL!$C$32, 17.8145, 17.8122) * CHOOSE( CONTROL!$C$15, $D$11, 100%, $F$11)</f>
        <v>17.814499999999999</v>
      </c>
      <c r="H623" s="4">
        <f>CHOOSE( CONTROL!$C$32, 18.7622, 18.7599) * CHOOSE(CONTROL!$C$15, $D$11, 100%, $F$11)</f>
        <v>18.7622</v>
      </c>
      <c r="I623" s="8">
        <f>CHOOSE( CONTROL!$C$32, 17.619, 17.6167) * CHOOSE(CONTROL!$C$15, $D$11, 100%, $F$11)</f>
        <v>17.619</v>
      </c>
      <c r="J623" s="4">
        <f>CHOOSE( CONTROL!$C$32, 17.4983, 17.496) * CHOOSE(CONTROL!$C$15, $D$11, 100%, $F$11)</f>
        <v>17.4983</v>
      </c>
      <c r="K623" s="4"/>
      <c r="L623" s="9">
        <v>30.7165</v>
      </c>
      <c r="M623" s="9">
        <v>12.063700000000001</v>
      </c>
      <c r="N623" s="9">
        <v>4.9444999999999997</v>
      </c>
      <c r="O623" s="9">
        <v>0.37409999999999999</v>
      </c>
      <c r="P623" s="9">
        <v>1.2183999999999999</v>
      </c>
      <c r="Q623" s="9">
        <v>19.688099999999999</v>
      </c>
      <c r="R623" s="9"/>
      <c r="S623" s="11"/>
    </row>
    <row r="624" spans="1:19" ht="15.75">
      <c r="A624" s="13">
        <v>60510</v>
      </c>
      <c r="B624" s="8">
        <f>CHOOSE( CONTROL!$C$32, 16.8492, 16.8469) * CHOOSE(CONTROL!$C$15, $D$11, 100%, $F$11)</f>
        <v>16.8492</v>
      </c>
      <c r="C624" s="8">
        <f>CHOOSE( CONTROL!$C$32, 16.8573, 16.8549) * CHOOSE(CONTROL!$C$15, $D$11, 100%, $F$11)</f>
        <v>16.857299999999999</v>
      </c>
      <c r="D624" s="8">
        <f>CHOOSE( CONTROL!$C$32, 16.883, 16.8807) * CHOOSE( CONTROL!$C$15, $D$11, 100%, $F$11)</f>
        <v>16.882999999999999</v>
      </c>
      <c r="E624" s="12">
        <f>CHOOSE( CONTROL!$C$32, 16.8725, 16.8701) * CHOOSE( CONTROL!$C$15, $D$11, 100%, $F$11)</f>
        <v>16.872499999999999</v>
      </c>
      <c r="F624" s="4">
        <f>CHOOSE( CONTROL!$C$32, 17.5626, 17.5603) * CHOOSE(CONTROL!$C$15, $D$11, 100%, $F$11)</f>
        <v>17.5626</v>
      </c>
      <c r="G624" s="8">
        <f>CHOOSE( CONTROL!$C$32, 16.4407, 16.4384) * CHOOSE( CONTROL!$C$15, $D$11, 100%, $F$11)</f>
        <v>16.4407</v>
      </c>
      <c r="H624" s="4">
        <f>CHOOSE( CONTROL!$C$32, 17.3883, 17.386) * CHOOSE(CONTROL!$C$15, $D$11, 100%, $F$11)</f>
        <v>17.388300000000001</v>
      </c>
      <c r="I624" s="8">
        <f>CHOOSE( CONTROL!$C$32, 16.2681, 16.2658) * CHOOSE(CONTROL!$C$15, $D$11, 100%, $F$11)</f>
        <v>16.2681</v>
      </c>
      <c r="J624" s="4">
        <f>CHOOSE( CONTROL!$C$32, 16.1477, 16.1454) * CHOOSE(CONTROL!$C$15, $D$11, 100%, $F$11)</f>
        <v>16.1477</v>
      </c>
      <c r="K624" s="4"/>
      <c r="L624" s="9">
        <v>30.7165</v>
      </c>
      <c r="M624" s="9">
        <v>12.063700000000001</v>
      </c>
      <c r="N624" s="9">
        <v>4.9444999999999997</v>
      </c>
      <c r="O624" s="9">
        <v>0.37409999999999999</v>
      </c>
      <c r="P624" s="9">
        <v>1.2183999999999999</v>
      </c>
      <c r="Q624" s="9">
        <v>19.688099999999999</v>
      </c>
      <c r="R624" s="9"/>
      <c r="S624" s="11"/>
    </row>
    <row r="625" spans="1:19" ht="15.75">
      <c r="A625" s="13">
        <v>60540</v>
      </c>
      <c r="B625" s="8">
        <f>CHOOSE( CONTROL!$C$32, 16.497, 16.4946) * CHOOSE(CONTROL!$C$15, $D$11, 100%, $F$11)</f>
        <v>16.497</v>
      </c>
      <c r="C625" s="8">
        <f>CHOOSE( CONTROL!$C$32, 16.505, 16.5027) * CHOOSE(CONTROL!$C$15, $D$11, 100%, $F$11)</f>
        <v>16.504999999999999</v>
      </c>
      <c r="D625" s="8">
        <f>CHOOSE( CONTROL!$C$32, 16.5307, 16.5284) * CHOOSE( CONTROL!$C$15, $D$11, 100%, $F$11)</f>
        <v>16.5307</v>
      </c>
      <c r="E625" s="12">
        <f>CHOOSE( CONTROL!$C$32, 16.5202, 16.5179) * CHOOSE( CONTROL!$C$15, $D$11, 100%, $F$11)</f>
        <v>16.520199999999999</v>
      </c>
      <c r="F625" s="4">
        <f>CHOOSE( CONTROL!$C$32, 17.2104, 17.208) * CHOOSE(CONTROL!$C$15, $D$11, 100%, $F$11)</f>
        <v>17.2104</v>
      </c>
      <c r="G625" s="8">
        <f>CHOOSE( CONTROL!$C$32, 16.0967, 16.0944) * CHOOSE( CONTROL!$C$15, $D$11, 100%, $F$11)</f>
        <v>16.096699999999998</v>
      </c>
      <c r="H625" s="4">
        <f>CHOOSE( CONTROL!$C$32, 17.0442, 17.0419) * CHOOSE(CONTROL!$C$15, $D$11, 100%, $F$11)</f>
        <v>17.0442</v>
      </c>
      <c r="I625" s="8">
        <f>CHOOSE( CONTROL!$C$32, 15.9296, 15.9274) * CHOOSE(CONTROL!$C$15, $D$11, 100%, $F$11)</f>
        <v>15.929600000000001</v>
      </c>
      <c r="J625" s="4">
        <f>CHOOSE( CONTROL!$C$32, 15.8095, 15.8072) * CHOOSE(CONTROL!$C$15, $D$11, 100%, $F$11)</f>
        <v>15.8095</v>
      </c>
      <c r="K625" s="4"/>
      <c r="L625" s="9">
        <v>29.7257</v>
      </c>
      <c r="M625" s="9">
        <v>11.6745</v>
      </c>
      <c r="N625" s="9">
        <v>4.7850000000000001</v>
      </c>
      <c r="O625" s="9">
        <v>0.36199999999999999</v>
      </c>
      <c r="P625" s="9">
        <v>1.1791</v>
      </c>
      <c r="Q625" s="9">
        <v>19.053000000000001</v>
      </c>
      <c r="R625" s="9"/>
      <c r="S625" s="11"/>
    </row>
    <row r="626" spans="1:19" ht="15.75">
      <c r="A626" s="13">
        <v>60571</v>
      </c>
      <c r="B626" s="8">
        <f>17.2243 * CHOOSE(CONTROL!$C$15, $D$11, 100%, $F$11)</f>
        <v>17.224299999999999</v>
      </c>
      <c r="C626" s="8">
        <f>17.2297 * CHOOSE(CONTROL!$C$15, $D$11, 100%, $F$11)</f>
        <v>17.229700000000001</v>
      </c>
      <c r="D626" s="8">
        <f>17.2605 * CHOOSE( CONTROL!$C$15, $D$11, 100%, $F$11)</f>
        <v>17.2605</v>
      </c>
      <c r="E626" s="12">
        <f>17.2498 * CHOOSE( CONTROL!$C$15, $D$11, 100%, $F$11)</f>
        <v>17.2498</v>
      </c>
      <c r="F626" s="4">
        <f>17.9394 * CHOOSE(CONTROL!$C$15, $D$11, 100%, $F$11)</f>
        <v>17.939399999999999</v>
      </c>
      <c r="G626" s="8">
        <f>16.8085 * CHOOSE( CONTROL!$C$15, $D$11, 100%, $F$11)</f>
        <v>16.808499999999999</v>
      </c>
      <c r="H626" s="4">
        <f>17.7563 * CHOOSE(CONTROL!$C$15, $D$11, 100%, $F$11)</f>
        <v>17.7563</v>
      </c>
      <c r="I626" s="8">
        <f>16.6308 * CHOOSE(CONTROL!$C$15, $D$11, 100%, $F$11)</f>
        <v>16.630800000000001</v>
      </c>
      <c r="J626" s="4">
        <f>16.5095 * CHOOSE(CONTROL!$C$15, $D$11, 100%, $F$11)</f>
        <v>16.509499999999999</v>
      </c>
      <c r="K626" s="4"/>
      <c r="L626" s="9">
        <v>31.095300000000002</v>
      </c>
      <c r="M626" s="9">
        <v>12.063700000000001</v>
      </c>
      <c r="N626" s="9">
        <v>4.9444999999999997</v>
      </c>
      <c r="O626" s="9">
        <v>0.37409999999999999</v>
      </c>
      <c r="P626" s="9">
        <v>1.2183999999999999</v>
      </c>
      <c r="Q626" s="9">
        <v>19.688099999999999</v>
      </c>
      <c r="R626" s="9"/>
      <c r="S626" s="11"/>
    </row>
    <row r="627" spans="1:19" ht="15.75">
      <c r="A627" s="13">
        <v>60601</v>
      </c>
      <c r="B627" s="8">
        <f>18.5739 * CHOOSE(CONTROL!$C$15, $D$11, 100%, $F$11)</f>
        <v>18.573899999999998</v>
      </c>
      <c r="C627" s="8">
        <f>18.5791 * CHOOSE(CONTROL!$C$15, $D$11, 100%, $F$11)</f>
        <v>18.5791</v>
      </c>
      <c r="D627" s="8">
        <f>18.5621 * CHOOSE( CONTROL!$C$15, $D$11, 100%, $F$11)</f>
        <v>18.562100000000001</v>
      </c>
      <c r="E627" s="12">
        <f>18.5678 * CHOOSE( CONTROL!$C$15, $D$11, 100%, $F$11)</f>
        <v>18.567799999999998</v>
      </c>
      <c r="F627" s="4">
        <f>19.2243 * CHOOSE(CONTROL!$C$15, $D$11, 100%, $F$11)</f>
        <v>19.224299999999999</v>
      </c>
      <c r="G627" s="8">
        <f>18.1333 * CHOOSE( CONTROL!$C$15, $D$11, 100%, $F$11)</f>
        <v>18.133299999999998</v>
      </c>
      <c r="H627" s="4">
        <f>19.0113 * CHOOSE(CONTROL!$C$15, $D$11, 100%, $F$11)</f>
        <v>19.011299999999999</v>
      </c>
      <c r="I627" s="8">
        <f>17.9694 * CHOOSE(CONTROL!$C$15, $D$11, 100%, $F$11)</f>
        <v>17.9694</v>
      </c>
      <c r="J627" s="4">
        <f>17.8056 * CHOOSE(CONTROL!$C$15, $D$11, 100%, $F$11)</f>
        <v>17.805599999999998</v>
      </c>
      <c r="K627" s="4"/>
      <c r="L627" s="9">
        <v>28.360600000000002</v>
      </c>
      <c r="M627" s="9">
        <v>11.6745</v>
      </c>
      <c r="N627" s="9">
        <v>4.7850000000000001</v>
      </c>
      <c r="O627" s="9">
        <v>0.36199999999999999</v>
      </c>
      <c r="P627" s="9">
        <v>1.2509999999999999</v>
      </c>
      <c r="Q627" s="9">
        <v>19.053000000000001</v>
      </c>
      <c r="R627" s="9"/>
      <c r="S627" s="11"/>
    </row>
    <row r="628" spans="1:19" ht="15.75">
      <c r="A628" s="13">
        <v>60632</v>
      </c>
      <c r="B628" s="8">
        <f>18.5402 * CHOOSE(CONTROL!$C$15, $D$11, 100%, $F$11)</f>
        <v>18.540199999999999</v>
      </c>
      <c r="C628" s="8">
        <f>18.5453 * CHOOSE(CONTROL!$C$15, $D$11, 100%, $F$11)</f>
        <v>18.545300000000001</v>
      </c>
      <c r="D628" s="8">
        <f>18.5298 * CHOOSE( CONTROL!$C$15, $D$11, 100%, $F$11)</f>
        <v>18.529800000000002</v>
      </c>
      <c r="E628" s="12">
        <f>18.5349 * CHOOSE( CONTROL!$C$15, $D$11, 100%, $F$11)</f>
        <v>18.5349</v>
      </c>
      <c r="F628" s="4">
        <f>19.1906 * CHOOSE(CONTROL!$C$15, $D$11, 100%, $F$11)</f>
        <v>19.1906</v>
      </c>
      <c r="G628" s="8">
        <f>18.1014 * CHOOSE( CONTROL!$C$15, $D$11, 100%, $F$11)</f>
        <v>18.101400000000002</v>
      </c>
      <c r="H628" s="4">
        <f>18.9783 * CHOOSE(CONTROL!$C$15, $D$11, 100%, $F$11)</f>
        <v>18.978300000000001</v>
      </c>
      <c r="I628" s="8">
        <f>17.9417 * CHOOSE(CONTROL!$C$15, $D$11, 100%, $F$11)</f>
        <v>17.941700000000001</v>
      </c>
      <c r="J628" s="4">
        <f>17.7732 * CHOOSE(CONTROL!$C$15, $D$11, 100%, $F$11)</f>
        <v>17.773199999999999</v>
      </c>
      <c r="K628" s="4"/>
      <c r="L628" s="9">
        <v>29.306000000000001</v>
      </c>
      <c r="M628" s="9">
        <v>12.063700000000001</v>
      </c>
      <c r="N628" s="9">
        <v>4.9444999999999997</v>
      </c>
      <c r="O628" s="9">
        <v>0.37409999999999999</v>
      </c>
      <c r="P628" s="9">
        <v>1.2927</v>
      </c>
      <c r="Q628" s="9">
        <v>19.688099999999999</v>
      </c>
      <c r="R628" s="9"/>
      <c r="S628" s="11"/>
    </row>
    <row r="629" spans="1:19" ht="15.75">
      <c r="A629" s="13">
        <v>60663</v>
      </c>
      <c r="B629" s="8">
        <f>19.0862 * CHOOSE(CONTROL!$C$15, $D$11, 100%, $F$11)</f>
        <v>19.086200000000002</v>
      </c>
      <c r="C629" s="8">
        <f>19.0914 * CHOOSE(CONTROL!$C$15, $D$11, 100%, $F$11)</f>
        <v>19.0914</v>
      </c>
      <c r="D629" s="8">
        <f>19.0715 * CHOOSE( CONTROL!$C$15, $D$11, 100%, $F$11)</f>
        <v>19.0715</v>
      </c>
      <c r="E629" s="12">
        <f>19.0782 * CHOOSE( CONTROL!$C$15, $D$11, 100%, $F$11)</f>
        <v>19.078199999999999</v>
      </c>
      <c r="F629" s="4">
        <f>19.7367 * CHOOSE(CONTROL!$C$15, $D$11, 100%, $F$11)</f>
        <v>19.736699999999999</v>
      </c>
      <c r="G629" s="8">
        <f>18.6254 * CHOOSE( CONTROL!$C$15, $D$11, 100%, $F$11)</f>
        <v>18.625399999999999</v>
      </c>
      <c r="H629" s="4">
        <f>19.5116 * CHOOSE(CONTROL!$C$15, $D$11, 100%, $F$11)</f>
        <v>19.511600000000001</v>
      </c>
      <c r="I629" s="8">
        <f>18.4253 * CHOOSE(CONTROL!$C$15, $D$11, 100%, $F$11)</f>
        <v>18.4253</v>
      </c>
      <c r="J629" s="4">
        <f>18.2975 * CHOOSE(CONTROL!$C$15, $D$11, 100%, $F$11)</f>
        <v>18.297499999999999</v>
      </c>
      <c r="K629" s="4"/>
      <c r="L629" s="9">
        <v>29.306000000000001</v>
      </c>
      <c r="M629" s="9">
        <v>12.063700000000001</v>
      </c>
      <c r="N629" s="9">
        <v>4.9444999999999997</v>
      </c>
      <c r="O629" s="9">
        <v>0.37409999999999999</v>
      </c>
      <c r="P629" s="9">
        <v>1.2927</v>
      </c>
      <c r="Q629" s="9">
        <v>19.688099999999999</v>
      </c>
      <c r="R629" s="9"/>
      <c r="S629" s="11"/>
    </row>
    <row r="630" spans="1:19" ht="15.75">
      <c r="A630" s="13">
        <v>60691</v>
      </c>
      <c r="B630" s="8">
        <f>17.8541 * CHOOSE(CONTROL!$C$15, $D$11, 100%, $F$11)</f>
        <v>17.854099999999999</v>
      </c>
      <c r="C630" s="8">
        <f>17.8593 * CHOOSE(CONTROL!$C$15, $D$11, 100%, $F$11)</f>
        <v>17.859300000000001</v>
      </c>
      <c r="D630" s="8">
        <f>17.8394 * CHOOSE( CONTROL!$C$15, $D$11, 100%, $F$11)</f>
        <v>17.839400000000001</v>
      </c>
      <c r="E630" s="12">
        <f>17.8461 * CHOOSE( CONTROL!$C$15, $D$11, 100%, $F$11)</f>
        <v>17.8461</v>
      </c>
      <c r="F630" s="4">
        <f>18.5046 * CHOOSE(CONTROL!$C$15, $D$11, 100%, $F$11)</f>
        <v>18.5046</v>
      </c>
      <c r="G630" s="8">
        <f>17.422 * CHOOSE( CONTROL!$C$15, $D$11, 100%, $F$11)</f>
        <v>17.422000000000001</v>
      </c>
      <c r="H630" s="4">
        <f>18.3083 * CHOOSE(CONTROL!$C$15, $D$11, 100%, $F$11)</f>
        <v>18.308299999999999</v>
      </c>
      <c r="I630" s="8">
        <f>17.2417 * CHOOSE(CONTROL!$C$15, $D$11, 100%, $F$11)</f>
        <v>17.241700000000002</v>
      </c>
      <c r="J630" s="4">
        <f>17.1146 * CHOOSE(CONTROL!$C$15, $D$11, 100%, $F$11)</f>
        <v>17.114599999999999</v>
      </c>
      <c r="K630" s="4"/>
      <c r="L630" s="9">
        <v>26.469899999999999</v>
      </c>
      <c r="M630" s="9">
        <v>10.8962</v>
      </c>
      <c r="N630" s="9">
        <v>4.4660000000000002</v>
      </c>
      <c r="O630" s="9">
        <v>0.33789999999999998</v>
      </c>
      <c r="P630" s="9">
        <v>1.1676</v>
      </c>
      <c r="Q630" s="9">
        <v>17.782800000000002</v>
      </c>
      <c r="R630" s="9"/>
      <c r="S630" s="11"/>
    </row>
    <row r="631" spans="1:19" ht="15.75">
      <c r="A631" s="13">
        <v>60722</v>
      </c>
      <c r="B631" s="8">
        <f>17.4747 * CHOOSE(CONTROL!$C$15, $D$11, 100%, $F$11)</f>
        <v>17.474699999999999</v>
      </c>
      <c r="C631" s="8">
        <f>17.4798 * CHOOSE(CONTROL!$C$15, $D$11, 100%, $F$11)</f>
        <v>17.479800000000001</v>
      </c>
      <c r="D631" s="8">
        <f>17.4596 * CHOOSE( CONTROL!$C$15, $D$11, 100%, $F$11)</f>
        <v>17.459599999999998</v>
      </c>
      <c r="E631" s="12">
        <f>17.4664 * CHOOSE( CONTROL!$C$15, $D$11, 100%, $F$11)</f>
        <v>17.4664</v>
      </c>
      <c r="F631" s="4">
        <f>18.1251 * CHOOSE(CONTROL!$C$15, $D$11, 100%, $F$11)</f>
        <v>18.1251</v>
      </c>
      <c r="G631" s="8">
        <f>17.0512 * CHOOSE( CONTROL!$C$15, $D$11, 100%, $F$11)</f>
        <v>17.051200000000001</v>
      </c>
      <c r="H631" s="4">
        <f>17.9376 * CHOOSE(CONTROL!$C$15, $D$11, 100%, $F$11)</f>
        <v>17.9376</v>
      </c>
      <c r="I631" s="8">
        <f>16.8761 * CHOOSE(CONTROL!$C$15, $D$11, 100%, $F$11)</f>
        <v>16.876100000000001</v>
      </c>
      <c r="J631" s="4">
        <f>16.7502 * CHOOSE(CONTROL!$C$15, $D$11, 100%, $F$11)</f>
        <v>16.7502</v>
      </c>
      <c r="K631" s="4"/>
      <c r="L631" s="9">
        <v>29.306000000000001</v>
      </c>
      <c r="M631" s="9">
        <v>12.063700000000001</v>
      </c>
      <c r="N631" s="9">
        <v>4.9444999999999997</v>
      </c>
      <c r="O631" s="9">
        <v>0.37409999999999999</v>
      </c>
      <c r="P631" s="9">
        <v>1.2927</v>
      </c>
      <c r="Q631" s="9">
        <v>19.688099999999999</v>
      </c>
      <c r="R631" s="9"/>
      <c r="S631" s="11"/>
    </row>
    <row r="632" spans="1:19" ht="15.75">
      <c r="A632" s="13">
        <v>60752</v>
      </c>
      <c r="B632" s="8">
        <f>17.7406 * CHOOSE(CONTROL!$C$15, $D$11, 100%, $F$11)</f>
        <v>17.740600000000001</v>
      </c>
      <c r="C632" s="8">
        <f>17.7452 * CHOOSE(CONTROL!$C$15, $D$11, 100%, $F$11)</f>
        <v>17.745200000000001</v>
      </c>
      <c r="D632" s="8">
        <f>17.7757 * CHOOSE( CONTROL!$C$15, $D$11, 100%, $F$11)</f>
        <v>17.775700000000001</v>
      </c>
      <c r="E632" s="12">
        <f>17.7651 * CHOOSE( CONTROL!$C$15, $D$11, 100%, $F$11)</f>
        <v>17.7651</v>
      </c>
      <c r="F632" s="4">
        <f>18.4554 * CHOOSE(CONTROL!$C$15, $D$11, 100%, $F$11)</f>
        <v>18.455400000000001</v>
      </c>
      <c r="G632" s="8">
        <f>17.3113 * CHOOSE( CONTROL!$C$15, $D$11, 100%, $F$11)</f>
        <v>17.311299999999999</v>
      </c>
      <c r="H632" s="4">
        <f>18.2602 * CHOOSE(CONTROL!$C$15, $D$11, 100%, $F$11)</f>
        <v>18.260200000000001</v>
      </c>
      <c r="I632" s="8">
        <f>17.1228 * CHOOSE(CONTROL!$C$15, $D$11, 100%, $F$11)</f>
        <v>17.122800000000002</v>
      </c>
      <c r="J632" s="4">
        <f>17.0048 * CHOOSE(CONTROL!$C$15, $D$11, 100%, $F$11)</f>
        <v>17.004799999999999</v>
      </c>
      <c r="K632" s="4"/>
      <c r="L632" s="9">
        <v>30.092199999999998</v>
      </c>
      <c r="M632" s="9">
        <v>11.6745</v>
      </c>
      <c r="N632" s="9">
        <v>4.7850000000000001</v>
      </c>
      <c r="O632" s="9">
        <v>0.36199999999999999</v>
      </c>
      <c r="P632" s="9">
        <v>1.1791</v>
      </c>
      <c r="Q632" s="9">
        <v>19.053000000000001</v>
      </c>
      <c r="R632" s="9"/>
      <c r="S632" s="11"/>
    </row>
    <row r="633" spans="1:19" ht="15.75">
      <c r="A633" s="13">
        <v>60783</v>
      </c>
      <c r="B633" s="8">
        <f>CHOOSE( CONTROL!$C$32, 18.2162, 18.2139) * CHOOSE(CONTROL!$C$15, $D$11, 100%, $F$11)</f>
        <v>18.216200000000001</v>
      </c>
      <c r="C633" s="8">
        <f>CHOOSE( CONTROL!$C$32, 18.2243, 18.222) * CHOOSE(CONTROL!$C$15, $D$11, 100%, $F$11)</f>
        <v>18.224299999999999</v>
      </c>
      <c r="D633" s="8">
        <f>CHOOSE( CONTROL!$C$32, 18.2495, 18.2472) * CHOOSE( CONTROL!$C$15, $D$11, 100%, $F$11)</f>
        <v>18.249500000000001</v>
      </c>
      <c r="E633" s="12">
        <f>CHOOSE( CONTROL!$C$32, 18.2391, 18.2368) * CHOOSE( CONTROL!$C$15, $D$11, 100%, $F$11)</f>
        <v>18.239100000000001</v>
      </c>
      <c r="F633" s="4">
        <f>CHOOSE( CONTROL!$C$32, 18.9297, 18.9273) * CHOOSE(CONTROL!$C$15, $D$11, 100%, $F$11)</f>
        <v>18.9297</v>
      </c>
      <c r="G633" s="8">
        <f>CHOOSE( CONTROL!$C$32, 17.7751, 17.7728) * CHOOSE( CONTROL!$C$15, $D$11, 100%, $F$11)</f>
        <v>17.775099999999998</v>
      </c>
      <c r="H633" s="4">
        <f>CHOOSE( CONTROL!$C$32, 18.7234, 18.7212) * CHOOSE(CONTROL!$C$15, $D$11, 100%, $F$11)</f>
        <v>18.723400000000002</v>
      </c>
      <c r="I633" s="8">
        <f>CHOOSE( CONTROL!$C$32, 17.5787, 17.5764) * CHOOSE(CONTROL!$C$15, $D$11, 100%, $F$11)</f>
        <v>17.578700000000001</v>
      </c>
      <c r="J633" s="4">
        <f>CHOOSE( CONTROL!$C$32, 17.4602, 17.4579) * CHOOSE(CONTROL!$C$15, $D$11, 100%, $F$11)</f>
        <v>17.4602</v>
      </c>
      <c r="K633" s="4"/>
      <c r="L633" s="9">
        <v>30.7165</v>
      </c>
      <c r="M633" s="9">
        <v>12.063700000000001</v>
      </c>
      <c r="N633" s="9">
        <v>4.9444999999999997</v>
      </c>
      <c r="O633" s="9">
        <v>0.37409999999999999</v>
      </c>
      <c r="P633" s="9">
        <v>1.2183999999999999</v>
      </c>
      <c r="Q633" s="9">
        <v>19.688099999999999</v>
      </c>
      <c r="R633" s="9"/>
      <c r="S633" s="11"/>
    </row>
    <row r="634" spans="1:19" ht="15.75">
      <c r="A634" s="13">
        <v>60813</v>
      </c>
      <c r="B634" s="8">
        <f>CHOOSE( CONTROL!$C$32, 17.9239, 17.9215) * CHOOSE(CONTROL!$C$15, $D$11, 100%, $F$11)</f>
        <v>17.9239</v>
      </c>
      <c r="C634" s="8">
        <f>CHOOSE( CONTROL!$C$32, 17.932, 17.9296) * CHOOSE(CONTROL!$C$15, $D$11, 100%, $F$11)</f>
        <v>17.931999999999999</v>
      </c>
      <c r="D634" s="8">
        <f>CHOOSE( CONTROL!$C$32, 17.9574, 17.955) * CHOOSE( CONTROL!$C$15, $D$11, 100%, $F$11)</f>
        <v>17.9574</v>
      </c>
      <c r="E634" s="12">
        <f>CHOOSE( CONTROL!$C$32, 17.947, 17.9446) * CHOOSE( CONTROL!$C$15, $D$11, 100%, $F$11)</f>
        <v>17.946999999999999</v>
      </c>
      <c r="F634" s="4">
        <f>CHOOSE( CONTROL!$C$32, 18.6373, 18.635) * CHOOSE(CONTROL!$C$15, $D$11, 100%, $F$11)</f>
        <v>18.6373</v>
      </c>
      <c r="G634" s="8">
        <f>CHOOSE( CONTROL!$C$32, 17.4899, 17.4876) * CHOOSE( CONTROL!$C$15, $D$11, 100%, $F$11)</f>
        <v>17.489899999999999</v>
      </c>
      <c r="H634" s="4">
        <f>CHOOSE( CONTROL!$C$32, 18.4379, 18.4356) * CHOOSE(CONTROL!$C$15, $D$11, 100%, $F$11)</f>
        <v>18.437899999999999</v>
      </c>
      <c r="I634" s="8">
        <f>CHOOSE( CONTROL!$C$32, 17.2988, 17.2966) * CHOOSE(CONTROL!$C$15, $D$11, 100%, $F$11)</f>
        <v>17.2988</v>
      </c>
      <c r="J634" s="4">
        <f>CHOOSE( CONTROL!$C$32, 17.1795, 17.1772) * CHOOSE(CONTROL!$C$15, $D$11, 100%, $F$11)</f>
        <v>17.179500000000001</v>
      </c>
      <c r="K634" s="4"/>
      <c r="L634" s="9">
        <v>29.7257</v>
      </c>
      <c r="M634" s="9">
        <v>11.6745</v>
      </c>
      <c r="N634" s="9">
        <v>4.7850000000000001</v>
      </c>
      <c r="O634" s="9">
        <v>0.36199999999999999</v>
      </c>
      <c r="P634" s="9">
        <v>1.1791</v>
      </c>
      <c r="Q634" s="9">
        <v>19.053000000000001</v>
      </c>
      <c r="R634" s="9"/>
      <c r="S634" s="11"/>
    </row>
    <row r="635" spans="1:19" ht="15.75">
      <c r="A635" s="13">
        <v>60844</v>
      </c>
      <c r="B635" s="8">
        <f>CHOOSE( CONTROL!$C$32, 18.6937, 18.6914) * CHOOSE(CONTROL!$C$15, $D$11, 100%, $F$11)</f>
        <v>18.6937</v>
      </c>
      <c r="C635" s="8">
        <f>CHOOSE( CONTROL!$C$32, 18.7018, 18.6995) * CHOOSE(CONTROL!$C$15, $D$11, 100%, $F$11)</f>
        <v>18.701799999999999</v>
      </c>
      <c r="D635" s="8">
        <f>CHOOSE( CONTROL!$C$32, 18.7275, 18.7251) * CHOOSE( CONTROL!$C$15, $D$11, 100%, $F$11)</f>
        <v>18.727499999999999</v>
      </c>
      <c r="E635" s="12">
        <f>CHOOSE( CONTROL!$C$32, 18.717, 18.7146) * CHOOSE( CONTROL!$C$15, $D$11, 100%, $F$11)</f>
        <v>18.716999999999999</v>
      </c>
      <c r="F635" s="4">
        <f>CHOOSE( CONTROL!$C$32, 19.4072, 19.4048) * CHOOSE(CONTROL!$C$15, $D$11, 100%, $F$11)</f>
        <v>19.4072</v>
      </c>
      <c r="G635" s="8">
        <f>CHOOSE( CONTROL!$C$32, 18.2422, 18.2399) * CHOOSE( CONTROL!$C$15, $D$11, 100%, $F$11)</f>
        <v>18.2422</v>
      </c>
      <c r="H635" s="4">
        <f>CHOOSE( CONTROL!$C$32, 19.1898, 19.1875) * CHOOSE(CONTROL!$C$15, $D$11, 100%, $F$11)</f>
        <v>19.189800000000002</v>
      </c>
      <c r="I635" s="8">
        <f>CHOOSE( CONTROL!$C$32, 18.0396, 18.0373) * CHOOSE(CONTROL!$C$15, $D$11, 100%, $F$11)</f>
        <v>18.0396</v>
      </c>
      <c r="J635" s="4">
        <f>CHOOSE( CONTROL!$C$32, 17.9186, 17.9164) * CHOOSE(CONTROL!$C$15, $D$11, 100%, $F$11)</f>
        <v>17.918600000000001</v>
      </c>
      <c r="K635" s="4"/>
      <c r="L635" s="9">
        <v>30.7165</v>
      </c>
      <c r="M635" s="9">
        <v>12.063700000000001</v>
      </c>
      <c r="N635" s="9">
        <v>4.9444999999999997</v>
      </c>
      <c r="O635" s="9">
        <v>0.37409999999999999</v>
      </c>
      <c r="P635" s="9">
        <v>1.2183999999999999</v>
      </c>
      <c r="Q635" s="9">
        <v>19.688099999999999</v>
      </c>
      <c r="R635" s="9"/>
      <c r="S635" s="11"/>
    </row>
    <row r="636" spans="1:19" ht="15.75">
      <c r="A636" s="13">
        <v>60875</v>
      </c>
      <c r="B636" s="8">
        <f>CHOOSE( CONTROL!$C$32, 17.2533, 17.2509) * CHOOSE(CONTROL!$C$15, $D$11, 100%, $F$11)</f>
        <v>17.253299999999999</v>
      </c>
      <c r="C636" s="8">
        <f>CHOOSE( CONTROL!$C$32, 17.2613, 17.259) * CHOOSE(CONTROL!$C$15, $D$11, 100%, $F$11)</f>
        <v>17.261299999999999</v>
      </c>
      <c r="D636" s="8">
        <f>CHOOSE( CONTROL!$C$32, 17.2871, 17.2847) * CHOOSE( CONTROL!$C$15, $D$11, 100%, $F$11)</f>
        <v>17.287099999999999</v>
      </c>
      <c r="E636" s="12">
        <f>CHOOSE( CONTROL!$C$32, 17.2765, 17.2742) * CHOOSE( CONTROL!$C$15, $D$11, 100%, $F$11)</f>
        <v>17.276499999999999</v>
      </c>
      <c r="F636" s="4">
        <f>CHOOSE( CONTROL!$C$32, 17.9667, 17.9643) * CHOOSE(CONTROL!$C$15, $D$11, 100%, $F$11)</f>
        <v>17.966699999999999</v>
      </c>
      <c r="G636" s="8">
        <f>CHOOSE( CONTROL!$C$32, 16.8354, 16.8331) * CHOOSE( CONTROL!$C$15, $D$11, 100%, $F$11)</f>
        <v>16.8354</v>
      </c>
      <c r="H636" s="4">
        <f>CHOOSE( CONTROL!$C$32, 17.7829, 17.7806) * CHOOSE(CONTROL!$C$15, $D$11, 100%, $F$11)</f>
        <v>17.782900000000001</v>
      </c>
      <c r="I636" s="8">
        <f>CHOOSE( CONTROL!$C$32, 16.6562, 16.654) * CHOOSE(CONTROL!$C$15, $D$11, 100%, $F$11)</f>
        <v>16.656199999999998</v>
      </c>
      <c r="J636" s="4">
        <f>CHOOSE( CONTROL!$C$32, 16.5356, 16.5334) * CHOOSE(CONTROL!$C$15, $D$11, 100%, $F$11)</f>
        <v>16.535599999999999</v>
      </c>
      <c r="K636" s="4"/>
      <c r="L636" s="9">
        <v>30.7165</v>
      </c>
      <c r="M636" s="9">
        <v>12.063700000000001</v>
      </c>
      <c r="N636" s="9">
        <v>4.9444999999999997</v>
      </c>
      <c r="O636" s="9">
        <v>0.37409999999999999</v>
      </c>
      <c r="P636" s="9">
        <v>1.2183999999999999</v>
      </c>
      <c r="Q636" s="9">
        <v>19.688099999999999</v>
      </c>
      <c r="R636" s="9"/>
      <c r="S636" s="11"/>
    </row>
    <row r="637" spans="1:19" ht="15.75">
      <c r="A637" s="13">
        <v>60905</v>
      </c>
      <c r="B637" s="8">
        <f>CHOOSE( CONTROL!$C$32, 16.8925, 16.8902) * CHOOSE(CONTROL!$C$15, $D$11, 100%, $F$11)</f>
        <v>16.892499999999998</v>
      </c>
      <c r="C637" s="8">
        <f>CHOOSE( CONTROL!$C$32, 16.9006, 16.8983) * CHOOSE(CONTROL!$C$15, $D$11, 100%, $F$11)</f>
        <v>16.900600000000001</v>
      </c>
      <c r="D637" s="8">
        <f>CHOOSE( CONTROL!$C$32, 16.9263, 16.924) * CHOOSE( CONTROL!$C$15, $D$11, 100%, $F$11)</f>
        <v>16.926300000000001</v>
      </c>
      <c r="E637" s="12">
        <f>CHOOSE( CONTROL!$C$32, 16.9158, 16.9135) * CHOOSE( CONTROL!$C$15, $D$11, 100%, $F$11)</f>
        <v>16.915800000000001</v>
      </c>
      <c r="F637" s="4">
        <f>CHOOSE( CONTROL!$C$32, 17.606, 17.6036) * CHOOSE(CONTROL!$C$15, $D$11, 100%, $F$11)</f>
        <v>17.606000000000002</v>
      </c>
      <c r="G637" s="8">
        <f>CHOOSE( CONTROL!$C$32, 16.483, 16.4807) * CHOOSE( CONTROL!$C$15, $D$11, 100%, $F$11)</f>
        <v>16.483000000000001</v>
      </c>
      <c r="H637" s="4">
        <f>CHOOSE( CONTROL!$C$32, 17.4306, 17.4283) * CHOOSE(CONTROL!$C$15, $D$11, 100%, $F$11)</f>
        <v>17.430599999999998</v>
      </c>
      <c r="I637" s="8">
        <f>CHOOSE( CONTROL!$C$32, 16.3096, 16.3074) * CHOOSE(CONTROL!$C$15, $D$11, 100%, $F$11)</f>
        <v>16.3096</v>
      </c>
      <c r="J637" s="4">
        <f>CHOOSE( CONTROL!$C$32, 16.1893, 16.1871) * CHOOSE(CONTROL!$C$15, $D$11, 100%, $F$11)</f>
        <v>16.189299999999999</v>
      </c>
      <c r="K637" s="4"/>
      <c r="L637" s="9">
        <v>29.7257</v>
      </c>
      <c r="M637" s="9">
        <v>11.6745</v>
      </c>
      <c r="N637" s="9">
        <v>4.7850000000000001</v>
      </c>
      <c r="O637" s="9">
        <v>0.36199999999999999</v>
      </c>
      <c r="P637" s="9">
        <v>1.1791</v>
      </c>
      <c r="Q637" s="9">
        <v>19.053000000000001</v>
      </c>
      <c r="R637" s="9"/>
      <c r="S637" s="11"/>
    </row>
    <row r="638" spans="1:19" ht="15.75">
      <c r="A638" s="13">
        <v>60936</v>
      </c>
      <c r="B638" s="8">
        <f>17.6374 * CHOOSE(CONTROL!$C$15, $D$11, 100%, $F$11)</f>
        <v>17.6374</v>
      </c>
      <c r="C638" s="8">
        <f>17.6429 * CHOOSE(CONTROL!$C$15, $D$11, 100%, $F$11)</f>
        <v>17.642900000000001</v>
      </c>
      <c r="D638" s="8">
        <f>17.6737 * CHOOSE( CONTROL!$C$15, $D$11, 100%, $F$11)</f>
        <v>17.6737</v>
      </c>
      <c r="E638" s="12">
        <f>17.6629 * CHOOSE( CONTROL!$C$15, $D$11, 100%, $F$11)</f>
        <v>17.6629</v>
      </c>
      <c r="F638" s="4">
        <f>18.3526 * CHOOSE(CONTROL!$C$15, $D$11, 100%, $F$11)</f>
        <v>18.352599999999999</v>
      </c>
      <c r="G638" s="8">
        <f>17.212 * CHOOSE( CONTROL!$C$15, $D$11, 100%, $F$11)</f>
        <v>17.212</v>
      </c>
      <c r="H638" s="4">
        <f>18.1598 * CHOOSE(CONTROL!$C$15, $D$11, 100%, $F$11)</f>
        <v>18.159800000000001</v>
      </c>
      <c r="I638" s="8">
        <f>17.0276 * CHOOSE(CONTROL!$C$15, $D$11, 100%, $F$11)</f>
        <v>17.0276</v>
      </c>
      <c r="J638" s="4">
        <f>16.9061 * CHOOSE(CONTROL!$C$15, $D$11, 100%, $F$11)</f>
        <v>16.906099999999999</v>
      </c>
      <c r="K638" s="4"/>
      <c r="L638" s="9">
        <v>31.095300000000002</v>
      </c>
      <c r="M638" s="9">
        <v>12.063700000000001</v>
      </c>
      <c r="N638" s="9">
        <v>4.9444999999999997</v>
      </c>
      <c r="O638" s="9">
        <v>0.37409999999999999</v>
      </c>
      <c r="P638" s="9">
        <v>1.2183999999999999</v>
      </c>
      <c r="Q638" s="9">
        <v>19.688099999999999</v>
      </c>
      <c r="R638" s="9"/>
      <c r="S638" s="11"/>
    </row>
    <row r="639" spans="1:19" ht="15.75">
      <c r="A639" s="13">
        <v>60966</v>
      </c>
      <c r="B639" s="8">
        <f>19.0195 * CHOOSE(CONTROL!$C$15, $D$11, 100%, $F$11)</f>
        <v>19.019500000000001</v>
      </c>
      <c r="C639" s="8">
        <f>19.0247 * CHOOSE(CONTROL!$C$15, $D$11, 100%, $F$11)</f>
        <v>19.024699999999999</v>
      </c>
      <c r="D639" s="8">
        <f>19.0077 * CHOOSE( CONTROL!$C$15, $D$11, 100%, $F$11)</f>
        <v>19.0077</v>
      </c>
      <c r="E639" s="12">
        <f>19.0134 * CHOOSE( CONTROL!$C$15, $D$11, 100%, $F$11)</f>
        <v>19.013400000000001</v>
      </c>
      <c r="F639" s="4">
        <f>19.6699 * CHOOSE(CONTROL!$C$15, $D$11, 100%, $F$11)</f>
        <v>19.669899999999998</v>
      </c>
      <c r="G639" s="8">
        <f>18.5685 * CHOOSE( CONTROL!$C$15, $D$11, 100%, $F$11)</f>
        <v>18.5685</v>
      </c>
      <c r="H639" s="4">
        <f>19.4465 * CHOOSE(CONTROL!$C$15, $D$11, 100%, $F$11)</f>
        <v>19.4465</v>
      </c>
      <c r="I639" s="8">
        <f>18.3974 * CHOOSE(CONTROL!$C$15, $D$11, 100%, $F$11)</f>
        <v>18.397400000000001</v>
      </c>
      <c r="J639" s="4">
        <f>18.2334 * CHOOSE(CONTROL!$C$15, $D$11, 100%, $F$11)</f>
        <v>18.2334</v>
      </c>
      <c r="K639" s="4"/>
      <c r="L639" s="9">
        <v>28.360600000000002</v>
      </c>
      <c r="M639" s="9">
        <v>11.6745</v>
      </c>
      <c r="N639" s="9">
        <v>4.7850000000000001</v>
      </c>
      <c r="O639" s="9">
        <v>0.36199999999999999</v>
      </c>
      <c r="P639" s="9">
        <v>1.2509999999999999</v>
      </c>
      <c r="Q639" s="9">
        <v>19.053000000000001</v>
      </c>
      <c r="R639" s="9"/>
      <c r="S639" s="11"/>
    </row>
    <row r="640" spans="1:19" ht="15.75">
      <c r="A640" s="13">
        <v>60997</v>
      </c>
      <c r="B640" s="8">
        <f>18.9849 * CHOOSE(CONTROL!$C$15, $D$11, 100%, $F$11)</f>
        <v>18.9849</v>
      </c>
      <c r="C640" s="8">
        <f>18.9901 * CHOOSE(CONTROL!$C$15, $D$11, 100%, $F$11)</f>
        <v>18.990100000000002</v>
      </c>
      <c r="D640" s="8">
        <f>18.9746 * CHOOSE( CONTROL!$C$15, $D$11, 100%, $F$11)</f>
        <v>18.974599999999999</v>
      </c>
      <c r="E640" s="12">
        <f>18.9797 * CHOOSE( CONTROL!$C$15, $D$11, 100%, $F$11)</f>
        <v>18.979700000000001</v>
      </c>
      <c r="F640" s="4">
        <f>19.6354 * CHOOSE(CONTROL!$C$15, $D$11, 100%, $F$11)</f>
        <v>19.635400000000001</v>
      </c>
      <c r="G640" s="8">
        <f>18.5358 * CHOOSE( CONTROL!$C$15, $D$11, 100%, $F$11)</f>
        <v>18.535799999999998</v>
      </c>
      <c r="H640" s="4">
        <f>19.4127 * CHOOSE(CONTROL!$C$15, $D$11, 100%, $F$11)</f>
        <v>19.412700000000001</v>
      </c>
      <c r="I640" s="8">
        <f>18.369 * CHOOSE(CONTROL!$C$15, $D$11, 100%, $F$11)</f>
        <v>18.369</v>
      </c>
      <c r="J640" s="4">
        <f>18.2003 * CHOOSE(CONTROL!$C$15, $D$11, 100%, $F$11)</f>
        <v>18.200299999999999</v>
      </c>
      <c r="K640" s="4"/>
      <c r="L640" s="9">
        <v>29.306000000000001</v>
      </c>
      <c r="M640" s="9">
        <v>12.063700000000001</v>
      </c>
      <c r="N640" s="9">
        <v>4.9444999999999997</v>
      </c>
      <c r="O640" s="9">
        <v>0.37409999999999999</v>
      </c>
      <c r="P640" s="9">
        <v>1.2927</v>
      </c>
      <c r="Q640" s="9">
        <v>19.688099999999999</v>
      </c>
      <c r="R640" s="9"/>
      <c r="S640" s="11"/>
    </row>
    <row r="641" spans="1:19" ht="15.75">
      <c r="A641" s="13">
        <v>61028</v>
      </c>
      <c r="B641" s="8">
        <f>19.5441 * CHOOSE(CONTROL!$C$15, $D$11, 100%, $F$11)</f>
        <v>19.5441</v>
      </c>
      <c r="C641" s="8">
        <f>19.5493 * CHOOSE(CONTROL!$C$15, $D$11, 100%, $F$11)</f>
        <v>19.549299999999999</v>
      </c>
      <c r="D641" s="8">
        <f>19.5294 * CHOOSE( CONTROL!$C$15, $D$11, 100%, $F$11)</f>
        <v>19.529399999999999</v>
      </c>
      <c r="E641" s="12">
        <f>19.5361 * CHOOSE( CONTROL!$C$15, $D$11, 100%, $F$11)</f>
        <v>19.536100000000001</v>
      </c>
      <c r="F641" s="4">
        <f>20.1946 * CHOOSE(CONTROL!$C$15, $D$11, 100%, $F$11)</f>
        <v>20.194600000000001</v>
      </c>
      <c r="G641" s="8">
        <f>19.0727 * CHOOSE( CONTROL!$C$15, $D$11, 100%, $F$11)</f>
        <v>19.072700000000001</v>
      </c>
      <c r="H641" s="4">
        <f>19.9589 * CHOOSE(CONTROL!$C$15, $D$11, 100%, $F$11)</f>
        <v>19.9589</v>
      </c>
      <c r="I641" s="8">
        <f>18.8652 * CHOOSE(CONTROL!$C$15, $D$11, 100%, $F$11)</f>
        <v>18.865200000000002</v>
      </c>
      <c r="J641" s="4">
        <f>18.7371 * CHOOSE(CONTROL!$C$15, $D$11, 100%, $F$11)</f>
        <v>18.737100000000002</v>
      </c>
      <c r="K641" s="4"/>
      <c r="L641" s="9">
        <v>29.306000000000001</v>
      </c>
      <c r="M641" s="9">
        <v>12.063700000000001</v>
      </c>
      <c r="N641" s="9">
        <v>4.9444999999999997</v>
      </c>
      <c r="O641" s="9">
        <v>0.37409999999999999</v>
      </c>
      <c r="P641" s="9">
        <v>1.2927</v>
      </c>
      <c r="Q641" s="9">
        <v>19.688099999999999</v>
      </c>
      <c r="R641" s="9"/>
      <c r="S641" s="11"/>
    </row>
    <row r="642" spans="1:19" ht="15.75">
      <c r="A642" s="13">
        <v>61056</v>
      </c>
      <c r="B642" s="8">
        <f>18.2824 * CHOOSE(CONTROL!$C$15, $D$11, 100%, $F$11)</f>
        <v>18.282399999999999</v>
      </c>
      <c r="C642" s="8">
        <f>18.2876 * CHOOSE(CONTROL!$C$15, $D$11, 100%, $F$11)</f>
        <v>18.287600000000001</v>
      </c>
      <c r="D642" s="8">
        <f>18.2677 * CHOOSE( CONTROL!$C$15, $D$11, 100%, $F$11)</f>
        <v>18.267700000000001</v>
      </c>
      <c r="E642" s="12">
        <f>18.2744 * CHOOSE( CONTROL!$C$15, $D$11, 100%, $F$11)</f>
        <v>18.2744</v>
      </c>
      <c r="F642" s="4">
        <f>18.9329 * CHOOSE(CONTROL!$C$15, $D$11, 100%, $F$11)</f>
        <v>18.9329</v>
      </c>
      <c r="G642" s="8">
        <f>17.8404 * CHOOSE( CONTROL!$C$15, $D$11, 100%, $F$11)</f>
        <v>17.840399999999999</v>
      </c>
      <c r="H642" s="4">
        <f>18.7266 * CHOOSE(CONTROL!$C$15, $D$11, 100%, $F$11)</f>
        <v>18.726600000000001</v>
      </c>
      <c r="I642" s="8">
        <f>17.6531 * CHOOSE(CONTROL!$C$15, $D$11, 100%, $F$11)</f>
        <v>17.653099999999998</v>
      </c>
      <c r="J642" s="4">
        <f>17.5258 * CHOOSE(CONTROL!$C$15, $D$11, 100%, $F$11)</f>
        <v>17.5258</v>
      </c>
      <c r="K642" s="4"/>
      <c r="L642" s="9">
        <v>26.469899999999999</v>
      </c>
      <c r="M642" s="9">
        <v>10.8962</v>
      </c>
      <c r="N642" s="9">
        <v>4.4660000000000002</v>
      </c>
      <c r="O642" s="9">
        <v>0.33789999999999998</v>
      </c>
      <c r="P642" s="9">
        <v>1.1676</v>
      </c>
      <c r="Q642" s="9">
        <v>17.782800000000002</v>
      </c>
      <c r="R642" s="9"/>
      <c r="S642" s="11"/>
    </row>
    <row r="643" spans="1:19" ht="15.75">
      <c r="A643" s="13">
        <v>61087</v>
      </c>
      <c r="B643" s="8">
        <f>17.8939 * CHOOSE(CONTROL!$C$15, $D$11, 100%, $F$11)</f>
        <v>17.893899999999999</v>
      </c>
      <c r="C643" s="8">
        <f>17.899 * CHOOSE(CONTROL!$C$15, $D$11, 100%, $F$11)</f>
        <v>17.899000000000001</v>
      </c>
      <c r="D643" s="8">
        <f>17.8788 * CHOOSE( CONTROL!$C$15, $D$11, 100%, $F$11)</f>
        <v>17.878799999999998</v>
      </c>
      <c r="E643" s="12">
        <f>17.8856 * CHOOSE( CONTROL!$C$15, $D$11, 100%, $F$11)</f>
        <v>17.8856</v>
      </c>
      <c r="F643" s="4">
        <f>18.5443 * CHOOSE(CONTROL!$C$15, $D$11, 100%, $F$11)</f>
        <v>18.5443</v>
      </c>
      <c r="G643" s="8">
        <f>17.4606 * CHOOSE( CONTROL!$C$15, $D$11, 100%, $F$11)</f>
        <v>17.460599999999999</v>
      </c>
      <c r="H643" s="4">
        <f>18.3471 * CHOOSE(CONTROL!$C$15, $D$11, 100%, $F$11)</f>
        <v>18.347100000000001</v>
      </c>
      <c r="I643" s="8">
        <f>17.2788 * CHOOSE(CONTROL!$C$15, $D$11, 100%, $F$11)</f>
        <v>17.2788</v>
      </c>
      <c r="J643" s="4">
        <f>17.1527 * CHOOSE(CONTROL!$C$15, $D$11, 100%, $F$11)</f>
        <v>17.152699999999999</v>
      </c>
      <c r="K643" s="4"/>
      <c r="L643" s="9">
        <v>29.306000000000001</v>
      </c>
      <c r="M643" s="9">
        <v>12.063700000000001</v>
      </c>
      <c r="N643" s="9">
        <v>4.9444999999999997</v>
      </c>
      <c r="O643" s="9">
        <v>0.37409999999999999</v>
      </c>
      <c r="P643" s="9">
        <v>1.2927</v>
      </c>
      <c r="Q643" s="9">
        <v>19.688099999999999</v>
      </c>
      <c r="R643" s="9"/>
      <c r="S643" s="11"/>
    </row>
    <row r="644" spans="1:19" ht="15.75">
      <c r="A644" s="13">
        <v>61117</v>
      </c>
      <c r="B644" s="8">
        <f>18.1662 * CHOOSE(CONTROL!$C$15, $D$11, 100%, $F$11)</f>
        <v>18.1662</v>
      </c>
      <c r="C644" s="8">
        <f>18.1708 * CHOOSE(CONTROL!$C$15, $D$11, 100%, $F$11)</f>
        <v>18.1708</v>
      </c>
      <c r="D644" s="8">
        <f>18.2013 * CHOOSE( CONTROL!$C$15, $D$11, 100%, $F$11)</f>
        <v>18.2013</v>
      </c>
      <c r="E644" s="12">
        <f>18.1907 * CHOOSE( CONTROL!$C$15, $D$11, 100%, $F$11)</f>
        <v>18.1907</v>
      </c>
      <c r="F644" s="4">
        <f>18.881 * CHOOSE(CONTROL!$C$15, $D$11, 100%, $F$11)</f>
        <v>18.881</v>
      </c>
      <c r="G644" s="8">
        <f>17.727 * CHOOSE( CONTROL!$C$15, $D$11, 100%, $F$11)</f>
        <v>17.727</v>
      </c>
      <c r="H644" s="4">
        <f>18.6759 * CHOOSE(CONTROL!$C$15, $D$11, 100%, $F$11)</f>
        <v>18.675899999999999</v>
      </c>
      <c r="I644" s="8">
        <f>17.5316 * CHOOSE(CONTROL!$C$15, $D$11, 100%, $F$11)</f>
        <v>17.531600000000001</v>
      </c>
      <c r="J644" s="4">
        <f>17.4134 * CHOOSE(CONTROL!$C$15, $D$11, 100%, $F$11)</f>
        <v>17.413399999999999</v>
      </c>
      <c r="K644" s="4"/>
      <c r="L644" s="9">
        <v>30.092199999999998</v>
      </c>
      <c r="M644" s="9">
        <v>11.6745</v>
      </c>
      <c r="N644" s="9">
        <v>4.7850000000000001</v>
      </c>
      <c r="O644" s="9">
        <v>0.36199999999999999</v>
      </c>
      <c r="P644" s="9">
        <v>1.1791</v>
      </c>
      <c r="Q644" s="9">
        <v>19.053000000000001</v>
      </c>
      <c r="R644" s="9"/>
      <c r="S644" s="11"/>
    </row>
    <row r="645" spans="1:19" ht="15.75">
      <c r="A645" s="13">
        <v>61148</v>
      </c>
      <c r="B645" s="8">
        <f>CHOOSE( CONTROL!$C$32, 18.6531, 18.6508) * CHOOSE(CONTROL!$C$15, $D$11, 100%, $F$11)</f>
        <v>18.653099999999998</v>
      </c>
      <c r="C645" s="8">
        <f>CHOOSE( CONTROL!$C$32, 18.6612, 18.6589) * CHOOSE(CONTROL!$C$15, $D$11, 100%, $F$11)</f>
        <v>18.661200000000001</v>
      </c>
      <c r="D645" s="8">
        <f>CHOOSE( CONTROL!$C$32, 18.6864, 18.6841) * CHOOSE( CONTROL!$C$15, $D$11, 100%, $F$11)</f>
        <v>18.686399999999999</v>
      </c>
      <c r="E645" s="12">
        <f>CHOOSE( CONTROL!$C$32, 18.676, 18.6737) * CHOOSE( CONTROL!$C$15, $D$11, 100%, $F$11)</f>
        <v>18.675999999999998</v>
      </c>
      <c r="F645" s="4">
        <f>CHOOSE( CONTROL!$C$32, 19.3666, 19.3642) * CHOOSE(CONTROL!$C$15, $D$11, 100%, $F$11)</f>
        <v>19.366599999999998</v>
      </c>
      <c r="G645" s="8">
        <f>CHOOSE( CONTROL!$C$32, 18.2018, 18.1996) * CHOOSE( CONTROL!$C$15, $D$11, 100%, $F$11)</f>
        <v>18.201799999999999</v>
      </c>
      <c r="H645" s="4">
        <f>CHOOSE( CONTROL!$C$32, 19.1502, 19.1479) * CHOOSE(CONTROL!$C$15, $D$11, 100%, $F$11)</f>
        <v>19.150200000000002</v>
      </c>
      <c r="I645" s="8">
        <f>CHOOSE( CONTROL!$C$32, 17.9984, 17.9961) * CHOOSE(CONTROL!$C$15, $D$11, 100%, $F$11)</f>
        <v>17.9984</v>
      </c>
      <c r="J645" s="4">
        <f>CHOOSE( CONTROL!$C$32, 17.8797, 17.8774) * CHOOSE(CONTROL!$C$15, $D$11, 100%, $F$11)</f>
        <v>17.8797</v>
      </c>
      <c r="K645" s="4"/>
      <c r="L645" s="9">
        <v>30.7165</v>
      </c>
      <c r="M645" s="9">
        <v>12.063700000000001</v>
      </c>
      <c r="N645" s="9">
        <v>4.9444999999999997</v>
      </c>
      <c r="O645" s="9">
        <v>0.37409999999999999</v>
      </c>
      <c r="P645" s="9">
        <v>1.2183999999999999</v>
      </c>
      <c r="Q645" s="9">
        <v>19.688099999999999</v>
      </c>
      <c r="R645" s="9"/>
      <c r="S645" s="11"/>
    </row>
    <row r="646" spans="1:19" ht="15.75">
      <c r="A646" s="13">
        <v>61178</v>
      </c>
      <c r="B646" s="8">
        <f>CHOOSE( CONTROL!$C$32, 18.3538, 18.3514) * CHOOSE(CONTROL!$C$15, $D$11, 100%, $F$11)</f>
        <v>18.3538</v>
      </c>
      <c r="C646" s="8">
        <f>CHOOSE( CONTROL!$C$32, 18.3619, 18.3595) * CHOOSE(CONTROL!$C$15, $D$11, 100%, $F$11)</f>
        <v>18.361899999999999</v>
      </c>
      <c r="D646" s="8">
        <f>CHOOSE( CONTROL!$C$32, 18.3873, 18.3849) * CHOOSE( CONTROL!$C$15, $D$11, 100%, $F$11)</f>
        <v>18.3873</v>
      </c>
      <c r="E646" s="12">
        <f>CHOOSE( CONTROL!$C$32, 18.3769, 18.3745) * CHOOSE( CONTROL!$C$15, $D$11, 100%, $F$11)</f>
        <v>18.376899999999999</v>
      </c>
      <c r="F646" s="4">
        <f>CHOOSE( CONTROL!$C$32, 19.0672, 19.0649) * CHOOSE(CONTROL!$C$15, $D$11, 100%, $F$11)</f>
        <v>19.0672</v>
      </c>
      <c r="G646" s="8">
        <f>CHOOSE( CONTROL!$C$32, 17.9098, 17.9075) * CHOOSE( CONTROL!$C$15, $D$11, 100%, $F$11)</f>
        <v>17.909800000000001</v>
      </c>
      <c r="H646" s="4">
        <f>CHOOSE( CONTROL!$C$32, 18.8578, 18.8555) * CHOOSE(CONTROL!$C$15, $D$11, 100%, $F$11)</f>
        <v>18.857800000000001</v>
      </c>
      <c r="I646" s="8">
        <f>CHOOSE( CONTROL!$C$32, 17.7118, 17.7095) * CHOOSE(CONTROL!$C$15, $D$11, 100%, $F$11)</f>
        <v>17.7118</v>
      </c>
      <c r="J646" s="4">
        <f>CHOOSE( CONTROL!$C$32, 17.5922, 17.59) * CHOOSE(CONTROL!$C$15, $D$11, 100%, $F$11)</f>
        <v>17.592199999999998</v>
      </c>
      <c r="K646" s="4"/>
      <c r="L646" s="9">
        <v>29.7257</v>
      </c>
      <c r="M646" s="9">
        <v>11.6745</v>
      </c>
      <c r="N646" s="9">
        <v>4.7850000000000001</v>
      </c>
      <c r="O646" s="9">
        <v>0.36199999999999999</v>
      </c>
      <c r="P646" s="9">
        <v>1.1791</v>
      </c>
      <c r="Q646" s="9">
        <v>19.053000000000001</v>
      </c>
      <c r="R646" s="9"/>
      <c r="S646" s="11"/>
    </row>
    <row r="647" spans="1:19" ht="15.75">
      <c r="A647" s="13">
        <v>61209</v>
      </c>
      <c r="B647" s="8">
        <f>CHOOSE( CONTROL!$C$32, 19.1421, 19.1398) * CHOOSE(CONTROL!$C$15, $D$11, 100%, $F$11)</f>
        <v>19.142099999999999</v>
      </c>
      <c r="C647" s="8">
        <f>CHOOSE( CONTROL!$C$32, 19.1502, 19.1479) * CHOOSE(CONTROL!$C$15, $D$11, 100%, $F$11)</f>
        <v>19.150200000000002</v>
      </c>
      <c r="D647" s="8">
        <f>CHOOSE( CONTROL!$C$32, 19.1759, 19.1735) * CHOOSE( CONTROL!$C$15, $D$11, 100%, $F$11)</f>
        <v>19.175899999999999</v>
      </c>
      <c r="E647" s="12">
        <f>CHOOSE( CONTROL!$C$32, 19.1654, 19.163) * CHOOSE( CONTROL!$C$15, $D$11, 100%, $F$11)</f>
        <v>19.165400000000002</v>
      </c>
      <c r="F647" s="4">
        <f>CHOOSE( CONTROL!$C$32, 19.8556, 19.8532) * CHOOSE(CONTROL!$C$15, $D$11, 100%, $F$11)</f>
        <v>19.855599999999999</v>
      </c>
      <c r="G647" s="8">
        <f>CHOOSE( CONTROL!$C$32, 18.6801, 18.6778) * CHOOSE( CONTROL!$C$15, $D$11, 100%, $F$11)</f>
        <v>18.680099999999999</v>
      </c>
      <c r="H647" s="4">
        <f>CHOOSE( CONTROL!$C$32, 19.6278, 19.6255) * CHOOSE(CONTROL!$C$15, $D$11, 100%, $F$11)</f>
        <v>19.627800000000001</v>
      </c>
      <c r="I647" s="8">
        <f>CHOOSE( CONTROL!$C$32, 18.4703, 18.468) * CHOOSE(CONTROL!$C$15, $D$11, 100%, $F$11)</f>
        <v>18.470300000000002</v>
      </c>
      <c r="J647" s="4">
        <f>CHOOSE( CONTROL!$C$32, 18.3491, 18.3469) * CHOOSE(CONTROL!$C$15, $D$11, 100%, $F$11)</f>
        <v>18.3491</v>
      </c>
      <c r="K647" s="4"/>
      <c r="L647" s="9">
        <v>30.7165</v>
      </c>
      <c r="M647" s="9">
        <v>12.063700000000001</v>
      </c>
      <c r="N647" s="9">
        <v>4.9444999999999997</v>
      </c>
      <c r="O647" s="9">
        <v>0.37409999999999999</v>
      </c>
      <c r="P647" s="9">
        <v>1.2183999999999999</v>
      </c>
      <c r="Q647" s="9">
        <v>19.688099999999999</v>
      </c>
      <c r="R647" s="9"/>
      <c r="S647" s="11"/>
    </row>
    <row r="648" spans="1:19" ht="15.75">
      <c r="A648" s="13">
        <v>61240</v>
      </c>
      <c r="B648" s="8">
        <f>CHOOSE( CONTROL!$C$32, 17.667, 17.6647) * CHOOSE(CONTROL!$C$15, $D$11, 100%, $F$11)</f>
        <v>17.667000000000002</v>
      </c>
      <c r="C648" s="8">
        <f>CHOOSE( CONTROL!$C$32, 17.6751, 17.6728) * CHOOSE(CONTROL!$C$15, $D$11, 100%, $F$11)</f>
        <v>17.6751</v>
      </c>
      <c r="D648" s="8">
        <f>CHOOSE( CONTROL!$C$32, 17.7008, 17.6985) * CHOOSE( CONTROL!$C$15, $D$11, 100%, $F$11)</f>
        <v>17.700800000000001</v>
      </c>
      <c r="E648" s="12">
        <f>CHOOSE( CONTROL!$C$32, 17.6903, 17.688) * CHOOSE( CONTROL!$C$15, $D$11, 100%, $F$11)</f>
        <v>17.690300000000001</v>
      </c>
      <c r="F648" s="4">
        <f>CHOOSE( CONTROL!$C$32, 18.3805, 18.3781) * CHOOSE(CONTROL!$C$15, $D$11, 100%, $F$11)</f>
        <v>18.380500000000001</v>
      </c>
      <c r="G648" s="8">
        <f>CHOOSE( CONTROL!$C$32, 17.2395, 17.2372) * CHOOSE( CONTROL!$C$15, $D$11, 100%, $F$11)</f>
        <v>17.2395</v>
      </c>
      <c r="H648" s="4">
        <f>CHOOSE( CONTROL!$C$32, 18.187, 18.1847) * CHOOSE(CONTROL!$C$15, $D$11, 100%, $F$11)</f>
        <v>18.187000000000001</v>
      </c>
      <c r="I648" s="8">
        <f>CHOOSE( CONTROL!$C$32, 17.0537, 17.0514) * CHOOSE(CONTROL!$C$15, $D$11, 100%, $F$11)</f>
        <v>17.053699999999999</v>
      </c>
      <c r="J648" s="4">
        <f>CHOOSE( CONTROL!$C$32, 16.9329, 16.9306) * CHOOSE(CONTROL!$C$15, $D$11, 100%, $F$11)</f>
        <v>16.9329</v>
      </c>
      <c r="K648" s="4"/>
      <c r="L648" s="9">
        <v>30.7165</v>
      </c>
      <c r="M648" s="9">
        <v>12.063700000000001</v>
      </c>
      <c r="N648" s="9">
        <v>4.9444999999999997</v>
      </c>
      <c r="O648" s="9">
        <v>0.37409999999999999</v>
      </c>
      <c r="P648" s="9">
        <v>1.2183999999999999</v>
      </c>
      <c r="Q648" s="9">
        <v>19.688099999999999</v>
      </c>
      <c r="R648" s="9"/>
      <c r="S648" s="11"/>
    </row>
    <row r="649" spans="1:19" ht="15.75">
      <c r="A649" s="13">
        <v>61270</v>
      </c>
      <c r="B649" s="8">
        <f>CHOOSE( CONTROL!$C$32, 17.2976, 17.2953) * CHOOSE(CONTROL!$C$15, $D$11, 100%, $F$11)</f>
        <v>17.297599999999999</v>
      </c>
      <c r="C649" s="8">
        <f>CHOOSE( CONTROL!$C$32, 17.3057, 17.3034) * CHOOSE(CONTROL!$C$15, $D$11, 100%, $F$11)</f>
        <v>17.305700000000002</v>
      </c>
      <c r="D649" s="8">
        <f>CHOOSE( CONTROL!$C$32, 17.3314, 17.3291) * CHOOSE( CONTROL!$C$15, $D$11, 100%, $F$11)</f>
        <v>17.331399999999999</v>
      </c>
      <c r="E649" s="12">
        <f>CHOOSE( CONTROL!$C$32, 17.3209, 17.3186) * CHOOSE( CONTROL!$C$15, $D$11, 100%, $F$11)</f>
        <v>17.320900000000002</v>
      </c>
      <c r="F649" s="4">
        <f>CHOOSE( CONTROL!$C$32, 18.0111, 18.0087) * CHOOSE(CONTROL!$C$15, $D$11, 100%, $F$11)</f>
        <v>18.011099999999999</v>
      </c>
      <c r="G649" s="8">
        <f>CHOOSE( CONTROL!$C$32, 16.8787, 16.8764) * CHOOSE( CONTROL!$C$15, $D$11, 100%, $F$11)</f>
        <v>16.878699999999998</v>
      </c>
      <c r="H649" s="4">
        <f>CHOOSE( CONTROL!$C$32, 17.8262, 17.824) * CHOOSE(CONTROL!$C$15, $D$11, 100%, $F$11)</f>
        <v>17.8262</v>
      </c>
      <c r="I649" s="8">
        <f>CHOOSE( CONTROL!$C$32, 16.6987, 16.6965) * CHOOSE(CONTROL!$C$15, $D$11, 100%, $F$11)</f>
        <v>16.698699999999999</v>
      </c>
      <c r="J649" s="4">
        <f>CHOOSE( CONTROL!$C$32, 16.5782, 16.576) * CHOOSE(CONTROL!$C$15, $D$11, 100%, $F$11)</f>
        <v>16.578199999999999</v>
      </c>
      <c r="K649" s="4"/>
      <c r="L649" s="9">
        <v>29.7257</v>
      </c>
      <c r="M649" s="9">
        <v>11.6745</v>
      </c>
      <c r="N649" s="9">
        <v>4.7850000000000001</v>
      </c>
      <c r="O649" s="9">
        <v>0.36199999999999999</v>
      </c>
      <c r="P649" s="9">
        <v>1.1791</v>
      </c>
      <c r="Q649" s="9">
        <v>19.053000000000001</v>
      </c>
      <c r="R649" s="9"/>
      <c r="S649" s="11"/>
    </row>
    <row r="650" spans="1:19" ht="15.75">
      <c r="A650" s="13">
        <v>61301</v>
      </c>
      <c r="B650" s="8">
        <f>18.0605 * CHOOSE(CONTROL!$C$15, $D$11, 100%, $F$11)</f>
        <v>18.060500000000001</v>
      </c>
      <c r="C650" s="8">
        <f>18.066 * CHOOSE(CONTROL!$C$15, $D$11, 100%, $F$11)</f>
        <v>18.065999999999999</v>
      </c>
      <c r="D650" s="8">
        <f>18.0968 * CHOOSE( CONTROL!$C$15, $D$11, 100%, $F$11)</f>
        <v>18.096800000000002</v>
      </c>
      <c r="E650" s="12">
        <f>18.086 * CHOOSE( CONTROL!$C$15, $D$11, 100%, $F$11)</f>
        <v>18.085999999999999</v>
      </c>
      <c r="F650" s="4">
        <f>18.7757 * CHOOSE(CONTROL!$C$15, $D$11, 100%, $F$11)</f>
        <v>18.775700000000001</v>
      </c>
      <c r="G650" s="8">
        <f>17.6253 * CHOOSE( CONTROL!$C$15, $D$11, 100%, $F$11)</f>
        <v>17.625299999999999</v>
      </c>
      <c r="H650" s="4">
        <f>18.5731 * CHOOSE(CONTROL!$C$15, $D$11, 100%, $F$11)</f>
        <v>18.5731</v>
      </c>
      <c r="I650" s="8">
        <f>17.434 * CHOOSE(CONTROL!$C$15, $D$11, 100%, $F$11)</f>
        <v>17.434000000000001</v>
      </c>
      <c r="J650" s="4">
        <f>17.3124 * CHOOSE(CONTROL!$C$15, $D$11, 100%, $F$11)</f>
        <v>17.3124</v>
      </c>
      <c r="K650" s="4"/>
      <c r="L650" s="9">
        <v>31.095300000000002</v>
      </c>
      <c r="M650" s="9">
        <v>12.063700000000001</v>
      </c>
      <c r="N650" s="9">
        <v>4.9444999999999997</v>
      </c>
      <c r="O650" s="9">
        <v>0.37409999999999999</v>
      </c>
      <c r="P650" s="9">
        <v>1.2183999999999999</v>
      </c>
      <c r="Q650" s="9">
        <v>19.688099999999999</v>
      </c>
      <c r="R650" s="9"/>
      <c r="S650" s="11"/>
    </row>
    <row r="651" spans="1:19" ht="15.75">
      <c r="A651" s="13">
        <v>61331</v>
      </c>
      <c r="B651" s="8">
        <f>19.4758 * CHOOSE(CONTROL!$C$15, $D$11, 100%, $F$11)</f>
        <v>19.4758</v>
      </c>
      <c r="C651" s="8">
        <f>19.481 * CHOOSE(CONTROL!$C$15, $D$11, 100%, $F$11)</f>
        <v>19.481000000000002</v>
      </c>
      <c r="D651" s="8">
        <f>19.464 * CHOOSE( CONTROL!$C$15, $D$11, 100%, $F$11)</f>
        <v>19.463999999999999</v>
      </c>
      <c r="E651" s="12">
        <f>19.4697 * CHOOSE( CONTROL!$C$15, $D$11, 100%, $F$11)</f>
        <v>19.4697</v>
      </c>
      <c r="F651" s="4">
        <f>20.1263 * CHOOSE(CONTROL!$C$15, $D$11, 100%, $F$11)</f>
        <v>20.126300000000001</v>
      </c>
      <c r="G651" s="8">
        <f>19.0142 * CHOOSE( CONTROL!$C$15, $D$11, 100%, $F$11)</f>
        <v>19.014199999999999</v>
      </c>
      <c r="H651" s="4">
        <f>19.8922 * CHOOSE(CONTROL!$C$15, $D$11, 100%, $F$11)</f>
        <v>19.892199999999999</v>
      </c>
      <c r="I651" s="8">
        <f>18.8357 * CHOOSE(CONTROL!$C$15, $D$11, 100%, $F$11)</f>
        <v>18.835699999999999</v>
      </c>
      <c r="J651" s="4">
        <f>18.6715 * CHOOSE(CONTROL!$C$15, $D$11, 100%, $F$11)</f>
        <v>18.671500000000002</v>
      </c>
      <c r="K651" s="4"/>
      <c r="L651" s="9">
        <v>28.360600000000002</v>
      </c>
      <c r="M651" s="9">
        <v>11.6745</v>
      </c>
      <c r="N651" s="9">
        <v>4.7850000000000001</v>
      </c>
      <c r="O651" s="9">
        <v>0.36199999999999999</v>
      </c>
      <c r="P651" s="9">
        <v>1.2509999999999999</v>
      </c>
      <c r="Q651" s="9">
        <v>19.053000000000001</v>
      </c>
      <c r="R651" s="9"/>
      <c r="S651" s="11"/>
    </row>
    <row r="652" spans="1:19" ht="15.75">
      <c r="A652" s="13">
        <v>61362</v>
      </c>
      <c r="B652" s="8">
        <f>19.4404 * CHOOSE(CONTROL!$C$15, $D$11, 100%, $F$11)</f>
        <v>19.4404</v>
      </c>
      <c r="C652" s="8">
        <f>19.4456 * CHOOSE(CONTROL!$C$15, $D$11, 100%, $F$11)</f>
        <v>19.445599999999999</v>
      </c>
      <c r="D652" s="8">
        <f>19.4301 * CHOOSE( CONTROL!$C$15, $D$11, 100%, $F$11)</f>
        <v>19.430099999999999</v>
      </c>
      <c r="E652" s="12">
        <f>19.4352 * CHOOSE( CONTROL!$C$15, $D$11, 100%, $F$11)</f>
        <v>19.435199999999998</v>
      </c>
      <c r="F652" s="4">
        <f>20.0909 * CHOOSE(CONTROL!$C$15, $D$11, 100%, $F$11)</f>
        <v>20.090900000000001</v>
      </c>
      <c r="G652" s="8">
        <f>18.9807 * CHOOSE( CONTROL!$C$15, $D$11, 100%, $F$11)</f>
        <v>18.980699999999999</v>
      </c>
      <c r="H652" s="4">
        <f>19.8576 * CHOOSE(CONTROL!$C$15, $D$11, 100%, $F$11)</f>
        <v>19.857600000000001</v>
      </c>
      <c r="I652" s="8">
        <f>18.8065 * CHOOSE(CONTROL!$C$15, $D$11, 100%, $F$11)</f>
        <v>18.8065</v>
      </c>
      <c r="J652" s="4">
        <f>18.6376 * CHOOSE(CONTROL!$C$15, $D$11, 100%, $F$11)</f>
        <v>18.637599999999999</v>
      </c>
      <c r="K652" s="4"/>
      <c r="L652" s="9">
        <v>29.306000000000001</v>
      </c>
      <c r="M652" s="9">
        <v>12.063700000000001</v>
      </c>
      <c r="N652" s="9">
        <v>4.9444999999999997</v>
      </c>
      <c r="O652" s="9">
        <v>0.37409999999999999</v>
      </c>
      <c r="P652" s="9">
        <v>1.2927</v>
      </c>
      <c r="Q652" s="9">
        <v>19.688099999999999</v>
      </c>
      <c r="R652" s="9"/>
      <c r="S652" s="11"/>
    </row>
    <row r="653" spans="1:19" ht="15.75">
      <c r="A653" s="13">
        <v>61393</v>
      </c>
      <c r="B653" s="8">
        <f>20.013 * CHOOSE(CONTROL!$C$15, $D$11, 100%, $F$11)</f>
        <v>20.013000000000002</v>
      </c>
      <c r="C653" s="8">
        <f>20.0182 * CHOOSE(CONTROL!$C$15, $D$11, 100%, $F$11)</f>
        <v>20.0182</v>
      </c>
      <c r="D653" s="8">
        <f>19.9984 * CHOOSE( CONTROL!$C$15, $D$11, 100%, $F$11)</f>
        <v>19.9984</v>
      </c>
      <c r="E653" s="12">
        <f>20.0051 * CHOOSE( CONTROL!$C$15, $D$11, 100%, $F$11)</f>
        <v>20.005099999999999</v>
      </c>
      <c r="F653" s="4">
        <f>20.6635 * CHOOSE(CONTROL!$C$15, $D$11, 100%, $F$11)</f>
        <v>20.663499999999999</v>
      </c>
      <c r="G653" s="8">
        <f>19.5307 * CHOOSE( CONTROL!$C$15, $D$11, 100%, $F$11)</f>
        <v>19.5307</v>
      </c>
      <c r="H653" s="4">
        <f>20.4169 * CHOOSE(CONTROL!$C$15, $D$11, 100%, $F$11)</f>
        <v>20.416899999999998</v>
      </c>
      <c r="I653" s="8">
        <f>19.3156 * CHOOSE(CONTROL!$C$15, $D$11, 100%, $F$11)</f>
        <v>19.3156</v>
      </c>
      <c r="J653" s="4">
        <f>19.1873 * CHOOSE(CONTROL!$C$15, $D$11, 100%, $F$11)</f>
        <v>19.1873</v>
      </c>
      <c r="K653" s="4"/>
      <c r="L653" s="9">
        <v>29.306000000000001</v>
      </c>
      <c r="M653" s="9">
        <v>12.063700000000001</v>
      </c>
      <c r="N653" s="9">
        <v>4.9444999999999997</v>
      </c>
      <c r="O653" s="9">
        <v>0.37409999999999999</v>
      </c>
      <c r="P653" s="9">
        <v>1.2927</v>
      </c>
      <c r="Q653" s="9">
        <v>19.688099999999999</v>
      </c>
      <c r="R653" s="9"/>
      <c r="S653" s="11"/>
    </row>
    <row r="654" spans="1:19" ht="15.75">
      <c r="A654" s="13">
        <v>61422</v>
      </c>
      <c r="B654" s="8">
        <f>18.721 * CHOOSE(CONTROL!$C$15, $D$11, 100%, $F$11)</f>
        <v>18.721</v>
      </c>
      <c r="C654" s="8">
        <f>18.7262 * CHOOSE(CONTROL!$C$15, $D$11, 100%, $F$11)</f>
        <v>18.726199999999999</v>
      </c>
      <c r="D654" s="8">
        <f>18.7063 * CHOOSE( CONTROL!$C$15, $D$11, 100%, $F$11)</f>
        <v>18.706299999999999</v>
      </c>
      <c r="E654" s="12">
        <f>18.713 * CHOOSE( CONTROL!$C$15, $D$11, 100%, $F$11)</f>
        <v>18.713000000000001</v>
      </c>
      <c r="F654" s="4">
        <f>19.3715 * CHOOSE(CONTROL!$C$15, $D$11, 100%, $F$11)</f>
        <v>19.371500000000001</v>
      </c>
      <c r="G654" s="8">
        <f>18.2688 * CHOOSE( CONTROL!$C$15, $D$11, 100%, $F$11)</f>
        <v>18.268799999999999</v>
      </c>
      <c r="H654" s="4">
        <f>19.155 * CHOOSE(CONTROL!$C$15, $D$11, 100%, $F$11)</f>
        <v>19.155000000000001</v>
      </c>
      <c r="I654" s="8">
        <f>18.0744 * CHOOSE(CONTROL!$C$15, $D$11, 100%, $F$11)</f>
        <v>18.074400000000001</v>
      </c>
      <c r="J654" s="4">
        <f>17.9469 * CHOOSE(CONTROL!$C$15, $D$11, 100%, $F$11)</f>
        <v>17.946899999999999</v>
      </c>
      <c r="K654" s="4"/>
      <c r="L654" s="9">
        <v>27.415299999999998</v>
      </c>
      <c r="M654" s="9">
        <v>11.285299999999999</v>
      </c>
      <c r="N654" s="9">
        <v>4.6254999999999997</v>
      </c>
      <c r="O654" s="9">
        <v>0.34989999999999999</v>
      </c>
      <c r="P654" s="9">
        <v>1.2093</v>
      </c>
      <c r="Q654" s="9">
        <v>18.417899999999999</v>
      </c>
      <c r="R654" s="9"/>
      <c r="S654" s="11"/>
    </row>
    <row r="655" spans="1:19" ht="15.75">
      <c r="A655" s="13">
        <v>61453</v>
      </c>
      <c r="B655" s="8">
        <f>18.3231 * CHOOSE(CONTROL!$C$15, $D$11, 100%, $F$11)</f>
        <v>18.3231</v>
      </c>
      <c r="C655" s="8">
        <f>18.3283 * CHOOSE(CONTROL!$C$15, $D$11, 100%, $F$11)</f>
        <v>18.328299999999999</v>
      </c>
      <c r="D655" s="8">
        <f>18.3081 * CHOOSE( CONTROL!$C$15, $D$11, 100%, $F$11)</f>
        <v>18.3081</v>
      </c>
      <c r="E655" s="12">
        <f>18.3149 * CHOOSE( CONTROL!$C$15, $D$11, 100%, $F$11)</f>
        <v>18.314900000000002</v>
      </c>
      <c r="F655" s="4">
        <f>18.9736 * CHOOSE(CONTROL!$C$15, $D$11, 100%, $F$11)</f>
        <v>18.973600000000001</v>
      </c>
      <c r="G655" s="8">
        <f>17.8799 * CHOOSE( CONTROL!$C$15, $D$11, 100%, $F$11)</f>
        <v>17.879899999999999</v>
      </c>
      <c r="H655" s="4">
        <f>18.7663 * CHOOSE(CONTROL!$C$15, $D$11, 100%, $F$11)</f>
        <v>18.766300000000001</v>
      </c>
      <c r="I655" s="8">
        <f>17.6911 * CHOOSE(CONTROL!$C$15, $D$11, 100%, $F$11)</f>
        <v>17.691099999999999</v>
      </c>
      <c r="J655" s="4">
        <f>17.5648 * CHOOSE(CONTROL!$C$15, $D$11, 100%, $F$11)</f>
        <v>17.564800000000002</v>
      </c>
      <c r="K655" s="4"/>
      <c r="L655" s="9">
        <v>29.306000000000001</v>
      </c>
      <c r="M655" s="9">
        <v>12.063700000000001</v>
      </c>
      <c r="N655" s="9">
        <v>4.9444999999999997</v>
      </c>
      <c r="O655" s="9">
        <v>0.37409999999999999</v>
      </c>
      <c r="P655" s="9">
        <v>1.2927</v>
      </c>
      <c r="Q655" s="9">
        <v>19.688099999999999</v>
      </c>
      <c r="R655" s="9"/>
      <c r="S655" s="11"/>
    </row>
    <row r="656" spans="1:19" ht="15.75">
      <c r="A656" s="13">
        <v>61483</v>
      </c>
      <c r="B656" s="8">
        <f>18.6019 * CHOOSE(CONTROL!$C$15, $D$11, 100%, $F$11)</f>
        <v>18.601900000000001</v>
      </c>
      <c r="C656" s="8">
        <f>18.6066 * CHOOSE(CONTROL!$C$15, $D$11, 100%, $F$11)</f>
        <v>18.6066</v>
      </c>
      <c r="D656" s="8">
        <f>18.6371 * CHOOSE( CONTROL!$C$15, $D$11, 100%, $F$11)</f>
        <v>18.6371</v>
      </c>
      <c r="E656" s="12">
        <f>18.6265 * CHOOSE( CONTROL!$C$15, $D$11, 100%, $F$11)</f>
        <v>18.6265</v>
      </c>
      <c r="F656" s="4">
        <f>19.3167 * CHOOSE(CONTROL!$C$15, $D$11, 100%, $F$11)</f>
        <v>19.316700000000001</v>
      </c>
      <c r="G656" s="8">
        <f>18.1526 * CHOOSE( CONTROL!$C$15, $D$11, 100%, $F$11)</f>
        <v>18.1526</v>
      </c>
      <c r="H656" s="4">
        <f>19.1015 * CHOOSE(CONTROL!$C$15, $D$11, 100%, $F$11)</f>
        <v>19.101500000000001</v>
      </c>
      <c r="I656" s="8">
        <f>17.9502 * CHOOSE(CONTROL!$C$15, $D$11, 100%, $F$11)</f>
        <v>17.950199999999999</v>
      </c>
      <c r="J656" s="4">
        <f>17.8318 * CHOOSE(CONTROL!$C$15, $D$11, 100%, $F$11)</f>
        <v>17.831800000000001</v>
      </c>
      <c r="K656" s="4"/>
      <c r="L656" s="9">
        <v>30.092199999999998</v>
      </c>
      <c r="M656" s="9">
        <v>11.6745</v>
      </c>
      <c r="N656" s="9">
        <v>4.7850000000000001</v>
      </c>
      <c r="O656" s="9">
        <v>0.36199999999999999</v>
      </c>
      <c r="P656" s="9">
        <v>1.1791</v>
      </c>
      <c r="Q656" s="9">
        <v>19.053000000000001</v>
      </c>
      <c r="R656" s="9"/>
      <c r="S656" s="11"/>
    </row>
    <row r="657" spans="1:19" ht="15.75">
      <c r="A657" s="13">
        <v>61514</v>
      </c>
      <c r="B657" s="8">
        <f>CHOOSE( CONTROL!$C$32, 19.1005, 19.0982) * CHOOSE(CONTROL!$C$15, $D$11, 100%, $F$11)</f>
        <v>19.1005</v>
      </c>
      <c r="C657" s="8">
        <f>CHOOSE( CONTROL!$C$32, 19.1086, 19.1063) * CHOOSE(CONTROL!$C$15, $D$11, 100%, $F$11)</f>
        <v>19.108599999999999</v>
      </c>
      <c r="D657" s="8">
        <f>CHOOSE( CONTROL!$C$32, 19.1338, 19.1315) * CHOOSE( CONTROL!$C$15, $D$11, 100%, $F$11)</f>
        <v>19.133800000000001</v>
      </c>
      <c r="E657" s="12">
        <f>CHOOSE( CONTROL!$C$32, 19.1234, 19.1211) * CHOOSE( CONTROL!$C$15, $D$11, 100%, $F$11)</f>
        <v>19.1234</v>
      </c>
      <c r="F657" s="4">
        <f>CHOOSE( CONTROL!$C$32, 19.814, 19.8116) * CHOOSE(CONTROL!$C$15, $D$11, 100%, $F$11)</f>
        <v>19.814</v>
      </c>
      <c r="G657" s="8">
        <f>CHOOSE( CONTROL!$C$32, 18.6388, 18.6365) * CHOOSE( CONTROL!$C$15, $D$11, 100%, $F$11)</f>
        <v>18.6388</v>
      </c>
      <c r="H657" s="4">
        <f>CHOOSE( CONTROL!$C$32, 19.5871, 19.5849) * CHOOSE(CONTROL!$C$15, $D$11, 100%, $F$11)</f>
        <v>19.5871</v>
      </c>
      <c r="I657" s="8">
        <f>CHOOSE( CONTROL!$C$32, 18.4281, 18.4259) * CHOOSE(CONTROL!$C$15, $D$11, 100%, $F$11)</f>
        <v>18.428100000000001</v>
      </c>
      <c r="J657" s="4">
        <f>CHOOSE( CONTROL!$C$32, 18.3092, 18.307) * CHOOSE(CONTROL!$C$15, $D$11, 100%, $F$11)</f>
        <v>18.309200000000001</v>
      </c>
      <c r="K657" s="4"/>
      <c r="L657" s="9">
        <v>30.7165</v>
      </c>
      <c r="M657" s="9">
        <v>12.063700000000001</v>
      </c>
      <c r="N657" s="9">
        <v>4.9444999999999997</v>
      </c>
      <c r="O657" s="9">
        <v>0.37409999999999999</v>
      </c>
      <c r="P657" s="9">
        <v>1.2183999999999999</v>
      </c>
      <c r="Q657" s="9">
        <v>19.688099999999999</v>
      </c>
      <c r="R657" s="9"/>
      <c r="S657" s="11"/>
    </row>
    <row r="658" spans="1:19" ht="15.75">
      <c r="A658" s="13">
        <v>61544</v>
      </c>
      <c r="B658" s="8">
        <f>CHOOSE( CONTROL!$C$32, 18.794, 18.7916) * CHOOSE(CONTROL!$C$15, $D$11, 100%, $F$11)</f>
        <v>18.794</v>
      </c>
      <c r="C658" s="8">
        <f>CHOOSE( CONTROL!$C$32, 18.8021, 18.7997) * CHOOSE(CONTROL!$C$15, $D$11, 100%, $F$11)</f>
        <v>18.802099999999999</v>
      </c>
      <c r="D658" s="8">
        <f>CHOOSE( CONTROL!$C$32, 18.8275, 18.8251) * CHOOSE( CONTROL!$C$15, $D$11, 100%, $F$11)</f>
        <v>18.827500000000001</v>
      </c>
      <c r="E658" s="12">
        <f>CHOOSE( CONTROL!$C$32, 18.8171, 18.8147) * CHOOSE( CONTROL!$C$15, $D$11, 100%, $F$11)</f>
        <v>18.8171</v>
      </c>
      <c r="F658" s="4">
        <f>CHOOSE( CONTROL!$C$32, 19.5074, 19.5051) * CHOOSE(CONTROL!$C$15, $D$11, 100%, $F$11)</f>
        <v>19.507400000000001</v>
      </c>
      <c r="G658" s="8">
        <f>CHOOSE( CONTROL!$C$32, 18.3397, 18.3374) * CHOOSE( CONTROL!$C$15, $D$11, 100%, $F$11)</f>
        <v>18.339700000000001</v>
      </c>
      <c r="H658" s="4">
        <f>CHOOSE( CONTROL!$C$32, 19.2877, 19.2854) * CHOOSE(CONTROL!$C$15, $D$11, 100%, $F$11)</f>
        <v>19.287700000000001</v>
      </c>
      <c r="I658" s="8">
        <f>CHOOSE( CONTROL!$C$32, 18.1346, 18.1324) * CHOOSE(CONTROL!$C$15, $D$11, 100%, $F$11)</f>
        <v>18.134599999999999</v>
      </c>
      <c r="J658" s="4">
        <f>CHOOSE( CONTROL!$C$32, 18.0149, 18.0126) * CHOOSE(CONTROL!$C$15, $D$11, 100%, $F$11)</f>
        <v>18.014900000000001</v>
      </c>
      <c r="K658" s="4"/>
      <c r="L658" s="9">
        <v>29.7257</v>
      </c>
      <c r="M658" s="9">
        <v>11.6745</v>
      </c>
      <c r="N658" s="9">
        <v>4.7850000000000001</v>
      </c>
      <c r="O658" s="9">
        <v>0.36199999999999999</v>
      </c>
      <c r="P658" s="9">
        <v>1.1791</v>
      </c>
      <c r="Q658" s="9">
        <v>19.053000000000001</v>
      </c>
      <c r="R658" s="9"/>
      <c r="S658" s="11"/>
    </row>
    <row r="659" spans="1:19" ht="15.75">
      <c r="A659" s="13">
        <v>61575</v>
      </c>
      <c r="B659" s="8">
        <f>CHOOSE( CONTROL!$C$32, 19.6013, 19.5989) * CHOOSE(CONTROL!$C$15, $D$11, 100%, $F$11)</f>
        <v>19.601299999999998</v>
      </c>
      <c r="C659" s="8">
        <f>CHOOSE( CONTROL!$C$32, 19.6094, 19.607) * CHOOSE(CONTROL!$C$15, $D$11, 100%, $F$11)</f>
        <v>19.609400000000001</v>
      </c>
      <c r="D659" s="8">
        <f>CHOOSE( CONTROL!$C$32, 19.635, 19.6327) * CHOOSE( CONTROL!$C$15, $D$11, 100%, $F$11)</f>
        <v>19.635000000000002</v>
      </c>
      <c r="E659" s="12">
        <f>CHOOSE( CONTROL!$C$32, 19.6245, 19.6222) * CHOOSE( CONTROL!$C$15, $D$11, 100%, $F$11)</f>
        <v>19.624500000000001</v>
      </c>
      <c r="F659" s="4">
        <f>CHOOSE( CONTROL!$C$32, 20.3147, 20.3124) * CHOOSE(CONTROL!$C$15, $D$11, 100%, $F$11)</f>
        <v>20.314699999999998</v>
      </c>
      <c r="G659" s="8">
        <f>CHOOSE( CONTROL!$C$32, 19.1286, 19.1263) * CHOOSE( CONTROL!$C$15, $D$11, 100%, $F$11)</f>
        <v>19.128599999999999</v>
      </c>
      <c r="H659" s="4">
        <f>CHOOSE( CONTROL!$C$32, 20.0762, 20.0739) * CHOOSE(CONTROL!$C$15, $D$11, 100%, $F$11)</f>
        <v>20.0762</v>
      </c>
      <c r="I659" s="8">
        <f>CHOOSE( CONTROL!$C$32, 18.9113, 18.909) * CHOOSE(CONTROL!$C$15, $D$11, 100%, $F$11)</f>
        <v>18.911300000000001</v>
      </c>
      <c r="J659" s="4">
        <f>CHOOSE( CONTROL!$C$32, 18.79, 18.7877) * CHOOSE(CONTROL!$C$15, $D$11, 100%, $F$11)</f>
        <v>18.79</v>
      </c>
      <c r="K659" s="4"/>
      <c r="L659" s="9">
        <v>30.7165</v>
      </c>
      <c r="M659" s="9">
        <v>12.063700000000001</v>
      </c>
      <c r="N659" s="9">
        <v>4.9444999999999997</v>
      </c>
      <c r="O659" s="9">
        <v>0.37409999999999999</v>
      </c>
      <c r="P659" s="9">
        <v>1.2183999999999999</v>
      </c>
      <c r="Q659" s="9">
        <v>19.688099999999999</v>
      </c>
      <c r="R659" s="9"/>
      <c r="S659" s="11"/>
    </row>
    <row r="660" spans="1:19" ht="15.75">
      <c r="A660" s="13">
        <v>61606</v>
      </c>
      <c r="B660" s="8">
        <f>CHOOSE( CONTROL!$C$32, 18.0907, 18.0884) * CHOOSE(CONTROL!$C$15, $D$11, 100%, $F$11)</f>
        <v>18.090699999999998</v>
      </c>
      <c r="C660" s="8">
        <f>CHOOSE( CONTROL!$C$32, 18.0988, 18.0965) * CHOOSE(CONTROL!$C$15, $D$11, 100%, $F$11)</f>
        <v>18.098800000000001</v>
      </c>
      <c r="D660" s="8">
        <f>CHOOSE( CONTROL!$C$32, 18.1246, 18.1222) * CHOOSE( CONTROL!$C$15, $D$11, 100%, $F$11)</f>
        <v>18.124600000000001</v>
      </c>
      <c r="E660" s="12">
        <f>CHOOSE( CONTROL!$C$32, 18.114, 18.1117) * CHOOSE( CONTROL!$C$15, $D$11, 100%, $F$11)</f>
        <v>18.114000000000001</v>
      </c>
      <c r="F660" s="4">
        <f>CHOOSE( CONTROL!$C$32, 18.8042, 18.8018) * CHOOSE(CONTROL!$C$15, $D$11, 100%, $F$11)</f>
        <v>18.804200000000002</v>
      </c>
      <c r="G660" s="8">
        <f>CHOOSE( CONTROL!$C$32, 17.6533, 17.651) * CHOOSE( CONTROL!$C$15, $D$11, 100%, $F$11)</f>
        <v>17.653300000000002</v>
      </c>
      <c r="H660" s="4">
        <f>CHOOSE( CONTROL!$C$32, 18.6009, 18.5986) * CHOOSE(CONTROL!$C$15, $D$11, 100%, $F$11)</f>
        <v>18.600899999999999</v>
      </c>
      <c r="I660" s="8">
        <f>CHOOSE( CONTROL!$C$32, 17.4607, 17.4584) * CHOOSE(CONTROL!$C$15, $D$11, 100%, $F$11)</f>
        <v>17.460699999999999</v>
      </c>
      <c r="J660" s="4">
        <f>CHOOSE( CONTROL!$C$32, 17.3397, 17.3374) * CHOOSE(CONTROL!$C$15, $D$11, 100%, $F$11)</f>
        <v>17.339700000000001</v>
      </c>
      <c r="K660" s="4"/>
      <c r="L660" s="9">
        <v>30.7165</v>
      </c>
      <c r="M660" s="9">
        <v>12.063700000000001</v>
      </c>
      <c r="N660" s="9">
        <v>4.9444999999999997</v>
      </c>
      <c r="O660" s="9">
        <v>0.37409999999999999</v>
      </c>
      <c r="P660" s="9">
        <v>1.2183999999999999</v>
      </c>
      <c r="Q660" s="9">
        <v>19.688099999999999</v>
      </c>
      <c r="R660" s="9"/>
      <c r="S660" s="11"/>
    </row>
    <row r="661" spans="1:19" ht="15.75">
      <c r="A661" s="13">
        <v>61636</v>
      </c>
      <c r="B661" s="8">
        <f>CHOOSE( CONTROL!$C$32, 17.7125, 17.7101) * CHOOSE(CONTROL!$C$15, $D$11, 100%, $F$11)</f>
        <v>17.712499999999999</v>
      </c>
      <c r="C661" s="8">
        <f>CHOOSE( CONTROL!$C$32, 17.7206, 17.7182) * CHOOSE(CONTROL!$C$15, $D$11, 100%, $F$11)</f>
        <v>17.720600000000001</v>
      </c>
      <c r="D661" s="8">
        <f>CHOOSE( CONTROL!$C$32, 17.7463, 17.7439) * CHOOSE( CONTROL!$C$15, $D$11, 100%, $F$11)</f>
        <v>17.746300000000002</v>
      </c>
      <c r="E661" s="12">
        <f>CHOOSE( CONTROL!$C$32, 17.7358, 17.7334) * CHOOSE( CONTROL!$C$15, $D$11, 100%, $F$11)</f>
        <v>17.735800000000001</v>
      </c>
      <c r="F661" s="4">
        <f>CHOOSE( CONTROL!$C$32, 18.4259, 18.4236) * CHOOSE(CONTROL!$C$15, $D$11, 100%, $F$11)</f>
        <v>18.425899999999999</v>
      </c>
      <c r="G661" s="8">
        <f>CHOOSE( CONTROL!$C$32, 17.2839, 17.2816) * CHOOSE( CONTROL!$C$15, $D$11, 100%, $F$11)</f>
        <v>17.283899999999999</v>
      </c>
      <c r="H661" s="4">
        <f>CHOOSE( CONTROL!$C$32, 18.2314, 18.2291) * CHOOSE(CONTROL!$C$15, $D$11, 100%, $F$11)</f>
        <v>18.231400000000001</v>
      </c>
      <c r="I661" s="8">
        <f>CHOOSE( CONTROL!$C$32, 17.0972, 17.095) * CHOOSE(CONTROL!$C$15, $D$11, 100%, $F$11)</f>
        <v>17.097200000000001</v>
      </c>
      <c r="J661" s="4">
        <f>CHOOSE( CONTROL!$C$32, 16.9765, 16.9743) * CHOOSE(CONTROL!$C$15, $D$11, 100%, $F$11)</f>
        <v>16.976500000000001</v>
      </c>
      <c r="K661" s="4"/>
      <c r="L661" s="9">
        <v>29.7257</v>
      </c>
      <c r="M661" s="9">
        <v>11.6745</v>
      </c>
      <c r="N661" s="9">
        <v>4.7850000000000001</v>
      </c>
      <c r="O661" s="9">
        <v>0.36199999999999999</v>
      </c>
      <c r="P661" s="9">
        <v>1.1791</v>
      </c>
      <c r="Q661" s="9">
        <v>19.053000000000001</v>
      </c>
      <c r="R661" s="9"/>
      <c r="S661" s="11"/>
    </row>
    <row r="662" spans="1:19" ht="15.75">
      <c r="A662" s="13">
        <v>61667</v>
      </c>
      <c r="B662" s="8">
        <f>18.4938 * CHOOSE(CONTROL!$C$15, $D$11, 100%, $F$11)</f>
        <v>18.4938</v>
      </c>
      <c r="C662" s="8">
        <f>18.4992 * CHOOSE(CONTROL!$C$15, $D$11, 100%, $F$11)</f>
        <v>18.499199999999998</v>
      </c>
      <c r="D662" s="8">
        <f>18.53 * CHOOSE( CONTROL!$C$15, $D$11, 100%, $F$11)</f>
        <v>18.53</v>
      </c>
      <c r="E662" s="12">
        <f>18.5193 * CHOOSE( CONTROL!$C$15, $D$11, 100%, $F$11)</f>
        <v>18.519300000000001</v>
      </c>
      <c r="F662" s="4">
        <f>19.209 * CHOOSE(CONTROL!$C$15, $D$11, 100%, $F$11)</f>
        <v>19.209</v>
      </c>
      <c r="G662" s="8">
        <f>18.0484 * CHOOSE( CONTROL!$C$15, $D$11, 100%, $F$11)</f>
        <v>18.048400000000001</v>
      </c>
      <c r="H662" s="4">
        <f>18.9962 * CHOOSE(CONTROL!$C$15, $D$11, 100%, $F$11)</f>
        <v>18.996200000000002</v>
      </c>
      <c r="I662" s="8">
        <f>17.8502 * CHOOSE(CONTROL!$C$15, $D$11, 100%, $F$11)</f>
        <v>17.850200000000001</v>
      </c>
      <c r="J662" s="4">
        <f>17.7283 * CHOOSE(CONTROL!$C$15, $D$11, 100%, $F$11)</f>
        <v>17.728300000000001</v>
      </c>
      <c r="K662" s="4"/>
      <c r="L662" s="9">
        <v>31.095300000000002</v>
      </c>
      <c r="M662" s="9">
        <v>12.063700000000001</v>
      </c>
      <c r="N662" s="9">
        <v>4.9444999999999997</v>
      </c>
      <c r="O662" s="9">
        <v>0.37409999999999999</v>
      </c>
      <c r="P662" s="9">
        <v>1.2183999999999999</v>
      </c>
      <c r="Q662" s="9">
        <v>19.688099999999999</v>
      </c>
      <c r="R662" s="9"/>
      <c r="S662" s="11"/>
    </row>
    <row r="663" spans="1:19" ht="15.75">
      <c r="A663" s="13">
        <v>61697</v>
      </c>
      <c r="B663" s="8">
        <f>19.9431 * CHOOSE(CONTROL!$C$15, $D$11, 100%, $F$11)</f>
        <v>19.943100000000001</v>
      </c>
      <c r="C663" s="8">
        <f>19.9483 * CHOOSE(CONTROL!$C$15, $D$11, 100%, $F$11)</f>
        <v>19.9483</v>
      </c>
      <c r="D663" s="8">
        <f>19.9313 * CHOOSE( CONTROL!$C$15, $D$11, 100%, $F$11)</f>
        <v>19.9313</v>
      </c>
      <c r="E663" s="12">
        <f>19.937 * CHOOSE( CONTROL!$C$15, $D$11, 100%, $F$11)</f>
        <v>19.937000000000001</v>
      </c>
      <c r="F663" s="4">
        <f>20.5935 * CHOOSE(CONTROL!$C$15, $D$11, 100%, $F$11)</f>
        <v>20.593499999999999</v>
      </c>
      <c r="G663" s="8">
        <f>19.4705 * CHOOSE( CONTROL!$C$15, $D$11, 100%, $F$11)</f>
        <v>19.470500000000001</v>
      </c>
      <c r="H663" s="4">
        <f>20.3485 * CHOOSE(CONTROL!$C$15, $D$11, 100%, $F$11)</f>
        <v>20.348500000000001</v>
      </c>
      <c r="I663" s="8">
        <f>19.2846 * CHOOSE(CONTROL!$C$15, $D$11, 100%, $F$11)</f>
        <v>19.284600000000001</v>
      </c>
      <c r="J663" s="4">
        <f>19.1202 * CHOOSE(CONTROL!$C$15, $D$11, 100%, $F$11)</f>
        <v>19.120200000000001</v>
      </c>
      <c r="K663" s="4"/>
      <c r="L663" s="9">
        <v>28.360600000000002</v>
      </c>
      <c r="M663" s="9">
        <v>11.6745</v>
      </c>
      <c r="N663" s="9">
        <v>4.7850000000000001</v>
      </c>
      <c r="O663" s="9">
        <v>0.36199999999999999</v>
      </c>
      <c r="P663" s="9">
        <v>1.2509999999999999</v>
      </c>
      <c r="Q663" s="9">
        <v>19.053000000000001</v>
      </c>
      <c r="R663" s="9"/>
      <c r="S663" s="11"/>
    </row>
    <row r="664" spans="1:19" ht="15.75">
      <c r="A664" s="13">
        <v>61728</v>
      </c>
      <c r="B664" s="8">
        <f>19.9068 * CHOOSE(CONTROL!$C$15, $D$11, 100%, $F$11)</f>
        <v>19.9068</v>
      </c>
      <c r="C664" s="8">
        <f>19.912 * CHOOSE(CONTROL!$C$15, $D$11, 100%, $F$11)</f>
        <v>19.911999999999999</v>
      </c>
      <c r="D664" s="8">
        <f>19.8965 * CHOOSE( CONTROL!$C$15, $D$11, 100%, $F$11)</f>
        <v>19.8965</v>
      </c>
      <c r="E664" s="12">
        <f>19.9016 * CHOOSE( CONTROL!$C$15, $D$11, 100%, $F$11)</f>
        <v>19.901599999999998</v>
      </c>
      <c r="F664" s="4">
        <f>20.5573 * CHOOSE(CONTROL!$C$15, $D$11, 100%, $F$11)</f>
        <v>20.557300000000001</v>
      </c>
      <c r="G664" s="8">
        <f>19.4363 * CHOOSE( CONTROL!$C$15, $D$11, 100%, $F$11)</f>
        <v>19.436299999999999</v>
      </c>
      <c r="H664" s="4">
        <f>20.3132 * CHOOSE(CONTROL!$C$15, $D$11, 100%, $F$11)</f>
        <v>20.313199999999998</v>
      </c>
      <c r="I664" s="8">
        <f>19.2545 * CHOOSE(CONTROL!$C$15, $D$11, 100%, $F$11)</f>
        <v>19.2545</v>
      </c>
      <c r="J664" s="4">
        <f>19.0854 * CHOOSE(CONTROL!$C$15, $D$11, 100%, $F$11)</f>
        <v>19.0854</v>
      </c>
      <c r="K664" s="4"/>
      <c r="L664" s="9">
        <v>29.306000000000001</v>
      </c>
      <c r="M664" s="9">
        <v>12.063700000000001</v>
      </c>
      <c r="N664" s="9">
        <v>4.9444999999999997</v>
      </c>
      <c r="O664" s="9">
        <v>0.37409999999999999</v>
      </c>
      <c r="P664" s="9">
        <v>1.2927</v>
      </c>
      <c r="Q664" s="9">
        <v>19.688099999999999</v>
      </c>
      <c r="R664" s="9"/>
      <c r="S664" s="11"/>
    </row>
    <row r="665" spans="1:19" ht="15.75">
      <c r="A665" s="13">
        <v>61759</v>
      </c>
      <c r="B665" s="8">
        <f>20.4932 * CHOOSE(CONTROL!$C$15, $D$11, 100%, $F$11)</f>
        <v>20.493200000000002</v>
      </c>
      <c r="C665" s="8">
        <f>20.4984 * CHOOSE(CONTROL!$C$15, $D$11, 100%, $F$11)</f>
        <v>20.4984</v>
      </c>
      <c r="D665" s="8">
        <f>20.4785 * CHOOSE( CONTROL!$C$15, $D$11, 100%, $F$11)</f>
        <v>20.4785</v>
      </c>
      <c r="E665" s="12">
        <f>20.4852 * CHOOSE( CONTROL!$C$15, $D$11, 100%, $F$11)</f>
        <v>20.485199999999999</v>
      </c>
      <c r="F665" s="4">
        <f>21.1437 * CHOOSE(CONTROL!$C$15, $D$11, 100%, $F$11)</f>
        <v>21.143699999999999</v>
      </c>
      <c r="G665" s="8">
        <f>19.9997 * CHOOSE( CONTROL!$C$15, $D$11, 100%, $F$11)</f>
        <v>19.999700000000001</v>
      </c>
      <c r="H665" s="4">
        <f>20.8859 * CHOOSE(CONTROL!$C$15, $D$11, 100%, $F$11)</f>
        <v>20.885899999999999</v>
      </c>
      <c r="I665" s="8">
        <f>19.7769 * CHOOSE(CONTROL!$C$15, $D$11, 100%, $F$11)</f>
        <v>19.776900000000001</v>
      </c>
      <c r="J665" s="4">
        <f>19.6483 * CHOOSE(CONTROL!$C$15, $D$11, 100%, $F$11)</f>
        <v>19.648299999999999</v>
      </c>
      <c r="K665" s="4"/>
      <c r="L665" s="9">
        <v>29.306000000000001</v>
      </c>
      <c r="M665" s="9">
        <v>12.063700000000001</v>
      </c>
      <c r="N665" s="9">
        <v>4.9444999999999997</v>
      </c>
      <c r="O665" s="9">
        <v>0.37409999999999999</v>
      </c>
      <c r="P665" s="9">
        <v>1.2927</v>
      </c>
      <c r="Q665" s="9">
        <v>19.688099999999999</v>
      </c>
      <c r="R665" s="9"/>
      <c r="S665" s="11"/>
    </row>
    <row r="666" spans="1:19" ht="15.75">
      <c r="A666" s="13">
        <v>61787</v>
      </c>
      <c r="B666" s="8">
        <f>19.1702 * CHOOSE(CONTROL!$C$15, $D$11, 100%, $F$11)</f>
        <v>19.170200000000001</v>
      </c>
      <c r="C666" s="8">
        <f>19.1754 * CHOOSE(CONTROL!$C$15, $D$11, 100%, $F$11)</f>
        <v>19.1754</v>
      </c>
      <c r="D666" s="8">
        <f>19.1555 * CHOOSE( CONTROL!$C$15, $D$11, 100%, $F$11)</f>
        <v>19.1555</v>
      </c>
      <c r="E666" s="12">
        <f>19.1622 * CHOOSE( CONTROL!$C$15, $D$11, 100%, $F$11)</f>
        <v>19.162199999999999</v>
      </c>
      <c r="F666" s="4">
        <f>19.8206 * CHOOSE(CONTROL!$C$15, $D$11, 100%, $F$11)</f>
        <v>19.820599999999999</v>
      </c>
      <c r="G666" s="8">
        <f>18.7074 * CHOOSE( CONTROL!$C$15, $D$11, 100%, $F$11)</f>
        <v>18.7074</v>
      </c>
      <c r="H666" s="4">
        <f>19.5937 * CHOOSE(CONTROL!$C$15, $D$11, 100%, $F$11)</f>
        <v>19.593699999999998</v>
      </c>
      <c r="I666" s="8">
        <f>18.5059 * CHOOSE(CONTROL!$C$15, $D$11, 100%, $F$11)</f>
        <v>18.5059</v>
      </c>
      <c r="J666" s="4">
        <f>18.3781 * CHOOSE(CONTROL!$C$15, $D$11, 100%, $F$11)</f>
        <v>18.3781</v>
      </c>
      <c r="K666" s="4"/>
      <c r="L666" s="9">
        <v>26.469899999999999</v>
      </c>
      <c r="M666" s="9">
        <v>10.8962</v>
      </c>
      <c r="N666" s="9">
        <v>4.4660000000000002</v>
      </c>
      <c r="O666" s="9">
        <v>0.33789999999999998</v>
      </c>
      <c r="P666" s="9">
        <v>1.1676</v>
      </c>
      <c r="Q666" s="9">
        <v>17.782800000000002</v>
      </c>
      <c r="R666" s="9"/>
      <c r="S666" s="11"/>
    </row>
    <row r="667" spans="1:19" ht="15.75">
      <c r="A667" s="13">
        <v>61818</v>
      </c>
      <c r="B667" s="8">
        <f>18.7627 * CHOOSE(CONTROL!$C$15, $D$11, 100%, $F$11)</f>
        <v>18.762699999999999</v>
      </c>
      <c r="C667" s="8">
        <f>18.7679 * CHOOSE(CONTROL!$C$15, $D$11, 100%, $F$11)</f>
        <v>18.767900000000001</v>
      </c>
      <c r="D667" s="8">
        <f>18.7477 * CHOOSE( CONTROL!$C$15, $D$11, 100%, $F$11)</f>
        <v>18.747699999999998</v>
      </c>
      <c r="E667" s="12">
        <f>18.7545 * CHOOSE( CONTROL!$C$15, $D$11, 100%, $F$11)</f>
        <v>18.7545</v>
      </c>
      <c r="F667" s="4">
        <f>19.4132 * CHOOSE(CONTROL!$C$15, $D$11, 100%, $F$11)</f>
        <v>19.4132</v>
      </c>
      <c r="G667" s="8">
        <f>18.3092 * CHOOSE( CONTROL!$C$15, $D$11, 100%, $F$11)</f>
        <v>18.309200000000001</v>
      </c>
      <c r="H667" s="4">
        <f>19.1957 * CHOOSE(CONTROL!$C$15, $D$11, 100%, $F$11)</f>
        <v>19.195699999999999</v>
      </c>
      <c r="I667" s="8">
        <f>18.1134 * CHOOSE(CONTROL!$C$15, $D$11, 100%, $F$11)</f>
        <v>18.113399999999999</v>
      </c>
      <c r="J667" s="4">
        <f>17.9869 * CHOOSE(CONTROL!$C$15, $D$11, 100%, $F$11)</f>
        <v>17.986899999999999</v>
      </c>
      <c r="K667" s="4"/>
      <c r="L667" s="9">
        <v>29.306000000000001</v>
      </c>
      <c r="M667" s="9">
        <v>12.063700000000001</v>
      </c>
      <c r="N667" s="9">
        <v>4.9444999999999997</v>
      </c>
      <c r="O667" s="9">
        <v>0.37409999999999999</v>
      </c>
      <c r="P667" s="9">
        <v>1.2927</v>
      </c>
      <c r="Q667" s="9">
        <v>19.688099999999999</v>
      </c>
      <c r="R667" s="9"/>
      <c r="S667" s="11"/>
    </row>
    <row r="668" spans="1:19" ht="15.75">
      <c r="A668" s="13">
        <v>61848</v>
      </c>
      <c r="B668" s="8">
        <f>19.0482 * CHOOSE(CONTROL!$C$15, $D$11, 100%, $F$11)</f>
        <v>19.048200000000001</v>
      </c>
      <c r="C668" s="8">
        <f>19.0528 * CHOOSE(CONTROL!$C$15, $D$11, 100%, $F$11)</f>
        <v>19.052800000000001</v>
      </c>
      <c r="D668" s="8">
        <f>19.0833 * CHOOSE( CONTROL!$C$15, $D$11, 100%, $F$11)</f>
        <v>19.083300000000001</v>
      </c>
      <c r="E668" s="12">
        <f>19.0727 * CHOOSE( CONTROL!$C$15, $D$11, 100%, $F$11)</f>
        <v>19.072700000000001</v>
      </c>
      <c r="F668" s="4">
        <f>19.763 * CHOOSE(CONTROL!$C$15, $D$11, 100%, $F$11)</f>
        <v>19.763000000000002</v>
      </c>
      <c r="G668" s="8">
        <f>18.5885 * CHOOSE( CONTROL!$C$15, $D$11, 100%, $F$11)</f>
        <v>18.5885</v>
      </c>
      <c r="H668" s="4">
        <f>19.5374 * CHOOSE(CONTROL!$C$15, $D$11, 100%, $F$11)</f>
        <v>19.537400000000002</v>
      </c>
      <c r="I668" s="8">
        <f>18.3789 * CHOOSE(CONTROL!$C$15, $D$11, 100%, $F$11)</f>
        <v>18.378900000000002</v>
      </c>
      <c r="J668" s="4">
        <f>18.2603 * CHOOSE(CONTROL!$C$15, $D$11, 100%, $F$11)</f>
        <v>18.260300000000001</v>
      </c>
      <c r="K668" s="4"/>
      <c r="L668" s="9">
        <v>30.092199999999998</v>
      </c>
      <c r="M668" s="9">
        <v>11.6745</v>
      </c>
      <c r="N668" s="9">
        <v>4.7850000000000001</v>
      </c>
      <c r="O668" s="9">
        <v>0.36199999999999999</v>
      </c>
      <c r="P668" s="9">
        <v>1.1791</v>
      </c>
      <c r="Q668" s="9">
        <v>19.053000000000001</v>
      </c>
      <c r="R668" s="9"/>
      <c r="S668" s="11"/>
    </row>
    <row r="669" spans="1:19" ht="15.75">
      <c r="A669" s="13">
        <v>61879</v>
      </c>
      <c r="B669" s="8">
        <f>CHOOSE( CONTROL!$C$32, 19.5587, 19.5563) * CHOOSE(CONTROL!$C$15, $D$11, 100%, $F$11)</f>
        <v>19.558700000000002</v>
      </c>
      <c r="C669" s="8">
        <f>CHOOSE( CONTROL!$C$32, 19.5668, 19.5644) * CHOOSE(CONTROL!$C$15, $D$11, 100%, $F$11)</f>
        <v>19.566800000000001</v>
      </c>
      <c r="D669" s="8">
        <f>CHOOSE( CONTROL!$C$32, 19.592, 19.5896) * CHOOSE( CONTROL!$C$15, $D$11, 100%, $F$11)</f>
        <v>19.591999999999999</v>
      </c>
      <c r="E669" s="12">
        <f>CHOOSE( CONTROL!$C$32, 19.5816, 19.5792) * CHOOSE( CONTROL!$C$15, $D$11, 100%, $F$11)</f>
        <v>19.581600000000002</v>
      </c>
      <c r="F669" s="4">
        <f>CHOOSE( CONTROL!$C$32, 20.2721, 20.2698) * CHOOSE(CONTROL!$C$15, $D$11, 100%, $F$11)</f>
        <v>20.272099999999998</v>
      </c>
      <c r="G669" s="8">
        <f>CHOOSE( CONTROL!$C$32, 19.0863, 19.084) * CHOOSE( CONTROL!$C$15, $D$11, 100%, $F$11)</f>
        <v>19.086300000000001</v>
      </c>
      <c r="H669" s="4">
        <f>CHOOSE( CONTROL!$C$32, 20.0346, 20.0323) * CHOOSE(CONTROL!$C$15, $D$11, 100%, $F$11)</f>
        <v>20.034600000000001</v>
      </c>
      <c r="I669" s="8">
        <f>CHOOSE( CONTROL!$C$32, 18.8682, 18.8659) * CHOOSE(CONTROL!$C$15, $D$11, 100%, $F$11)</f>
        <v>18.868200000000002</v>
      </c>
      <c r="J669" s="4">
        <f>CHOOSE( CONTROL!$C$32, 18.7491, 18.7468) * CHOOSE(CONTROL!$C$15, $D$11, 100%, $F$11)</f>
        <v>18.749099999999999</v>
      </c>
      <c r="K669" s="4"/>
      <c r="L669" s="9">
        <v>30.7165</v>
      </c>
      <c r="M669" s="9">
        <v>12.063700000000001</v>
      </c>
      <c r="N669" s="9">
        <v>4.9444999999999997</v>
      </c>
      <c r="O669" s="9">
        <v>0.37409999999999999</v>
      </c>
      <c r="P669" s="9">
        <v>1.2183999999999999</v>
      </c>
      <c r="Q669" s="9">
        <v>19.688099999999999</v>
      </c>
      <c r="R669" s="9"/>
      <c r="S669" s="11"/>
    </row>
    <row r="670" spans="1:19" ht="15.75">
      <c r="A670" s="13">
        <v>61909</v>
      </c>
      <c r="B670" s="8">
        <f>CHOOSE( CONTROL!$C$32, 19.2448, 19.2424) * CHOOSE(CONTROL!$C$15, $D$11, 100%, $F$11)</f>
        <v>19.244800000000001</v>
      </c>
      <c r="C670" s="8">
        <f>CHOOSE( CONTROL!$C$32, 19.2528, 19.2505) * CHOOSE(CONTROL!$C$15, $D$11, 100%, $F$11)</f>
        <v>19.252800000000001</v>
      </c>
      <c r="D670" s="8">
        <f>CHOOSE( CONTROL!$C$32, 19.2782, 19.2759) * CHOOSE( CONTROL!$C$15, $D$11, 100%, $F$11)</f>
        <v>19.278199999999998</v>
      </c>
      <c r="E670" s="12">
        <f>CHOOSE( CONTROL!$C$32, 19.2678, 19.2655) * CHOOSE( CONTROL!$C$15, $D$11, 100%, $F$11)</f>
        <v>19.267800000000001</v>
      </c>
      <c r="F670" s="4">
        <f>CHOOSE( CONTROL!$C$32, 19.9582, 19.9558) * CHOOSE(CONTROL!$C$15, $D$11, 100%, $F$11)</f>
        <v>19.958200000000001</v>
      </c>
      <c r="G670" s="8">
        <f>CHOOSE( CONTROL!$C$32, 18.78, 18.7777) * CHOOSE( CONTROL!$C$15, $D$11, 100%, $F$11)</f>
        <v>18.78</v>
      </c>
      <c r="H670" s="4">
        <f>CHOOSE( CONTROL!$C$32, 19.728, 19.7257) * CHOOSE(CONTROL!$C$15, $D$11, 100%, $F$11)</f>
        <v>19.728000000000002</v>
      </c>
      <c r="I670" s="8">
        <f>CHOOSE( CONTROL!$C$32, 18.5676, 18.5654) * CHOOSE(CONTROL!$C$15, $D$11, 100%, $F$11)</f>
        <v>18.567599999999999</v>
      </c>
      <c r="J670" s="4">
        <f>CHOOSE( CONTROL!$C$32, 18.4477, 18.4454) * CHOOSE(CONTROL!$C$15, $D$11, 100%, $F$11)</f>
        <v>18.447700000000001</v>
      </c>
      <c r="K670" s="4"/>
      <c r="L670" s="9">
        <v>29.7257</v>
      </c>
      <c r="M670" s="9">
        <v>11.6745</v>
      </c>
      <c r="N670" s="9">
        <v>4.7850000000000001</v>
      </c>
      <c r="O670" s="9">
        <v>0.36199999999999999</v>
      </c>
      <c r="P670" s="9">
        <v>1.1791</v>
      </c>
      <c r="Q670" s="9">
        <v>19.053000000000001</v>
      </c>
      <c r="R670" s="9"/>
      <c r="S670" s="11"/>
    </row>
    <row r="671" spans="1:19" ht="15.75">
      <c r="A671" s="13">
        <v>61940</v>
      </c>
      <c r="B671" s="8">
        <f>CHOOSE( CONTROL!$C$32, 20.0715, 20.0691) * CHOOSE(CONTROL!$C$15, $D$11, 100%, $F$11)</f>
        <v>20.0715</v>
      </c>
      <c r="C671" s="8">
        <f>CHOOSE( CONTROL!$C$32, 20.0795, 20.0772) * CHOOSE(CONTROL!$C$15, $D$11, 100%, $F$11)</f>
        <v>20.079499999999999</v>
      </c>
      <c r="D671" s="8">
        <f>CHOOSE( CONTROL!$C$32, 20.1052, 20.1029) * CHOOSE( CONTROL!$C$15, $D$11, 100%, $F$11)</f>
        <v>20.1052</v>
      </c>
      <c r="E671" s="12">
        <f>CHOOSE( CONTROL!$C$32, 20.0947, 20.0924) * CHOOSE( CONTROL!$C$15, $D$11, 100%, $F$11)</f>
        <v>20.0947</v>
      </c>
      <c r="F671" s="4">
        <f>CHOOSE( CONTROL!$C$32, 20.7849, 20.7825) * CHOOSE(CONTROL!$C$15, $D$11, 100%, $F$11)</f>
        <v>20.7849</v>
      </c>
      <c r="G671" s="8">
        <f>CHOOSE( CONTROL!$C$32, 19.5878, 19.5855) * CHOOSE( CONTROL!$C$15, $D$11, 100%, $F$11)</f>
        <v>19.587800000000001</v>
      </c>
      <c r="H671" s="4">
        <f>CHOOSE( CONTROL!$C$32, 20.5354, 20.5332) * CHOOSE(CONTROL!$C$15, $D$11, 100%, $F$11)</f>
        <v>20.535399999999999</v>
      </c>
      <c r="I671" s="8">
        <f>CHOOSE( CONTROL!$C$32, 19.3629, 19.3607) * CHOOSE(CONTROL!$C$15, $D$11, 100%, $F$11)</f>
        <v>19.3629</v>
      </c>
      <c r="J671" s="4">
        <f>CHOOSE( CONTROL!$C$32, 19.2414, 19.2391) * CHOOSE(CONTROL!$C$15, $D$11, 100%, $F$11)</f>
        <v>19.241399999999999</v>
      </c>
      <c r="K671" s="4"/>
      <c r="L671" s="9">
        <v>30.7165</v>
      </c>
      <c r="M671" s="9">
        <v>12.063700000000001</v>
      </c>
      <c r="N671" s="9">
        <v>4.9444999999999997</v>
      </c>
      <c r="O671" s="9">
        <v>0.37409999999999999</v>
      </c>
      <c r="P671" s="9">
        <v>1.2183999999999999</v>
      </c>
      <c r="Q671" s="9">
        <v>19.688099999999999</v>
      </c>
      <c r="R671" s="9"/>
      <c r="S671" s="11"/>
    </row>
    <row r="672" spans="1:19" ht="15.75">
      <c r="A672" s="13">
        <v>61971</v>
      </c>
      <c r="B672" s="8">
        <f>CHOOSE( CONTROL!$C$32, 18.5246, 18.5223) * CHOOSE(CONTROL!$C$15, $D$11, 100%, $F$11)</f>
        <v>18.5246</v>
      </c>
      <c r="C672" s="8">
        <f>CHOOSE( CONTROL!$C$32, 18.5327, 18.5304) * CHOOSE(CONTROL!$C$15, $D$11, 100%, $F$11)</f>
        <v>18.532699999999998</v>
      </c>
      <c r="D672" s="8">
        <f>CHOOSE( CONTROL!$C$32, 18.5584, 18.5561) * CHOOSE( CONTROL!$C$15, $D$11, 100%, $F$11)</f>
        <v>18.558399999999999</v>
      </c>
      <c r="E672" s="12">
        <f>CHOOSE( CONTROL!$C$32, 18.5479, 18.5456) * CHOOSE( CONTROL!$C$15, $D$11, 100%, $F$11)</f>
        <v>18.547899999999998</v>
      </c>
      <c r="F672" s="4">
        <f>CHOOSE( CONTROL!$C$32, 19.238, 19.2357) * CHOOSE(CONTROL!$C$15, $D$11, 100%, $F$11)</f>
        <v>19.238</v>
      </c>
      <c r="G672" s="8">
        <f>CHOOSE( CONTROL!$C$32, 18.0771, 18.0748) * CHOOSE( CONTROL!$C$15, $D$11, 100%, $F$11)</f>
        <v>18.077100000000002</v>
      </c>
      <c r="H672" s="4">
        <f>CHOOSE( CONTROL!$C$32, 19.0246, 19.0223) * CHOOSE(CONTROL!$C$15, $D$11, 100%, $F$11)</f>
        <v>19.0246</v>
      </c>
      <c r="I672" s="8">
        <f>CHOOSE( CONTROL!$C$32, 17.8775, 17.8752) * CHOOSE(CONTROL!$C$15, $D$11, 100%, $F$11)</f>
        <v>17.877500000000001</v>
      </c>
      <c r="J672" s="4">
        <f>CHOOSE( CONTROL!$C$32, 17.7563, 17.754) * CHOOSE(CONTROL!$C$15, $D$11, 100%, $F$11)</f>
        <v>17.7563</v>
      </c>
      <c r="K672" s="4"/>
      <c r="L672" s="9">
        <v>30.7165</v>
      </c>
      <c r="M672" s="9">
        <v>12.063700000000001</v>
      </c>
      <c r="N672" s="9">
        <v>4.9444999999999997</v>
      </c>
      <c r="O672" s="9">
        <v>0.37409999999999999</v>
      </c>
      <c r="P672" s="9">
        <v>1.2183999999999999</v>
      </c>
      <c r="Q672" s="9">
        <v>19.688099999999999</v>
      </c>
      <c r="R672" s="9"/>
      <c r="S672" s="11"/>
    </row>
    <row r="673" spans="1:19" ht="15.75">
      <c r="A673" s="13">
        <v>62001</v>
      </c>
      <c r="B673" s="8">
        <f>CHOOSE( CONTROL!$C$32, 18.1373, 18.1349) * CHOOSE(CONTROL!$C$15, $D$11, 100%, $F$11)</f>
        <v>18.1373</v>
      </c>
      <c r="C673" s="8">
        <f>CHOOSE( CONTROL!$C$32, 18.1454, 18.143) * CHOOSE(CONTROL!$C$15, $D$11, 100%, $F$11)</f>
        <v>18.145399999999999</v>
      </c>
      <c r="D673" s="8">
        <f>CHOOSE( CONTROL!$C$32, 18.1711, 18.1687) * CHOOSE( CONTROL!$C$15, $D$11, 100%, $F$11)</f>
        <v>18.171099999999999</v>
      </c>
      <c r="E673" s="12">
        <f>CHOOSE( CONTROL!$C$32, 18.1606, 18.1582) * CHOOSE( CONTROL!$C$15, $D$11, 100%, $F$11)</f>
        <v>18.160599999999999</v>
      </c>
      <c r="F673" s="4">
        <f>CHOOSE( CONTROL!$C$32, 18.8507, 18.8484) * CHOOSE(CONTROL!$C$15, $D$11, 100%, $F$11)</f>
        <v>18.8507</v>
      </c>
      <c r="G673" s="8">
        <f>CHOOSE( CONTROL!$C$32, 17.6988, 17.6965) * CHOOSE( CONTROL!$C$15, $D$11, 100%, $F$11)</f>
        <v>17.698799999999999</v>
      </c>
      <c r="H673" s="4">
        <f>CHOOSE( CONTROL!$C$32, 18.6463, 18.644) * CHOOSE(CONTROL!$C$15, $D$11, 100%, $F$11)</f>
        <v>18.6463</v>
      </c>
      <c r="I673" s="8">
        <f>CHOOSE( CONTROL!$C$32, 17.5053, 17.503) * CHOOSE(CONTROL!$C$15, $D$11, 100%, $F$11)</f>
        <v>17.505299999999998</v>
      </c>
      <c r="J673" s="4">
        <f>CHOOSE( CONTROL!$C$32, 17.3844, 17.3821) * CHOOSE(CONTROL!$C$15, $D$11, 100%, $F$11)</f>
        <v>17.384399999999999</v>
      </c>
      <c r="K673" s="4"/>
      <c r="L673" s="9">
        <v>29.7257</v>
      </c>
      <c r="M673" s="9">
        <v>11.6745</v>
      </c>
      <c r="N673" s="9">
        <v>4.7850000000000001</v>
      </c>
      <c r="O673" s="9">
        <v>0.36199999999999999</v>
      </c>
      <c r="P673" s="9">
        <v>1.1791</v>
      </c>
      <c r="Q673" s="9">
        <v>19.053000000000001</v>
      </c>
      <c r="R673" s="9"/>
      <c r="S673" s="11"/>
    </row>
    <row r="674" spans="1:19" ht="15.75">
      <c r="A674" s="13">
        <v>62032</v>
      </c>
      <c r="B674" s="8">
        <f>18.9375 * CHOOSE(CONTROL!$C$15, $D$11, 100%, $F$11)</f>
        <v>18.9375</v>
      </c>
      <c r="C674" s="8">
        <f>18.9429 * CHOOSE(CONTROL!$C$15, $D$11, 100%, $F$11)</f>
        <v>18.942900000000002</v>
      </c>
      <c r="D674" s="8">
        <f>18.9737 * CHOOSE( CONTROL!$C$15, $D$11, 100%, $F$11)</f>
        <v>18.973700000000001</v>
      </c>
      <c r="E674" s="12">
        <f>18.963 * CHOOSE( CONTROL!$C$15, $D$11, 100%, $F$11)</f>
        <v>18.963000000000001</v>
      </c>
      <c r="F674" s="4">
        <f>19.6526 * CHOOSE(CONTROL!$C$15, $D$11, 100%, $F$11)</f>
        <v>19.6526</v>
      </c>
      <c r="G674" s="8">
        <f>18.4818 * CHOOSE( CONTROL!$C$15, $D$11, 100%, $F$11)</f>
        <v>18.4818</v>
      </c>
      <c r="H674" s="4">
        <f>19.4296 * CHOOSE(CONTROL!$C$15, $D$11, 100%, $F$11)</f>
        <v>19.429600000000001</v>
      </c>
      <c r="I674" s="8">
        <f>18.2764 * CHOOSE(CONTROL!$C$15, $D$11, 100%, $F$11)</f>
        <v>18.276399999999999</v>
      </c>
      <c r="J674" s="4">
        <f>18.1543 * CHOOSE(CONTROL!$C$15, $D$11, 100%, $F$11)</f>
        <v>18.154299999999999</v>
      </c>
      <c r="K674" s="4"/>
      <c r="L674" s="9">
        <v>31.095300000000002</v>
      </c>
      <c r="M674" s="9">
        <v>12.063700000000001</v>
      </c>
      <c r="N674" s="9">
        <v>4.9444999999999997</v>
      </c>
      <c r="O674" s="9">
        <v>0.37409999999999999</v>
      </c>
      <c r="P674" s="9">
        <v>1.2183999999999999</v>
      </c>
      <c r="Q674" s="9">
        <v>19.688099999999999</v>
      </c>
      <c r="R674" s="9"/>
      <c r="S674" s="11"/>
    </row>
    <row r="675" spans="1:19" ht="15.75">
      <c r="A675" s="13">
        <v>62062</v>
      </c>
      <c r="B675" s="8">
        <f>20.4216 * CHOOSE(CONTROL!$C$15, $D$11, 100%, $F$11)</f>
        <v>20.421600000000002</v>
      </c>
      <c r="C675" s="8">
        <f>20.4268 * CHOOSE(CONTROL!$C$15, $D$11, 100%, $F$11)</f>
        <v>20.4268</v>
      </c>
      <c r="D675" s="8">
        <f>20.4098 * CHOOSE( CONTROL!$C$15, $D$11, 100%, $F$11)</f>
        <v>20.409800000000001</v>
      </c>
      <c r="E675" s="12">
        <f>20.4155 * CHOOSE( CONTROL!$C$15, $D$11, 100%, $F$11)</f>
        <v>20.415500000000002</v>
      </c>
      <c r="F675" s="4">
        <f>21.072 * CHOOSE(CONTROL!$C$15, $D$11, 100%, $F$11)</f>
        <v>21.071999999999999</v>
      </c>
      <c r="G675" s="8">
        <f>19.9379 * CHOOSE( CONTROL!$C$15, $D$11, 100%, $F$11)</f>
        <v>19.937899999999999</v>
      </c>
      <c r="H675" s="4">
        <f>20.8159 * CHOOSE(CONTROL!$C$15, $D$11, 100%, $F$11)</f>
        <v>20.815899999999999</v>
      </c>
      <c r="I675" s="8">
        <f>19.7442 * CHOOSE(CONTROL!$C$15, $D$11, 100%, $F$11)</f>
        <v>19.744199999999999</v>
      </c>
      <c r="J675" s="4">
        <f>19.5796 * CHOOSE(CONTROL!$C$15, $D$11, 100%, $F$11)</f>
        <v>19.579599999999999</v>
      </c>
      <c r="K675" s="4"/>
      <c r="L675" s="9">
        <v>28.360600000000002</v>
      </c>
      <c r="M675" s="9">
        <v>11.6745</v>
      </c>
      <c r="N675" s="9">
        <v>4.7850000000000001</v>
      </c>
      <c r="O675" s="9">
        <v>0.36199999999999999</v>
      </c>
      <c r="P675" s="9">
        <v>1.2509999999999999</v>
      </c>
      <c r="Q675" s="9">
        <v>19.053000000000001</v>
      </c>
      <c r="R675" s="9"/>
      <c r="S675" s="11"/>
    </row>
    <row r="676" spans="1:19" ht="15.75">
      <c r="A676" s="13">
        <v>62093</v>
      </c>
      <c r="B676" s="8">
        <f>20.3845 * CHOOSE(CONTROL!$C$15, $D$11, 100%, $F$11)</f>
        <v>20.384499999999999</v>
      </c>
      <c r="C676" s="8">
        <f>20.3897 * CHOOSE(CONTROL!$C$15, $D$11, 100%, $F$11)</f>
        <v>20.389700000000001</v>
      </c>
      <c r="D676" s="8">
        <f>20.3742 * CHOOSE( CONTROL!$C$15, $D$11, 100%, $F$11)</f>
        <v>20.374199999999998</v>
      </c>
      <c r="E676" s="12">
        <f>20.3793 * CHOOSE( CONTROL!$C$15, $D$11, 100%, $F$11)</f>
        <v>20.379300000000001</v>
      </c>
      <c r="F676" s="4">
        <f>21.0349 * CHOOSE(CONTROL!$C$15, $D$11, 100%, $F$11)</f>
        <v>21.0349</v>
      </c>
      <c r="G676" s="8">
        <f>19.9028 * CHOOSE( CONTROL!$C$15, $D$11, 100%, $F$11)</f>
        <v>19.902799999999999</v>
      </c>
      <c r="H676" s="4">
        <f>20.7797 * CHOOSE(CONTROL!$C$15, $D$11, 100%, $F$11)</f>
        <v>20.779699999999998</v>
      </c>
      <c r="I676" s="8">
        <f>19.7133 * CHOOSE(CONTROL!$C$15, $D$11, 100%, $F$11)</f>
        <v>19.7133</v>
      </c>
      <c r="J676" s="4">
        <f>19.544 * CHOOSE(CONTROL!$C$15, $D$11, 100%, $F$11)</f>
        <v>19.544</v>
      </c>
      <c r="K676" s="4"/>
      <c r="L676" s="9">
        <v>29.306000000000001</v>
      </c>
      <c r="M676" s="9">
        <v>12.063700000000001</v>
      </c>
      <c r="N676" s="9">
        <v>4.9444999999999997</v>
      </c>
      <c r="O676" s="9">
        <v>0.37409999999999999</v>
      </c>
      <c r="P676" s="9">
        <v>1.2927</v>
      </c>
      <c r="Q676" s="9">
        <v>19.688099999999999</v>
      </c>
      <c r="R676" s="9"/>
      <c r="S676" s="11"/>
    </row>
    <row r="677" spans="1:19" ht="15.75">
      <c r="A677" s="13">
        <v>62124</v>
      </c>
      <c r="B677" s="8">
        <f>20.9849 * CHOOSE(CONTROL!$C$15, $D$11, 100%, $F$11)</f>
        <v>20.9849</v>
      </c>
      <c r="C677" s="8">
        <f>20.9901 * CHOOSE(CONTROL!$C$15, $D$11, 100%, $F$11)</f>
        <v>20.990100000000002</v>
      </c>
      <c r="D677" s="8">
        <f>20.9703 * CHOOSE( CONTROL!$C$15, $D$11, 100%, $F$11)</f>
        <v>20.970300000000002</v>
      </c>
      <c r="E677" s="12">
        <f>20.977 * CHOOSE( CONTROL!$C$15, $D$11, 100%, $F$11)</f>
        <v>20.977</v>
      </c>
      <c r="F677" s="4">
        <f>21.6354 * CHOOSE(CONTROL!$C$15, $D$11, 100%, $F$11)</f>
        <v>21.635400000000001</v>
      </c>
      <c r="G677" s="8">
        <f>20.4799 * CHOOSE( CONTROL!$C$15, $D$11, 100%, $F$11)</f>
        <v>20.479900000000001</v>
      </c>
      <c r="H677" s="4">
        <f>21.3661 * CHOOSE(CONTROL!$C$15, $D$11, 100%, $F$11)</f>
        <v>21.366099999999999</v>
      </c>
      <c r="I677" s="8">
        <f>20.2492 * CHOOSE(CONTROL!$C$15, $D$11, 100%, $F$11)</f>
        <v>20.249199999999998</v>
      </c>
      <c r="J677" s="4">
        <f>20.1204 * CHOOSE(CONTROL!$C$15, $D$11, 100%, $F$11)</f>
        <v>20.1204</v>
      </c>
      <c r="K677" s="4"/>
      <c r="L677" s="9">
        <v>29.306000000000001</v>
      </c>
      <c r="M677" s="9">
        <v>12.063700000000001</v>
      </c>
      <c r="N677" s="9">
        <v>4.9444999999999997</v>
      </c>
      <c r="O677" s="9">
        <v>0.37409999999999999</v>
      </c>
      <c r="P677" s="9">
        <v>1.2927</v>
      </c>
      <c r="Q677" s="9">
        <v>19.688099999999999</v>
      </c>
      <c r="R677" s="9"/>
      <c r="S677" s="11"/>
    </row>
    <row r="678" spans="1:19" ht="15.75">
      <c r="A678" s="13">
        <v>62152</v>
      </c>
      <c r="B678" s="8">
        <f>19.6301 * CHOOSE(CONTROL!$C$15, $D$11, 100%, $F$11)</f>
        <v>19.630099999999999</v>
      </c>
      <c r="C678" s="8">
        <f>19.6353 * CHOOSE(CONTROL!$C$15, $D$11, 100%, $F$11)</f>
        <v>19.635300000000001</v>
      </c>
      <c r="D678" s="8">
        <f>19.6154 * CHOOSE( CONTROL!$C$15, $D$11, 100%, $F$11)</f>
        <v>19.615400000000001</v>
      </c>
      <c r="E678" s="12">
        <f>19.6221 * CHOOSE( CONTROL!$C$15, $D$11, 100%, $F$11)</f>
        <v>19.6221</v>
      </c>
      <c r="F678" s="4">
        <f>20.2806 * CHOOSE(CONTROL!$C$15, $D$11, 100%, $F$11)</f>
        <v>20.2806</v>
      </c>
      <c r="G678" s="8">
        <f>19.1566 * CHOOSE( CONTROL!$C$15, $D$11, 100%, $F$11)</f>
        <v>19.156600000000001</v>
      </c>
      <c r="H678" s="4">
        <f>20.0429 * CHOOSE(CONTROL!$C$15, $D$11, 100%, $F$11)</f>
        <v>20.042899999999999</v>
      </c>
      <c r="I678" s="8">
        <f>18.9477 * CHOOSE(CONTROL!$C$15, $D$11, 100%, $F$11)</f>
        <v>18.947700000000001</v>
      </c>
      <c r="J678" s="4">
        <f>18.8197 * CHOOSE(CONTROL!$C$15, $D$11, 100%, $F$11)</f>
        <v>18.819700000000001</v>
      </c>
      <c r="K678" s="4"/>
      <c r="L678" s="9">
        <v>26.469899999999999</v>
      </c>
      <c r="M678" s="9">
        <v>10.8962</v>
      </c>
      <c r="N678" s="9">
        <v>4.4660000000000002</v>
      </c>
      <c r="O678" s="9">
        <v>0.33789999999999998</v>
      </c>
      <c r="P678" s="9">
        <v>1.1676</v>
      </c>
      <c r="Q678" s="9">
        <v>17.782800000000002</v>
      </c>
      <c r="R678" s="9"/>
      <c r="S678" s="11"/>
    </row>
    <row r="679" spans="1:19" ht="15.75">
      <c r="A679" s="13">
        <v>62183</v>
      </c>
      <c r="B679" s="8">
        <f>19.2128 * CHOOSE(CONTROL!$C$15, $D$11, 100%, $F$11)</f>
        <v>19.212800000000001</v>
      </c>
      <c r="C679" s="8">
        <f>19.218 * CHOOSE(CONTROL!$C$15, $D$11, 100%, $F$11)</f>
        <v>19.218</v>
      </c>
      <c r="D679" s="8">
        <f>19.1978 * CHOOSE( CONTROL!$C$15, $D$11, 100%, $F$11)</f>
        <v>19.197800000000001</v>
      </c>
      <c r="E679" s="12">
        <f>19.2046 * CHOOSE( CONTROL!$C$15, $D$11, 100%, $F$11)</f>
        <v>19.204599999999999</v>
      </c>
      <c r="F679" s="4">
        <f>19.8633 * CHOOSE(CONTROL!$C$15, $D$11, 100%, $F$11)</f>
        <v>19.863299999999999</v>
      </c>
      <c r="G679" s="8">
        <f>18.7488 * CHOOSE( CONTROL!$C$15, $D$11, 100%, $F$11)</f>
        <v>18.748799999999999</v>
      </c>
      <c r="H679" s="4">
        <f>19.6353 * CHOOSE(CONTROL!$C$15, $D$11, 100%, $F$11)</f>
        <v>19.635300000000001</v>
      </c>
      <c r="I679" s="8">
        <f>18.5457 * CHOOSE(CONTROL!$C$15, $D$11, 100%, $F$11)</f>
        <v>18.5457</v>
      </c>
      <c r="J679" s="4">
        <f>18.4191 * CHOOSE(CONTROL!$C$15, $D$11, 100%, $F$11)</f>
        <v>18.4191</v>
      </c>
      <c r="K679" s="4"/>
      <c r="L679" s="9">
        <v>29.306000000000001</v>
      </c>
      <c r="M679" s="9">
        <v>12.063700000000001</v>
      </c>
      <c r="N679" s="9">
        <v>4.9444999999999997</v>
      </c>
      <c r="O679" s="9">
        <v>0.37409999999999999</v>
      </c>
      <c r="P679" s="9">
        <v>1.2927</v>
      </c>
      <c r="Q679" s="9">
        <v>19.688099999999999</v>
      </c>
      <c r="R679" s="9"/>
      <c r="S679" s="11"/>
    </row>
    <row r="680" spans="1:19" ht="15.75">
      <c r="A680" s="13">
        <v>62213</v>
      </c>
      <c r="B680" s="8">
        <f>19.5052 * CHOOSE(CONTROL!$C$15, $D$11, 100%, $F$11)</f>
        <v>19.505199999999999</v>
      </c>
      <c r="C680" s="8">
        <f>19.5098 * CHOOSE(CONTROL!$C$15, $D$11, 100%, $F$11)</f>
        <v>19.509799999999998</v>
      </c>
      <c r="D680" s="8">
        <f>19.5403 * CHOOSE( CONTROL!$C$15, $D$11, 100%, $F$11)</f>
        <v>19.540299999999998</v>
      </c>
      <c r="E680" s="12">
        <f>19.5297 * CHOOSE( CONTROL!$C$15, $D$11, 100%, $F$11)</f>
        <v>19.529699999999998</v>
      </c>
      <c r="F680" s="4">
        <f>20.22 * CHOOSE(CONTROL!$C$15, $D$11, 100%, $F$11)</f>
        <v>20.22</v>
      </c>
      <c r="G680" s="8">
        <f>19.0348 * CHOOSE( CONTROL!$C$15, $D$11, 100%, $F$11)</f>
        <v>19.034800000000001</v>
      </c>
      <c r="H680" s="4">
        <f>19.9837 * CHOOSE(CONTROL!$C$15, $D$11, 100%, $F$11)</f>
        <v>19.983699999999999</v>
      </c>
      <c r="I680" s="8">
        <f>18.8178 * CHOOSE(CONTROL!$C$15, $D$11, 100%, $F$11)</f>
        <v>18.817799999999998</v>
      </c>
      <c r="J680" s="4">
        <f>18.699 * CHOOSE(CONTROL!$C$15, $D$11, 100%, $F$11)</f>
        <v>18.699000000000002</v>
      </c>
      <c r="K680" s="4"/>
      <c r="L680" s="9">
        <v>30.092199999999998</v>
      </c>
      <c r="M680" s="9">
        <v>11.6745</v>
      </c>
      <c r="N680" s="9">
        <v>4.7850000000000001</v>
      </c>
      <c r="O680" s="9">
        <v>0.36199999999999999</v>
      </c>
      <c r="P680" s="9">
        <v>1.1791</v>
      </c>
      <c r="Q680" s="9">
        <v>19.053000000000001</v>
      </c>
      <c r="R680" s="9"/>
      <c r="S680" s="11"/>
    </row>
    <row r="681" spans="1:19" ht="15.75">
      <c r="A681" s="13">
        <v>62244</v>
      </c>
      <c r="B681" s="8">
        <f>CHOOSE( CONTROL!$C$32, 20.0278, 20.0255) * CHOOSE(CONTROL!$C$15, $D$11, 100%, $F$11)</f>
        <v>20.027799999999999</v>
      </c>
      <c r="C681" s="8">
        <f>CHOOSE( CONTROL!$C$32, 20.0359, 20.0336) * CHOOSE(CONTROL!$C$15, $D$11, 100%, $F$11)</f>
        <v>20.035900000000002</v>
      </c>
      <c r="D681" s="8">
        <f>CHOOSE( CONTROL!$C$32, 20.0611, 20.0588) * CHOOSE( CONTROL!$C$15, $D$11, 100%, $F$11)</f>
        <v>20.0611</v>
      </c>
      <c r="E681" s="12">
        <f>CHOOSE( CONTROL!$C$32, 20.0507, 20.0484) * CHOOSE( CONTROL!$C$15, $D$11, 100%, $F$11)</f>
        <v>20.050699999999999</v>
      </c>
      <c r="F681" s="4">
        <f>CHOOSE( CONTROL!$C$32, 20.7413, 20.7389) * CHOOSE(CONTROL!$C$15, $D$11, 100%, $F$11)</f>
        <v>20.741299999999999</v>
      </c>
      <c r="G681" s="8">
        <f>CHOOSE( CONTROL!$C$32, 19.5445, 19.5422) * CHOOSE( CONTROL!$C$15, $D$11, 100%, $F$11)</f>
        <v>19.544499999999999</v>
      </c>
      <c r="H681" s="4">
        <f>CHOOSE( CONTROL!$C$32, 20.4929, 20.4906) * CHOOSE(CONTROL!$C$15, $D$11, 100%, $F$11)</f>
        <v>20.492899999999999</v>
      </c>
      <c r="I681" s="8">
        <f>CHOOSE( CONTROL!$C$32, 19.3189, 19.3166) * CHOOSE(CONTROL!$C$15, $D$11, 100%, $F$11)</f>
        <v>19.318899999999999</v>
      </c>
      <c r="J681" s="4">
        <f>CHOOSE( CONTROL!$C$32, 19.1995, 19.1973) * CHOOSE(CONTROL!$C$15, $D$11, 100%, $F$11)</f>
        <v>19.1995</v>
      </c>
      <c r="K681" s="4"/>
      <c r="L681" s="9">
        <v>30.7165</v>
      </c>
      <c r="M681" s="9">
        <v>12.063700000000001</v>
      </c>
      <c r="N681" s="9">
        <v>4.9444999999999997</v>
      </c>
      <c r="O681" s="9">
        <v>0.37409999999999999</v>
      </c>
      <c r="P681" s="9">
        <v>1.2183999999999999</v>
      </c>
      <c r="Q681" s="9">
        <v>19.688099999999999</v>
      </c>
      <c r="R681" s="9"/>
      <c r="S681" s="11"/>
    </row>
    <row r="682" spans="1:19" ht="15.75">
      <c r="A682" s="13">
        <v>62274</v>
      </c>
      <c r="B682" s="8">
        <f>CHOOSE( CONTROL!$C$32, 19.7064, 19.704) * CHOOSE(CONTROL!$C$15, $D$11, 100%, $F$11)</f>
        <v>19.706399999999999</v>
      </c>
      <c r="C682" s="8">
        <f>CHOOSE( CONTROL!$C$32, 19.7145, 19.7121) * CHOOSE(CONTROL!$C$15, $D$11, 100%, $F$11)</f>
        <v>19.714500000000001</v>
      </c>
      <c r="D682" s="8">
        <f>CHOOSE( CONTROL!$C$32, 19.7399, 19.7375) * CHOOSE( CONTROL!$C$15, $D$11, 100%, $F$11)</f>
        <v>19.739899999999999</v>
      </c>
      <c r="E682" s="12">
        <f>CHOOSE( CONTROL!$C$32, 19.7295, 19.7271) * CHOOSE( CONTROL!$C$15, $D$11, 100%, $F$11)</f>
        <v>19.729500000000002</v>
      </c>
      <c r="F682" s="4">
        <f>CHOOSE( CONTROL!$C$32, 20.4198, 20.4175) * CHOOSE(CONTROL!$C$15, $D$11, 100%, $F$11)</f>
        <v>20.419799999999999</v>
      </c>
      <c r="G682" s="8">
        <f>CHOOSE( CONTROL!$C$32, 19.2308, 19.2286) * CHOOSE( CONTROL!$C$15, $D$11, 100%, $F$11)</f>
        <v>19.230799999999999</v>
      </c>
      <c r="H682" s="4">
        <f>CHOOSE( CONTROL!$C$32, 20.1789, 20.1766) * CHOOSE(CONTROL!$C$15, $D$11, 100%, $F$11)</f>
        <v>20.178899999999999</v>
      </c>
      <c r="I682" s="8">
        <f>CHOOSE( CONTROL!$C$32, 19.011, 19.0088) * CHOOSE(CONTROL!$C$15, $D$11, 100%, $F$11)</f>
        <v>19.010999999999999</v>
      </c>
      <c r="J682" s="4">
        <f>CHOOSE( CONTROL!$C$32, 18.8909, 18.8886) * CHOOSE(CONTROL!$C$15, $D$11, 100%, $F$11)</f>
        <v>18.890899999999998</v>
      </c>
      <c r="K682" s="4"/>
      <c r="L682" s="9">
        <v>29.7257</v>
      </c>
      <c r="M682" s="9">
        <v>11.6745</v>
      </c>
      <c r="N682" s="9">
        <v>4.7850000000000001</v>
      </c>
      <c r="O682" s="9">
        <v>0.36199999999999999</v>
      </c>
      <c r="P682" s="9">
        <v>1.1791</v>
      </c>
      <c r="Q682" s="9">
        <v>19.053000000000001</v>
      </c>
      <c r="R682" s="9"/>
      <c r="S682" s="11"/>
    </row>
    <row r="683" spans="1:19" ht="15.75">
      <c r="A683" s="13">
        <v>62305</v>
      </c>
      <c r="B683" s="8">
        <f>CHOOSE( CONTROL!$C$32, 20.5529, 20.5506) * CHOOSE(CONTROL!$C$15, $D$11, 100%, $F$11)</f>
        <v>20.552900000000001</v>
      </c>
      <c r="C683" s="8">
        <f>CHOOSE( CONTROL!$C$32, 20.561, 20.5587) * CHOOSE(CONTROL!$C$15, $D$11, 100%, $F$11)</f>
        <v>20.561</v>
      </c>
      <c r="D683" s="8">
        <f>CHOOSE( CONTROL!$C$32, 20.5867, 20.5843) * CHOOSE( CONTROL!$C$15, $D$11, 100%, $F$11)</f>
        <v>20.5867</v>
      </c>
      <c r="E683" s="12">
        <f>CHOOSE( CONTROL!$C$32, 20.5762, 20.5738) * CHOOSE( CONTROL!$C$15, $D$11, 100%, $F$11)</f>
        <v>20.5762</v>
      </c>
      <c r="F683" s="4">
        <f>CHOOSE( CONTROL!$C$32, 21.2664, 21.264) * CHOOSE(CONTROL!$C$15, $D$11, 100%, $F$11)</f>
        <v>21.266400000000001</v>
      </c>
      <c r="G683" s="8">
        <f>CHOOSE( CONTROL!$C$32, 20.0581, 20.0558) * CHOOSE( CONTROL!$C$15, $D$11, 100%, $F$11)</f>
        <v>20.0581</v>
      </c>
      <c r="H683" s="4">
        <f>CHOOSE( CONTROL!$C$32, 21.0057, 21.0034) * CHOOSE(CONTROL!$C$15, $D$11, 100%, $F$11)</f>
        <v>21.005700000000001</v>
      </c>
      <c r="I683" s="8">
        <f>CHOOSE( CONTROL!$C$32, 19.8254, 19.8232) * CHOOSE(CONTROL!$C$15, $D$11, 100%, $F$11)</f>
        <v>19.825399999999998</v>
      </c>
      <c r="J683" s="4">
        <f>CHOOSE( CONTROL!$C$32, 19.7036, 19.7014) * CHOOSE(CONTROL!$C$15, $D$11, 100%, $F$11)</f>
        <v>19.703600000000002</v>
      </c>
      <c r="K683" s="4"/>
      <c r="L683" s="9">
        <v>30.7165</v>
      </c>
      <c r="M683" s="9">
        <v>12.063700000000001</v>
      </c>
      <c r="N683" s="9">
        <v>4.9444999999999997</v>
      </c>
      <c r="O683" s="9">
        <v>0.37409999999999999</v>
      </c>
      <c r="P683" s="9">
        <v>1.2183999999999999</v>
      </c>
      <c r="Q683" s="9">
        <v>19.688099999999999</v>
      </c>
      <c r="R683" s="9"/>
      <c r="S683" s="11"/>
    </row>
    <row r="684" spans="1:19" ht="15.75">
      <c r="A684" s="13">
        <v>62336</v>
      </c>
      <c r="B684" s="8">
        <f>CHOOSE( CONTROL!$C$32, 18.9689, 18.9666) * CHOOSE(CONTROL!$C$15, $D$11, 100%, $F$11)</f>
        <v>18.968900000000001</v>
      </c>
      <c r="C684" s="8">
        <f>CHOOSE( CONTROL!$C$32, 18.977, 18.9747) * CHOOSE(CONTROL!$C$15, $D$11, 100%, $F$11)</f>
        <v>18.977</v>
      </c>
      <c r="D684" s="8">
        <f>CHOOSE( CONTROL!$C$32, 19.0027, 19.0004) * CHOOSE( CONTROL!$C$15, $D$11, 100%, $F$11)</f>
        <v>19.002700000000001</v>
      </c>
      <c r="E684" s="12">
        <f>CHOOSE( CONTROL!$C$32, 18.9922, 18.9899) * CHOOSE( CONTROL!$C$15, $D$11, 100%, $F$11)</f>
        <v>18.9922</v>
      </c>
      <c r="F684" s="4">
        <f>CHOOSE( CONTROL!$C$32, 19.6824, 19.68) * CHOOSE(CONTROL!$C$15, $D$11, 100%, $F$11)</f>
        <v>19.682400000000001</v>
      </c>
      <c r="G684" s="8">
        <f>CHOOSE( CONTROL!$C$32, 18.5111, 18.5088) * CHOOSE( CONTROL!$C$15, $D$11, 100%, $F$11)</f>
        <v>18.511099999999999</v>
      </c>
      <c r="H684" s="4">
        <f>CHOOSE( CONTROL!$C$32, 19.4586, 19.4563) * CHOOSE(CONTROL!$C$15, $D$11, 100%, $F$11)</f>
        <v>19.458600000000001</v>
      </c>
      <c r="I684" s="8">
        <f>CHOOSE( CONTROL!$C$32, 18.3043, 18.302) * CHOOSE(CONTROL!$C$15, $D$11, 100%, $F$11)</f>
        <v>18.304300000000001</v>
      </c>
      <c r="J684" s="4">
        <f>CHOOSE( CONTROL!$C$32, 18.1828, 18.1806) * CHOOSE(CONTROL!$C$15, $D$11, 100%, $F$11)</f>
        <v>18.1828</v>
      </c>
      <c r="K684" s="4"/>
      <c r="L684" s="9">
        <v>30.7165</v>
      </c>
      <c r="M684" s="9">
        <v>12.063700000000001</v>
      </c>
      <c r="N684" s="9">
        <v>4.9444999999999997</v>
      </c>
      <c r="O684" s="9">
        <v>0.37409999999999999</v>
      </c>
      <c r="P684" s="9">
        <v>1.2183999999999999</v>
      </c>
      <c r="Q684" s="9">
        <v>19.688099999999999</v>
      </c>
      <c r="R684" s="9"/>
      <c r="S684" s="11"/>
    </row>
    <row r="685" spans="1:19" ht="15.75">
      <c r="A685" s="13">
        <v>62366</v>
      </c>
      <c r="B685" s="8">
        <f>CHOOSE( CONTROL!$C$32, 18.5723, 18.5699) * CHOOSE(CONTROL!$C$15, $D$11, 100%, $F$11)</f>
        <v>18.572299999999998</v>
      </c>
      <c r="C685" s="8">
        <f>CHOOSE( CONTROL!$C$32, 18.5804, 18.578) * CHOOSE(CONTROL!$C$15, $D$11, 100%, $F$11)</f>
        <v>18.580400000000001</v>
      </c>
      <c r="D685" s="8">
        <f>CHOOSE( CONTROL!$C$32, 18.6061, 18.6037) * CHOOSE( CONTROL!$C$15, $D$11, 100%, $F$11)</f>
        <v>18.606100000000001</v>
      </c>
      <c r="E685" s="12">
        <f>CHOOSE( CONTROL!$C$32, 18.5956, 18.5932) * CHOOSE( CONTROL!$C$15, $D$11, 100%, $F$11)</f>
        <v>18.595600000000001</v>
      </c>
      <c r="F685" s="4">
        <f>CHOOSE( CONTROL!$C$32, 19.2857, 19.2834) * CHOOSE(CONTROL!$C$15, $D$11, 100%, $F$11)</f>
        <v>19.285699999999999</v>
      </c>
      <c r="G685" s="8">
        <f>CHOOSE( CONTROL!$C$32, 18.1236, 18.1213) * CHOOSE( CONTROL!$C$15, $D$11, 100%, $F$11)</f>
        <v>18.1236</v>
      </c>
      <c r="H685" s="4">
        <f>CHOOSE( CONTROL!$C$32, 19.0712, 19.0689) * CHOOSE(CONTROL!$C$15, $D$11, 100%, $F$11)</f>
        <v>19.071200000000001</v>
      </c>
      <c r="I685" s="8">
        <f>CHOOSE( CONTROL!$C$32, 17.9231, 17.9209) * CHOOSE(CONTROL!$C$15, $D$11, 100%, $F$11)</f>
        <v>17.923100000000002</v>
      </c>
      <c r="J685" s="4">
        <f>CHOOSE( CONTROL!$C$32, 17.802, 17.7998) * CHOOSE(CONTROL!$C$15, $D$11, 100%, $F$11)</f>
        <v>17.802</v>
      </c>
      <c r="K685" s="4"/>
      <c r="L685" s="9">
        <v>29.7257</v>
      </c>
      <c r="M685" s="9">
        <v>11.6745</v>
      </c>
      <c r="N685" s="9">
        <v>4.7850000000000001</v>
      </c>
      <c r="O685" s="9">
        <v>0.36199999999999999</v>
      </c>
      <c r="P685" s="9">
        <v>1.1791</v>
      </c>
      <c r="Q685" s="9">
        <v>19.053000000000001</v>
      </c>
      <c r="R685" s="9"/>
      <c r="S685" s="11"/>
    </row>
    <row r="686" spans="1:19" ht="15.75">
      <c r="A686" s="13">
        <v>62397</v>
      </c>
      <c r="B686" s="8">
        <f>19.3918 * CHOOSE(CONTROL!$C$15, $D$11, 100%, $F$11)</f>
        <v>19.3918</v>
      </c>
      <c r="C686" s="8">
        <f>19.3972 * CHOOSE(CONTROL!$C$15, $D$11, 100%, $F$11)</f>
        <v>19.397200000000002</v>
      </c>
      <c r="D686" s="8">
        <f>19.428 * CHOOSE( CONTROL!$C$15, $D$11, 100%, $F$11)</f>
        <v>19.428000000000001</v>
      </c>
      <c r="E686" s="12">
        <f>19.4173 * CHOOSE( CONTROL!$C$15, $D$11, 100%, $F$11)</f>
        <v>19.417300000000001</v>
      </c>
      <c r="F686" s="4">
        <f>20.1069 * CHOOSE(CONTROL!$C$15, $D$11, 100%, $F$11)</f>
        <v>20.1069</v>
      </c>
      <c r="G686" s="8">
        <f>18.9255 * CHOOSE( CONTROL!$C$15, $D$11, 100%, $F$11)</f>
        <v>18.9255</v>
      </c>
      <c r="H686" s="4">
        <f>19.8733 * CHOOSE(CONTROL!$C$15, $D$11, 100%, $F$11)</f>
        <v>19.8733</v>
      </c>
      <c r="I686" s="8">
        <f>18.7128 * CHOOSE(CONTROL!$C$15, $D$11, 100%, $F$11)</f>
        <v>18.712800000000001</v>
      </c>
      <c r="J686" s="4">
        <f>18.5905 * CHOOSE(CONTROL!$C$15, $D$11, 100%, $F$11)</f>
        <v>18.590499999999999</v>
      </c>
      <c r="K686" s="4"/>
      <c r="L686" s="9">
        <v>31.095300000000002</v>
      </c>
      <c r="M686" s="9">
        <v>12.063700000000001</v>
      </c>
      <c r="N686" s="9">
        <v>4.9444999999999997</v>
      </c>
      <c r="O686" s="9">
        <v>0.37409999999999999</v>
      </c>
      <c r="P686" s="9">
        <v>1.2183999999999999</v>
      </c>
      <c r="Q686" s="9">
        <v>19.688099999999999</v>
      </c>
      <c r="R686" s="9"/>
      <c r="S686" s="11"/>
    </row>
    <row r="687" spans="1:19" ht="15.75">
      <c r="A687" s="13">
        <v>62427</v>
      </c>
      <c r="B687" s="8">
        <f>20.9116 * CHOOSE(CONTROL!$C$15, $D$11, 100%, $F$11)</f>
        <v>20.9116</v>
      </c>
      <c r="C687" s="8">
        <f>20.9168 * CHOOSE(CONTROL!$C$15, $D$11, 100%, $F$11)</f>
        <v>20.916799999999999</v>
      </c>
      <c r="D687" s="8">
        <f>20.8998 * CHOOSE( CONTROL!$C$15, $D$11, 100%, $F$11)</f>
        <v>20.899799999999999</v>
      </c>
      <c r="E687" s="12">
        <f>20.9055 * CHOOSE( CONTROL!$C$15, $D$11, 100%, $F$11)</f>
        <v>20.9055</v>
      </c>
      <c r="F687" s="4">
        <f>21.562 * CHOOSE(CONTROL!$C$15, $D$11, 100%, $F$11)</f>
        <v>21.562000000000001</v>
      </c>
      <c r="G687" s="8">
        <f>20.4165 * CHOOSE( CONTROL!$C$15, $D$11, 100%, $F$11)</f>
        <v>20.416499999999999</v>
      </c>
      <c r="H687" s="4">
        <f>21.2945 * CHOOSE(CONTROL!$C$15, $D$11, 100%, $F$11)</f>
        <v>21.294499999999999</v>
      </c>
      <c r="I687" s="8">
        <f>20.2149 * CHOOSE(CONTROL!$C$15, $D$11, 100%, $F$11)</f>
        <v>20.2149</v>
      </c>
      <c r="J687" s="4">
        <f>20.05 * CHOOSE(CONTROL!$C$15, $D$11, 100%, $F$11)</f>
        <v>20.05</v>
      </c>
      <c r="K687" s="4"/>
      <c r="L687" s="9">
        <v>28.360600000000002</v>
      </c>
      <c r="M687" s="9">
        <v>11.6745</v>
      </c>
      <c r="N687" s="9">
        <v>4.7850000000000001</v>
      </c>
      <c r="O687" s="9">
        <v>0.36199999999999999</v>
      </c>
      <c r="P687" s="9">
        <v>1.2509999999999999</v>
      </c>
      <c r="Q687" s="9">
        <v>19.053000000000001</v>
      </c>
      <c r="R687" s="9"/>
      <c r="S687" s="11"/>
    </row>
    <row r="688" spans="1:19" ht="15.75">
      <c r="A688" s="13">
        <v>62458</v>
      </c>
      <c r="B688" s="8">
        <f>20.8736 * CHOOSE(CONTROL!$C$15, $D$11, 100%, $F$11)</f>
        <v>20.8736</v>
      </c>
      <c r="C688" s="8">
        <f>20.8788 * CHOOSE(CONTROL!$C$15, $D$11, 100%, $F$11)</f>
        <v>20.878799999999998</v>
      </c>
      <c r="D688" s="8">
        <f>20.8633 * CHOOSE( CONTROL!$C$15, $D$11, 100%, $F$11)</f>
        <v>20.863299999999999</v>
      </c>
      <c r="E688" s="12">
        <f>20.8684 * CHOOSE( CONTROL!$C$15, $D$11, 100%, $F$11)</f>
        <v>20.868400000000001</v>
      </c>
      <c r="F688" s="4">
        <f>21.5241 * CHOOSE(CONTROL!$C$15, $D$11, 100%, $F$11)</f>
        <v>21.524100000000001</v>
      </c>
      <c r="G688" s="8">
        <f>20.3805 * CHOOSE( CONTROL!$C$15, $D$11, 100%, $F$11)</f>
        <v>20.380500000000001</v>
      </c>
      <c r="H688" s="4">
        <f>21.2574 * CHOOSE(CONTROL!$C$15, $D$11, 100%, $F$11)</f>
        <v>21.257400000000001</v>
      </c>
      <c r="I688" s="8">
        <f>20.1831 * CHOOSE(CONTROL!$C$15, $D$11, 100%, $F$11)</f>
        <v>20.1831</v>
      </c>
      <c r="J688" s="4">
        <f>20.0135 * CHOOSE(CONTROL!$C$15, $D$11, 100%, $F$11)</f>
        <v>20.013500000000001</v>
      </c>
      <c r="K688" s="4"/>
      <c r="L688" s="9">
        <v>29.306000000000001</v>
      </c>
      <c r="M688" s="9">
        <v>12.063700000000001</v>
      </c>
      <c r="N688" s="9">
        <v>4.9444999999999997</v>
      </c>
      <c r="O688" s="9">
        <v>0.37409999999999999</v>
      </c>
      <c r="P688" s="9">
        <v>1.2927</v>
      </c>
      <c r="Q688" s="9">
        <v>19.688099999999999</v>
      </c>
      <c r="R688" s="9"/>
      <c r="S688" s="11"/>
    </row>
    <row r="689" spans="1:19" ht="15.75">
      <c r="A689" s="13">
        <v>62489</v>
      </c>
      <c r="B689" s="8">
        <f>21.4885 * CHOOSE(CONTROL!$C$15, $D$11, 100%, $F$11)</f>
        <v>21.488499999999998</v>
      </c>
      <c r="C689" s="8">
        <f>21.4936 * CHOOSE(CONTROL!$C$15, $D$11, 100%, $F$11)</f>
        <v>21.493600000000001</v>
      </c>
      <c r="D689" s="8">
        <f>21.4738 * CHOOSE( CONTROL!$C$15, $D$11, 100%, $F$11)</f>
        <v>21.473800000000001</v>
      </c>
      <c r="E689" s="12">
        <f>21.4805 * CHOOSE( CONTROL!$C$15, $D$11, 100%, $F$11)</f>
        <v>21.480499999999999</v>
      </c>
      <c r="F689" s="4">
        <f>22.1389 * CHOOSE(CONTROL!$C$15, $D$11, 100%, $F$11)</f>
        <v>22.1389</v>
      </c>
      <c r="G689" s="8">
        <f>20.9717 * CHOOSE( CONTROL!$C$15, $D$11, 100%, $F$11)</f>
        <v>20.971699999999998</v>
      </c>
      <c r="H689" s="4">
        <f>21.8579 * CHOOSE(CONTROL!$C$15, $D$11, 100%, $F$11)</f>
        <v>21.857900000000001</v>
      </c>
      <c r="I689" s="8">
        <f>20.7329 * CHOOSE(CONTROL!$C$15, $D$11, 100%, $F$11)</f>
        <v>20.732900000000001</v>
      </c>
      <c r="J689" s="4">
        <f>20.6039 * CHOOSE(CONTROL!$C$15, $D$11, 100%, $F$11)</f>
        <v>20.603899999999999</v>
      </c>
      <c r="K689" s="4"/>
      <c r="L689" s="9">
        <v>29.306000000000001</v>
      </c>
      <c r="M689" s="9">
        <v>12.063700000000001</v>
      </c>
      <c r="N689" s="9">
        <v>4.9444999999999997</v>
      </c>
      <c r="O689" s="9">
        <v>0.37409999999999999</v>
      </c>
      <c r="P689" s="9">
        <v>1.2927</v>
      </c>
      <c r="Q689" s="9">
        <v>19.688099999999999</v>
      </c>
      <c r="R689" s="9"/>
      <c r="S689" s="11"/>
    </row>
    <row r="690" spans="1:19" ht="15.75">
      <c r="A690" s="13">
        <v>62517</v>
      </c>
      <c r="B690" s="8">
        <f>20.1011 * CHOOSE(CONTROL!$C$15, $D$11, 100%, $F$11)</f>
        <v>20.101099999999999</v>
      </c>
      <c r="C690" s="8">
        <f>20.1063 * CHOOSE(CONTROL!$C$15, $D$11, 100%, $F$11)</f>
        <v>20.106300000000001</v>
      </c>
      <c r="D690" s="8">
        <f>20.0864 * CHOOSE( CONTROL!$C$15, $D$11, 100%, $F$11)</f>
        <v>20.086400000000001</v>
      </c>
      <c r="E690" s="12">
        <f>20.0931 * CHOOSE( CONTROL!$C$15, $D$11, 100%, $F$11)</f>
        <v>20.0931</v>
      </c>
      <c r="F690" s="4">
        <f>20.7516 * CHOOSE(CONTROL!$C$15, $D$11, 100%, $F$11)</f>
        <v>20.7516</v>
      </c>
      <c r="G690" s="8">
        <f>19.6167 * CHOOSE( CONTROL!$C$15, $D$11, 100%, $F$11)</f>
        <v>19.616700000000002</v>
      </c>
      <c r="H690" s="4">
        <f>20.5029 * CHOOSE(CONTROL!$C$15, $D$11, 100%, $F$11)</f>
        <v>20.5029</v>
      </c>
      <c r="I690" s="8">
        <f>19.4001 * CHOOSE(CONTROL!$C$15, $D$11, 100%, $F$11)</f>
        <v>19.400099999999998</v>
      </c>
      <c r="J690" s="4">
        <f>19.2719 * CHOOSE(CONTROL!$C$15, $D$11, 100%, $F$11)</f>
        <v>19.271899999999999</v>
      </c>
      <c r="K690" s="4"/>
      <c r="L690" s="9">
        <v>26.469899999999999</v>
      </c>
      <c r="M690" s="9">
        <v>10.8962</v>
      </c>
      <c r="N690" s="9">
        <v>4.4660000000000002</v>
      </c>
      <c r="O690" s="9">
        <v>0.33789999999999998</v>
      </c>
      <c r="P690" s="9">
        <v>1.1676</v>
      </c>
      <c r="Q690" s="9">
        <v>17.782800000000002</v>
      </c>
      <c r="R690" s="9"/>
      <c r="S690" s="11"/>
    </row>
    <row r="691" spans="1:19" ht="15.75">
      <c r="A691" s="13">
        <v>62548</v>
      </c>
      <c r="B691" s="8">
        <f>19.6738 * CHOOSE(CONTROL!$C$15, $D$11, 100%, $F$11)</f>
        <v>19.6738</v>
      </c>
      <c r="C691" s="8">
        <f>19.679 * CHOOSE(CONTROL!$C$15, $D$11, 100%, $F$11)</f>
        <v>19.678999999999998</v>
      </c>
      <c r="D691" s="8">
        <f>19.6587 * CHOOSE( CONTROL!$C$15, $D$11, 100%, $F$11)</f>
        <v>19.6587</v>
      </c>
      <c r="E691" s="12">
        <f>19.6656 * CHOOSE( CONTROL!$C$15, $D$11, 100%, $F$11)</f>
        <v>19.665600000000001</v>
      </c>
      <c r="F691" s="4">
        <f>20.3243 * CHOOSE(CONTROL!$C$15, $D$11, 100%, $F$11)</f>
        <v>20.324300000000001</v>
      </c>
      <c r="G691" s="8">
        <f>19.1991 * CHOOSE( CONTROL!$C$15, $D$11, 100%, $F$11)</f>
        <v>19.199100000000001</v>
      </c>
      <c r="H691" s="4">
        <f>20.0855 * CHOOSE(CONTROL!$C$15, $D$11, 100%, $F$11)</f>
        <v>20.0855</v>
      </c>
      <c r="I691" s="8">
        <f>18.9885 * CHOOSE(CONTROL!$C$15, $D$11, 100%, $F$11)</f>
        <v>18.988499999999998</v>
      </c>
      <c r="J691" s="4">
        <f>18.8616 * CHOOSE(CONTROL!$C$15, $D$11, 100%, $F$11)</f>
        <v>18.861599999999999</v>
      </c>
      <c r="K691" s="4"/>
      <c r="L691" s="9">
        <v>29.306000000000001</v>
      </c>
      <c r="M691" s="9">
        <v>12.063700000000001</v>
      </c>
      <c r="N691" s="9">
        <v>4.9444999999999997</v>
      </c>
      <c r="O691" s="9">
        <v>0.37409999999999999</v>
      </c>
      <c r="P691" s="9">
        <v>1.2927</v>
      </c>
      <c r="Q691" s="9">
        <v>19.688099999999999</v>
      </c>
      <c r="R691" s="9"/>
      <c r="S691" s="11"/>
    </row>
    <row r="692" spans="1:19" ht="15.75">
      <c r="A692" s="13">
        <v>62578</v>
      </c>
      <c r="B692" s="8">
        <f>19.9731 * CHOOSE(CONTROL!$C$15, $D$11, 100%, $F$11)</f>
        <v>19.973099999999999</v>
      </c>
      <c r="C692" s="8">
        <f>19.9778 * CHOOSE(CONTROL!$C$15, $D$11, 100%, $F$11)</f>
        <v>19.977799999999998</v>
      </c>
      <c r="D692" s="8">
        <f>20.0083 * CHOOSE( CONTROL!$C$15, $D$11, 100%, $F$11)</f>
        <v>20.008299999999998</v>
      </c>
      <c r="E692" s="12">
        <f>19.9977 * CHOOSE( CONTROL!$C$15, $D$11, 100%, $F$11)</f>
        <v>19.997699999999998</v>
      </c>
      <c r="F692" s="4">
        <f>20.6879 * CHOOSE(CONTROL!$C$15, $D$11, 100%, $F$11)</f>
        <v>20.687899999999999</v>
      </c>
      <c r="G692" s="8">
        <f>19.4919 * CHOOSE( CONTROL!$C$15, $D$11, 100%, $F$11)</f>
        <v>19.491900000000001</v>
      </c>
      <c r="H692" s="4">
        <f>20.4408 * CHOOSE(CONTROL!$C$15, $D$11, 100%, $F$11)</f>
        <v>20.440799999999999</v>
      </c>
      <c r="I692" s="8">
        <f>19.2673 * CHOOSE(CONTROL!$C$15, $D$11, 100%, $F$11)</f>
        <v>19.267299999999999</v>
      </c>
      <c r="J692" s="4">
        <f>19.1483 * CHOOSE(CONTROL!$C$15, $D$11, 100%, $F$11)</f>
        <v>19.148299999999999</v>
      </c>
      <c r="K692" s="4"/>
      <c r="L692" s="9">
        <v>30.092199999999998</v>
      </c>
      <c r="M692" s="9">
        <v>11.6745</v>
      </c>
      <c r="N692" s="9">
        <v>4.7850000000000001</v>
      </c>
      <c r="O692" s="9">
        <v>0.36199999999999999</v>
      </c>
      <c r="P692" s="9">
        <v>1.1791</v>
      </c>
      <c r="Q692" s="9">
        <v>19.053000000000001</v>
      </c>
      <c r="R692" s="9"/>
      <c r="S692" s="11"/>
    </row>
    <row r="693" spans="1:19" ht="15.75">
      <c r="A693" s="13">
        <v>62609</v>
      </c>
      <c r="B693" s="8">
        <f>CHOOSE( CONTROL!$C$32, 20.5083, 20.5059) * CHOOSE(CONTROL!$C$15, $D$11, 100%, $F$11)</f>
        <v>20.508299999999998</v>
      </c>
      <c r="C693" s="8">
        <f>CHOOSE( CONTROL!$C$32, 20.5164, 20.514) * CHOOSE(CONTROL!$C$15, $D$11, 100%, $F$11)</f>
        <v>20.516400000000001</v>
      </c>
      <c r="D693" s="8">
        <f>CHOOSE( CONTROL!$C$32, 20.5416, 20.5392) * CHOOSE( CONTROL!$C$15, $D$11, 100%, $F$11)</f>
        <v>20.541599999999999</v>
      </c>
      <c r="E693" s="12">
        <f>CHOOSE( CONTROL!$C$32, 20.5312, 20.5288) * CHOOSE( CONTROL!$C$15, $D$11, 100%, $F$11)</f>
        <v>20.531199999999998</v>
      </c>
      <c r="F693" s="4">
        <f>CHOOSE( CONTROL!$C$32, 21.2217, 21.2194) * CHOOSE(CONTROL!$C$15, $D$11, 100%, $F$11)</f>
        <v>21.221699999999998</v>
      </c>
      <c r="G693" s="8">
        <f>CHOOSE( CONTROL!$C$32, 20.0138, 20.0115) * CHOOSE( CONTROL!$C$15, $D$11, 100%, $F$11)</f>
        <v>20.0138</v>
      </c>
      <c r="H693" s="4">
        <f>CHOOSE( CONTROL!$C$32, 20.9621, 20.9598) * CHOOSE(CONTROL!$C$15, $D$11, 100%, $F$11)</f>
        <v>20.9621</v>
      </c>
      <c r="I693" s="8">
        <f>CHOOSE( CONTROL!$C$32, 19.7804, 19.7781) * CHOOSE(CONTROL!$C$15, $D$11, 100%, $F$11)</f>
        <v>19.7804</v>
      </c>
      <c r="J693" s="4">
        <f>CHOOSE( CONTROL!$C$32, 19.6608, 19.6585) * CHOOSE(CONTROL!$C$15, $D$11, 100%, $F$11)</f>
        <v>19.660799999999998</v>
      </c>
      <c r="K693" s="4"/>
      <c r="L693" s="9">
        <v>30.7165</v>
      </c>
      <c r="M693" s="9">
        <v>12.063700000000001</v>
      </c>
      <c r="N693" s="9">
        <v>4.9444999999999997</v>
      </c>
      <c r="O693" s="9">
        <v>0.37409999999999999</v>
      </c>
      <c r="P693" s="9">
        <v>1.2183999999999999</v>
      </c>
      <c r="Q693" s="9">
        <v>19.688099999999999</v>
      </c>
      <c r="R693" s="9"/>
      <c r="S693" s="11"/>
    </row>
    <row r="694" spans="1:19" ht="15.75">
      <c r="A694" s="13">
        <v>62639</v>
      </c>
      <c r="B694" s="8">
        <f>CHOOSE( CONTROL!$C$32, 20.1791, 20.1767) * CHOOSE(CONTROL!$C$15, $D$11, 100%, $F$11)</f>
        <v>20.179099999999998</v>
      </c>
      <c r="C694" s="8">
        <f>CHOOSE( CONTROL!$C$32, 20.1872, 20.1848) * CHOOSE(CONTROL!$C$15, $D$11, 100%, $F$11)</f>
        <v>20.187200000000001</v>
      </c>
      <c r="D694" s="8">
        <f>CHOOSE( CONTROL!$C$32, 20.2126, 20.2102) * CHOOSE( CONTROL!$C$15, $D$11, 100%, $F$11)</f>
        <v>20.212599999999998</v>
      </c>
      <c r="E694" s="12">
        <f>CHOOSE( CONTROL!$C$32, 20.2022, 20.1998) * CHOOSE( CONTROL!$C$15, $D$11, 100%, $F$11)</f>
        <v>20.202200000000001</v>
      </c>
      <c r="F694" s="4">
        <f>CHOOSE( CONTROL!$C$32, 20.8925, 20.8902) * CHOOSE(CONTROL!$C$15, $D$11, 100%, $F$11)</f>
        <v>20.892499999999998</v>
      </c>
      <c r="G694" s="8">
        <f>CHOOSE( CONTROL!$C$32, 19.6925, 19.6903) * CHOOSE( CONTROL!$C$15, $D$11, 100%, $F$11)</f>
        <v>19.692499999999999</v>
      </c>
      <c r="H694" s="4">
        <f>CHOOSE( CONTROL!$C$32, 20.6406, 20.6383) * CHOOSE(CONTROL!$C$15, $D$11, 100%, $F$11)</f>
        <v>20.640599999999999</v>
      </c>
      <c r="I694" s="8">
        <f>CHOOSE( CONTROL!$C$32, 19.4651, 19.4629) * CHOOSE(CONTROL!$C$15, $D$11, 100%, $F$11)</f>
        <v>19.4651</v>
      </c>
      <c r="J694" s="4">
        <f>CHOOSE( CONTROL!$C$32, 19.3447, 19.3425) * CHOOSE(CONTROL!$C$15, $D$11, 100%, $F$11)</f>
        <v>19.3447</v>
      </c>
      <c r="K694" s="4"/>
      <c r="L694" s="9">
        <v>29.7257</v>
      </c>
      <c r="M694" s="9">
        <v>11.6745</v>
      </c>
      <c r="N694" s="9">
        <v>4.7850000000000001</v>
      </c>
      <c r="O694" s="9">
        <v>0.36199999999999999</v>
      </c>
      <c r="P694" s="9">
        <v>1.1791</v>
      </c>
      <c r="Q694" s="9">
        <v>19.053000000000001</v>
      </c>
      <c r="R694" s="9"/>
      <c r="S694" s="11"/>
    </row>
    <row r="695" spans="1:19" ht="15.75">
      <c r="A695" s="13">
        <v>62670</v>
      </c>
      <c r="B695" s="8">
        <f>CHOOSE( CONTROL!$C$32, 21.046, 21.0436) * CHOOSE(CONTROL!$C$15, $D$11, 100%, $F$11)</f>
        <v>21.045999999999999</v>
      </c>
      <c r="C695" s="8">
        <f>CHOOSE( CONTROL!$C$32, 21.0541, 21.0517) * CHOOSE(CONTROL!$C$15, $D$11, 100%, $F$11)</f>
        <v>21.054099999999998</v>
      </c>
      <c r="D695" s="8">
        <f>CHOOSE( CONTROL!$C$32, 21.0797, 21.0774) * CHOOSE( CONTROL!$C$15, $D$11, 100%, $F$11)</f>
        <v>21.079699999999999</v>
      </c>
      <c r="E695" s="12">
        <f>CHOOSE( CONTROL!$C$32, 21.0692, 21.0669) * CHOOSE( CONTROL!$C$15, $D$11, 100%, $F$11)</f>
        <v>21.069199999999999</v>
      </c>
      <c r="F695" s="4">
        <f>CHOOSE( CONTROL!$C$32, 21.7594, 21.7571) * CHOOSE(CONTROL!$C$15, $D$11, 100%, $F$11)</f>
        <v>21.759399999999999</v>
      </c>
      <c r="G695" s="8">
        <f>CHOOSE( CONTROL!$C$32, 20.5396, 20.5373) * CHOOSE( CONTROL!$C$15, $D$11, 100%, $F$11)</f>
        <v>20.5396</v>
      </c>
      <c r="H695" s="4">
        <f>CHOOSE( CONTROL!$C$32, 21.4873, 21.485) * CHOOSE(CONTROL!$C$15, $D$11, 100%, $F$11)</f>
        <v>21.487300000000001</v>
      </c>
      <c r="I695" s="8">
        <f>CHOOSE( CONTROL!$C$32, 20.2991, 20.2968) * CHOOSE(CONTROL!$C$15, $D$11, 100%, $F$11)</f>
        <v>20.299099999999999</v>
      </c>
      <c r="J695" s="4">
        <f>CHOOSE( CONTROL!$C$32, 20.177, 20.1748) * CHOOSE(CONTROL!$C$15, $D$11, 100%, $F$11)</f>
        <v>20.177</v>
      </c>
      <c r="K695" s="4"/>
      <c r="L695" s="9">
        <v>30.7165</v>
      </c>
      <c r="M695" s="9">
        <v>12.063700000000001</v>
      </c>
      <c r="N695" s="9">
        <v>4.9444999999999997</v>
      </c>
      <c r="O695" s="9">
        <v>0.37409999999999999</v>
      </c>
      <c r="P695" s="9">
        <v>1.2183999999999999</v>
      </c>
      <c r="Q695" s="9">
        <v>19.688099999999999</v>
      </c>
      <c r="R695" s="9"/>
      <c r="S695" s="11"/>
    </row>
    <row r="696" spans="1:19" ht="15.75">
      <c r="A696" s="13">
        <v>62701</v>
      </c>
      <c r="B696" s="8">
        <f>CHOOSE( CONTROL!$C$32, 19.4239, 19.4216) * CHOOSE(CONTROL!$C$15, $D$11, 100%, $F$11)</f>
        <v>19.4239</v>
      </c>
      <c r="C696" s="8">
        <f>CHOOSE( CONTROL!$C$32, 19.432, 19.4297) * CHOOSE(CONTROL!$C$15, $D$11, 100%, $F$11)</f>
        <v>19.431999999999999</v>
      </c>
      <c r="D696" s="8">
        <f>CHOOSE( CONTROL!$C$32, 19.4577, 19.4554) * CHOOSE( CONTROL!$C$15, $D$11, 100%, $F$11)</f>
        <v>19.457699999999999</v>
      </c>
      <c r="E696" s="12">
        <f>CHOOSE( CONTROL!$C$32, 19.4472, 19.4449) * CHOOSE( CONTROL!$C$15, $D$11, 100%, $F$11)</f>
        <v>19.447199999999999</v>
      </c>
      <c r="F696" s="4">
        <f>CHOOSE( CONTROL!$C$32, 20.1373, 20.135) * CHOOSE(CONTROL!$C$15, $D$11, 100%, $F$11)</f>
        <v>20.1373</v>
      </c>
      <c r="G696" s="8">
        <f>CHOOSE( CONTROL!$C$32, 18.9555, 18.9532) * CHOOSE( CONTROL!$C$15, $D$11, 100%, $F$11)</f>
        <v>18.955500000000001</v>
      </c>
      <c r="H696" s="4">
        <f>CHOOSE( CONTROL!$C$32, 19.903, 19.9007) * CHOOSE(CONTROL!$C$15, $D$11, 100%, $F$11)</f>
        <v>19.902999999999999</v>
      </c>
      <c r="I696" s="8">
        <f>CHOOSE( CONTROL!$C$32, 18.7413, 18.7391) * CHOOSE(CONTROL!$C$15, $D$11, 100%, $F$11)</f>
        <v>18.741299999999999</v>
      </c>
      <c r="J696" s="4">
        <f>CHOOSE( CONTROL!$C$32, 18.6197, 18.6174) * CHOOSE(CONTROL!$C$15, $D$11, 100%, $F$11)</f>
        <v>18.619700000000002</v>
      </c>
      <c r="K696" s="4"/>
      <c r="L696" s="9">
        <v>30.7165</v>
      </c>
      <c r="M696" s="9">
        <v>12.063700000000001</v>
      </c>
      <c r="N696" s="9">
        <v>4.9444999999999997</v>
      </c>
      <c r="O696" s="9">
        <v>0.37409999999999999</v>
      </c>
      <c r="P696" s="9">
        <v>1.2183999999999999</v>
      </c>
      <c r="Q696" s="9">
        <v>19.688099999999999</v>
      </c>
      <c r="R696" s="9"/>
      <c r="S696" s="11"/>
    </row>
    <row r="697" spans="1:19" ht="15.75">
      <c r="A697" s="13">
        <v>62731</v>
      </c>
      <c r="B697" s="8">
        <f>CHOOSE( CONTROL!$C$32, 19.0177, 19.0154) * CHOOSE(CONTROL!$C$15, $D$11, 100%, $F$11)</f>
        <v>19.017700000000001</v>
      </c>
      <c r="C697" s="8">
        <f>CHOOSE( CONTROL!$C$32, 19.0258, 19.0235) * CHOOSE(CONTROL!$C$15, $D$11, 100%, $F$11)</f>
        <v>19.0258</v>
      </c>
      <c r="D697" s="8">
        <f>CHOOSE( CONTROL!$C$32, 19.0515, 19.0492) * CHOOSE( CONTROL!$C$15, $D$11, 100%, $F$11)</f>
        <v>19.051500000000001</v>
      </c>
      <c r="E697" s="12">
        <f>CHOOSE( CONTROL!$C$32, 19.041, 19.0387) * CHOOSE( CONTROL!$C$15, $D$11, 100%, $F$11)</f>
        <v>19.041</v>
      </c>
      <c r="F697" s="4">
        <f>CHOOSE( CONTROL!$C$32, 19.7312, 19.7288) * CHOOSE(CONTROL!$C$15, $D$11, 100%, $F$11)</f>
        <v>19.731200000000001</v>
      </c>
      <c r="G697" s="8">
        <f>CHOOSE( CONTROL!$C$32, 18.5587, 18.5564) * CHOOSE( CONTROL!$C$15, $D$11, 100%, $F$11)</f>
        <v>18.558700000000002</v>
      </c>
      <c r="H697" s="4">
        <f>CHOOSE( CONTROL!$C$32, 19.5063, 19.504) * CHOOSE(CONTROL!$C$15, $D$11, 100%, $F$11)</f>
        <v>19.5063</v>
      </c>
      <c r="I697" s="8">
        <f>CHOOSE( CONTROL!$C$32, 18.351, 18.3488) * CHOOSE(CONTROL!$C$15, $D$11, 100%, $F$11)</f>
        <v>18.350999999999999</v>
      </c>
      <c r="J697" s="4">
        <f>CHOOSE( CONTROL!$C$32, 18.2297, 18.2274) * CHOOSE(CONTROL!$C$15, $D$11, 100%, $F$11)</f>
        <v>18.229700000000001</v>
      </c>
      <c r="K697" s="4"/>
      <c r="L697" s="9">
        <v>29.7257</v>
      </c>
      <c r="M697" s="9">
        <v>11.6745</v>
      </c>
      <c r="N697" s="9">
        <v>4.7850000000000001</v>
      </c>
      <c r="O697" s="9">
        <v>0.36199999999999999</v>
      </c>
      <c r="P697" s="9">
        <v>1.1791</v>
      </c>
      <c r="Q697" s="9">
        <v>19.053000000000001</v>
      </c>
      <c r="R697" s="9"/>
      <c r="S697" s="11"/>
    </row>
    <row r="698" spans="1:19" ht="15.75">
      <c r="A698" s="13">
        <v>62762</v>
      </c>
      <c r="B698" s="8">
        <f>19.857 * CHOOSE(CONTROL!$C$15, $D$11, 100%, $F$11)</f>
        <v>19.856999999999999</v>
      </c>
      <c r="C698" s="8">
        <f>19.8625 * CHOOSE(CONTROL!$C$15, $D$11, 100%, $F$11)</f>
        <v>19.862500000000001</v>
      </c>
      <c r="D698" s="8">
        <f>19.8933 * CHOOSE( CONTROL!$C$15, $D$11, 100%, $F$11)</f>
        <v>19.8933</v>
      </c>
      <c r="E698" s="12">
        <f>19.8825 * CHOOSE( CONTROL!$C$15, $D$11, 100%, $F$11)</f>
        <v>19.8825</v>
      </c>
      <c r="F698" s="4">
        <f>20.5722 * CHOOSE(CONTROL!$C$15, $D$11, 100%, $F$11)</f>
        <v>20.572199999999999</v>
      </c>
      <c r="G698" s="8">
        <f>19.3799 * CHOOSE( CONTROL!$C$15, $D$11, 100%, $F$11)</f>
        <v>19.379899999999999</v>
      </c>
      <c r="H698" s="4">
        <f>20.3277 * CHOOSE(CONTROL!$C$15, $D$11, 100%, $F$11)</f>
        <v>20.3277</v>
      </c>
      <c r="I698" s="8">
        <f>19.1597 * CHOOSE(CONTROL!$C$15, $D$11, 100%, $F$11)</f>
        <v>19.159700000000001</v>
      </c>
      <c r="J698" s="4">
        <f>19.0372 * CHOOSE(CONTROL!$C$15, $D$11, 100%, $F$11)</f>
        <v>19.037199999999999</v>
      </c>
      <c r="K698" s="4"/>
      <c r="L698" s="9">
        <v>31.095300000000002</v>
      </c>
      <c r="M698" s="9">
        <v>12.063700000000001</v>
      </c>
      <c r="N698" s="9">
        <v>4.9444999999999997</v>
      </c>
      <c r="O698" s="9">
        <v>0.37409999999999999</v>
      </c>
      <c r="P698" s="9">
        <v>1.2183999999999999</v>
      </c>
      <c r="Q698" s="9">
        <v>19.688099999999999</v>
      </c>
      <c r="R698" s="9"/>
      <c r="S698" s="11"/>
    </row>
    <row r="699" spans="1:19" ht="15.75">
      <c r="A699" s="13">
        <v>62792</v>
      </c>
      <c r="B699" s="8">
        <f>21.4133 * CHOOSE(CONTROL!$C$15, $D$11, 100%, $F$11)</f>
        <v>21.4133</v>
      </c>
      <c r="C699" s="8">
        <f>21.4185 * CHOOSE(CONTROL!$C$15, $D$11, 100%, $F$11)</f>
        <v>21.418500000000002</v>
      </c>
      <c r="D699" s="8">
        <f>21.4015 * CHOOSE( CONTROL!$C$15, $D$11, 100%, $F$11)</f>
        <v>21.401499999999999</v>
      </c>
      <c r="E699" s="12">
        <f>21.4072 * CHOOSE( CONTROL!$C$15, $D$11, 100%, $F$11)</f>
        <v>21.4072</v>
      </c>
      <c r="F699" s="4">
        <f>22.0638 * CHOOSE(CONTROL!$C$15, $D$11, 100%, $F$11)</f>
        <v>22.063800000000001</v>
      </c>
      <c r="G699" s="8">
        <f>20.9066 * CHOOSE( CONTROL!$C$15, $D$11, 100%, $F$11)</f>
        <v>20.906600000000001</v>
      </c>
      <c r="H699" s="4">
        <f>21.7846 * CHOOSE(CONTROL!$C$15, $D$11, 100%, $F$11)</f>
        <v>21.784600000000001</v>
      </c>
      <c r="I699" s="8">
        <f>20.6969 * CHOOSE(CONTROL!$C$15, $D$11, 100%, $F$11)</f>
        <v>20.696899999999999</v>
      </c>
      <c r="J699" s="4">
        <f>20.5318 * CHOOSE(CONTROL!$C$15, $D$11, 100%, $F$11)</f>
        <v>20.5318</v>
      </c>
      <c r="K699" s="4"/>
      <c r="L699" s="9">
        <v>28.360600000000002</v>
      </c>
      <c r="M699" s="9">
        <v>11.6745</v>
      </c>
      <c r="N699" s="9">
        <v>4.7850000000000001</v>
      </c>
      <c r="O699" s="9">
        <v>0.36199999999999999</v>
      </c>
      <c r="P699" s="9">
        <v>1.2509999999999999</v>
      </c>
      <c r="Q699" s="9">
        <v>19.053000000000001</v>
      </c>
      <c r="R699" s="9"/>
      <c r="S699" s="11"/>
    </row>
    <row r="700" spans="1:19" ht="15.75">
      <c r="A700" s="13">
        <v>62823</v>
      </c>
      <c r="B700" s="8">
        <f>21.3744 * CHOOSE(CONTROL!$C$15, $D$11, 100%, $F$11)</f>
        <v>21.374400000000001</v>
      </c>
      <c r="C700" s="8">
        <f>21.3796 * CHOOSE(CONTROL!$C$15, $D$11, 100%, $F$11)</f>
        <v>21.3796</v>
      </c>
      <c r="D700" s="8">
        <f>21.3641 * CHOOSE( CONTROL!$C$15, $D$11, 100%, $F$11)</f>
        <v>21.364100000000001</v>
      </c>
      <c r="E700" s="12">
        <f>21.3692 * CHOOSE( CONTROL!$C$15, $D$11, 100%, $F$11)</f>
        <v>21.369199999999999</v>
      </c>
      <c r="F700" s="4">
        <f>22.0249 * CHOOSE(CONTROL!$C$15, $D$11, 100%, $F$11)</f>
        <v>22.024899999999999</v>
      </c>
      <c r="G700" s="8">
        <f>20.8697 * CHOOSE( CONTROL!$C$15, $D$11, 100%, $F$11)</f>
        <v>20.869700000000002</v>
      </c>
      <c r="H700" s="4">
        <f>21.7466 * CHOOSE(CONTROL!$C$15, $D$11, 100%, $F$11)</f>
        <v>21.746600000000001</v>
      </c>
      <c r="I700" s="8">
        <f>20.6643 * CHOOSE(CONTROL!$C$15, $D$11, 100%, $F$11)</f>
        <v>20.664300000000001</v>
      </c>
      <c r="J700" s="4">
        <f>20.4944 * CHOOSE(CONTROL!$C$15, $D$11, 100%, $F$11)</f>
        <v>20.494399999999999</v>
      </c>
      <c r="K700" s="4"/>
      <c r="L700" s="9">
        <v>29.306000000000001</v>
      </c>
      <c r="M700" s="9">
        <v>12.063700000000001</v>
      </c>
      <c r="N700" s="9">
        <v>4.9444999999999997</v>
      </c>
      <c r="O700" s="9">
        <v>0.37409999999999999</v>
      </c>
      <c r="P700" s="9">
        <v>1.2927</v>
      </c>
      <c r="Q700" s="9">
        <v>19.688099999999999</v>
      </c>
      <c r="R700" s="9"/>
      <c r="S700" s="11"/>
    </row>
    <row r="701" spans="1:19" ht="15.75">
      <c r="A701" s="13">
        <v>62854</v>
      </c>
      <c r="B701" s="8">
        <f>22.0041 * CHOOSE(CONTROL!$C$15, $D$11, 100%, $F$11)</f>
        <v>22.004100000000001</v>
      </c>
      <c r="C701" s="8">
        <f>22.0093 * CHOOSE(CONTROL!$C$15, $D$11, 100%, $F$11)</f>
        <v>22.0093</v>
      </c>
      <c r="D701" s="8">
        <f>21.9894 * CHOOSE( CONTROL!$C$15, $D$11, 100%, $F$11)</f>
        <v>21.9894</v>
      </c>
      <c r="E701" s="12">
        <f>21.9961 * CHOOSE( CONTROL!$C$15, $D$11, 100%, $F$11)</f>
        <v>21.996099999999998</v>
      </c>
      <c r="F701" s="4">
        <f>22.6546 * CHOOSE(CONTROL!$C$15, $D$11, 100%, $F$11)</f>
        <v>22.654599999999999</v>
      </c>
      <c r="G701" s="8">
        <f>21.4753 * CHOOSE( CONTROL!$C$15, $D$11, 100%, $F$11)</f>
        <v>21.475300000000001</v>
      </c>
      <c r="H701" s="4">
        <f>22.3616 * CHOOSE(CONTROL!$C$15, $D$11, 100%, $F$11)</f>
        <v>22.361599999999999</v>
      </c>
      <c r="I701" s="8">
        <f>21.2282 * CHOOSE(CONTROL!$C$15, $D$11, 100%, $F$11)</f>
        <v>21.228200000000001</v>
      </c>
      <c r="J701" s="4">
        <f>21.0989 * CHOOSE(CONTROL!$C$15, $D$11, 100%, $F$11)</f>
        <v>21.0989</v>
      </c>
      <c r="K701" s="4"/>
      <c r="L701" s="9">
        <v>29.306000000000001</v>
      </c>
      <c r="M701" s="9">
        <v>12.063700000000001</v>
      </c>
      <c r="N701" s="9">
        <v>4.9444999999999997</v>
      </c>
      <c r="O701" s="9">
        <v>0.37409999999999999</v>
      </c>
      <c r="P701" s="9">
        <v>1.2927</v>
      </c>
      <c r="Q701" s="9">
        <v>19.688099999999999</v>
      </c>
      <c r="R701" s="9"/>
      <c r="S701" s="11"/>
    </row>
    <row r="702" spans="1:19" ht="15.75">
      <c r="A702" s="13">
        <v>62883</v>
      </c>
      <c r="B702" s="8">
        <f>20.5834 * CHOOSE(CONTROL!$C$15, $D$11, 100%, $F$11)</f>
        <v>20.583400000000001</v>
      </c>
      <c r="C702" s="8">
        <f>20.5886 * CHOOSE(CONTROL!$C$15, $D$11, 100%, $F$11)</f>
        <v>20.5886</v>
      </c>
      <c r="D702" s="8">
        <f>20.5687 * CHOOSE( CONTROL!$C$15, $D$11, 100%, $F$11)</f>
        <v>20.5687</v>
      </c>
      <c r="E702" s="12">
        <f>20.5754 * CHOOSE( CONTROL!$C$15, $D$11, 100%, $F$11)</f>
        <v>20.575399999999998</v>
      </c>
      <c r="F702" s="4">
        <f>21.2339 * CHOOSE(CONTROL!$C$15, $D$11, 100%, $F$11)</f>
        <v>21.233899999999998</v>
      </c>
      <c r="G702" s="8">
        <f>20.0877 * CHOOSE( CONTROL!$C$15, $D$11, 100%, $F$11)</f>
        <v>20.087700000000002</v>
      </c>
      <c r="H702" s="4">
        <f>20.974 * CHOOSE(CONTROL!$C$15, $D$11, 100%, $F$11)</f>
        <v>20.974</v>
      </c>
      <c r="I702" s="8">
        <f>19.8634 * CHOOSE(CONTROL!$C$15, $D$11, 100%, $F$11)</f>
        <v>19.863399999999999</v>
      </c>
      <c r="J702" s="4">
        <f>19.7349 * CHOOSE(CONTROL!$C$15, $D$11, 100%, $F$11)</f>
        <v>19.7349</v>
      </c>
      <c r="K702" s="4"/>
      <c r="L702" s="9">
        <v>27.415299999999998</v>
      </c>
      <c r="M702" s="9">
        <v>11.285299999999999</v>
      </c>
      <c r="N702" s="9">
        <v>4.6254999999999997</v>
      </c>
      <c r="O702" s="9">
        <v>0.34989999999999999</v>
      </c>
      <c r="P702" s="9">
        <v>1.2093</v>
      </c>
      <c r="Q702" s="9">
        <v>18.417899999999999</v>
      </c>
      <c r="R702" s="9"/>
      <c r="S702" s="11"/>
    </row>
    <row r="703" spans="1:19" ht="15.75">
      <c r="A703" s="13">
        <v>62914</v>
      </c>
      <c r="B703" s="8">
        <f>20.1458 * CHOOSE(CONTROL!$C$15, $D$11, 100%, $F$11)</f>
        <v>20.145800000000001</v>
      </c>
      <c r="C703" s="8">
        <f>20.151 * CHOOSE(CONTROL!$C$15, $D$11, 100%, $F$11)</f>
        <v>20.151</v>
      </c>
      <c r="D703" s="8">
        <f>20.1308 * CHOOSE( CONTROL!$C$15, $D$11, 100%, $F$11)</f>
        <v>20.130800000000001</v>
      </c>
      <c r="E703" s="12">
        <f>20.1376 * CHOOSE( CONTROL!$C$15, $D$11, 100%, $F$11)</f>
        <v>20.137599999999999</v>
      </c>
      <c r="F703" s="4">
        <f>20.7963 * CHOOSE(CONTROL!$C$15, $D$11, 100%, $F$11)</f>
        <v>20.796299999999999</v>
      </c>
      <c r="G703" s="8">
        <f>19.6601 * CHOOSE( CONTROL!$C$15, $D$11, 100%, $F$11)</f>
        <v>19.6601</v>
      </c>
      <c r="H703" s="4">
        <f>20.5466 * CHOOSE(CONTROL!$C$15, $D$11, 100%, $F$11)</f>
        <v>20.546600000000002</v>
      </c>
      <c r="I703" s="8">
        <f>19.442 * CHOOSE(CONTROL!$C$15, $D$11, 100%, $F$11)</f>
        <v>19.442</v>
      </c>
      <c r="J703" s="4">
        <f>19.3148 * CHOOSE(CONTROL!$C$15, $D$11, 100%, $F$11)</f>
        <v>19.314800000000002</v>
      </c>
      <c r="K703" s="4"/>
      <c r="L703" s="9">
        <v>29.306000000000001</v>
      </c>
      <c r="M703" s="9">
        <v>12.063700000000001</v>
      </c>
      <c r="N703" s="9">
        <v>4.9444999999999997</v>
      </c>
      <c r="O703" s="9">
        <v>0.37409999999999999</v>
      </c>
      <c r="P703" s="9">
        <v>1.2927</v>
      </c>
      <c r="Q703" s="9">
        <v>19.688099999999999</v>
      </c>
      <c r="R703" s="9"/>
      <c r="S703" s="11"/>
    </row>
    <row r="704" spans="1:19" ht="15.75">
      <c r="A704" s="13">
        <v>62944</v>
      </c>
      <c r="B704" s="8">
        <f>20.4523 * CHOOSE(CONTROL!$C$15, $D$11, 100%, $F$11)</f>
        <v>20.452300000000001</v>
      </c>
      <c r="C704" s="8">
        <f>20.457 * CHOOSE(CONTROL!$C$15, $D$11, 100%, $F$11)</f>
        <v>20.457000000000001</v>
      </c>
      <c r="D704" s="8">
        <f>20.4875 * CHOOSE( CONTROL!$C$15, $D$11, 100%, $F$11)</f>
        <v>20.487500000000001</v>
      </c>
      <c r="E704" s="12">
        <f>20.4769 * CHOOSE( CONTROL!$C$15, $D$11, 100%, $F$11)</f>
        <v>20.476900000000001</v>
      </c>
      <c r="F704" s="4">
        <f>21.1671 * CHOOSE(CONTROL!$C$15, $D$11, 100%, $F$11)</f>
        <v>21.167100000000001</v>
      </c>
      <c r="G704" s="8">
        <f>19.9599 * CHOOSE( CONTROL!$C$15, $D$11, 100%, $F$11)</f>
        <v>19.959900000000001</v>
      </c>
      <c r="H704" s="4">
        <f>20.9088 * CHOOSE(CONTROL!$C$15, $D$11, 100%, $F$11)</f>
        <v>20.908799999999999</v>
      </c>
      <c r="I704" s="8">
        <f>19.7277 * CHOOSE(CONTROL!$C$15, $D$11, 100%, $F$11)</f>
        <v>19.727699999999999</v>
      </c>
      <c r="J704" s="4">
        <f>19.6084 * CHOOSE(CONTROL!$C$15, $D$11, 100%, $F$11)</f>
        <v>19.6084</v>
      </c>
      <c r="K704" s="4"/>
      <c r="L704" s="9">
        <v>30.092199999999998</v>
      </c>
      <c r="M704" s="9">
        <v>11.6745</v>
      </c>
      <c r="N704" s="9">
        <v>4.7850000000000001</v>
      </c>
      <c r="O704" s="9">
        <v>0.36199999999999999</v>
      </c>
      <c r="P704" s="9">
        <v>1.1791</v>
      </c>
      <c r="Q704" s="9">
        <v>19.053000000000001</v>
      </c>
      <c r="R704" s="9"/>
      <c r="S704" s="11"/>
    </row>
    <row r="705" spans="1:19" ht="15.75">
      <c r="A705" s="13">
        <v>62975</v>
      </c>
      <c r="B705" s="8">
        <f>CHOOSE( CONTROL!$C$32, 21.0003, 20.9979) * CHOOSE(CONTROL!$C$15, $D$11, 100%, $F$11)</f>
        <v>21.000299999999999</v>
      </c>
      <c r="C705" s="8">
        <f>CHOOSE( CONTROL!$C$32, 21.0083, 21.006) * CHOOSE(CONTROL!$C$15, $D$11, 100%, $F$11)</f>
        <v>21.008299999999998</v>
      </c>
      <c r="D705" s="8">
        <f>CHOOSE( CONTROL!$C$32, 21.0335, 21.0312) * CHOOSE( CONTROL!$C$15, $D$11, 100%, $F$11)</f>
        <v>21.0335</v>
      </c>
      <c r="E705" s="12">
        <f>CHOOSE( CONTROL!$C$32, 21.0231, 21.0208) * CHOOSE( CONTROL!$C$15, $D$11, 100%, $F$11)</f>
        <v>21.023099999999999</v>
      </c>
      <c r="F705" s="4">
        <f>CHOOSE( CONTROL!$C$32, 21.7137, 21.7113) * CHOOSE(CONTROL!$C$15, $D$11, 100%, $F$11)</f>
        <v>21.713699999999999</v>
      </c>
      <c r="G705" s="8">
        <f>CHOOSE( CONTROL!$C$32, 20.4943, 20.492) * CHOOSE( CONTROL!$C$15, $D$11, 100%, $F$11)</f>
        <v>20.494299999999999</v>
      </c>
      <c r="H705" s="4">
        <f>CHOOSE( CONTROL!$C$32, 21.4426, 21.4403) * CHOOSE(CONTROL!$C$15, $D$11, 100%, $F$11)</f>
        <v>21.442599999999999</v>
      </c>
      <c r="I705" s="8">
        <f>CHOOSE( CONTROL!$C$32, 20.2529, 20.2507) * CHOOSE(CONTROL!$C$15, $D$11, 100%, $F$11)</f>
        <v>20.2529</v>
      </c>
      <c r="J705" s="4">
        <f>CHOOSE( CONTROL!$C$32, 20.1331, 20.1309) * CHOOSE(CONTROL!$C$15, $D$11, 100%, $F$11)</f>
        <v>20.133099999999999</v>
      </c>
      <c r="K705" s="4"/>
      <c r="L705" s="9">
        <v>30.7165</v>
      </c>
      <c r="M705" s="9">
        <v>12.063700000000001</v>
      </c>
      <c r="N705" s="9">
        <v>4.9444999999999997</v>
      </c>
      <c r="O705" s="9">
        <v>0.37409999999999999</v>
      </c>
      <c r="P705" s="9">
        <v>1.2183999999999999</v>
      </c>
      <c r="Q705" s="9">
        <v>19.688099999999999</v>
      </c>
      <c r="R705" s="9"/>
      <c r="S705" s="11"/>
    </row>
    <row r="706" spans="1:19" ht="15.75">
      <c r="A706" s="13">
        <v>63005</v>
      </c>
      <c r="B706" s="8">
        <f>CHOOSE( CONTROL!$C$32, 20.6631, 20.6608) * CHOOSE(CONTROL!$C$15, $D$11, 100%, $F$11)</f>
        <v>20.6631</v>
      </c>
      <c r="C706" s="8">
        <f>CHOOSE( CONTROL!$C$32, 20.6712, 20.6689) * CHOOSE(CONTROL!$C$15, $D$11, 100%, $F$11)</f>
        <v>20.671199999999999</v>
      </c>
      <c r="D706" s="8">
        <f>CHOOSE( CONTROL!$C$32, 20.6966, 20.6943) * CHOOSE( CONTROL!$C$15, $D$11, 100%, $F$11)</f>
        <v>20.6966</v>
      </c>
      <c r="E706" s="12">
        <f>CHOOSE( CONTROL!$C$32, 20.6862, 20.6839) * CHOOSE( CONTROL!$C$15, $D$11, 100%, $F$11)</f>
        <v>20.686199999999999</v>
      </c>
      <c r="F706" s="4">
        <f>CHOOSE( CONTROL!$C$32, 21.3766, 21.3742) * CHOOSE(CONTROL!$C$15, $D$11, 100%, $F$11)</f>
        <v>21.3766</v>
      </c>
      <c r="G706" s="8">
        <f>CHOOSE( CONTROL!$C$32, 20.1653, 20.163) * CHOOSE( CONTROL!$C$15, $D$11, 100%, $F$11)</f>
        <v>20.165299999999998</v>
      </c>
      <c r="H706" s="4">
        <f>CHOOSE( CONTROL!$C$32, 21.1133, 21.1111) * CHOOSE(CONTROL!$C$15, $D$11, 100%, $F$11)</f>
        <v>21.113299999999999</v>
      </c>
      <c r="I706" s="8">
        <f>CHOOSE( CONTROL!$C$32, 19.9301, 19.9278) * CHOOSE(CONTROL!$C$15, $D$11, 100%, $F$11)</f>
        <v>19.930099999999999</v>
      </c>
      <c r="J706" s="4">
        <f>CHOOSE( CONTROL!$C$32, 19.8095, 19.8072) * CHOOSE(CONTROL!$C$15, $D$11, 100%, $F$11)</f>
        <v>19.8095</v>
      </c>
      <c r="K706" s="4"/>
      <c r="L706" s="9">
        <v>29.7257</v>
      </c>
      <c r="M706" s="9">
        <v>11.6745</v>
      </c>
      <c r="N706" s="9">
        <v>4.7850000000000001</v>
      </c>
      <c r="O706" s="9">
        <v>0.36199999999999999</v>
      </c>
      <c r="P706" s="9">
        <v>1.1791</v>
      </c>
      <c r="Q706" s="9">
        <v>19.053000000000001</v>
      </c>
      <c r="R706" s="9"/>
      <c r="S706" s="11"/>
    </row>
    <row r="707" spans="1:19" ht="15.75">
      <c r="A707" s="13">
        <v>63036</v>
      </c>
      <c r="B707" s="8">
        <f>CHOOSE( CONTROL!$C$32, 21.5509, 21.5485) * CHOOSE(CONTROL!$C$15, $D$11, 100%, $F$11)</f>
        <v>21.550899999999999</v>
      </c>
      <c r="C707" s="8">
        <f>CHOOSE( CONTROL!$C$32, 21.559, 21.5566) * CHOOSE(CONTROL!$C$15, $D$11, 100%, $F$11)</f>
        <v>21.559000000000001</v>
      </c>
      <c r="D707" s="8">
        <f>CHOOSE( CONTROL!$C$32, 21.5846, 21.5823) * CHOOSE( CONTROL!$C$15, $D$11, 100%, $F$11)</f>
        <v>21.584599999999998</v>
      </c>
      <c r="E707" s="12">
        <f>CHOOSE( CONTROL!$C$32, 21.5741, 21.5718) * CHOOSE( CONTROL!$C$15, $D$11, 100%, $F$11)</f>
        <v>21.574100000000001</v>
      </c>
      <c r="F707" s="4">
        <f>CHOOSE( CONTROL!$C$32, 22.2643, 22.262) * CHOOSE(CONTROL!$C$15, $D$11, 100%, $F$11)</f>
        <v>22.264299999999999</v>
      </c>
      <c r="G707" s="8">
        <f>CHOOSE( CONTROL!$C$32, 21.0328, 21.0305) * CHOOSE( CONTROL!$C$15, $D$11, 100%, $F$11)</f>
        <v>21.032800000000002</v>
      </c>
      <c r="H707" s="4">
        <f>CHOOSE( CONTROL!$C$32, 21.9804, 21.9781) * CHOOSE(CONTROL!$C$15, $D$11, 100%, $F$11)</f>
        <v>21.980399999999999</v>
      </c>
      <c r="I707" s="8">
        <f>CHOOSE( CONTROL!$C$32, 20.784, 20.7818) * CHOOSE(CONTROL!$C$15, $D$11, 100%, $F$11)</f>
        <v>20.783999999999999</v>
      </c>
      <c r="J707" s="4">
        <f>CHOOSE( CONTROL!$C$32, 20.6618, 20.6595) * CHOOSE(CONTROL!$C$15, $D$11, 100%, $F$11)</f>
        <v>20.661799999999999</v>
      </c>
      <c r="K707" s="4"/>
      <c r="L707" s="9">
        <v>30.7165</v>
      </c>
      <c r="M707" s="9">
        <v>12.063700000000001</v>
      </c>
      <c r="N707" s="9">
        <v>4.9444999999999997</v>
      </c>
      <c r="O707" s="9">
        <v>0.37409999999999999</v>
      </c>
      <c r="P707" s="9">
        <v>1.2183999999999999</v>
      </c>
      <c r="Q707" s="9">
        <v>19.688099999999999</v>
      </c>
      <c r="R707" s="9"/>
      <c r="S707" s="11"/>
    </row>
    <row r="708" spans="1:19" ht="15.75">
      <c r="A708" s="13">
        <v>63067</v>
      </c>
      <c r="B708" s="8">
        <f>CHOOSE( CONTROL!$C$32, 19.8898, 19.8875) * CHOOSE(CONTROL!$C$15, $D$11, 100%, $F$11)</f>
        <v>19.889800000000001</v>
      </c>
      <c r="C708" s="8">
        <f>CHOOSE( CONTROL!$C$32, 19.8979, 19.8956) * CHOOSE(CONTROL!$C$15, $D$11, 100%, $F$11)</f>
        <v>19.8979</v>
      </c>
      <c r="D708" s="8">
        <f>CHOOSE( CONTROL!$C$32, 19.9237, 19.9213) * CHOOSE( CONTROL!$C$15, $D$11, 100%, $F$11)</f>
        <v>19.9237</v>
      </c>
      <c r="E708" s="12">
        <f>CHOOSE( CONTROL!$C$32, 19.9131, 19.9108) * CHOOSE( CONTROL!$C$15, $D$11, 100%, $F$11)</f>
        <v>19.9131</v>
      </c>
      <c r="F708" s="4">
        <f>CHOOSE( CONTROL!$C$32, 20.6033, 20.6009) * CHOOSE(CONTROL!$C$15, $D$11, 100%, $F$11)</f>
        <v>20.603300000000001</v>
      </c>
      <c r="G708" s="8">
        <f>CHOOSE( CONTROL!$C$32, 19.4105, 19.4082) * CHOOSE( CONTROL!$C$15, $D$11, 100%, $F$11)</f>
        <v>19.410499999999999</v>
      </c>
      <c r="H708" s="4">
        <f>CHOOSE( CONTROL!$C$32, 20.3581, 20.3558) * CHOOSE(CONTROL!$C$15, $D$11, 100%, $F$11)</f>
        <v>20.3581</v>
      </c>
      <c r="I708" s="8">
        <f>CHOOSE( CONTROL!$C$32, 19.1889, 19.1866) * CHOOSE(CONTROL!$C$15, $D$11, 100%, $F$11)</f>
        <v>19.1889</v>
      </c>
      <c r="J708" s="4">
        <f>CHOOSE( CONTROL!$C$32, 19.067, 19.0648) * CHOOSE(CONTROL!$C$15, $D$11, 100%, $F$11)</f>
        <v>19.067</v>
      </c>
      <c r="K708" s="4"/>
      <c r="L708" s="9">
        <v>30.7165</v>
      </c>
      <c r="M708" s="9">
        <v>12.063700000000001</v>
      </c>
      <c r="N708" s="9">
        <v>4.9444999999999997</v>
      </c>
      <c r="O708" s="9">
        <v>0.37409999999999999</v>
      </c>
      <c r="P708" s="9">
        <v>1.2183999999999999</v>
      </c>
      <c r="Q708" s="9">
        <v>19.688099999999999</v>
      </c>
      <c r="R708" s="9"/>
      <c r="S708" s="11"/>
    </row>
    <row r="709" spans="1:19" ht="15.75">
      <c r="A709" s="13">
        <v>63097</v>
      </c>
      <c r="B709" s="8">
        <f>CHOOSE( CONTROL!$C$32, 19.4739, 19.4715) * CHOOSE(CONTROL!$C$15, $D$11, 100%, $F$11)</f>
        <v>19.4739</v>
      </c>
      <c r="C709" s="8">
        <f>CHOOSE( CONTROL!$C$32, 19.482, 19.4796) * CHOOSE(CONTROL!$C$15, $D$11, 100%, $F$11)</f>
        <v>19.481999999999999</v>
      </c>
      <c r="D709" s="8">
        <f>CHOOSE( CONTROL!$C$32, 19.5077, 19.5053) * CHOOSE( CONTROL!$C$15, $D$11, 100%, $F$11)</f>
        <v>19.5077</v>
      </c>
      <c r="E709" s="12">
        <f>CHOOSE( CONTROL!$C$32, 19.4972, 19.4948) * CHOOSE( CONTROL!$C$15, $D$11, 100%, $F$11)</f>
        <v>19.497199999999999</v>
      </c>
      <c r="F709" s="4">
        <f>CHOOSE( CONTROL!$C$32, 20.1873, 20.185) * CHOOSE(CONTROL!$C$15, $D$11, 100%, $F$11)</f>
        <v>20.1873</v>
      </c>
      <c r="G709" s="8">
        <f>CHOOSE( CONTROL!$C$32, 19.0042, 19.0019) * CHOOSE( CONTROL!$C$15, $D$11, 100%, $F$11)</f>
        <v>19.004200000000001</v>
      </c>
      <c r="H709" s="4">
        <f>CHOOSE( CONTROL!$C$32, 19.9518, 19.9495) * CHOOSE(CONTROL!$C$15, $D$11, 100%, $F$11)</f>
        <v>19.951799999999999</v>
      </c>
      <c r="I709" s="8">
        <f>CHOOSE( CONTROL!$C$32, 18.7892, 18.7869) * CHOOSE(CONTROL!$C$15, $D$11, 100%, $F$11)</f>
        <v>18.789200000000001</v>
      </c>
      <c r="J709" s="4">
        <f>CHOOSE( CONTROL!$C$32, 18.6677, 18.6654) * CHOOSE(CONTROL!$C$15, $D$11, 100%, $F$11)</f>
        <v>18.6677</v>
      </c>
      <c r="K709" s="4"/>
      <c r="L709" s="9">
        <v>29.7257</v>
      </c>
      <c r="M709" s="9">
        <v>11.6745</v>
      </c>
      <c r="N709" s="9">
        <v>4.7850000000000001</v>
      </c>
      <c r="O709" s="9">
        <v>0.36199999999999999</v>
      </c>
      <c r="P709" s="9">
        <v>1.1791</v>
      </c>
      <c r="Q709" s="9">
        <v>19.053000000000001</v>
      </c>
      <c r="R709" s="9"/>
      <c r="S709" s="11"/>
    </row>
    <row r="710" spans="1:19" ht="15.75">
      <c r="A710" s="13">
        <v>63128</v>
      </c>
      <c r="B710" s="8">
        <f>20.3335 * CHOOSE(CONTROL!$C$15, $D$11, 100%, $F$11)</f>
        <v>20.333500000000001</v>
      </c>
      <c r="C710" s="8">
        <f>20.3389 * CHOOSE(CONTROL!$C$15, $D$11, 100%, $F$11)</f>
        <v>20.338899999999999</v>
      </c>
      <c r="D710" s="8">
        <f>20.3697 * CHOOSE( CONTROL!$C$15, $D$11, 100%, $F$11)</f>
        <v>20.369700000000002</v>
      </c>
      <c r="E710" s="12">
        <f>20.359 * CHOOSE( CONTROL!$C$15, $D$11, 100%, $F$11)</f>
        <v>20.359000000000002</v>
      </c>
      <c r="F710" s="4">
        <f>21.0486 * CHOOSE(CONTROL!$C$15, $D$11, 100%, $F$11)</f>
        <v>21.0486</v>
      </c>
      <c r="G710" s="8">
        <f>19.8453 * CHOOSE( CONTROL!$C$15, $D$11, 100%, $F$11)</f>
        <v>19.845300000000002</v>
      </c>
      <c r="H710" s="4">
        <f>20.793 * CHOOSE(CONTROL!$C$15, $D$11, 100%, $F$11)</f>
        <v>20.792999999999999</v>
      </c>
      <c r="I710" s="8">
        <f>19.6174 * CHOOSE(CONTROL!$C$15, $D$11, 100%, $F$11)</f>
        <v>19.6174</v>
      </c>
      <c r="J710" s="4">
        <f>19.4946 * CHOOSE(CONTROL!$C$15, $D$11, 100%, $F$11)</f>
        <v>19.494599999999998</v>
      </c>
      <c r="K710" s="4"/>
      <c r="L710" s="9">
        <v>31.095300000000002</v>
      </c>
      <c r="M710" s="9">
        <v>12.063700000000001</v>
      </c>
      <c r="N710" s="9">
        <v>4.9444999999999997</v>
      </c>
      <c r="O710" s="9">
        <v>0.37409999999999999</v>
      </c>
      <c r="P710" s="9">
        <v>1.2183999999999999</v>
      </c>
      <c r="Q710" s="9">
        <v>19.688099999999999</v>
      </c>
      <c r="R710" s="9"/>
      <c r="S710" s="11"/>
    </row>
    <row r="711" spans="1:19" ht="15.75">
      <c r="A711" s="13">
        <v>63158</v>
      </c>
      <c r="B711" s="8">
        <f>21.9272 * CHOOSE(CONTROL!$C$15, $D$11, 100%, $F$11)</f>
        <v>21.927199999999999</v>
      </c>
      <c r="C711" s="8">
        <f>21.9324 * CHOOSE(CONTROL!$C$15, $D$11, 100%, $F$11)</f>
        <v>21.932400000000001</v>
      </c>
      <c r="D711" s="8">
        <f>21.9154 * CHOOSE( CONTROL!$C$15, $D$11, 100%, $F$11)</f>
        <v>21.915400000000002</v>
      </c>
      <c r="E711" s="12">
        <f>21.9211 * CHOOSE( CONTROL!$C$15, $D$11, 100%, $F$11)</f>
        <v>21.921099999999999</v>
      </c>
      <c r="F711" s="4">
        <f>22.5776 * CHOOSE(CONTROL!$C$15, $D$11, 100%, $F$11)</f>
        <v>22.5776</v>
      </c>
      <c r="G711" s="8">
        <f>21.4084 * CHOOSE( CONTROL!$C$15, $D$11, 100%, $F$11)</f>
        <v>21.4084</v>
      </c>
      <c r="H711" s="4">
        <f>22.2864 * CHOOSE(CONTROL!$C$15, $D$11, 100%, $F$11)</f>
        <v>22.2864</v>
      </c>
      <c r="I711" s="8">
        <f>21.1905 * CHOOSE(CONTROL!$C$15, $D$11, 100%, $F$11)</f>
        <v>21.1905</v>
      </c>
      <c r="J711" s="4">
        <f>21.0251 * CHOOSE(CONTROL!$C$15, $D$11, 100%, $F$11)</f>
        <v>21.025099999999998</v>
      </c>
      <c r="K711" s="4"/>
      <c r="L711" s="9">
        <v>28.360600000000002</v>
      </c>
      <c r="M711" s="9">
        <v>11.6745</v>
      </c>
      <c r="N711" s="9">
        <v>4.7850000000000001</v>
      </c>
      <c r="O711" s="9">
        <v>0.36199999999999999</v>
      </c>
      <c r="P711" s="9">
        <v>1.2509999999999999</v>
      </c>
      <c r="Q711" s="9">
        <v>19.053000000000001</v>
      </c>
      <c r="R711" s="9"/>
      <c r="S711" s="11"/>
    </row>
    <row r="712" spans="1:19" ht="15.75">
      <c r="A712" s="13">
        <v>63189</v>
      </c>
      <c r="B712" s="8">
        <f>21.8873 * CHOOSE(CONTROL!$C$15, $D$11, 100%, $F$11)</f>
        <v>21.8873</v>
      </c>
      <c r="C712" s="8">
        <f>21.8925 * CHOOSE(CONTROL!$C$15, $D$11, 100%, $F$11)</f>
        <v>21.892499999999998</v>
      </c>
      <c r="D712" s="8">
        <f>21.877 * CHOOSE( CONTROL!$C$15, $D$11, 100%, $F$11)</f>
        <v>21.876999999999999</v>
      </c>
      <c r="E712" s="12">
        <f>21.8821 * CHOOSE( CONTROL!$C$15, $D$11, 100%, $F$11)</f>
        <v>21.882100000000001</v>
      </c>
      <c r="F712" s="4">
        <f>22.5378 * CHOOSE(CONTROL!$C$15, $D$11, 100%, $F$11)</f>
        <v>22.537800000000001</v>
      </c>
      <c r="G712" s="8">
        <f>21.3706 * CHOOSE( CONTROL!$C$15, $D$11, 100%, $F$11)</f>
        <v>21.3706</v>
      </c>
      <c r="H712" s="4">
        <f>22.2475 * CHOOSE(CONTROL!$C$15, $D$11, 100%, $F$11)</f>
        <v>22.247499999999999</v>
      </c>
      <c r="I712" s="8">
        <f>21.1569 * CHOOSE(CONTROL!$C$15, $D$11, 100%, $F$11)</f>
        <v>21.1569</v>
      </c>
      <c r="J712" s="4">
        <f>20.9869 * CHOOSE(CONTROL!$C$15, $D$11, 100%, $F$11)</f>
        <v>20.986899999999999</v>
      </c>
      <c r="K712" s="4"/>
      <c r="L712" s="9">
        <v>29.306000000000001</v>
      </c>
      <c r="M712" s="9">
        <v>12.063700000000001</v>
      </c>
      <c r="N712" s="9">
        <v>4.9444999999999997</v>
      </c>
      <c r="O712" s="9">
        <v>0.37409999999999999</v>
      </c>
      <c r="P712" s="9">
        <v>1.2927</v>
      </c>
      <c r="Q712" s="9">
        <v>19.688099999999999</v>
      </c>
      <c r="R712" s="9"/>
      <c r="S712" s="11"/>
    </row>
    <row r="713" spans="1:19" ht="15.75">
      <c r="A713" s="13">
        <v>63220</v>
      </c>
      <c r="B713" s="8">
        <f>22.5321 * CHOOSE(CONTROL!$C$15, $D$11, 100%, $F$11)</f>
        <v>22.5321</v>
      </c>
      <c r="C713" s="8">
        <f>22.5373 * CHOOSE(CONTROL!$C$15, $D$11, 100%, $F$11)</f>
        <v>22.537299999999998</v>
      </c>
      <c r="D713" s="8">
        <f>22.5174 * CHOOSE( CONTROL!$C$15, $D$11, 100%, $F$11)</f>
        <v>22.517399999999999</v>
      </c>
      <c r="E713" s="12">
        <f>22.5241 * CHOOSE( CONTROL!$C$15, $D$11, 100%, $F$11)</f>
        <v>22.524100000000001</v>
      </c>
      <c r="F713" s="4">
        <f>23.1826 * CHOOSE(CONTROL!$C$15, $D$11, 100%, $F$11)</f>
        <v>23.182600000000001</v>
      </c>
      <c r="G713" s="8">
        <f>21.9911 * CHOOSE( CONTROL!$C$15, $D$11, 100%, $F$11)</f>
        <v>21.991099999999999</v>
      </c>
      <c r="H713" s="4">
        <f>22.8773 * CHOOSE(CONTROL!$C$15, $D$11, 100%, $F$11)</f>
        <v>22.877300000000002</v>
      </c>
      <c r="I713" s="8">
        <f>21.7354 * CHOOSE(CONTROL!$C$15, $D$11, 100%, $F$11)</f>
        <v>21.735399999999998</v>
      </c>
      <c r="J713" s="4">
        <f>21.6059 * CHOOSE(CONTROL!$C$15, $D$11, 100%, $F$11)</f>
        <v>21.605899999999998</v>
      </c>
      <c r="K713" s="4"/>
      <c r="L713" s="9">
        <v>29.306000000000001</v>
      </c>
      <c r="M713" s="9">
        <v>12.063700000000001</v>
      </c>
      <c r="N713" s="9">
        <v>4.9444999999999997</v>
      </c>
      <c r="O713" s="9">
        <v>0.37409999999999999</v>
      </c>
      <c r="P713" s="9">
        <v>1.2927</v>
      </c>
      <c r="Q713" s="9">
        <v>19.688099999999999</v>
      </c>
      <c r="R713" s="9"/>
      <c r="S713" s="11"/>
    </row>
    <row r="714" spans="1:19" ht="15.75">
      <c r="A714" s="13">
        <v>63248</v>
      </c>
      <c r="B714" s="8">
        <f>21.0773 * CHOOSE(CONTROL!$C$15, $D$11, 100%, $F$11)</f>
        <v>21.077300000000001</v>
      </c>
      <c r="C714" s="8">
        <f>21.0825 * CHOOSE(CONTROL!$C$15, $D$11, 100%, $F$11)</f>
        <v>21.0825</v>
      </c>
      <c r="D714" s="8">
        <f>21.0626 * CHOOSE( CONTROL!$C$15, $D$11, 100%, $F$11)</f>
        <v>21.0626</v>
      </c>
      <c r="E714" s="12">
        <f>21.0693 * CHOOSE( CONTROL!$C$15, $D$11, 100%, $F$11)</f>
        <v>21.069299999999998</v>
      </c>
      <c r="F714" s="4">
        <f>21.7277 * CHOOSE(CONTROL!$C$15, $D$11, 100%, $F$11)</f>
        <v>21.727699999999999</v>
      </c>
      <c r="G714" s="8">
        <f>20.5701 * CHOOSE( CONTROL!$C$15, $D$11, 100%, $F$11)</f>
        <v>20.5701</v>
      </c>
      <c r="H714" s="4">
        <f>21.4563 * CHOOSE(CONTROL!$C$15, $D$11, 100%, $F$11)</f>
        <v>21.456299999999999</v>
      </c>
      <c r="I714" s="8">
        <f>20.3378 * CHOOSE(CONTROL!$C$15, $D$11, 100%, $F$11)</f>
        <v>20.337800000000001</v>
      </c>
      <c r="J714" s="4">
        <f>20.2091 * CHOOSE(CONTROL!$C$15, $D$11, 100%, $F$11)</f>
        <v>20.209099999999999</v>
      </c>
      <c r="K714" s="4"/>
      <c r="L714" s="9">
        <v>26.469899999999999</v>
      </c>
      <c r="M714" s="9">
        <v>10.8962</v>
      </c>
      <c r="N714" s="9">
        <v>4.4660000000000002</v>
      </c>
      <c r="O714" s="9">
        <v>0.33789999999999998</v>
      </c>
      <c r="P714" s="9">
        <v>1.1676</v>
      </c>
      <c r="Q714" s="9">
        <v>17.782800000000002</v>
      </c>
      <c r="R714" s="9"/>
      <c r="S714" s="11"/>
    </row>
    <row r="715" spans="1:19" ht="15.75">
      <c r="A715" s="13">
        <v>63279</v>
      </c>
      <c r="B715" s="8">
        <f>20.6292 * CHOOSE(CONTROL!$C$15, $D$11, 100%, $F$11)</f>
        <v>20.629200000000001</v>
      </c>
      <c r="C715" s="8">
        <f>20.6344 * CHOOSE(CONTROL!$C$15, $D$11, 100%, $F$11)</f>
        <v>20.634399999999999</v>
      </c>
      <c r="D715" s="8">
        <f>20.6142 * CHOOSE( CONTROL!$C$15, $D$11, 100%, $F$11)</f>
        <v>20.6142</v>
      </c>
      <c r="E715" s="12">
        <f>20.621 * CHOOSE( CONTROL!$C$15, $D$11, 100%, $F$11)</f>
        <v>20.620999999999999</v>
      </c>
      <c r="F715" s="4">
        <f>21.2797 * CHOOSE(CONTROL!$C$15, $D$11, 100%, $F$11)</f>
        <v>21.279699999999998</v>
      </c>
      <c r="G715" s="8">
        <f>20.1322 * CHOOSE( CONTROL!$C$15, $D$11, 100%, $F$11)</f>
        <v>20.132200000000001</v>
      </c>
      <c r="H715" s="4">
        <f>21.0187 * CHOOSE(CONTROL!$C$15, $D$11, 100%, $F$11)</f>
        <v>21.018699999999999</v>
      </c>
      <c r="I715" s="8">
        <f>19.9063 * CHOOSE(CONTROL!$C$15, $D$11, 100%, $F$11)</f>
        <v>19.906300000000002</v>
      </c>
      <c r="J715" s="4">
        <f>19.7789 * CHOOSE(CONTROL!$C$15, $D$11, 100%, $F$11)</f>
        <v>19.7789</v>
      </c>
      <c r="K715" s="4"/>
      <c r="L715" s="9">
        <v>29.306000000000001</v>
      </c>
      <c r="M715" s="9">
        <v>12.063700000000001</v>
      </c>
      <c r="N715" s="9">
        <v>4.9444999999999997</v>
      </c>
      <c r="O715" s="9">
        <v>0.37409999999999999</v>
      </c>
      <c r="P715" s="9">
        <v>1.2927</v>
      </c>
      <c r="Q715" s="9">
        <v>19.688099999999999</v>
      </c>
      <c r="R715" s="9"/>
      <c r="S715" s="11"/>
    </row>
    <row r="716" spans="1:19" ht="15.75">
      <c r="A716" s="13">
        <v>63309</v>
      </c>
      <c r="B716" s="8">
        <f>20.9431 * CHOOSE(CONTROL!$C$15, $D$11, 100%, $F$11)</f>
        <v>20.943100000000001</v>
      </c>
      <c r="C716" s="8">
        <f>20.9477 * CHOOSE(CONTROL!$C$15, $D$11, 100%, $F$11)</f>
        <v>20.947700000000001</v>
      </c>
      <c r="D716" s="8">
        <f>20.9782 * CHOOSE( CONTROL!$C$15, $D$11, 100%, $F$11)</f>
        <v>20.978200000000001</v>
      </c>
      <c r="E716" s="12">
        <f>20.9676 * CHOOSE( CONTROL!$C$15, $D$11, 100%, $F$11)</f>
        <v>20.967600000000001</v>
      </c>
      <c r="F716" s="4">
        <f>21.6579 * CHOOSE(CONTROL!$C$15, $D$11, 100%, $F$11)</f>
        <v>21.657900000000001</v>
      </c>
      <c r="G716" s="8">
        <f>20.4392 * CHOOSE( CONTROL!$C$15, $D$11, 100%, $F$11)</f>
        <v>20.4392</v>
      </c>
      <c r="H716" s="4">
        <f>21.3881 * CHOOSE(CONTROL!$C$15, $D$11, 100%, $F$11)</f>
        <v>21.388100000000001</v>
      </c>
      <c r="I716" s="8">
        <f>20.199 * CHOOSE(CONTROL!$C$15, $D$11, 100%, $F$11)</f>
        <v>20.199000000000002</v>
      </c>
      <c r="J716" s="4">
        <f>20.0795 * CHOOSE(CONTROL!$C$15, $D$11, 100%, $F$11)</f>
        <v>20.079499999999999</v>
      </c>
      <c r="K716" s="4"/>
      <c r="L716" s="9">
        <v>30.092199999999998</v>
      </c>
      <c r="M716" s="9">
        <v>11.6745</v>
      </c>
      <c r="N716" s="9">
        <v>4.7850000000000001</v>
      </c>
      <c r="O716" s="9">
        <v>0.36199999999999999</v>
      </c>
      <c r="P716" s="9">
        <v>1.1791</v>
      </c>
      <c r="Q716" s="9">
        <v>19.053000000000001</v>
      </c>
      <c r="R716" s="9"/>
      <c r="S716" s="11"/>
    </row>
    <row r="717" spans="1:19" ht="15.75">
      <c r="A717" s="13">
        <v>63340</v>
      </c>
      <c r="B717" s="8">
        <f>CHOOSE( CONTROL!$C$32, 21.504, 21.5017) * CHOOSE(CONTROL!$C$15, $D$11, 100%, $F$11)</f>
        <v>21.504000000000001</v>
      </c>
      <c r="C717" s="8">
        <f>CHOOSE( CONTROL!$C$32, 21.5121, 21.5098) * CHOOSE(CONTROL!$C$15, $D$11, 100%, $F$11)</f>
        <v>21.5121</v>
      </c>
      <c r="D717" s="8">
        <f>CHOOSE( CONTROL!$C$32, 21.5373, 21.535) * CHOOSE( CONTROL!$C$15, $D$11, 100%, $F$11)</f>
        <v>21.537299999999998</v>
      </c>
      <c r="E717" s="12">
        <f>CHOOSE( CONTROL!$C$32, 21.5269, 21.5246) * CHOOSE( CONTROL!$C$15, $D$11, 100%, $F$11)</f>
        <v>21.526900000000001</v>
      </c>
      <c r="F717" s="4">
        <f>CHOOSE( CONTROL!$C$32, 22.2175, 22.2151) * CHOOSE(CONTROL!$C$15, $D$11, 100%, $F$11)</f>
        <v>22.217500000000001</v>
      </c>
      <c r="G717" s="8">
        <f>CHOOSE( CONTROL!$C$32, 20.9863, 20.984) * CHOOSE( CONTROL!$C$15, $D$11, 100%, $F$11)</f>
        <v>20.9863</v>
      </c>
      <c r="H717" s="4">
        <f>CHOOSE( CONTROL!$C$32, 21.9347, 21.9324) * CHOOSE(CONTROL!$C$15, $D$11, 100%, $F$11)</f>
        <v>21.934699999999999</v>
      </c>
      <c r="I717" s="8">
        <f>CHOOSE( CONTROL!$C$32, 20.7369, 20.7346) * CHOOSE(CONTROL!$C$15, $D$11, 100%, $F$11)</f>
        <v>20.736899999999999</v>
      </c>
      <c r="J717" s="4">
        <f>CHOOSE( CONTROL!$C$32, 20.6168, 20.6146) * CHOOSE(CONTROL!$C$15, $D$11, 100%, $F$11)</f>
        <v>20.616800000000001</v>
      </c>
      <c r="K717" s="4"/>
      <c r="L717" s="9">
        <v>30.7165</v>
      </c>
      <c r="M717" s="9">
        <v>12.063700000000001</v>
      </c>
      <c r="N717" s="9">
        <v>4.9444999999999997</v>
      </c>
      <c r="O717" s="9">
        <v>0.37409999999999999</v>
      </c>
      <c r="P717" s="9">
        <v>1.2183999999999999</v>
      </c>
      <c r="Q717" s="9">
        <v>19.688099999999999</v>
      </c>
      <c r="R717" s="9"/>
      <c r="S717" s="11"/>
    </row>
    <row r="718" spans="1:19" ht="15.75">
      <c r="A718" s="13">
        <v>63370</v>
      </c>
      <c r="B718" s="8">
        <f>CHOOSE( CONTROL!$C$32, 21.1588, 21.1565) * CHOOSE(CONTROL!$C$15, $D$11, 100%, $F$11)</f>
        <v>21.158799999999999</v>
      </c>
      <c r="C718" s="8">
        <f>CHOOSE( CONTROL!$C$32, 21.1669, 21.1646) * CHOOSE(CONTROL!$C$15, $D$11, 100%, $F$11)</f>
        <v>21.166899999999998</v>
      </c>
      <c r="D718" s="8">
        <f>CHOOSE( CONTROL!$C$32, 21.1923, 21.19) * CHOOSE( CONTROL!$C$15, $D$11, 100%, $F$11)</f>
        <v>21.192299999999999</v>
      </c>
      <c r="E718" s="12">
        <f>CHOOSE( CONTROL!$C$32, 21.1819, 21.1796) * CHOOSE( CONTROL!$C$15, $D$11, 100%, $F$11)</f>
        <v>21.181899999999999</v>
      </c>
      <c r="F718" s="4">
        <f>CHOOSE( CONTROL!$C$32, 21.8723, 21.8699) * CHOOSE(CONTROL!$C$15, $D$11, 100%, $F$11)</f>
        <v>21.872299999999999</v>
      </c>
      <c r="G718" s="8">
        <f>CHOOSE( CONTROL!$C$32, 20.6495, 20.6472) * CHOOSE( CONTROL!$C$15, $D$11, 100%, $F$11)</f>
        <v>20.6495</v>
      </c>
      <c r="H718" s="4">
        <f>CHOOSE( CONTROL!$C$32, 21.5975, 21.5952) * CHOOSE(CONTROL!$C$15, $D$11, 100%, $F$11)</f>
        <v>21.5975</v>
      </c>
      <c r="I718" s="8">
        <f>CHOOSE( CONTROL!$C$32, 20.4063, 20.404) * CHOOSE(CONTROL!$C$15, $D$11, 100%, $F$11)</f>
        <v>20.406300000000002</v>
      </c>
      <c r="J718" s="4">
        <f>CHOOSE( CONTROL!$C$32, 20.2854, 20.2831) * CHOOSE(CONTROL!$C$15, $D$11, 100%, $F$11)</f>
        <v>20.285399999999999</v>
      </c>
      <c r="K718" s="4"/>
      <c r="L718" s="9">
        <v>29.7257</v>
      </c>
      <c r="M718" s="9">
        <v>11.6745</v>
      </c>
      <c r="N718" s="9">
        <v>4.7850000000000001</v>
      </c>
      <c r="O718" s="9">
        <v>0.36199999999999999</v>
      </c>
      <c r="P718" s="9">
        <v>1.1791</v>
      </c>
      <c r="Q718" s="9">
        <v>19.053000000000001</v>
      </c>
      <c r="R718" s="9"/>
      <c r="S718" s="11"/>
    </row>
    <row r="719" spans="1:19" ht="15.75">
      <c r="A719" s="13">
        <v>63401</v>
      </c>
      <c r="B719" s="8">
        <f>CHOOSE( CONTROL!$C$32, 22.0679, 22.0656) * CHOOSE(CONTROL!$C$15, $D$11, 100%, $F$11)</f>
        <v>22.067900000000002</v>
      </c>
      <c r="C719" s="8">
        <f>CHOOSE( CONTROL!$C$32, 22.076, 22.0736) * CHOOSE(CONTROL!$C$15, $D$11, 100%, $F$11)</f>
        <v>22.076000000000001</v>
      </c>
      <c r="D719" s="8">
        <f>CHOOSE( CONTROL!$C$32, 22.1016, 22.0993) * CHOOSE( CONTROL!$C$15, $D$11, 100%, $F$11)</f>
        <v>22.101600000000001</v>
      </c>
      <c r="E719" s="12">
        <f>CHOOSE( CONTROL!$C$32, 22.0911, 22.0888) * CHOOSE( CONTROL!$C$15, $D$11, 100%, $F$11)</f>
        <v>22.091100000000001</v>
      </c>
      <c r="F719" s="4">
        <f>CHOOSE( CONTROL!$C$32, 22.7813, 22.779) * CHOOSE(CONTROL!$C$15, $D$11, 100%, $F$11)</f>
        <v>22.781300000000002</v>
      </c>
      <c r="G719" s="8">
        <f>CHOOSE( CONTROL!$C$32, 21.5377, 21.5354) * CHOOSE( CONTROL!$C$15, $D$11, 100%, $F$11)</f>
        <v>21.537700000000001</v>
      </c>
      <c r="H719" s="4">
        <f>CHOOSE( CONTROL!$C$32, 22.4854, 22.4831) * CHOOSE(CONTROL!$C$15, $D$11, 100%, $F$11)</f>
        <v>22.485399999999998</v>
      </c>
      <c r="I719" s="8">
        <f>CHOOSE( CONTROL!$C$32, 21.2807, 21.2784) * CHOOSE(CONTROL!$C$15, $D$11, 100%, $F$11)</f>
        <v>21.2807</v>
      </c>
      <c r="J719" s="4">
        <f>CHOOSE( CONTROL!$C$32, 21.1582, 21.1559) * CHOOSE(CONTROL!$C$15, $D$11, 100%, $F$11)</f>
        <v>21.158200000000001</v>
      </c>
      <c r="K719" s="4"/>
      <c r="L719" s="9">
        <v>30.7165</v>
      </c>
      <c r="M719" s="9">
        <v>12.063700000000001</v>
      </c>
      <c r="N719" s="9">
        <v>4.9444999999999997</v>
      </c>
      <c r="O719" s="9">
        <v>0.37409999999999999</v>
      </c>
      <c r="P719" s="9">
        <v>1.2183999999999999</v>
      </c>
      <c r="Q719" s="9">
        <v>19.688099999999999</v>
      </c>
      <c r="R719" s="9"/>
      <c r="S719" s="11"/>
    </row>
    <row r="720" spans="1:19" ht="15.75">
      <c r="A720" s="13">
        <v>63432</v>
      </c>
      <c r="B720" s="8">
        <f>CHOOSE( CONTROL!$C$32, 20.3669, 20.3646) * CHOOSE(CONTROL!$C$15, $D$11, 100%, $F$11)</f>
        <v>20.366900000000001</v>
      </c>
      <c r="C720" s="8">
        <f>CHOOSE( CONTROL!$C$32, 20.375, 20.3727) * CHOOSE(CONTROL!$C$15, $D$11, 100%, $F$11)</f>
        <v>20.375</v>
      </c>
      <c r="D720" s="8">
        <f>CHOOSE( CONTROL!$C$32, 20.4008, 20.3984) * CHOOSE( CONTROL!$C$15, $D$11, 100%, $F$11)</f>
        <v>20.4008</v>
      </c>
      <c r="E720" s="12">
        <f>CHOOSE( CONTROL!$C$32, 20.3902, 20.3879) * CHOOSE( CONTROL!$C$15, $D$11, 100%, $F$11)</f>
        <v>20.3902</v>
      </c>
      <c r="F720" s="4">
        <f>CHOOSE( CONTROL!$C$32, 21.0804, 21.078) * CHOOSE(CONTROL!$C$15, $D$11, 100%, $F$11)</f>
        <v>21.080400000000001</v>
      </c>
      <c r="G720" s="8">
        <f>CHOOSE( CONTROL!$C$32, 19.8765, 19.8742) * CHOOSE( CONTROL!$C$15, $D$11, 100%, $F$11)</f>
        <v>19.8765</v>
      </c>
      <c r="H720" s="4">
        <f>CHOOSE( CONTROL!$C$32, 20.8241, 20.8218) * CHOOSE(CONTROL!$C$15, $D$11, 100%, $F$11)</f>
        <v>20.824100000000001</v>
      </c>
      <c r="I720" s="8">
        <f>CHOOSE( CONTROL!$C$32, 19.6472, 19.6449) * CHOOSE(CONTROL!$C$15, $D$11, 100%, $F$11)</f>
        <v>19.647200000000002</v>
      </c>
      <c r="J720" s="4">
        <f>CHOOSE( CONTROL!$C$32, 19.5251, 19.5228) * CHOOSE(CONTROL!$C$15, $D$11, 100%, $F$11)</f>
        <v>19.525099999999998</v>
      </c>
      <c r="K720" s="4"/>
      <c r="L720" s="9">
        <v>30.7165</v>
      </c>
      <c r="M720" s="9">
        <v>12.063700000000001</v>
      </c>
      <c r="N720" s="9">
        <v>4.9444999999999997</v>
      </c>
      <c r="O720" s="9">
        <v>0.37409999999999999</v>
      </c>
      <c r="P720" s="9">
        <v>1.2183999999999999</v>
      </c>
      <c r="Q720" s="9">
        <v>19.688099999999999</v>
      </c>
      <c r="R720" s="9"/>
      <c r="S720" s="11"/>
    </row>
    <row r="721" spans="1:19" ht="15.75">
      <c r="A721" s="13">
        <v>63462</v>
      </c>
      <c r="B721" s="8">
        <f>CHOOSE( CONTROL!$C$32, 19.941, 19.9387) * CHOOSE(CONTROL!$C$15, $D$11, 100%, $F$11)</f>
        <v>19.940999999999999</v>
      </c>
      <c r="C721" s="8">
        <f>CHOOSE( CONTROL!$C$32, 19.9491, 19.9468) * CHOOSE(CONTROL!$C$15, $D$11, 100%, $F$11)</f>
        <v>19.949100000000001</v>
      </c>
      <c r="D721" s="8">
        <f>CHOOSE( CONTROL!$C$32, 19.9748, 19.9725) * CHOOSE( CONTROL!$C$15, $D$11, 100%, $F$11)</f>
        <v>19.974799999999998</v>
      </c>
      <c r="E721" s="12">
        <f>CHOOSE( CONTROL!$C$32, 19.9643, 19.962) * CHOOSE( CONTROL!$C$15, $D$11, 100%, $F$11)</f>
        <v>19.964300000000001</v>
      </c>
      <c r="F721" s="4">
        <f>CHOOSE( CONTROL!$C$32, 20.6544, 20.6521) * CHOOSE(CONTROL!$C$15, $D$11, 100%, $F$11)</f>
        <v>20.654399999999999</v>
      </c>
      <c r="G721" s="8">
        <f>CHOOSE( CONTROL!$C$32, 19.4605, 19.4582) * CHOOSE( CONTROL!$C$15, $D$11, 100%, $F$11)</f>
        <v>19.4605</v>
      </c>
      <c r="H721" s="4">
        <f>CHOOSE( CONTROL!$C$32, 20.408, 20.4057) * CHOOSE(CONTROL!$C$15, $D$11, 100%, $F$11)</f>
        <v>20.408000000000001</v>
      </c>
      <c r="I721" s="8">
        <f>CHOOSE( CONTROL!$C$32, 19.2379, 19.2356) * CHOOSE(CONTROL!$C$15, $D$11, 100%, $F$11)</f>
        <v>19.2379</v>
      </c>
      <c r="J721" s="4">
        <f>CHOOSE( CONTROL!$C$32, 19.1161, 19.1139) * CHOOSE(CONTROL!$C$15, $D$11, 100%, $F$11)</f>
        <v>19.116099999999999</v>
      </c>
      <c r="K721" s="4"/>
      <c r="L721" s="9">
        <v>29.7257</v>
      </c>
      <c r="M721" s="9">
        <v>11.6745</v>
      </c>
      <c r="N721" s="9">
        <v>4.7850000000000001</v>
      </c>
      <c r="O721" s="9">
        <v>0.36199999999999999</v>
      </c>
      <c r="P721" s="9">
        <v>1.1791</v>
      </c>
      <c r="Q721" s="9">
        <v>19.053000000000001</v>
      </c>
      <c r="R721" s="9"/>
      <c r="S721" s="11"/>
    </row>
    <row r="722" spans="1:19" ht="15.75">
      <c r="A722" s="13">
        <v>63493</v>
      </c>
      <c r="B722" s="8">
        <f>20.8213 * CHOOSE(CONTROL!$C$15, $D$11, 100%, $F$11)</f>
        <v>20.821300000000001</v>
      </c>
      <c r="C722" s="8">
        <f>20.8268 * CHOOSE(CONTROL!$C$15, $D$11, 100%, $F$11)</f>
        <v>20.826799999999999</v>
      </c>
      <c r="D722" s="8">
        <f>20.8576 * CHOOSE( CONTROL!$C$15, $D$11, 100%, $F$11)</f>
        <v>20.857600000000001</v>
      </c>
      <c r="E722" s="12">
        <f>20.8468 * CHOOSE( CONTROL!$C$15, $D$11, 100%, $F$11)</f>
        <v>20.846800000000002</v>
      </c>
      <c r="F722" s="4">
        <f>21.5365 * CHOOSE(CONTROL!$C$15, $D$11, 100%, $F$11)</f>
        <v>21.5365</v>
      </c>
      <c r="G722" s="8">
        <f>20.3218 * CHOOSE( CONTROL!$C$15, $D$11, 100%, $F$11)</f>
        <v>20.3218</v>
      </c>
      <c r="H722" s="4">
        <f>21.2695 * CHOOSE(CONTROL!$C$15, $D$11, 100%, $F$11)</f>
        <v>21.269500000000001</v>
      </c>
      <c r="I722" s="8">
        <f>20.086 * CHOOSE(CONTROL!$C$15, $D$11, 100%, $F$11)</f>
        <v>20.085999999999999</v>
      </c>
      <c r="J722" s="4">
        <f>19.963 * CHOOSE(CONTROL!$C$15, $D$11, 100%, $F$11)</f>
        <v>19.963000000000001</v>
      </c>
      <c r="K722" s="4"/>
      <c r="L722" s="9">
        <v>31.095300000000002</v>
      </c>
      <c r="M722" s="9">
        <v>12.063700000000001</v>
      </c>
      <c r="N722" s="9">
        <v>4.9444999999999997</v>
      </c>
      <c r="O722" s="9">
        <v>0.37409999999999999</v>
      </c>
      <c r="P722" s="9">
        <v>1.2183999999999999</v>
      </c>
      <c r="Q722" s="9">
        <v>19.688099999999999</v>
      </c>
      <c r="R722" s="9"/>
      <c r="S722" s="11"/>
    </row>
    <row r="723" spans="1:19" ht="15.75">
      <c r="A723" s="13">
        <v>63523</v>
      </c>
      <c r="B723" s="8">
        <f>22.4533 * CHOOSE(CONTROL!$C$15, $D$11, 100%, $F$11)</f>
        <v>22.453299999999999</v>
      </c>
      <c r="C723" s="8">
        <f>22.4585 * CHOOSE(CONTROL!$C$15, $D$11, 100%, $F$11)</f>
        <v>22.458500000000001</v>
      </c>
      <c r="D723" s="8">
        <f>22.4416 * CHOOSE( CONTROL!$C$15, $D$11, 100%, $F$11)</f>
        <v>22.441600000000001</v>
      </c>
      <c r="E723" s="12">
        <f>22.4472 * CHOOSE( CONTROL!$C$15, $D$11, 100%, $F$11)</f>
        <v>22.447199999999999</v>
      </c>
      <c r="F723" s="4">
        <f>23.1038 * CHOOSE(CONTROL!$C$15, $D$11, 100%, $F$11)</f>
        <v>23.1038</v>
      </c>
      <c r="G723" s="8">
        <f>21.9223 * CHOOSE( CONTROL!$C$15, $D$11, 100%, $F$11)</f>
        <v>21.9223</v>
      </c>
      <c r="H723" s="4">
        <f>22.8003 * CHOOSE(CONTROL!$C$15, $D$11, 100%, $F$11)</f>
        <v>22.8003</v>
      </c>
      <c r="I723" s="8">
        <f>21.6959 * CHOOSE(CONTROL!$C$15, $D$11, 100%, $F$11)</f>
        <v>21.695900000000002</v>
      </c>
      <c r="J723" s="4">
        <f>21.5303 * CHOOSE(CONTROL!$C$15, $D$11, 100%, $F$11)</f>
        <v>21.5303</v>
      </c>
      <c r="K723" s="4"/>
      <c r="L723" s="9">
        <v>28.360600000000002</v>
      </c>
      <c r="M723" s="9">
        <v>11.6745</v>
      </c>
      <c r="N723" s="9">
        <v>4.7850000000000001</v>
      </c>
      <c r="O723" s="9">
        <v>0.36199999999999999</v>
      </c>
      <c r="P723" s="9">
        <v>1.2509999999999999</v>
      </c>
      <c r="Q723" s="9">
        <v>19.053000000000001</v>
      </c>
      <c r="R723" s="9"/>
      <c r="S723" s="11"/>
    </row>
    <row r="724" spans="1:19" ht="15.75">
      <c r="A724" s="13">
        <v>63554</v>
      </c>
      <c r="B724" s="8">
        <f>22.4126 * CHOOSE(CONTROL!$C$15, $D$11, 100%, $F$11)</f>
        <v>22.412600000000001</v>
      </c>
      <c r="C724" s="8">
        <f>22.4177 * CHOOSE(CONTROL!$C$15, $D$11, 100%, $F$11)</f>
        <v>22.4177</v>
      </c>
      <c r="D724" s="8">
        <f>22.4022 * CHOOSE( CONTROL!$C$15, $D$11, 100%, $F$11)</f>
        <v>22.402200000000001</v>
      </c>
      <c r="E724" s="12">
        <f>22.4073 * CHOOSE( CONTROL!$C$15, $D$11, 100%, $F$11)</f>
        <v>22.407299999999999</v>
      </c>
      <c r="F724" s="4">
        <f>23.063 * CHOOSE(CONTROL!$C$15, $D$11, 100%, $F$11)</f>
        <v>23.062999999999999</v>
      </c>
      <c r="G724" s="8">
        <f>21.8836 * CHOOSE( CONTROL!$C$15, $D$11, 100%, $F$11)</f>
        <v>21.883600000000001</v>
      </c>
      <c r="H724" s="4">
        <f>22.7605 * CHOOSE(CONTROL!$C$15, $D$11, 100%, $F$11)</f>
        <v>22.7605</v>
      </c>
      <c r="I724" s="8">
        <f>21.6614 * CHOOSE(CONTROL!$C$15, $D$11, 100%, $F$11)</f>
        <v>21.6614</v>
      </c>
      <c r="J724" s="4">
        <f>21.4911 * CHOOSE(CONTROL!$C$15, $D$11, 100%, $F$11)</f>
        <v>21.491099999999999</v>
      </c>
      <c r="K724" s="4"/>
      <c r="L724" s="9">
        <v>29.306000000000001</v>
      </c>
      <c r="M724" s="9">
        <v>12.063700000000001</v>
      </c>
      <c r="N724" s="9">
        <v>4.9444999999999997</v>
      </c>
      <c r="O724" s="9">
        <v>0.37409999999999999</v>
      </c>
      <c r="P724" s="9">
        <v>1.2927</v>
      </c>
      <c r="Q724" s="9">
        <v>19.688099999999999</v>
      </c>
      <c r="R724" s="9"/>
      <c r="S724" s="11"/>
    </row>
    <row r="725" spans="1:19" ht="15.75">
      <c r="A725" s="13">
        <v>63585</v>
      </c>
      <c r="B725" s="8">
        <f>23.0728 * CHOOSE(CONTROL!$C$15, $D$11, 100%, $F$11)</f>
        <v>23.072800000000001</v>
      </c>
      <c r="C725" s="8">
        <f>23.078 * CHOOSE(CONTROL!$C$15, $D$11, 100%, $F$11)</f>
        <v>23.077999999999999</v>
      </c>
      <c r="D725" s="8">
        <f>23.0582 * CHOOSE( CONTROL!$C$15, $D$11, 100%, $F$11)</f>
        <v>23.058199999999999</v>
      </c>
      <c r="E725" s="12">
        <f>23.0649 * CHOOSE( CONTROL!$C$15, $D$11, 100%, $F$11)</f>
        <v>23.064900000000002</v>
      </c>
      <c r="F725" s="4">
        <f>23.7233 * CHOOSE(CONTROL!$C$15, $D$11, 100%, $F$11)</f>
        <v>23.723299999999998</v>
      </c>
      <c r="G725" s="8">
        <f>22.5192 * CHOOSE( CONTROL!$C$15, $D$11, 100%, $F$11)</f>
        <v>22.519200000000001</v>
      </c>
      <c r="H725" s="4">
        <f>23.4054 * CHOOSE(CONTROL!$C$15, $D$11, 100%, $F$11)</f>
        <v>23.4054</v>
      </c>
      <c r="I725" s="8">
        <f>22.2548 * CHOOSE(CONTROL!$C$15, $D$11, 100%, $F$11)</f>
        <v>22.254799999999999</v>
      </c>
      <c r="J725" s="4">
        <f>22.125 * CHOOSE(CONTROL!$C$15, $D$11, 100%, $F$11)</f>
        <v>22.125</v>
      </c>
      <c r="K725" s="4"/>
      <c r="L725" s="9">
        <v>29.306000000000001</v>
      </c>
      <c r="M725" s="9">
        <v>12.063700000000001</v>
      </c>
      <c r="N725" s="9">
        <v>4.9444999999999997</v>
      </c>
      <c r="O725" s="9">
        <v>0.37409999999999999</v>
      </c>
      <c r="P725" s="9">
        <v>1.2927</v>
      </c>
      <c r="Q725" s="9">
        <v>19.688099999999999</v>
      </c>
      <c r="R725" s="9"/>
      <c r="S725" s="11"/>
    </row>
    <row r="726" spans="1:19" ht="15.75">
      <c r="A726" s="13">
        <v>63613</v>
      </c>
      <c r="B726" s="8">
        <f>21.583 * CHOOSE(CONTROL!$C$15, $D$11, 100%, $F$11)</f>
        <v>21.582999999999998</v>
      </c>
      <c r="C726" s="8">
        <f>21.5882 * CHOOSE(CONTROL!$C$15, $D$11, 100%, $F$11)</f>
        <v>21.588200000000001</v>
      </c>
      <c r="D726" s="8">
        <f>21.5683 * CHOOSE( CONTROL!$C$15, $D$11, 100%, $F$11)</f>
        <v>21.568300000000001</v>
      </c>
      <c r="E726" s="12">
        <f>21.575 * CHOOSE( CONTROL!$C$15, $D$11, 100%, $F$11)</f>
        <v>21.574999999999999</v>
      </c>
      <c r="F726" s="4">
        <f>22.2335 * CHOOSE(CONTROL!$C$15, $D$11, 100%, $F$11)</f>
        <v>22.233499999999999</v>
      </c>
      <c r="G726" s="8">
        <f>21.0641 * CHOOSE( CONTROL!$C$15, $D$11, 100%, $F$11)</f>
        <v>21.0641</v>
      </c>
      <c r="H726" s="4">
        <f>21.9503 * CHOOSE(CONTROL!$C$15, $D$11, 100%, $F$11)</f>
        <v>21.950299999999999</v>
      </c>
      <c r="I726" s="8">
        <f>20.8236 * CHOOSE(CONTROL!$C$15, $D$11, 100%, $F$11)</f>
        <v>20.823599999999999</v>
      </c>
      <c r="J726" s="4">
        <f>20.6947 * CHOOSE(CONTROL!$C$15, $D$11, 100%, $F$11)</f>
        <v>20.694700000000001</v>
      </c>
      <c r="K726" s="4"/>
      <c r="L726" s="9">
        <v>26.469899999999999</v>
      </c>
      <c r="M726" s="9">
        <v>10.8962</v>
      </c>
      <c r="N726" s="9">
        <v>4.4660000000000002</v>
      </c>
      <c r="O726" s="9">
        <v>0.33789999999999998</v>
      </c>
      <c r="P726" s="9">
        <v>1.1676</v>
      </c>
      <c r="Q726" s="9">
        <v>17.782800000000002</v>
      </c>
      <c r="R726" s="9"/>
      <c r="S726" s="11"/>
    </row>
    <row r="727" spans="1:19" ht="15.75">
      <c r="A727" s="13">
        <v>63644</v>
      </c>
      <c r="B727" s="8">
        <f>21.1242 * CHOOSE(CONTROL!$C$15, $D$11, 100%, $F$11)</f>
        <v>21.124199999999998</v>
      </c>
      <c r="C727" s="8">
        <f>21.1294 * CHOOSE(CONTROL!$C$15, $D$11, 100%, $F$11)</f>
        <v>21.1294</v>
      </c>
      <c r="D727" s="8">
        <f>21.1091 * CHOOSE( CONTROL!$C$15, $D$11, 100%, $F$11)</f>
        <v>21.109100000000002</v>
      </c>
      <c r="E727" s="12">
        <f>21.116 * CHOOSE( CONTROL!$C$15, $D$11, 100%, $F$11)</f>
        <v>21.116</v>
      </c>
      <c r="F727" s="4">
        <f>21.7746 * CHOOSE(CONTROL!$C$15, $D$11, 100%, $F$11)</f>
        <v>21.7746</v>
      </c>
      <c r="G727" s="8">
        <f>20.6157 * CHOOSE( CONTROL!$C$15, $D$11, 100%, $F$11)</f>
        <v>20.6157</v>
      </c>
      <c r="H727" s="4">
        <f>21.5021 * CHOOSE(CONTROL!$C$15, $D$11, 100%, $F$11)</f>
        <v>21.502099999999999</v>
      </c>
      <c r="I727" s="8">
        <f>20.3817 * CHOOSE(CONTROL!$C$15, $D$11, 100%, $F$11)</f>
        <v>20.381699999999999</v>
      </c>
      <c r="J727" s="4">
        <f>20.2541 * CHOOSE(CONTROL!$C$15, $D$11, 100%, $F$11)</f>
        <v>20.254100000000001</v>
      </c>
      <c r="K727" s="4"/>
      <c r="L727" s="9">
        <v>29.306000000000001</v>
      </c>
      <c r="M727" s="9">
        <v>12.063700000000001</v>
      </c>
      <c r="N727" s="9">
        <v>4.9444999999999997</v>
      </c>
      <c r="O727" s="9">
        <v>0.37409999999999999</v>
      </c>
      <c r="P727" s="9">
        <v>1.2927</v>
      </c>
      <c r="Q727" s="9">
        <v>19.688099999999999</v>
      </c>
      <c r="R727" s="9"/>
      <c r="S727" s="11"/>
    </row>
    <row r="728" spans="1:19" ht="15.75">
      <c r="A728" s="13">
        <v>63674</v>
      </c>
      <c r="B728" s="8">
        <f>21.4456 * CHOOSE(CONTROL!$C$15, $D$11, 100%, $F$11)</f>
        <v>21.445599999999999</v>
      </c>
      <c r="C728" s="8">
        <f>21.4502 * CHOOSE(CONTROL!$C$15, $D$11, 100%, $F$11)</f>
        <v>21.450199999999999</v>
      </c>
      <c r="D728" s="8">
        <f>21.4807 * CHOOSE( CONTROL!$C$15, $D$11, 100%, $F$11)</f>
        <v>21.480699999999999</v>
      </c>
      <c r="E728" s="12">
        <f>21.4701 * CHOOSE( CONTROL!$C$15, $D$11, 100%, $F$11)</f>
        <v>21.470099999999999</v>
      </c>
      <c r="F728" s="4">
        <f>22.1604 * CHOOSE(CONTROL!$C$15, $D$11, 100%, $F$11)</f>
        <v>22.160399999999999</v>
      </c>
      <c r="G728" s="8">
        <f>20.93 * CHOOSE( CONTROL!$C$15, $D$11, 100%, $F$11)</f>
        <v>20.93</v>
      </c>
      <c r="H728" s="4">
        <f>21.8789 * CHOOSE(CONTROL!$C$15, $D$11, 100%, $F$11)</f>
        <v>21.878900000000002</v>
      </c>
      <c r="I728" s="8">
        <f>20.6817 * CHOOSE(CONTROL!$C$15, $D$11, 100%, $F$11)</f>
        <v>20.681699999999999</v>
      </c>
      <c r="J728" s="4">
        <f>20.562 * CHOOSE(CONTROL!$C$15, $D$11, 100%, $F$11)</f>
        <v>20.562000000000001</v>
      </c>
      <c r="K728" s="4"/>
      <c r="L728" s="9">
        <v>30.092199999999998</v>
      </c>
      <c r="M728" s="9">
        <v>11.6745</v>
      </c>
      <c r="N728" s="9">
        <v>4.7850000000000001</v>
      </c>
      <c r="O728" s="9">
        <v>0.36199999999999999</v>
      </c>
      <c r="P728" s="9">
        <v>1.1791</v>
      </c>
      <c r="Q728" s="9">
        <v>19.053000000000001</v>
      </c>
      <c r="R728" s="9"/>
      <c r="S728" s="11"/>
    </row>
    <row r="729" spans="1:19" ht="15.75">
      <c r="A729" s="13">
        <v>63705</v>
      </c>
      <c r="B729" s="8">
        <f>CHOOSE( CONTROL!$C$32, 22.0199, 22.0176) * CHOOSE(CONTROL!$C$15, $D$11, 100%, $F$11)</f>
        <v>22.0199</v>
      </c>
      <c r="C729" s="8">
        <f>CHOOSE( CONTROL!$C$32, 22.028, 22.0257) * CHOOSE(CONTROL!$C$15, $D$11, 100%, $F$11)</f>
        <v>22.027999999999999</v>
      </c>
      <c r="D729" s="8">
        <f>CHOOSE( CONTROL!$C$32, 22.0532, 22.0509) * CHOOSE( CONTROL!$C$15, $D$11, 100%, $F$11)</f>
        <v>22.0532</v>
      </c>
      <c r="E729" s="12">
        <f>CHOOSE( CONTROL!$C$32, 22.0428, 22.0405) * CHOOSE( CONTROL!$C$15, $D$11, 100%, $F$11)</f>
        <v>22.0428</v>
      </c>
      <c r="F729" s="4">
        <f>CHOOSE( CONTROL!$C$32, 22.7334, 22.731) * CHOOSE(CONTROL!$C$15, $D$11, 100%, $F$11)</f>
        <v>22.7334</v>
      </c>
      <c r="G729" s="8">
        <f>CHOOSE( CONTROL!$C$32, 21.4902, 21.4879) * CHOOSE( CONTROL!$C$15, $D$11, 100%, $F$11)</f>
        <v>21.490200000000002</v>
      </c>
      <c r="H729" s="4">
        <f>CHOOSE( CONTROL!$C$32, 22.4385, 22.4362) * CHOOSE(CONTROL!$C$15, $D$11, 100%, $F$11)</f>
        <v>22.438500000000001</v>
      </c>
      <c r="I729" s="8">
        <f>CHOOSE( CONTROL!$C$32, 21.2324, 21.2302) * CHOOSE(CONTROL!$C$15, $D$11, 100%, $F$11)</f>
        <v>21.232399999999998</v>
      </c>
      <c r="J729" s="4">
        <f>CHOOSE( CONTROL!$C$32, 21.1121, 21.1099) * CHOOSE(CONTROL!$C$15, $D$11, 100%, $F$11)</f>
        <v>21.112100000000002</v>
      </c>
      <c r="K729" s="4"/>
      <c r="L729" s="9">
        <v>30.7165</v>
      </c>
      <c r="M729" s="9">
        <v>12.063700000000001</v>
      </c>
      <c r="N729" s="9">
        <v>4.9444999999999997</v>
      </c>
      <c r="O729" s="9">
        <v>0.37409999999999999</v>
      </c>
      <c r="P729" s="9">
        <v>1.2183999999999999</v>
      </c>
      <c r="Q729" s="9">
        <v>19.688099999999999</v>
      </c>
      <c r="R729" s="9"/>
      <c r="S729" s="11"/>
    </row>
    <row r="730" spans="1:19" ht="15.75">
      <c r="A730" s="13">
        <v>63735</v>
      </c>
      <c r="B730" s="8">
        <f>CHOOSE( CONTROL!$C$32, 21.6664, 21.6641) * CHOOSE(CONTROL!$C$15, $D$11, 100%, $F$11)</f>
        <v>21.666399999999999</v>
      </c>
      <c r="C730" s="8">
        <f>CHOOSE( CONTROL!$C$32, 21.6745, 21.6722) * CHOOSE(CONTROL!$C$15, $D$11, 100%, $F$11)</f>
        <v>21.674499999999998</v>
      </c>
      <c r="D730" s="8">
        <f>CHOOSE( CONTROL!$C$32, 21.6999, 21.6976) * CHOOSE( CONTROL!$C$15, $D$11, 100%, $F$11)</f>
        <v>21.6999</v>
      </c>
      <c r="E730" s="12">
        <f>CHOOSE( CONTROL!$C$32, 21.6895, 21.6872) * CHOOSE( CONTROL!$C$15, $D$11, 100%, $F$11)</f>
        <v>21.689499999999999</v>
      </c>
      <c r="F730" s="4">
        <f>CHOOSE( CONTROL!$C$32, 22.3799, 22.3775) * CHOOSE(CONTROL!$C$15, $D$11, 100%, $F$11)</f>
        <v>22.379899999999999</v>
      </c>
      <c r="G730" s="8">
        <f>CHOOSE( CONTROL!$C$32, 21.1453, 21.143) * CHOOSE( CONTROL!$C$15, $D$11, 100%, $F$11)</f>
        <v>21.145299999999999</v>
      </c>
      <c r="H730" s="4">
        <f>CHOOSE( CONTROL!$C$32, 22.0933, 22.091) * CHOOSE(CONTROL!$C$15, $D$11, 100%, $F$11)</f>
        <v>22.093299999999999</v>
      </c>
      <c r="I730" s="8">
        <f>CHOOSE( CONTROL!$C$32, 20.8939, 20.8916) * CHOOSE(CONTROL!$C$15, $D$11, 100%, $F$11)</f>
        <v>20.893899999999999</v>
      </c>
      <c r="J730" s="4">
        <f>CHOOSE( CONTROL!$C$32, 20.7727, 20.7705) * CHOOSE(CONTROL!$C$15, $D$11, 100%, $F$11)</f>
        <v>20.7727</v>
      </c>
      <c r="K730" s="4"/>
      <c r="L730" s="9">
        <v>29.7257</v>
      </c>
      <c r="M730" s="9">
        <v>11.6745</v>
      </c>
      <c r="N730" s="9">
        <v>4.7850000000000001</v>
      </c>
      <c r="O730" s="9">
        <v>0.36199999999999999</v>
      </c>
      <c r="P730" s="9">
        <v>1.1791</v>
      </c>
      <c r="Q730" s="9">
        <v>19.053000000000001</v>
      </c>
      <c r="R730" s="9"/>
      <c r="S730" s="11"/>
    </row>
    <row r="731" spans="1:19" ht="15.75">
      <c r="A731" s="13">
        <v>63766</v>
      </c>
      <c r="B731" s="8">
        <f>CHOOSE( CONTROL!$C$32, 22.5973, 22.595) * CHOOSE(CONTROL!$C$15, $D$11, 100%, $F$11)</f>
        <v>22.597300000000001</v>
      </c>
      <c r="C731" s="8">
        <f>CHOOSE( CONTROL!$C$32, 22.6054, 22.6031) * CHOOSE(CONTROL!$C$15, $D$11, 100%, $F$11)</f>
        <v>22.605399999999999</v>
      </c>
      <c r="D731" s="8">
        <f>CHOOSE( CONTROL!$C$32, 22.6311, 22.6287) * CHOOSE( CONTROL!$C$15, $D$11, 100%, $F$11)</f>
        <v>22.6311</v>
      </c>
      <c r="E731" s="12">
        <f>CHOOSE( CONTROL!$C$32, 22.6206, 22.6182) * CHOOSE( CONTROL!$C$15, $D$11, 100%, $F$11)</f>
        <v>22.6206</v>
      </c>
      <c r="F731" s="4">
        <f>CHOOSE( CONTROL!$C$32, 23.3108, 23.3084) * CHOOSE(CONTROL!$C$15, $D$11, 100%, $F$11)</f>
        <v>23.3108</v>
      </c>
      <c r="G731" s="8">
        <f>CHOOSE( CONTROL!$C$32, 22.0549, 22.0526) * CHOOSE( CONTROL!$C$15, $D$11, 100%, $F$11)</f>
        <v>22.0549</v>
      </c>
      <c r="H731" s="4">
        <f>CHOOSE( CONTROL!$C$32, 23.0025, 23.0002) * CHOOSE(CONTROL!$C$15, $D$11, 100%, $F$11)</f>
        <v>23.002500000000001</v>
      </c>
      <c r="I731" s="8">
        <f>CHOOSE( CONTROL!$C$32, 21.7893, 21.787) * CHOOSE(CONTROL!$C$15, $D$11, 100%, $F$11)</f>
        <v>21.789300000000001</v>
      </c>
      <c r="J731" s="4">
        <f>CHOOSE( CONTROL!$C$32, 21.6665, 21.6642) * CHOOSE(CONTROL!$C$15, $D$11, 100%, $F$11)</f>
        <v>21.666499999999999</v>
      </c>
      <c r="K731" s="4"/>
      <c r="L731" s="9">
        <v>30.7165</v>
      </c>
      <c r="M731" s="9">
        <v>12.063700000000001</v>
      </c>
      <c r="N731" s="9">
        <v>4.9444999999999997</v>
      </c>
      <c r="O731" s="9">
        <v>0.37409999999999999</v>
      </c>
      <c r="P731" s="9">
        <v>1.2183999999999999</v>
      </c>
      <c r="Q731" s="9">
        <v>19.688099999999999</v>
      </c>
      <c r="R731" s="9"/>
      <c r="S731" s="11"/>
    </row>
    <row r="732" spans="1:19" ht="15.75">
      <c r="A732" s="13">
        <v>63797</v>
      </c>
      <c r="B732" s="8">
        <f>CHOOSE( CONTROL!$C$32, 20.8555, 20.8532) * CHOOSE(CONTROL!$C$15, $D$11, 100%, $F$11)</f>
        <v>20.855499999999999</v>
      </c>
      <c r="C732" s="8">
        <f>CHOOSE( CONTROL!$C$32, 20.8636, 20.8613) * CHOOSE(CONTROL!$C$15, $D$11, 100%, $F$11)</f>
        <v>20.863600000000002</v>
      </c>
      <c r="D732" s="8">
        <f>CHOOSE( CONTROL!$C$32, 20.8893, 20.887) * CHOOSE( CONTROL!$C$15, $D$11, 100%, $F$11)</f>
        <v>20.889299999999999</v>
      </c>
      <c r="E732" s="12">
        <f>CHOOSE( CONTROL!$C$32, 20.8788, 20.8765) * CHOOSE( CONTROL!$C$15, $D$11, 100%, $F$11)</f>
        <v>20.878799999999998</v>
      </c>
      <c r="F732" s="4">
        <f>CHOOSE( CONTROL!$C$32, 21.569, 21.5666) * CHOOSE(CONTROL!$C$15, $D$11, 100%, $F$11)</f>
        <v>21.568999999999999</v>
      </c>
      <c r="G732" s="8">
        <f>CHOOSE( CONTROL!$C$32, 20.3537, 20.3514) * CHOOSE( CONTROL!$C$15, $D$11, 100%, $F$11)</f>
        <v>20.3537</v>
      </c>
      <c r="H732" s="4">
        <f>CHOOSE( CONTROL!$C$32, 21.3013, 21.299) * CHOOSE(CONTROL!$C$15, $D$11, 100%, $F$11)</f>
        <v>21.301300000000001</v>
      </c>
      <c r="I732" s="8">
        <f>CHOOSE( CONTROL!$C$32, 20.1165, 20.1142) * CHOOSE(CONTROL!$C$15, $D$11, 100%, $F$11)</f>
        <v>20.116499999999998</v>
      </c>
      <c r="J732" s="4">
        <f>CHOOSE( CONTROL!$C$32, 19.9942, 19.9919) * CHOOSE(CONTROL!$C$15, $D$11, 100%, $F$11)</f>
        <v>19.994199999999999</v>
      </c>
      <c r="K732" s="4"/>
      <c r="L732" s="9">
        <v>30.7165</v>
      </c>
      <c r="M732" s="9">
        <v>12.063700000000001</v>
      </c>
      <c r="N732" s="9">
        <v>4.9444999999999997</v>
      </c>
      <c r="O732" s="9">
        <v>0.37409999999999999</v>
      </c>
      <c r="P732" s="9">
        <v>1.2183999999999999</v>
      </c>
      <c r="Q732" s="9">
        <v>19.688099999999999</v>
      </c>
      <c r="R732" s="9"/>
      <c r="S732" s="11"/>
    </row>
    <row r="733" spans="1:19" ht="15.75">
      <c r="A733" s="13">
        <v>63827</v>
      </c>
      <c r="B733" s="8">
        <f>CHOOSE( CONTROL!$C$32, 20.4194, 20.417) * CHOOSE(CONTROL!$C$15, $D$11, 100%, $F$11)</f>
        <v>20.4194</v>
      </c>
      <c r="C733" s="8">
        <f>CHOOSE( CONTROL!$C$32, 20.4274, 20.4251) * CHOOSE(CONTROL!$C$15, $D$11, 100%, $F$11)</f>
        <v>20.427399999999999</v>
      </c>
      <c r="D733" s="8">
        <f>CHOOSE( CONTROL!$C$32, 20.4532, 20.4508) * CHOOSE( CONTROL!$C$15, $D$11, 100%, $F$11)</f>
        <v>20.453199999999999</v>
      </c>
      <c r="E733" s="12">
        <f>CHOOSE( CONTROL!$C$32, 20.4426, 20.4403) * CHOOSE( CONTROL!$C$15, $D$11, 100%, $F$11)</f>
        <v>20.442599999999999</v>
      </c>
      <c r="F733" s="4">
        <f>CHOOSE( CONTROL!$C$32, 21.1328, 21.1304) * CHOOSE(CONTROL!$C$15, $D$11, 100%, $F$11)</f>
        <v>21.1328</v>
      </c>
      <c r="G733" s="8">
        <f>CHOOSE( CONTROL!$C$32, 19.9277, 19.9254) * CHOOSE( CONTROL!$C$15, $D$11, 100%, $F$11)</f>
        <v>19.927700000000002</v>
      </c>
      <c r="H733" s="4">
        <f>CHOOSE( CONTROL!$C$32, 20.8752, 20.8729) * CHOOSE(CONTROL!$C$15, $D$11, 100%, $F$11)</f>
        <v>20.8752</v>
      </c>
      <c r="I733" s="8">
        <f>CHOOSE( CONTROL!$C$32, 19.6974, 19.6951) * CHOOSE(CONTROL!$C$15, $D$11, 100%, $F$11)</f>
        <v>19.697399999999998</v>
      </c>
      <c r="J733" s="4">
        <f>CHOOSE( CONTROL!$C$32, 19.5754, 19.5731) * CHOOSE(CONTROL!$C$15, $D$11, 100%, $F$11)</f>
        <v>19.575399999999998</v>
      </c>
      <c r="K733" s="4"/>
      <c r="L733" s="9">
        <v>29.7257</v>
      </c>
      <c r="M733" s="9">
        <v>11.6745</v>
      </c>
      <c r="N733" s="9">
        <v>4.7850000000000001</v>
      </c>
      <c r="O733" s="9">
        <v>0.36199999999999999</v>
      </c>
      <c r="P733" s="9">
        <v>1.1791</v>
      </c>
      <c r="Q733" s="9">
        <v>19.053000000000001</v>
      </c>
      <c r="R733" s="9"/>
      <c r="S733" s="11"/>
    </row>
    <row r="734" spans="1:19" ht="15.75">
      <c r="A734" s="13">
        <v>63858</v>
      </c>
      <c r="B734" s="8">
        <f>21.3209 * CHOOSE(CONTROL!$C$15, $D$11, 100%, $F$11)</f>
        <v>21.320900000000002</v>
      </c>
      <c r="C734" s="8">
        <f>21.3264 * CHOOSE(CONTROL!$C$15, $D$11, 100%, $F$11)</f>
        <v>21.3264</v>
      </c>
      <c r="D734" s="8">
        <f>21.3572 * CHOOSE( CONTROL!$C$15, $D$11, 100%, $F$11)</f>
        <v>21.357199999999999</v>
      </c>
      <c r="E734" s="12">
        <f>21.3464 * CHOOSE( CONTROL!$C$15, $D$11, 100%, $F$11)</f>
        <v>21.346399999999999</v>
      </c>
      <c r="F734" s="4">
        <f>22.0361 * CHOOSE(CONTROL!$C$15, $D$11, 100%, $F$11)</f>
        <v>22.036100000000001</v>
      </c>
      <c r="G734" s="8">
        <f>20.8097 * CHOOSE( CONTROL!$C$15, $D$11, 100%, $F$11)</f>
        <v>20.809699999999999</v>
      </c>
      <c r="H734" s="4">
        <f>21.7575 * CHOOSE(CONTROL!$C$15, $D$11, 100%, $F$11)</f>
        <v>21.7575</v>
      </c>
      <c r="I734" s="8">
        <f>20.5659 * CHOOSE(CONTROL!$C$15, $D$11, 100%, $F$11)</f>
        <v>20.565899999999999</v>
      </c>
      <c r="J734" s="4">
        <f>20.4427 * CHOOSE(CONTROL!$C$15, $D$11, 100%, $F$11)</f>
        <v>20.442699999999999</v>
      </c>
      <c r="K734" s="4"/>
      <c r="L734" s="9">
        <v>31.095300000000002</v>
      </c>
      <c r="M734" s="9">
        <v>12.063700000000001</v>
      </c>
      <c r="N734" s="9">
        <v>4.9444999999999997</v>
      </c>
      <c r="O734" s="9">
        <v>0.37409999999999999</v>
      </c>
      <c r="P734" s="9">
        <v>1.2183999999999999</v>
      </c>
      <c r="Q734" s="9">
        <v>19.688099999999999</v>
      </c>
      <c r="R734" s="9"/>
      <c r="S734" s="11"/>
    </row>
    <row r="735" spans="1:19" ht="15.75">
      <c r="A735" s="13">
        <v>63888</v>
      </c>
      <c r="B735" s="8">
        <f>22.9922 * CHOOSE(CONTROL!$C$15, $D$11, 100%, $F$11)</f>
        <v>22.9922</v>
      </c>
      <c r="C735" s="8">
        <f>22.9973 * CHOOSE(CONTROL!$C$15, $D$11, 100%, $F$11)</f>
        <v>22.997299999999999</v>
      </c>
      <c r="D735" s="8">
        <f>22.9804 * CHOOSE( CONTROL!$C$15, $D$11, 100%, $F$11)</f>
        <v>22.980399999999999</v>
      </c>
      <c r="E735" s="12">
        <f>22.986 * CHOOSE( CONTROL!$C$15, $D$11, 100%, $F$11)</f>
        <v>22.986000000000001</v>
      </c>
      <c r="F735" s="4">
        <f>23.6426 * CHOOSE(CONTROL!$C$15, $D$11, 100%, $F$11)</f>
        <v>23.642600000000002</v>
      </c>
      <c r="G735" s="8">
        <f>22.4486 * CHOOSE( CONTROL!$C$15, $D$11, 100%, $F$11)</f>
        <v>22.448599999999999</v>
      </c>
      <c r="H735" s="4">
        <f>23.3266 * CHOOSE(CONTROL!$C$15, $D$11, 100%, $F$11)</f>
        <v>23.326599999999999</v>
      </c>
      <c r="I735" s="8">
        <f>22.2135 * CHOOSE(CONTROL!$C$15, $D$11, 100%, $F$11)</f>
        <v>22.2135</v>
      </c>
      <c r="J735" s="4">
        <f>22.0476 * CHOOSE(CONTROL!$C$15, $D$11, 100%, $F$11)</f>
        <v>22.047599999999999</v>
      </c>
      <c r="K735" s="4"/>
      <c r="L735" s="9">
        <v>28.360600000000002</v>
      </c>
      <c r="M735" s="9">
        <v>11.6745</v>
      </c>
      <c r="N735" s="9">
        <v>4.7850000000000001</v>
      </c>
      <c r="O735" s="9">
        <v>0.36199999999999999</v>
      </c>
      <c r="P735" s="9">
        <v>1.2509999999999999</v>
      </c>
      <c r="Q735" s="9">
        <v>19.053000000000001</v>
      </c>
      <c r="R735" s="9"/>
      <c r="S735" s="11"/>
    </row>
    <row r="736" spans="1:19" ht="15.75">
      <c r="A736" s="13">
        <v>63919</v>
      </c>
      <c r="B736" s="8">
        <f>22.9504 * CHOOSE(CONTROL!$C$15, $D$11, 100%, $F$11)</f>
        <v>22.950399999999998</v>
      </c>
      <c r="C736" s="8">
        <f>22.9556 * CHOOSE(CONTROL!$C$15, $D$11, 100%, $F$11)</f>
        <v>22.9556</v>
      </c>
      <c r="D736" s="8">
        <f>22.9401 * CHOOSE( CONTROL!$C$15, $D$11, 100%, $F$11)</f>
        <v>22.940100000000001</v>
      </c>
      <c r="E736" s="12">
        <f>22.9452 * CHOOSE( CONTROL!$C$15, $D$11, 100%, $F$11)</f>
        <v>22.9452</v>
      </c>
      <c r="F736" s="4">
        <f>23.6009 * CHOOSE(CONTROL!$C$15, $D$11, 100%, $F$11)</f>
        <v>23.600899999999999</v>
      </c>
      <c r="G736" s="8">
        <f>22.4089 * CHOOSE( CONTROL!$C$15, $D$11, 100%, $F$11)</f>
        <v>22.408899999999999</v>
      </c>
      <c r="H736" s="4">
        <f>23.2858 * CHOOSE(CONTROL!$C$15, $D$11, 100%, $F$11)</f>
        <v>23.285799999999998</v>
      </c>
      <c r="I736" s="8">
        <f>22.1781 * CHOOSE(CONTROL!$C$15, $D$11, 100%, $F$11)</f>
        <v>22.178100000000001</v>
      </c>
      <c r="J736" s="4">
        <f>22.0075 * CHOOSE(CONTROL!$C$15, $D$11, 100%, $F$11)</f>
        <v>22.0075</v>
      </c>
      <c r="K736" s="4"/>
      <c r="L736" s="9">
        <v>29.306000000000001</v>
      </c>
      <c r="M736" s="9">
        <v>12.063700000000001</v>
      </c>
      <c r="N736" s="9">
        <v>4.9444999999999997</v>
      </c>
      <c r="O736" s="9">
        <v>0.37409999999999999</v>
      </c>
      <c r="P736" s="9">
        <v>1.2927</v>
      </c>
      <c r="Q736" s="9">
        <v>19.688099999999999</v>
      </c>
      <c r="R736" s="9"/>
      <c r="S736" s="11"/>
    </row>
    <row r="737" spans="1:19" ht="15.75">
      <c r="A737" s="13">
        <v>63950</v>
      </c>
      <c r="B737" s="8">
        <f>23.6265 * CHOOSE(CONTROL!$C$15, $D$11, 100%, $F$11)</f>
        <v>23.6265</v>
      </c>
      <c r="C737" s="8">
        <f>23.6317 * CHOOSE(CONTROL!$C$15, $D$11, 100%, $F$11)</f>
        <v>23.631699999999999</v>
      </c>
      <c r="D737" s="8">
        <f>23.6119 * CHOOSE( CONTROL!$C$15, $D$11, 100%, $F$11)</f>
        <v>23.611899999999999</v>
      </c>
      <c r="E737" s="12">
        <f>23.6186 * CHOOSE( CONTROL!$C$15, $D$11, 100%, $F$11)</f>
        <v>23.618600000000001</v>
      </c>
      <c r="F737" s="4">
        <f>24.277 * CHOOSE(CONTROL!$C$15, $D$11, 100%, $F$11)</f>
        <v>24.277000000000001</v>
      </c>
      <c r="G737" s="8">
        <f>23.06 * CHOOSE( CONTROL!$C$15, $D$11, 100%, $F$11)</f>
        <v>23.06</v>
      </c>
      <c r="H737" s="4">
        <f>23.9462 * CHOOSE(CONTROL!$C$15, $D$11, 100%, $F$11)</f>
        <v>23.946200000000001</v>
      </c>
      <c r="I737" s="8">
        <f>22.7867 * CHOOSE(CONTROL!$C$15, $D$11, 100%, $F$11)</f>
        <v>22.7867</v>
      </c>
      <c r="J737" s="4">
        <f>22.6566 * CHOOSE(CONTROL!$C$15, $D$11, 100%, $F$11)</f>
        <v>22.656600000000001</v>
      </c>
      <c r="K737" s="4"/>
      <c r="L737" s="9">
        <v>29.306000000000001</v>
      </c>
      <c r="M737" s="9">
        <v>12.063700000000001</v>
      </c>
      <c r="N737" s="9">
        <v>4.9444999999999997</v>
      </c>
      <c r="O737" s="9">
        <v>0.37409999999999999</v>
      </c>
      <c r="P737" s="9">
        <v>1.2927</v>
      </c>
      <c r="Q737" s="9">
        <v>19.688099999999999</v>
      </c>
      <c r="R737" s="9"/>
      <c r="S737" s="11"/>
    </row>
    <row r="738" spans="1:19" ht="15.75">
      <c r="A738" s="13">
        <v>63978</v>
      </c>
      <c r="B738" s="8">
        <f>22.1009 * CHOOSE(CONTROL!$C$15, $D$11, 100%, $F$11)</f>
        <v>22.100899999999999</v>
      </c>
      <c r="C738" s="8">
        <f>22.1061 * CHOOSE(CONTROL!$C$15, $D$11, 100%, $F$11)</f>
        <v>22.106100000000001</v>
      </c>
      <c r="D738" s="8">
        <f>22.0862 * CHOOSE( CONTROL!$C$15, $D$11, 100%, $F$11)</f>
        <v>22.086200000000002</v>
      </c>
      <c r="E738" s="12">
        <f>22.0929 * CHOOSE( CONTROL!$C$15, $D$11, 100%, $F$11)</f>
        <v>22.0929</v>
      </c>
      <c r="F738" s="4">
        <f>22.7514 * CHOOSE(CONTROL!$C$15, $D$11, 100%, $F$11)</f>
        <v>22.7514</v>
      </c>
      <c r="G738" s="8">
        <f>21.5699 * CHOOSE( CONTROL!$C$15, $D$11, 100%, $F$11)</f>
        <v>21.569900000000001</v>
      </c>
      <c r="H738" s="4">
        <f>22.4561 * CHOOSE(CONTROL!$C$15, $D$11, 100%, $F$11)</f>
        <v>22.456099999999999</v>
      </c>
      <c r="I738" s="8">
        <f>21.3211 * CHOOSE(CONTROL!$C$15, $D$11, 100%, $F$11)</f>
        <v>21.321100000000001</v>
      </c>
      <c r="J738" s="4">
        <f>21.1919 * CHOOSE(CONTROL!$C$15, $D$11, 100%, $F$11)</f>
        <v>21.1919</v>
      </c>
      <c r="K738" s="4"/>
      <c r="L738" s="9">
        <v>26.469899999999999</v>
      </c>
      <c r="M738" s="9">
        <v>10.8962</v>
      </c>
      <c r="N738" s="9">
        <v>4.4660000000000002</v>
      </c>
      <c r="O738" s="9">
        <v>0.33789999999999998</v>
      </c>
      <c r="P738" s="9">
        <v>1.1676</v>
      </c>
      <c r="Q738" s="9">
        <v>17.782800000000002</v>
      </c>
      <c r="R738" s="9"/>
      <c r="S738" s="11"/>
    </row>
    <row r="739" spans="1:19" ht="15.75">
      <c r="A739" s="13">
        <v>64009</v>
      </c>
      <c r="B739" s="8">
        <f>21.6311 * CHOOSE(CONTROL!$C$15, $D$11, 100%, $F$11)</f>
        <v>21.6311</v>
      </c>
      <c r="C739" s="8">
        <f>21.6362 * CHOOSE(CONTROL!$C$15, $D$11, 100%, $F$11)</f>
        <v>21.636199999999999</v>
      </c>
      <c r="D739" s="8">
        <f>21.616 * CHOOSE( CONTROL!$C$15, $D$11, 100%, $F$11)</f>
        <v>21.616</v>
      </c>
      <c r="E739" s="12">
        <f>21.6228 * CHOOSE( CONTROL!$C$15, $D$11, 100%, $F$11)</f>
        <v>21.622800000000002</v>
      </c>
      <c r="F739" s="4">
        <f>22.2815 * CHOOSE(CONTROL!$C$15, $D$11, 100%, $F$11)</f>
        <v>22.281500000000001</v>
      </c>
      <c r="G739" s="8">
        <f>21.1107 * CHOOSE( CONTROL!$C$15, $D$11, 100%, $F$11)</f>
        <v>21.110700000000001</v>
      </c>
      <c r="H739" s="4">
        <f>21.9972 * CHOOSE(CONTROL!$C$15, $D$11, 100%, $F$11)</f>
        <v>21.997199999999999</v>
      </c>
      <c r="I739" s="8">
        <f>20.8686 * CHOOSE(CONTROL!$C$15, $D$11, 100%, $F$11)</f>
        <v>20.868600000000001</v>
      </c>
      <c r="J739" s="4">
        <f>20.7408 * CHOOSE(CONTROL!$C$15, $D$11, 100%, $F$11)</f>
        <v>20.7408</v>
      </c>
      <c r="K739" s="4"/>
      <c r="L739" s="9">
        <v>29.306000000000001</v>
      </c>
      <c r="M739" s="9">
        <v>12.063700000000001</v>
      </c>
      <c r="N739" s="9">
        <v>4.9444999999999997</v>
      </c>
      <c r="O739" s="9">
        <v>0.37409999999999999</v>
      </c>
      <c r="P739" s="9">
        <v>1.2927</v>
      </c>
      <c r="Q739" s="9">
        <v>19.688099999999999</v>
      </c>
      <c r="R739" s="9"/>
      <c r="S739" s="11"/>
    </row>
    <row r="740" spans="1:19" ht="15.75">
      <c r="A740" s="13">
        <v>64039</v>
      </c>
      <c r="B740" s="8">
        <f>21.9602 * CHOOSE(CONTROL!$C$15, $D$11, 100%, $F$11)</f>
        <v>21.9602</v>
      </c>
      <c r="C740" s="8">
        <f>21.9648 * CHOOSE(CONTROL!$C$15, $D$11, 100%, $F$11)</f>
        <v>21.9648</v>
      </c>
      <c r="D740" s="8">
        <f>21.9953 * CHOOSE( CONTROL!$C$15, $D$11, 100%, $F$11)</f>
        <v>21.9953</v>
      </c>
      <c r="E740" s="12">
        <f>21.9847 * CHOOSE( CONTROL!$C$15, $D$11, 100%, $F$11)</f>
        <v>21.9847</v>
      </c>
      <c r="F740" s="4">
        <f>22.675 * CHOOSE(CONTROL!$C$15, $D$11, 100%, $F$11)</f>
        <v>22.675000000000001</v>
      </c>
      <c r="G740" s="8">
        <f>21.4326 * CHOOSE( CONTROL!$C$15, $D$11, 100%, $F$11)</f>
        <v>21.432600000000001</v>
      </c>
      <c r="H740" s="4">
        <f>22.3815 * CHOOSE(CONTROL!$C$15, $D$11, 100%, $F$11)</f>
        <v>22.381499999999999</v>
      </c>
      <c r="I740" s="8">
        <f>21.176 * CHOOSE(CONTROL!$C$15, $D$11, 100%, $F$11)</f>
        <v>21.175999999999998</v>
      </c>
      <c r="J740" s="4">
        <f>21.056 * CHOOSE(CONTROL!$C$15, $D$11, 100%, $F$11)</f>
        <v>21.056000000000001</v>
      </c>
      <c r="K740" s="4"/>
      <c r="L740" s="9">
        <v>30.092199999999998</v>
      </c>
      <c r="M740" s="9">
        <v>11.6745</v>
      </c>
      <c r="N740" s="9">
        <v>4.7850000000000001</v>
      </c>
      <c r="O740" s="9">
        <v>0.36199999999999999</v>
      </c>
      <c r="P740" s="9">
        <v>1.1791</v>
      </c>
      <c r="Q740" s="9">
        <v>19.053000000000001</v>
      </c>
      <c r="R740" s="9"/>
      <c r="S740" s="11"/>
    </row>
    <row r="741" spans="1:19" ht="15.75">
      <c r="A741" s="13">
        <v>64070</v>
      </c>
      <c r="B741" s="8">
        <f>CHOOSE( CONTROL!$C$32, 22.5482, 22.5459) * CHOOSE(CONTROL!$C$15, $D$11, 100%, $F$11)</f>
        <v>22.548200000000001</v>
      </c>
      <c r="C741" s="8">
        <f>CHOOSE( CONTROL!$C$32, 22.5563, 22.554) * CHOOSE(CONTROL!$C$15, $D$11, 100%, $F$11)</f>
        <v>22.5563</v>
      </c>
      <c r="D741" s="8">
        <f>CHOOSE( CONTROL!$C$32, 22.5815, 22.5792) * CHOOSE( CONTROL!$C$15, $D$11, 100%, $F$11)</f>
        <v>22.581499999999998</v>
      </c>
      <c r="E741" s="12">
        <f>CHOOSE( CONTROL!$C$32, 22.5711, 22.5688) * CHOOSE( CONTROL!$C$15, $D$11, 100%, $F$11)</f>
        <v>22.571100000000001</v>
      </c>
      <c r="F741" s="4">
        <f>CHOOSE( CONTROL!$C$32, 23.2617, 23.2593) * CHOOSE(CONTROL!$C$15, $D$11, 100%, $F$11)</f>
        <v>23.261700000000001</v>
      </c>
      <c r="G741" s="8">
        <f>CHOOSE( CONTROL!$C$32, 22.0062, 22.0039) * CHOOSE( CONTROL!$C$15, $D$11, 100%, $F$11)</f>
        <v>22.0062</v>
      </c>
      <c r="H741" s="4">
        <f>CHOOSE( CONTROL!$C$32, 22.9545, 22.9522) * CHOOSE(CONTROL!$C$15, $D$11, 100%, $F$11)</f>
        <v>22.954499999999999</v>
      </c>
      <c r="I741" s="8">
        <f>CHOOSE( CONTROL!$C$32, 21.7399, 21.7377) * CHOOSE(CONTROL!$C$15, $D$11, 100%, $F$11)</f>
        <v>21.739899999999999</v>
      </c>
      <c r="J741" s="4">
        <f>CHOOSE( CONTROL!$C$32, 21.6193, 21.6171) * CHOOSE(CONTROL!$C$15, $D$11, 100%, $F$11)</f>
        <v>21.619299999999999</v>
      </c>
      <c r="K741" s="4"/>
      <c r="L741" s="9">
        <v>30.7165</v>
      </c>
      <c r="M741" s="9">
        <v>12.063700000000001</v>
      </c>
      <c r="N741" s="9">
        <v>4.9444999999999997</v>
      </c>
      <c r="O741" s="9">
        <v>0.37409999999999999</v>
      </c>
      <c r="P741" s="9">
        <v>1.2183999999999999</v>
      </c>
      <c r="Q741" s="9">
        <v>19.688099999999999</v>
      </c>
      <c r="R741" s="9"/>
      <c r="S741" s="11"/>
    </row>
    <row r="742" spans="1:19" ht="15.75">
      <c r="A742" s="13">
        <v>64100</v>
      </c>
      <c r="B742" s="8">
        <f>CHOOSE( CONTROL!$C$32, 22.1862, 22.1839) * CHOOSE(CONTROL!$C$15, $D$11, 100%, $F$11)</f>
        <v>22.186199999999999</v>
      </c>
      <c r="C742" s="8">
        <f>CHOOSE( CONTROL!$C$32, 22.1943, 22.192) * CHOOSE(CONTROL!$C$15, $D$11, 100%, $F$11)</f>
        <v>22.194299999999998</v>
      </c>
      <c r="D742" s="8">
        <f>CHOOSE( CONTROL!$C$32, 22.2197, 22.2174) * CHOOSE( CONTROL!$C$15, $D$11, 100%, $F$11)</f>
        <v>22.2197</v>
      </c>
      <c r="E742" s="12">
        <f>CHOOSE( CONTROL!$C$32, 22.2093, 22.207) * CHOOSE( CONTROL!$C$15, $D$11, 100%, $F$11)</f>
        <v>22.209299999999999</v>
      </c>
      <c r="F742" s="4">
        <f>CHOOSE( CONTROL!$C$32, 22.8997, 22.8973) * CHOOSE(CONTROL!$C$15, $D$11, 100%, $F$11)</f>
        <v>22.899699999999999</v>
      </c>
      <c r="G742" s="8">
        <f>CHOOSE( CONTROL!$C$32, 21.653, 21.6507) * CHOOSE( CONTROL!$C$15, $D$11, 100%, $F$11)</f>
        <v>21.652999999999999</v>
      </c>
      <c r="H742" s="4">
        <f>CHOOSE( CONTROL!$C$32, 22.601, 22.5987) * CHOOSE(CONTROL!$C$15, $D$11, 100%, $F$11)</f>
        <v>22.600999999999999</v>
      </c>
      <c r="I742" s="8">
        <f>CHOOSE( CONTROL!$C$32, 21.3932, 21.3909) * CHOOSE(CONTROL!$C$15, $D$11, 100%, $F$11)</f>
        <v>21.3932</v>
      </c>
      <c r="J742" s="4">
        <f>CHOOSE( CONTROL!$C$32, 21.2718, 21.2695) * CHOOSE(CONTROL!$C$15, $D$11, 100%, $F$11)</f>
        <v>21.271799999999999</v>
      </c>
      <c r="K742" s="4"/>
      <c r="L742" s="9">
        <v>29.7257</v>
      </c>
      <c r="M742" s="9">
        <v>11.6745</v>
      </c>
      <c r="N742" s="9">
        <v>4.7850000000000001</v>
      </c>
      <c r="O742" s="9">
        <v>0.36199999999999999</v>
      </c>
      <c r="P742" s="9">
        <v>1.1791</v>
      </c>
      <c r="Q742" s="9">
        <v>19.053000000000001</v>
      </c>
      <c r="R742" s="9"/>
      <c r="S742" s="11"/>
    </row>
    <row r="743" spans="1:19" ht="15.75">
      <c r="A743" s="13">
        <v>64131</v>
      </c>
      <c r="B743" s="8">
        <f>CHOOSE( CONTROL!$C$32, 23.1395, 23.1372) * CHOOSE(CONTROL!$C$15, $D$11, 100%, $F$11)</f>
        <v>23.139500000000002</v>
      </c>
      <c r="C743" s="8">
        <f>CHOOSE( CONTROL!$C$32, 23.1476, 23.1453) * CHOOSE(CONTROL!$C$15, $D$11, 100%, $F$11)</f>
        <v>23.147600000000001</v>
      </c>
      <c r="D743" s="8">
        <f>CHOOSE( CONTROL!$C$32, 23.1733, 23.1709) * CHOOSE( CONTROL!$C$15, $D$11, 100%, $F$11)</f>
        <v>23.173300000000001</v>
      </c>
      <c r="E743" s="12">
        <f>CHOOSE( CONTROL!$C$32, 23.1628, 23.1604) * CHOOSE( CONTROL!$C$15, $D$11, 100%, $F$11)</f>
        <v>23.162800000000001</v>
      </c>
      <c r="F743" s="4">
        <f>CHOOSE( CONTROL!$C$32, 23.8529, 23.8506) * CHOOSE(CONTROL!$C$15, $D$11, 100%, $F$11)</f>
        <v>23.852900000000002</v>
      </c>
      <c r="G743" s="8">
        <f>CHOOSE( CONTROL!$C$32, 22.5844, 22.5821) * CHOOSE( CONTROL!$C$15, $D$11, 100%, $F$11)</f>
        <v>22.584399999999999</v>
      </c>
      <c r="H743" s="4">
        <f>CHOOSE( CONTROL!$C$32, 23.532, 23.5297) * CHOOSE(CONTROL!$C$15, $D$11, 100%, $F$11)</f>
        <v>23.532</v>
      </c>
      <c r="I743" s="8">
        <f>CHOOSE( CONTROL!$C$32, 22.3101, 22.3078) * CHOOSE(CONTROL!$C$15, $D$11, 100%, $F$11)</f>
        <v>22.310099999999998</v>
      </c>
      <c r="J743" s="4">
        <f>CHOOSE( CONTROL!$C$32, 22.187, 22.1848) * CHOOSE(CONTROL!$C$15, $D$11, 100%, $F$11)</f>
        <v>22.187000000000001</v>
      </c>
      <c r="K743" s="4"/>
      <c r="L743" s="9">
        <v>30.7165</v>
      </c>
      <c r="M743" s="9">
        <v>12.063700000000001</v>
      </c>
      <c r="N743" s="9">
        <v>4.9444999999999997</v>
      </c>
      <c r="O743" s="9">
        <v>0.37409999999999999</v>
      </c>
      <c r="P743" s="9">
        <v>1.2183999999999999</v>
      </c>
      <c r="Q743" s="9">
        <v>19.688099999999999</v>
      </c>
      <c r="R743" s="9"/>
      <c r="S743" s="11"/>
    </row>
    <row r="744" spans="1:19" ht="15.75">
      <c r="A744" s="13">
        <v>64162</v>
      </c>
      <c r="B744" s="8">
        <f>CHOOSE( CONTROL!$C$32, 21.3558, 21.3535) * CHOOSE(CONTROL!$C$15, $D$11, 100%, $F$11)</f>
        <v>21.355799999999999</v>
      </c>
      <c r="C744" s="8">
        <f>CHOOSE( CONTROL!$C$32, 21.3639, 21.3616) * CHOOSE(CONTROL!$C$15, $D$11, 100%, $F$11)</f>
        <v>21.363900000000001</v>
      </c>
      <c r="D744" s="8">
        <f>CHOOSE( CONTROL!$C$32, 21.3897, 21.3873) * CHOOSE( CONTROL!$C$15, $D$11, 100%, $F$11)</f>
        <v>21.389700000000001</v>
      </c>
      <c r="E744" s="12">
        <f>CHOOSE( CONTROL!$C$32, 21.3791, 21.3768) * CHOOSE( CONTROL!$C$15, $D$11, 100%, $F$11)</f>
        <v>21.379100000000001</v>
      </c>
      <c r="F744" s="4">
        <f>CHOOSE( CONTROL!$C$32, 22.0693, 22.0669) * CHOOSE(CONTROL!$C$15, $D$11, 100%, $F$11)</f>
        <v>22.069299999999998</v>
      </c>
      <c r="G744" s="8">
        <f>CHOOSE( CONTROL!$C$32, 20.8424, 20.8401) * CHOOSE( CONTROL!$C$15, $D$11, 100%, $F$11)</f>
        <v>20.842400000000001</v>
      </c>
      <c r="H744" s="4">
        <f>CHOOSE( CONTROL!$C$32, 21.7899, 21.7876) * CHOOSE(CONTROL!$C$15, $D$11, 100%, $F$11)</f>
        <v>21.789899999999999</v>
      </c>
      <c r="I744" s="8">
        <f>CHOOSE( CONTROL!$C$32, 20.5971, 20.5948) * CHOOSE(CONTROL!$C$15, $D$11, 100%, $F$11)</f>
        <v>20.597100000000001</v>
      </c>
      <c r="J744" s="4">
        <f>CHOOSE( CONTROL!$C$32, 20.4745, 20.4723) * CHOOSE(CONTROL!$C$15, $D$11, 100%, $F$11)</f>
        <v>20.474499999999999</v>
      </c>
      <c r="K744" s="4"/>
      <c r="L744" s="9">
        <v>30.7165</v>
      </c>
      <c r="M744" s="9">
        <v>12.063700000000001</v>
      </c>
      <c r="N744" s="9">
        <v>4.9444999999999997</v>
      </c>
      <c r="O744" s="9">
        <v>0.37409999999999999</v>
      </c>
      <c r="P744" s="9">
        <v>1.2183999999999999</v>
      </c>
      <c r="Q744" s="9">
        <v>19.688099999999999</v>
      </c>
      <c r="R744" s="9"/>
      <c r="S744" s="11"/>
    </row>
    <row r="745" spans="1:19" ht="15.75">
      <c r="A745" s="13">
        <v>64192</v>
      </c>
      <c r="B745" s="8">
        <f>CHOOSE( CONTROL!$C$32, 20.9092, 20.9068) * CHOOSE(CONTROL!$C$15, $D$11, 100%, $F$11)</f>
        <v>20.909199999999998</v>
      </c>
      <c r="C745" s="8">
        <f>CHOOSE( CONTROL!$C$32, 20.9173, 20.9149) * CHOOSE(CONTROL!$C$15, $D$11, 100%, $F$11)</f>
        <v>20.917300000000001</v>
      </c>
      <c r="D745" s="8">
        <f>CHOOSE( CONTROL!$C$32, 20.943, 20.9406) * CHOOSE( CONTROL!$C$15, $D$11, 100%, $F$11)</f>
        <v>20.943000000000001</v>
      </c>
      <c r="E745" s="12">
        <f>CHOOSE( CONTROL!$C$32, 20.9325, 20.9301) * CHOOSE( CONTROL!$C$15, $D$11, 100%, $F$11)</f>
        <v>20.932500000000001</v>
      </c>
      <c r="F745" s="4">
        <f>CHOOSE( CONTROL!$C$32, 21.6226, 21.6203) * CHOOSE(CONTROL!$C$15, $D$11, 100%, $F$11)</f>
        <v>21.622599999999998</v>
      </c>
      <c r="G745" s="8">
        <f>CHOOSE( CONTROL!$C$32, 20.4061, 20.4038) * CHOOSE( CONTROL!$C$15, $D$11, 100%, $F$11)</f>
        <v>20.406099999999999</v>
      </c>
      <c r="H745" s="4">
        <f>CHOOSE( CONTROL!$C$32, 21.3537, 21.3514) * CHOOSE(CONTROL!$C$15, $D$11, 100%, $F$11)</f>
        <v>21.3537</v>
      </c>
      <c r="I745" s="8">
        <f>CHOOSE( CONTROL!$C$32, 20.1679, 20.1657) * CHOOSE(CONTROL!$C$15, $D$11, 100%, $F$11)</f>
        <v>20.167899999999999</v>
      </c>
      <c r="J745" s="4">
        <f>CHOOSE( CONTROL!$C$32, 20.0457, 20.0434) * CHOOSE(CONTROL!$C$15, $D$11, 100%, $F$11)</f>
        <v>20.0457</v>
      </c>
      <c r="K745" s="4"/>
      <c r="L745" s="9">
        <v>29.7257</v>
      </c>
      <c r="M745" s="9">
        <v>11.6745</v>
      </c>
      <c r="N745" s="9">
        <v>4.7850000000000001</v>
      </c>
      <c r="O745" s="9">
        <v>0.36199999999999999</v>
      </c>
      <c r="P745" s="9">
        <v>1.1791</v>
      </c>
      <c r="Q745" s="9">
        <v>19.053000000000001</v>
      </c>
      <c r="R745" s="9"/>
      <c r="S745" s="11"/>
    </row>
    <row r="746" spans="1:19" ht="15.75">
      <c r="A746" s="13">
        <v>64223</v>
      </c>
      <c r="B746" s="8">
        <f>21.8325 * CHOOSE(CONTROL!$C$15, $D$11, 100%, $F$11)</f>
        <v>21.8325</v>
      </c>
      <c r="C746" s="8">
        <f>21.838 * CHOOSE(CONTROL!$C$15, $D$11, 100%, $F$11)</f>
        <v>21.838000000000001</v>
      </c>
      <c r="D746" s="8">
        <f>21.8688 * CHOOSE( CONTROL!$C$15, $D$11, 100%, $F$11)</f>
        <v>21.8688</v>
      </c>
      <c r="E746" s="12">
        <f>21.858 * CHOOSE( CONTROL!$C$15, $D$11, 100%, $F$11)</f>
        <v>21.858000000000001</v>
      </c>
      <c r="F746" s="4">
        <f>22.5477 * CHOOSE(CONTROL!$C$15, $D$11, 100%, $F$11)</f>
        <v>22.547699999999999</v>
      </c>
      <c r="G746" s="8">
        <f>21.3094 * CHOOSE( CONTROL!$C$15, $D$11, 100%, $F$11)</f>
        <v>21.3094</v>
      </c>
      <c r="H746" s="4">
        <f>22.2572 * CHOOSE(CONTROL!$C$15, $D$11, 100%, $F$11)</f>
        <v>22.257200000000001</v>
      </c>
      <c r="I746" s="8">
        <f>21.0573 * CHOOSE(CONTROL!$C$15, $D$11, 100%, $F$11)</f>
        <v>21.057300000000001</v>
      </c>
      <c r="J746" s="4">
        <f>20.9338 * CHOOSE(CONTROL!$C$15, $D$11, 100%, $F$11)</f>
        <v>20.933800000000002</v>
      </c>
      <c r="K746" s="4"/>
      <c r="L746" s="9">
        <v>31.095300000000002</v>
      </c>
      <c r="M746" s="9">
        <v>12.063700000000001</v>
      </c>
      <c r="N746" s="9">
        <v>4.9444999999999997</v>
      </c>
      <c r="O746" s="9">
        <v>0.37409999999999999</v>
      </c>
      <c r="P746" s="9">
        <v>1.2183999999999999</v>
      </c>
      <c r="Q746" s="9">
        <v>19.688099999999999</v>
      </c>
      <c r="R746" s="9"/>
      <c r="S746" s="11"/>
    </row>
    <row r="747" spans="1:19" ht="15.75">
      <c r="A747" s="13">
        <v>64253</v>
      </c>
      <c r="B747" s="8">
        <f>23.5439 * CHOOSE(CONTROL!$C$15, $D$11, 100%, $F$11)</f>
        <v>23.543900000000001</v>
      </c>
      <c r="C747" s="8">
        <f>23.5491 * CHOOSE(CONTROL!$C$15, $D$11, 100%, $F$11)</f>
        <v>23.549099999999999</v>
      </c>
      <c r="D747" s="8">
        <f>23.5321 * CHOOSE( CONTROL!$C$15, $D$11, 100%, $F$11)</f>
        <v>23.5321</v>
      </c>
      <c r="E747" s="12">
        <f>23.5378 * CHOOSE( CONTROL!$C$15, $D$11, 100%, $F$11)</f>
        <v>23.537800000000001</v>
      </c>
      <c r="F747" s="4">
        <f>24.1944 * CHOOSE(CONTROL!$C$15, $D$11, 100%, $F$11)</f>
        <v>24.194400000000002</v>
      </c>
      <c r="G747" s="8">
        <f>22.9875 * CHOOSE( CONTROL!$C$15, $D$11, 100%, $F$11)</f>
        <v>22.987500000000001</v>
      </c>
      <c r="H747" s="4">
        <f>23.8655 * CHOOSE(CONTROL!$C$15, $D$11, 100%, $F$11)</f>
        <v>23.865500000000001</v>
      </c>
      <c r="I747" s="8">
        <f>22.7435 * CHOOSE(CONTROL!$C$15, $D$11, 100%, $F$11)</f>
        <v>22.743500000000001</v>
      </c>
      <c r="J747" s="4">
        <f>22.5773 * CHOOSE(CONTROL!$C$15, $D$11, 100%, $F$11)</f>
        <v>22.577300000000001</v>
      </c>
      <c r="K747" s="4"/>
      <c r="L747" s="9">
        <v>28.360600000000002</v>
      </c>
      <c r="M747" s="9">
        <v>11.6745</v>
      </c>
      <c r="N747" s="9">
        <v>4.7850000000000001</v>
      </c>
      <c r="O747" s="9">
        <v>0.36199999999999999</v>
      </c>
      <c r="P747" s="9">
        <v>1.2509999999999999</v>
      </c>
      <c r="Q747" s="9">
        <v>19.053000000000001</v>
      </c>
      <c r="R747" s="9"/>
      <c r="S747" s="11"/>
    </row>
    <row r="748" spans="1:19" ht="15.75">
      <c r="A748" s="13">
        <v>64284</v>
      </c>
      <c r="B748" s="8">
        <f>23.5011 * CHOOSE(CONTROL!$C$15, $D$11, 100%, $F$11)</f>
        <v>23.501100000000001</v>
      </c>
      <c r="C748" s="8">
        <f>23.5063 * CHOOSE(CONTROL!$C$15, $D$11, 100%, $F$11)</f>
        <v>23.5063</v>
      </c>
      <c r="D748" s="8">
        <f>23.4908 * CHOOSE( CONTROL!$C$15, $D$11, 100%, $F$11)</f>
        <v>23.4908</v>
      </c>
      <c r="E748" s="12">
        <f>23.4959 * CHOOSE( CONTROL!$C$15, $D$11, 100%, $F$11)</f>
        <v>23.495899999999999</v>
      </c>
      <c r="F748" s="4">
        <f>24.1516 * CHOOSE(CONTROL!$C$15, $D$11, 100%, $F$11)</f>
        <v>24.151599999999998</v>
      </c>
      <c r="G748" s="8">
        <f>22.9468 * CHOOSE( CONTROL!$C$15, $D$11, 100%, $F$11)</f>
        <v>22.9468</v>
      </c>
      <c r="H748" s="4">
        <f>23.8237 * CHOOSE(CONTROL!$C$15, $D$11, 100%, $F$11)</f>
        <v>23.823699999999999</v>
      </c>
      <c r="I748" s="8">
        <f>22.7071 * CHOOSE(CONTROL!$C$15, $D$11, 100%, $F$11)</f>
        <v>22.707100000000001</v>
      </c>
      <c r="J748" s="4">
        <f>22.5363 * CHOOSE(CONTROL!$C$15, $D$11, 100%, $F$11)</f>
        <v>22.536300000000001</v>
      </c>
      <c r="K748" s="4"/>
      <c r="L748" s="9">
        <v>29.306000000000001</v>
      </c>
      <c r="M748" s="9">
        <v>12.063700000000001</v>
      </c>
      <c r="N748" s="9">
        <v>4.9444999999999997</v>
      </c>
      <c r="O748" s="9">
        <v>0.37409999999999999</v>
      </c>
      <c r="P748" s="9">
        <v>1.2927</v>
      </c>
      <c r="Q748" s="9">
        <v>19.688099999999999</v>
      </c>
      <c r="R748" s="9"/>
      <c r="S748" s="11"/>
    </row>
    <row r="749" spans="1:19" ht="15.75">
      <c r="A749" s="13">
        <v>64315</v>
      </c>
      <c r="B749" s="8">
        <f>24.1935 * CHOOSE(CONTROL!$C$15, $D$11, 100%, $F$11)</f>
        <v>24.1935</v>
      </c>
      <c r="C749" s="8">
        <f>24.1987 * CHOOSE(CONTROL!$C$15, $D$11, 100%, $F$11)</f>
        <v>24.198699999999999</v>
      </c>
      <c r="D749" s="8">
        <f>24.1789 * CHOOSE( CONTROL!$C$15, $D$11, 100%, $F$11)</f>
        <v>24.178899999999999</v>
      </c>
      <c r="E749" s="12">
        <f>24.1856 * CHOOSE( CONTROL!$C$15, $D$11, 100%, $F$11)</f>
        <v>24.185600000000001</v>
      </c>
      <c r="F749" s="4">
        <f>24.844 * CHOOSE(CONTROL!$C$15, $D$11, 100%, $F$11)</f>
        <v>24.844000000000001</v>
      </c>
      <c r="G749" s="8">
        <f>23.6138 * CHOOSE( CONTROL!$C$15, $D$11, 100%, $F$11)</f>
        <v>23.613800000000001</v>
      </c>
      <c r="H749" s="4">
        <f>24.5 * CHOOSE(CONTROL!$C$15, $D$11, 100%, $F$11)</f>
        <v>24.5</v>
      </c>
      <c r="I749" s="8">
        <f>23.3313 * CHOOSE(CONTROL!$C$15, $D$11, 100%, $F$11)</f>
        <v>23.331299999999999</v>
      </c>
      <c r="J749" s="4">
        <f>23.201 * CHOOSE(CONTROL!$C$15, $D$11, 100%, $F$11)</f>
        <v>23.201000000000001</v>
      </c>
      <c r="K749" s="4"/>
      <c r="L749" s="9">
        <v>29.306000000000001</v>
      </c>
      <c r="M749" s="9">
        <v>12.063700000000001</v>
      </c>
      <c r="N749" s="9">
        <v>4.9444999999999997</v>
      </c>
      <c r="O749" s="9">
        <v>0.37409999999999999</v>
      </c>
      <c r="P749" s="9">
        <v>1.2927</v>
      </c>
      <c r="Q749" s="9">
        <v>19.688099999999999</v>
      </c>
      <c r="R749" s="9"/>
      <c r="S749" s="11"/>
    </row>
    <row r="750" spans="1:19" ht="15.75">
      <c r="A750" s="13">
        <v>64344</v>
      </c>
      <c r="B750" s="8">
        <f>22.6313 * CHOOSE(CONTROL!$C$15, $D$11, 100%, $F$11)</f>
        <v>22.6313</v>
      </c>
      <c r="C750" s="8">
        <f>22.6365 * CHOOSE(CONTROL!$C$15, $D$11, 100%, $F$11)</f>
        <v>22.636500000000002</v>
      </c>
      <c r="D750" s="8">
        <f>22.6166 * CHOOSE( CONTROL!$C$15, $D$11, 100%, $F$11)</f>
        <v>22.616599999999998</v>
      </c>
      <c r="E750" s="12">
        <f>22.6233 * CHOOSE( CONTROL!$C$15, $D$11, 100%, $F$11)</f>
        <v>22.6233</v>
      </c>
      <c r="F750" s="4">
        <f>23.2817 * CHOOSE(CONTROL!$C$15, $D$11, 100%, $F$11)</f>
        <v>23.281700000000001</v>
      </c>
      <c r="G750" s="8">
        <f>22.0879 * CHOOSE( CONTROL!$C$15, $D$11, 100%, $F$11)</f>
        <v>22.087900000000001</v>
      </c>
      <c r="H750" s="4">
        <f>22.9741 * CHOOSE(CONTROL!$C$15, $D$11, 100%, $F$11)</f>
        <v>22.9741</v>
      </c>
      <c r="I750" s="8">
        <f>21.8305 * CHOOSE(CONTROL!$C$15, $D$11, 100%, $F$11)</f>
        <v>21.830500000000001</v>
      </c>
      <c r="J750" s="4">
        <f>21.7011 * CHOOSE(CONTROL!$C$15, $D$11, 100%, $F$11)</f>
        <v>21.7011</v>
      </c>
      <c r="K750" s="4"/>
      <c r="L750" s="9">
        <v>27.415299999999998</v>
      </c>
      <c r="M750" s="9">
        <v>11.285299999999999</v>
      </c>
      <c r="N750" s="9">
        <v>4.6254999999999997</v>
      </c>
      <c r="O750" s="9">
        <v>0.34989999999999999</v>
      </c>
      <c r="P750" s="9">
        <v>1.2093</v>
      </c>
      <c r="Q750" s="9">
        <v>18.417899999999999</v>
      </c>
      <c r="R750" s="9"/>
      <c r="S750" s="11"/>
    </row>
    <row r="751" spans="1:19" ht="15.75">
      <c r="A751" s="13">
        <v>64375</v>
      </c>
      <c r="B751" s="8">
        <f>22.1501 * CHOOSE(CONTROL!$C$15, $D$11, 100%, $F$11)</f>
        <v>22.150099999999998</v>
      </c>
      <c r="C751" s="8">
        <f>22.1553 * CHOOSE(CONTROL!$C$15, $D$11, 100%, $F$11)</f>
        <v>22.1553</v>
      </c>
      <c r="D751" s="8">
        <f>22.1351 * CHOOSE( CONTROL!$C$15, $D$11, 100%, $F$11)</f>
        <v>22.135100000000001</v>
      </c>
      <c r="E751" s="12">
        <f>22.1419 * CHOOSE( CONTROL!$C$15, $D$11, 100%, $F$11)</f>
        <v>22.1419</v>
      </c>
      <c r="F751" s="4">
        <f>22.8006 * CHOOSE(CONTROL!$C$15, $D$11, 100%, $F$11)</f>
        <v>22.800599999999999</v>
      </c>
      <c r="G751" s="8">
        <f>21.6177 * CHOOSE( CONTROL!$C$15, $D$11, 100%, $F$11)</f>
        <v>21.617699999999999</v>
      </c>
      <c r="H751" s="4">
        <f>22.5042 * CHOOSE(CONTROL!$C$15, $D$11, 100%, $F$11)</f>
        <v>22.504200000000001</v>
      </c>
      <c r="I751" s="8">
        <f>21.3672 * CHOOSE(CONTROL!$C$15, $D$11, 100%, $F$11)</f>
        <v>21.3672</v>
      </c>
      <c r="J751" s="4">
        <f>21.2391 * CHOOSE(CONTROL!$C$15, $D$11, 100%, $F$11)</f>
        <v>21.239100000000001</v>
      </c>
      <c r="K751" s="4"/>
      <c r="L751" s="9">
        <v>29.306000000000001</v>
      </c>
      <c r="M751" s="9">
        <v>12.063700000000001</v>
      </c>
      <c r="N751" s="9">
        <v>4.9444999999999997</v>
      </c>
      <c r="O751" s="9">
        <v>0.37409999999999999</v>
      </c>
      <c r="P751" s="9">
        <v>1.2927</v>
      </c>
      <c r="Q751" s="9">
        <v>19.688099999999999</v>
      </c>
      <c r="R751" s="9"/>
      <c r="S751" s="11"/>
    </row>
    <row r="752" spans="1:19" ht="15.75">
      <c r="A752" s="13">
        <v>64405</v>
      </c>
      <c r="B752" s="8">
        <f>22.4871 * CHOOSE(CONTROL!$C$15, $D$11, 100%, $F$11)</f>
        <v>22.487100000000002</v>
      </c>
      <c r="C752" s="8">
        <f>22.4917 * CHOOSE(CONTROL!$C$15, $D$11, 100%, $F$11)</f>
        <v>22.491700000000002</v>
      </c>
      <c r="D752" s="8">
        <f>22.5223 * CHOOSE( CONTROL!$C$15, $D$11, 100%, $F$11)</f>
        <v>22.522300000000001</v>
      </c>
      <c r="E752" s="12">
        <f>22.5117 * CHOOSE( CONTROL!$C$15, $D$11, 100%, $F$11)</f>
        <v>22.511700000000001</v>
      </c>
      <c r="F752" s="4">
        <f>23.2019 * CHOOSE(CONTROL!$C$15, $D$11, 100%, $F$11)</f>
        <v>23.201899999999998</v>
      </c>
      <c r="G752" s="8">
        <f>21.9473 * CHOOSE( CONTROL!$C$15, $D$11, 100%, $F$11)</f>
        <v>21.947299999999998</v>
      </c>
      <c r="H752" s="4">
        <f>22.8962 * CHOOSE(CONTROL!$C$15, $D$11, 100%, $F$11)</f>
        <v>22.8962</v>
      </c>
      <c r="I752" s="8">
        <f>21.6822 * CHOOSE(CONTROL!$C$15, $D$11, 100%, $F$11)</f>
        <v>21.682200000000002</v>
      </c>
      <c r="J752" s="4">
        <f>21.562 * CHOOSE(CONTROL!$C$15, $D$11, 100%, $F$11)</f>
        <v>21.562000000000001</v>
      </c>
      <c r="K752" s="4"/>
      <c r="L752" s="9">
        <v>30.092199999999998</v>
      </c>
      <c r="M752" s="9">
        <v>11.6745</v>
      </c>
      <c r="N752" s="9">
        <v>4.7850000000000001</v>
      </c>
      <c r="O752" s="9">
        <v>0.36199999999999999</v>
      </c>
      <c r="P752" s="9">
        <v>1.1791</v>
      </c>
      <c r="Q752" s="9">
        <v>19.053000000000001</v>
      </c>
      <c r="R752" s="9"/>
      <c r="S752" s="11"/>
    </row>
    <row r="753" spans="1:19" ht="15.75">
      <c r="A753" s="13">
        <v>64436</v>
      </c>
      <c r="B753" s="8">
        <f>CHOOSE( CONTROL!$C$32, 23.0892, 23.0869) * CHOOSE(CONTROL!$C$15, $D$11, 100%, $F$11)</f>
        <v>23.089200000000002</v>
      </c>
      <c r="C753" s="8">
        <f>CHOOSE( CONTROL!$C$32, 23.0973, 23.095) * CHOOSE(CONTROL!$C$15, $D$11, 100%, $F$11)</f>
        <v>23.097300000000001</v>
      </c>
      <c r="D753" s="8">
        <f>CHOOSE( CONTROL!$C$32, 23.1225, 23.1202) * CHOOSE( CONTROL!$C$15, $D$11, 100%, $F$11)</f>
        <v>23.122499999999999</v>
      </c>
      <c r="E753" s="12">
        <f>CHOOSE( CONTROL!$C$32, 23.1121, 23.1098) * CHOOSE( CONTROL!$C$15, $D$11, 100%, $F$11)</f>
        <v>23.112100000000002</v>
      </c>
      <c r="F753" s="4">
        <f>CHOOSE( CONTROL!$C$32, 23.8027, 23.8003) * CHOOSE(CONTROL!$C$15, $D$11, 100%, $F$11)</f>
        <v>23.802700000000002</v>
      </c>
      <c r="G753" s="8">
        <f>CHOOSE( CONTROL!$C$32, 22.5346, 22.5323) * CHOOSE( CONTROL!$C$15, $D$11, 100%, $F$11)</f>
        <v>22.534600000000001</v>
      </c>
      <c r="H753" s="4">
        <f>CHOOSE( CONTROL!$C$32, 23.4829, 23.4806) * CHOOSE(CONTROL!$C$15, $D$11, 100%, $F$11)</f>
        <v>23.482900000000001</v>
      </c>
      <c r="I753" s="8">
        <f>CHOOSE( CONTROL!$C$32, 22.2596, 22.2573) * CHOOSE(CONTROL!$C$15, $D$11, 100%, $F$11)</f>
        <v>22.259599999999999</v>
      </c>
      <c r="J753" s="4">
        <f>CHOOSE( CONTROL!$C$32, 22.1387, 22.1365) * CHOOSE(CONTROL!$C$15, $D$11, 100%, $F$11)</f>
        <v>22.1387</v>
      </c>
      <c r="K753" s="4"/>
      <c r="L753" s="9">
        <v>30.7165</v>
      </c>
      <c r="M753" s="9">
        <v>12.063700000000001</v>
      </c>
      <c r="N753" s="9">
        <v>4.9444999999999997</v>
      </c>
      <c r="O753" s="9">
        <v>0.37409999999999999</v>
      </c>
      <c r="P753" s="9">
        <v>1.2183999999999999</v>
      </c>
      <c r="Q753" s="9">
        <v>19.688099999999999</v>
      </c>
      <c r="R753" s="9"/>
      <c r="S753" s="11"/>
    </row>
    <row r="754" spans="1:19" ht="15.75">
      <c r="A754" s="13">
        <v>64466</v>
      </c>
      <c r="B754" s="8">
        <f>CHOOSE( CONTROL!$C$32, 22.7185, 22.7162) * CHOOSE(CONTROL!$C$15, $D$11, 100%, $F$11)</f>
        <v>22.718499999999999</v>
      </c>
      <c r="C754" s="8">
        <f>CHOOSE( CONTROL!$C$32, 22.7266, 22.7243) * CHOOSE(CONTROL!$C$15, $D$11, 100%, $F$11)</f>
        <v>22.726600000000001</v>
      </c>
      <c r="D754" s="8">
        <f>CHOOSE( CONTROL!$C$32, 22.752, 22.7497) * CHOOSE( CONTROL!$C$15, $D$11, 100%, $F$11)</f>
        <v>22.751999999999999</v>
      </c>
      <c r="E754" s="12">
        <f>CHOOSE( CONTROL!$C$32, 22.7416, 22.7393) * CHOOSE( CONTROL!$C$15, $D$11, 100%, $F$11)</f>
        <v>22.741599999999998</v>
      </c>
      <c r="F754" s="4">
        <f>CHOOSE( CONTROL!$C$32, 23.432, 23.4296) * CHOOSE(CONTROL!$C$15, $D$11, 100%, $F$11)</f>
        <v>23.431999999999999</v>
      </c>
      <c r="G754" s="8">
        <f>CHOOSE( CONTROL!$C$32, 22.1728, 22.1705) * CHOOSE( CONTROL!$C$15, $D$11, 100%, $F$11)</f>
        <v>22.172799999999999</v>
      </c>
      <c r="H754" s="4">
        <f>CHOOSE( CONTROL!$C$32, 23.1209, 23.1186) * CHOOSE(CONTROL!$C$15, $D$11, 100%, $F$11)</f>
        <v>23.120899999999999</v>
      </c>
      <c r="I754" s="8">
        <f>CHOOSE( CONTROL!$C$32, 21.9045, 21.9022) * CHOOSE(CONTROL!$C$15, $D$11, 100%, $F$11)</f>
        <v>21.904499999999999</v>
      </c>
      <c r="J754" s="4">
        <f>CHOOSE( CONTROL!$C$32, 21.7828, 21.7806) * CHOOSE(CONTROL!$C$15, $D$11, 100%, $F$11)</f>
        <v>21.782800000000002</v>
      </c>
      <c r="K754" s="4"/>
      <c r="L754" s="9">
        <v>29.7257</v>
      </c>
      <c r="M754" s="9">
        <v>11.6745</v>
      </c>
      <c r="N754" s="9">
        <v>4.7850000000000001</v>
      </c>
      <c r="O754" s="9">
        <v>0.36199999999999999</v>
      </c>
      <c r="P754" s="9">
        <v>1.1791</v>
      </c>
      <c r="Q754" s="9">
        <v>19.053000000000001</v>
      </c>
      <c r="R754" s="9"/>
      <c r="S754" s="11"/>
    </row>
    <row r="755" spans="1:19" ht="15.75">
      <c r="A755" s="13">
        <v>64497</v>
      </c>
      <c r="B755" s="8">
        <f>CHOOSE( CONTROL!$C$32, 23.6947, 23.6924) * CHOOSE(CONTROL!$C$15, $D$11, 100%, $F$11)</f>
        <v>23.694700000000001</v>
      </c>
      <c r="C755" s="8">
        <f>CHOOSE( CONTROL!$C$32, 23.7028, 23.7005) * CHOOSE(CONTROL!$C$15, $D$11, 100%, $F$11)</f>
        <v>23.7028</v>
      </c>
      <c r="D755" s="8">
        <f>CHOOSE( CONTROL!$C$32, 23.7285, 23.7261) * CHOOSE( CONTROL!$C$15, $D$11, 100%, $F$11)</f>
        <v>23.7285</v>
      </c>
      <c r="E755" s="12">
        <f>CHOOSE( CONTROL!$C$32, 23.718, 23.7156) * CHOOSE( CONTROL!$C$15, $D$11, 100%, $F$11)</f>
        <v>23.718</v>
      </c>
      <c r="F755" s="4">
        <f>CHOOSE( CONTROL!$C$32, 24.4081, 24.4058) * CHOOSE(CONTROL!$C$15, $D$11, 100%, $F$11)</f>
        <v>24.408100000000001</v>
      </c>
      <c r="G755" s="8">
        <f>CHOOSE( CONTROL!$C$32, 23.1267, 23.1244) * CHOOSE( CONTROL!$C$15, $D$11, 100%, $F$11)</f>
        <v>23.1267</v>
      </c>
      <c r="H755" s="4">
        <f>CHOOSE( CONTROL!$C$32, 24.0743, 24.072) * CHOOSE(CONTROL!$C$15, $D$11, 100%, $F$11)</f>
        <v>24.074300000000001</v>
      </c>
      <c r="I755" s="8">
        <f>CHOOSE( CONTROL!$C$32, 22.8434, 22.8411) * CHOOSE(CONTROL!$C$15, $D$11, 100%, $F$11)</f>
        <v>22.843399999999999</v>
      </c>
      <c r="J755" s="4">
        <f>CHOOSE( CONTROL!$C$32, 22.7201, 22.7178) * CHOOSE(CONTROL!$C$15, $D$11, 100%, $F$11)</f>
        <v>22.720099999999999</v>
      </c>
      <c r="K755" s="4"/>
      <c r="L755" s="9">
        <v>30.7165</v>
      </c>
      <c r="M755" s="9">
        <v>12.063700000000001</v>
      </c>
      <c r="N755" s="9">
        <v>4.9444999999999997</v>
      </c>
      <c r="O755" s="9">
        <v>0.37409999999999999</v>
      </c>
      <c r="P755" s="9">
        <v>1.2183999999999999</v>
      </c>
      <c r="Q755" s="9">
        <v>19.688099999999999</v>
      </c>
      <c r="R755" s="9"/>
      <c r="S755" s="11"/>
    </row>
    <row r="756" spans="1:19" ht="15.75">
      <c r="A756" s="13">
        <v>64528</v>
      </c>
      <c r="B756" s="8">
        <f>CHOOSE( CONTROL!$C$32, 21.8682, 21.8658) * CHOOSE(CONTROL!$C$15, $D$11, 100%, $F$11)</f>
        <v>21.868200000000002</v>
      </c>
      <c r="C756" s="8">
        <f>CHOOSE( CONTROL!$C$32, 21.8763, 21.8739) * CHOOSE(CONTROL!$C$15, $D$11, 100%, $F$11)</f>
        <v>21.876300000000001</v>
      </c>
      <c r="D756" s="8">
        <f>CHOOSE( CONTROL!$C$32, 21.902, 21.8997) * CHOOSE( CONTROL!$C$15, $D$11, 100%, $F$11)</f>
        <v>21.902000000000001</v>
      </c>
      <c r="E756" s="12">
        <f>CHOOSE( CONTROL!$C$32, 21.8915, 21.8891) * CHOOSE( CONTROL!$C$15, $D$11, 100%, $F$11)</f>
        <v>21.891500000000001</v>
      </c>
      <c r="F756" s="4">
        <f>CHOOSE( CONTROL!$C$32, 22.5816, 22.5793) * CHOOSE(CONTROL!$C$15, $D$11, 100%, $F$11)</f>
        <v>22.581600000000002</v>
      </c>
      <c r="G756" s="8">
        <f>CHOOSE( CONTROL!$C$32, 21.3428, 21.3405) * CHOOSE( CONTROL!$C$15, $D$11, 100%, $F$11)</f>
        <v>21.3428</v>
      </c>
      <c r="H756" s="4">
        <f>CHOOSE( CONTROL!$C$32, 22.2903, 22.288) * CHOOSE(CONTROL!$C$15, $D$11, 100%, $F$11)</f>
        <v>22.290299999999998</v>
      </c>
      <c r="I756" s="8">
        <f>CHOOSE( CONTROL!$C$32, 21.0892, 21.087) * CHOOSE(CONTROL!$C$15, $D$11, 100%, $F$11)</f>
        <v>21.089200000000002</v>
      </c>
      <c r="J756" s="4">
        <f>CHOOSE( CONTROL!$C$32, 20.9664, 20.9642) * CHOOSE(CONTROL!$C$15, $D$11, 100%, $F$11)</f>
        <v>20.9664</v>
      </c>
      <c r="K756" s="4"/>
      <c r="L756" s="9">
        <v>30.7165</v>
      </c>
      <c r="M756" s="9">
        <v>12.063700000000001</v>
      </c>
      <c r="N756" s="9">
        <v>4.9444999999999997</v>
      </c>
      <c r="O756" s="9">
        <v>0.37409999999999999</v>
      </c>
      <c r="P756" s="9">
        <v>1.2183999999999999</v>
      </c>
      <c r="Q756" s="9">
        <v>19.688099999999999</v>
      </c>
      <c r="R756" s="9"/>
      <c r="S756" s="11"/>
    </row>
    <row r="757" spans="1:19" ht="15.75">
      <c r="A757" s="13">
        <v>64558</v>
      </c>
      <c r="B757" s="8">
        <f>CHOOSE( CONTROL!$C$32, 21.4108, 21.4085) * CHOOSE(CONTROL!$C$15, $D$11, 100%, $F$11)</f>
        <v>21.410799999999998</v>
      </c>
      <c r="C757" s="8">
        <f>CHOOSE( CONTROL!$C$32, 21.4189, 21.4165) * CHOOSE(CONTROL!$C$15, $D$11, 100%, $F$11)</f>
        <v>21.418900000000001</v>
      </c>
      <c r="D757" s="8">
        <f>CHOOSE( CONTROL!$C$32, 21.4446, 21.4422) * CHOOSE( CONTROL!$C$15, $D$11, 100%, $F$11)</f>
        <v>21.444600000000001</v>
      </c>
      <c r="E757" s="12">
        <f>CHOOSE( CONTROL!$C$32, 21.4341, 21.4317) * CHOOSE( CONTROL!$C$15, $D$11, 100%, $F$11)</f>
        <v>21.434100000000001</v>
      </c>
      <c r="F757" s="4">
        <f>CHOOSE( CONTROL!$C$32, 22.1242, 22.1219) * CHOOSE(CONTROL!$C$15, $D$11, 100%, $F$11)</f>
        <v>22.124199999999998</v>
      </c>
      <c r="G757" s="8">
        <f>CHOOSE( CONTROL!$C$32, 20.896, 20.8937) * CHOOSE( CONTROL!$C$15, $D$11, 100%, $F$11)</f>
        <v>20.896000000000001</v>
      </c>
      <c r="H757" s="4">
        <f>CHOOSE( CONTROL!$C$32, 21.8436, 21.8413) * CHOOSE(CONTROL!$C$15, $D$11, 100%, $F$11)</f>
        <v>21.843599999999999</v>
      </c>
      <c r="I757" s="8">
        <f>CHOOSE( CONTROL!$C$32, 20.6498, 20.6475) * CHOOSE(CONTROL!$C$15, $D$11, 100%, $F$11)</f>
        <v>20.649799999999999</v>
      </c>
      <c r="J757" s="4">
        <f>CHOOSE( CONTROL!$C$32, 20.5273, 20.525) * CHOOSE(CONTROL!$C$15, $D$11, 100%, $F$11)</f>
        <v>20.5273</v>
      </c>
      <c r="K757" s="4"/>
      <c r="L757" s="9">
        <v>29.7257</v>
      </c>
      <c r="M757" s="9">
        <v>11.6745</v>
      </c>
      <c r="N757" s="9">
        <v>4.7850000000000001</v>
      </c>
      <c r="O757" s="9">
        <v>0.36199999999999999</v>
      </c>
      <c r="P757" s="9">
        <v>1.1791</v>
      </c>
      <c r="Q757" s="9">
        <v>19.053000000000001</v>
      </c>
      <c r="R757" s="9"/>
      <c r="S757" s="11"/>
    </row>
    <row r="758" spans="1:19" ht="15.75">
      <c r="A758" s="13">
        <v>64589</v>
      </c>
      <c r="B758" s="8">
        <f>22.3564 * CHOOSE(CONTROL!$C$15, $D$11, 100%, $F$11)</f>
        <v>22.356400000000001</v>
      </c>
      <c r="C758" s="8">
        <f>22.3619 * CHOOSE(CONTROL!$C$15, $D$11, 100%, $F$11)</f>
        <v>22.361899999999999</v>
      </c>
      <c r="D758" s="8">
        <f>22.3926 * CHOOSE( CONTROL!$C$15, $D$11, 100%, $F$11)</f>
        <v>22.392600000000002</v>
      </c>
      <c r="E758" s="12">
        <f>22.3819 * CHOOSE( CONTROL!$C$15, $D$11, 100%, $F$11)</f>
        <v>22.381900000000002</v>
      </c>
      <c r="F758" s="4">
        <f>23.0716 * CHOOSE(CONTROL!$C$15, $D$11, 100%, $F$11)</f>
        <v>23.0716</v>
      </c>
      <c r="G758" s="8">
        <f>21.8211 * CHOOSE( CONTROL!$C$15, $D$11, 100%, $F$11)</f>
        <v>21.821100000000001</v>
      </c>
      <c r="H758" s="4">
        <f>22.7689 * CHOOSE(CONTROL!$C$15, $D$11, 100%, $F$11)</f>
        <v>22.768899999999999</v>
      </c>
      <c r="I758" s="8">
        <f>21.5606 * CHOOSE(CONTROL!$C$15, $D$11, 100%, $F$11)</f>
        <v>21.560600000000001</v>
      </c>
      <c r="J758" s="4">
        <f>21.4368 * CHOOSE(CONTROL!$C$15, $D$11, 100%, $F$11)</f>
        <v>21.436800000000002</v>
      </c>
      <c r="K758" s="4"/>
      <c r="L758" s="9">
        <v>31.095300000000002</v>
      </c>
      <c r="M758" s="9">
        <v>12.063700000000001</v>
      </c>
      <c r="N758" s="9">
        <v>4.9444999999999997</v>
      </c>
      <c r="O758" s="9">
        <v>0.37409999999999999</v>
      </c>
      <c r="P758" s="9">
        <v>1.2183999999999999</v>
      </c>
      <c r="Q758" s="9">
        <v>19.688099999999999</v>
      </c>
      <c r="R758" s="9"/>
      <c r="S758" s="11"/>
    </row>
    <row r="759" spans="1:19" ht="15.75">
      <c r="A759" s="13">
        <v>64619</v>
      </c>
      <c r="B759" s="8">
        <f>24.1089 * CHOOSE(CONTROL!$C$15, $D$11, 100%, $F$11)</f>
        <v>24.108899999999998</v>
      </c>
      <c r="C759" s="8">
        <f>24.1141 * CHOOSE(CONTROL!$C$15, $D$11, 100%, $F$11)</f>
        <v>24.114100000000001</v>
      </c>
      <c r="D759" s="8">
        <f>24.0972 * CHOOSE( CONTROL!$C$15, $D$11, 100%, $F$11)</f>
        <v>24.097200000000001</v>
      </c>
      <c r="E759" s="12">
        <f>24.1028 * CHOOSE( CONTROL!$C$15, $D$11, 100%, $F$11)</f>
        <v>24.102799999999998</v>
      </c>
      <c r="F759" s="4">
        <f>24.7594 * CHOOSE(CONTROL!$C$15, $D$11, 100%, $F$11)</f>
        <v>24.759399999999999</v>
      </c>
      <c r="G759" s="8">
        <f>23.5394 * CHOOSE( CONTROL!$C$15, $D$11, 100%, $F$11)</f>
        <v>23.539400000000001</v>
      </c>
      <c r="H759" s="4">
        <f>24.4174 * CHOOSE(CONTROL!$C$15, $D$11, 100%, $F$11)</f>
        <v>24.417400000000001</v>
      </c>
      <c r="I759" s="8">
        <f>23.2862 * CHOOSE(CONTROL!$C$15, $D$11, 100%, $F$11)</f>
        <v>23.286200000000001</v>
      </c>
      <c r="J759" s="4">
        <f>23.1198 * CHOOSE(CONTROL!$C$15, $D$11, 100%, $F$11)</f>
        <v>23.119800000000001</v>
      </c>
      <c r="K759" s="4"/>
      <c r="L759" s="9">
        <v>28.360600000000002</v>
      </c>
      <c r="M759" s="9">
        <v>11.6745</v>
      </c>
      <c r="N759" s="9">
        <v>4.7850000000000001</v>
      </c>
      <c r="O759" s="9">
        <v>0.36199999999999999</v>
      </c>
      <c r="P759" s="9">
        <v>1.2509999999999999</v>
      </c>
      <c r="Q759" s="9">
        <v>19.053000000000001</v>
      </c>
      <c r="R759" s="9"/>
      <c r="S759" s="11"/>
    </row>
    <row r="760" spans="1:19" ht="15.75">
      <c r="A760" s="13">
        <v>64650</v>
      </c>
      <c r="B760" s="8">
        <f>24.0651 * CHOOSE(CONTROL!$C$15, $D$11, 100%, $F$11)</f>
        <v>24.065100000000001</v>
      </c>
      <c r="C760" s="8">
        <f>24.0703 * CHOOSE(CONTROL!$C$15, $D$11, 100%, $F$11)</f>
        <v>24.0703</v>
      </c>
      <c r="D760" s="8">
        <f>24.0548 * CHOOSE( CONTROL!$C$15, $D$11, 100%, $F$11)</f>
        <v>24.0548</v>
      </c>
      <c r="E760" s="12">
        <f>24.0599 * CHOOSE( CONTROL!$C$15, $D$11, 100%, $F$11)</f>
        <v>24.059899999999999</v>
      </c>
      <c r="F760" s="4">
        <f>24.7156 * CHOOSE(CONTROL!$C$15, $D$11, 100%, $F$11)</f>
        <v>24.715599999999998</v>
      </c>
      <c r="G760" s="8">
        <f>23.4977 * CHOOSE( CONTROL!$C$15, $D$11, 100%, $F$11)</f>
        <v>23.497699999999998</v>
      </c>
      <c r="H760" s="4">
        <f>24.3746 * CHOOSE(CONTROL!$C$15, $D$11, 100%, $F$11)</f>
        <v>24.374600000000001</v>
      </c>
      <c r="I760" s="8">
        <f>23.2489 * CHOOSE(CONTROL!$C$15, $D$11, 100%, $F$11)</f>
        <v>23.248899999999999</v>
      </c>
      <c r="J760" s="4">
        <f>23.0778 * CHOOSE(CONTROL!$C$15, $D$11, 100%, $F$11)</f>
        <v>23.0778</v>
      </c>
      <c r="K760" s="4"/>
      <c r="L760" s="9">
        <v>29.306000000000001</v>
      </c>
      <c r="M760" s="9">
        <v>12.063700000000001</v>
      </c>
      <c r="N760" s="9">
        <v>4.9444999999999997</v>
      </c>
      <c r="O760" s="9">
        <v>0.37409999999999999</v>
      </c>
      <c r="P760" s="9">
        <v>1.2927</v>
      </c>
      <c r="Q760" s="9">
        <v>19.688099999999999</v>
      </c>
      <c r="R760" s="9"/>
      <c r="S760" s="11"/>
    </row>
    <row r="761" spans="1:19" ht="15.75">
      <c r="A761" s="13">
        <v>64681</v>
      </c>
      <c r="B761" s="8">
        <f>24.7742 * CHOOSE(CONTROL!$C$15, $D$11, 100%, $F$11)</f>
        <v>24.7742</v>
      </c>
      <c r="C761" s="8">
        <f>24.7793 * CHOOSE(CONTROL!$C$15, $D$11, 100%, $F$11)</f>
        <v>24.779299999999999</v>
      </c>
      <c r="D761" s="8">
        <f>24.7595 * CHOOSE( CONTROL!$C$15, $D$11, 100%, $F$11)</f>
        <v>24.759499999999999</v>
      </c>
      <c r="E761" s="12">
        <f>24.7662 * CHOOSE( CONTROL!$C$15, $D$11, 100%, $F$11)</f>
        <v>24.766200000000001</v>
      </c>
      <c r="F761" s="4">
        <f>25.4246 * CHOOSE(CONTROL!$C$15, $D$11, 100%, $F$11)</f>
        <v>25.424600000000002</v>
      </c>
      <c r="G761" s="8">
        <f>24.1809 * CHOOSE( CONTROL!$C$15, $D$11, 100%, $F$11)</f>
        <v>24.180900000000001</v>
      </c>
      <c r="H761" s="4">
        <f>25.0671 * CHOOSE(CONTROL!$C$15, $D$11, 100%, $F$11)</f>
        <v>25.0671</v>
      </c>
      <c r="I761" s="8">
        <f>23.8891 * CHOOSE(CONTROL!$C$15, $D$11, 100%, $F$11)</f>
        <v>23.889099999999999</v>
      </c>
      <c r="J761" s="4">
        <f>23.7585 * CHOOSE(CONTROL!$C$15, $D$11, 100%, $F$11)</f>
        <v>23.758500000000002</v>
      </c>
      <c r="K761" s="4"/>
      <c r="L761" s="9">
        <v>29.306000000000001</v>
      </c>
      <c r="M761" s="9">
        <v>12.063700000000001</v>
      </c>
      <c r="N761" s="9">
        <v>4.9444999999999997</v>
      </c>
      <c r="O761" s="9">
        <v>0.37409999999999999</v>
      </c>
      <c r="P761" s="9">
        <v>1.2927</v>
      </c>
      <c r="Q761" s="9">
        <v>19.688099999999999</v>
      </c>
      <c r="R761" s="9"/>
      <c r="S761" s="11"/>
    </row>
    <row r="762" spans="1:19" ht="15.75">
      <c r="A762" s="13">
        <v>64709</v>
      </c>
      <c r="B762" s="8">
        <f>23.1744 * CHOOSE(CONTROL!$C$15, $D$11, 100%, $F$11)</f>
        <v>23.174399999999999</v>
      </c>
      <c r="C762" s="8">
        <f>23.1796 * CHOOSE(CONTROL!$C$15, $D$11, 100%, $F$11)</f>
        <v>23.179600000000001</v>
      </c>
      <c r="D762" s="8">
        <f>23.1597 * CHOOSE( CONTROL!$C$15, $D$11, 100%, $F$11)</f>
        <v>23.159700000000001</v>
      </c>
      <c r="E762" s="12">
        <f>23.1664 * CHOOSE( CONTROL!$C$15, $D$11, 100%, $F$11)</f>
        <v>23.166399999999999</v>
      </c>
      <c r="F762" s="4">
        <f>23.8248 * CHOOSE(CONTROL!$C$15, $D$11, 100%, $F$11)</f>
        <v>23.8248</v>
      </c>
      <c r="G762" s="8">
        <f>22.6183 * CHOOSE( CONTROL!$C$15, $D$11, 100%, $F$11)</f>
        <v>22.618300000000001</v>
      </c>
      <c r="H762" s="4">
        <f>23.5046 * CHOOSE(CONTROL!$C$15, $D$11, 100%, $F$11)</f>
        <v>23.5046</v>
      </c>
      <c r="I762" s="8">
        <f>22.3522 * CHOOSE(CONTROL!$C$15, $D$11, 100%, $F$11)</f>
        <v>22.3522</v>
      </c>
      <c r="J762" s="4">
        <f>22.2225 * CHOOSE(CONTROL!$C$15, $D$11, 100%, $F$11)</f>
        <v>22.2225</v>
      </c>
      <c r="K762" s="4"/>
      <c r="L762" s="9">
        <v>26.469899999999999</v>
      </c>
      <c r="M762" s="9">
        <v>10.8962</v>
      </c>
      <c r="N762" s="9">
        <v>4.4660000000000002</v>
      </c>
      <c r="O762" s="9">
        <v>0.33789999999999998</v>
      </c>
      <c r="P762" s="9">
        <v>1.1676</v>
      </c>
      <c r="Q762" s="9">
        <v>17.782800000000002</v>
      </c>
      <c r="R762" s="9"/>
      <c r="S762" s="11"/>
    </row>
    <row r="763" spans="1:19" ht="15.75">
      <c r="A763" s="13">
        <v>64740</v>
      </c>
      <c r="B763" s="8">
        <f>22.6816 * CHOOSE(CONTROL!$C$15, $D$11, 100%, $F$11)</f>
        <v>22.6816</v>
      </c>
      <c r="C763" s="8">
        <f>22.6868 * CHOOSE(CONTROL!$C$15, $D$11, 100%, $F$11)</f>
        <v>22.686800000000002</v>
      </c>
      <c r="D763" s="8">
        <f>22.6666 * CHOOSE( CONTROL!$C$15, $D$11, 100%, $F$11)</f>
        <v>22.666599999999999</v>
      </c>
      <c r="E763" s="12">
        <f>22.6734 * CHOOSE( CONTROL!$C$15, $D$11, 100%, $F$11)</f>
        <v>22.673400000000001</v>
      </c>
      <c r="F763" s="4">
        <f>23.3321 * CHOOSE(CONTROL!$C$15, $D$11, 100%, $F$11)</f>
        <v>23.332100000000001</v>
      </c>
      <c r="G763" s="8">
        <f>22.1368 * CHOOSE( CONTROL!$C$15, $D$11, 100%, $F$11)</f>
        <v>22.136800000000001</v>
      </c>
      <c r="H763" s="4">
        <f>23.0233 * CHOOSE(CONTROL!$C$15, $D$11, 100%, $F$11)</f>
        <v>23.023299999999999</v>
      </c>
      <c r="I763" s="8">
        <f>21.8778 * CHOOSE(CONTROL!$C$15, $D$11, 100%, $F$11)</f>
        <v>21.877800000000001</v>
      </c>
      <c r="J763" s="4">
        <f>21.7495 * CHOOSE(CONTROL!$C$15, $D$11, 100%, $F$11)</f>
        <v>21.749500000000001</v>
      </c>
      <c r="K763" s="4"/>
      <c r="L763" s="9">
        <v>29.306000000000001</v>
      </c>
      <c r="M763" s="9">
        <v>12.063700000000001</v>
      </c>
      <c r="N763" s="9">
        <v>4.9444999999999997</v>
      </c>
      <c r="O763" s="9">
        <v>0.37409999999999999</v>
      </c>
      <c r="P763" s="9">
        <v>1.2927</v>
      </c>
      <c r="Q763" s="9">
        <v>19.688099999999999</v>
      </c>
      <c r="R763" s="9"/>
      <c r="S763" s="11"/>
    </row>
    <row r="764" spans="1:19" ht="15.75">
      <c r="A764" s="13">
        <v>64770</v>
      </c>
      <c r="B764" s="8">
        <f>23.0267 * CHOOSE(CONTROL!$C$15, $D$11, 100%, $F$11)</f>
        <v>23.026700000000002</v>
      </c>
      <c r="C764" s="8">
        <f>23.0313 * CHOOSE(CONTROL!$C$15, $D$11, 100%, $F$11)</f>
        <v>23.031300000000002</v>
      </c>
      <c r="D764" s="8">
        <f>23.0619 * CHOOSE( CONTROL!$C$15, $D$11, 100%, $F$11)</f>
        <v>23.061900000000001</v>
      </c>
      <c r="E764" s="12">
        <f>23.0513 * CHOOSE( CONTROL!$C$15, $D$11, 100%, $F$11)</f>
        <v>23.051300000000001</v>
      </c>
      <c r="F764" s="4">
        <f>23.7415 * CHOOSE(CONTROL!$C$15, $D$11, 100%, $F$11)</f>
        <v>23.741499999999998</v>
      </c>
      <c r="G764" s="8">
        <f>22.4743 * CHOOSE( CONTROL!$C$15, $D$11, 100%, $F$11)</f>
        <v>22.474299999999999</v>
      </c>
      <c r="H764" s="4">
        <f>23.4232 * CHOOSE(CONTROL!$C$15, $D$11, 100%, $F$11)</f>
        <v>23.423200000000001</v>
      </c>
      <c r="I764" s="8">
        <f>22.2005 * CHOOSE(CONTROL!$C$15, $D$11, 100%, $F$11)</f>
        <v>22.200500000000002</v>
      </c>
      <c r="J764" s="4">
        <f>22.08 * CHOOSE(CONTROL!$C$15, $D$11, 100%, $F$11)</f>
        <v>22.08</v>
      </c>
      <c r="K764" s="4"/>
      <c r="L764" s="9">
        <v>30.092199999999998</v>
      </c>
      <c r="M764" s="9">
        <v>11.6745</v>
      </c>
      <c r="N764" s="9">
        <v>4.7850000000000001</v>
      </c>
      <c r="O764" s="9">
        <v>0.36199999999999999</v>
      </c>
      <c r="P764" s="9">
        <v>1.1791</v>
      </c>
      <c r="Q764" s="9">
        <v>19.053000000000001</v>
      </c>
      <c r="R764" s="9"/>
      <c r="S764" s="11"/>
    </row>
    <row r="765" spans="1:19" ht="15.75">
      <c r="A765" s="13">
        <v>64801</v>
      </c>
      <c r="B765" s="8">
        <f>CHOOSE( CONTROL!$C$32, 23.6432, 23.6409) * CHOOSE(CONTROL!$C$15, $D$11, 100%, $F$11)</f>
        <v>23.6432</v>
      </c>
      <c r="C765" s="8">
        <f>CHOOSE( CONTROL!$C$32, 23.6513, 23.649) * CHOOSE(CONTROL!$C$15, $D$11, 100%, $F$11)</f>
        <v>23.651299999999999</v>
      </c>
      <c r="D765" s="8">
        <f>CHOOSE( CONTROL!$C$32, 23.6765, 23.6742) * CHOOSE( CONTROL!$C$15, $D$11, 100%, $F$11)</f>
        <v>23.676500000000001</v>
      </c>
      <c r="E765" s="12">
        <f>CHOOSE( CONTROL!$C$32, 23.6661, 23.6638) * CHOOSE( CONTROL!$C$15, $D$11, 100%, $F$11)</f>
        <v>23.6661</v>
      </c>
      <c r="F765" s="4">
        <f>CHOOSE( CONTROL!$C$32, 24.3567, 24.3543) * CHOOSE(CONTROL!$C$15, $D$11, 100%, $F$11)</f>
        <v>24.3567</v>
      </c>
      <c r="G765" s="8">
        <f>CHOOSE( CONTROL!$C$32, 23.0757, 23.0734) * CHOOSE( CONTROL!$C$15, $D$11, 100%, $F$11)</f>
        <v>23.075700000000001</v>
      </c>
      <c r="H765" s="4">
        <f>CHOOSE( CONTROL!$C$32, 24.024, 24.0217) * CHOOSE(CONTROL!$C$15, $D$11, 100%, $F$11)</f>
        <v>24.024000000000001</v>
      </c>
      <c r="I765" s="8">
        <f>CHOOSE( CONTROL!$C$32, 22.7917, 22.7895) * CHOOSE(CONTROL!$C$15, $D$11, 100%, $F$11)</f>
        <v>22.791699999999999</v>
      </c>
      <c r="J765" s="4">
        <f>CHOOSE( CONTROL!$C$32, 22.6706, 22.6684) * CHOOSE(CONTROL!$C$15, $D$11, 100%, $F$11)</f>
        <v>22.6706</v>
      </c>
      <c r="K765" s="4"/>
      <c r="L765" s="9">
        <v>30.7165</v>
      </c>
      <c r="M765" s="9">
        <v>12.063700000000001</v>
      </c>
      <c r="N765" s="9">
        <v>4.9444999999999997</v>
      </c>
      <c r="O765" s="9">
        <v>0.37409999999999999</v>
      </c>
      <c r="P765" s="9">
        <v>1.2183999999999999</v>
      </c>
      <c r="Q765" s="9">
        <v>19.688099999999999</v>
      </c>
      <c r="R765" s="9"/>
      <c r="S765" s="11"/>
    </row>
    <row r="766" spans="1:19" ht="15.75">
      <c r="A766" s="13">
        <v>64831</v>
      </c>
      <c r="B766" s="8">
        <f>CHOOSE( CONTROL!$C$32, 23.2636, 23.2613) * CHOOSE(CONTROL!$C$15, $D$11, 100%, $F$11)</f>
        <v>23.2636</v>
      </c>
      <c r="C766" s="8">
        <f>CHOOSE( CONTROL!$C$32, 23.2717, 23.2694) * CHOOSE(CONTROL!$C$15, $D$11, 100%, $F$11)</f>
        <v>23.271699999999999</v>
      </c>
      <c r="D766" s="8">
        <f>CHOOSE( CONTROL!$C$32, 23.2971, 23.2948) * CHOOSE( CONTROL!$C$15, $D$11, 100%, $F$11)</f>
        <v>23.2971</v>
      </c>
      <c r="E766" s="12">
        <f>CHOOSE( CONTROL!$C$32, 23.2867, 23.2844) * CHOOSE( CONTROL!$C$15, $D$11, 100%, $F$11)</f>
        <v>23.2867</v>
      </c>
      <c r="F766" s="4">
        <f>CHOOSE( CONTROL!$C$32, 23.9771, 23.9747) * CHOOSE(CONTROL!$C$15, $D$11, 100%, $F$11)</f>
        <v>23.9771</v>
      </c>
      <c r="G766" s="8">
        <f>CHOOSE( CONTROL!$C$32, 22.7052, 22.7029) * CHOOSE( CONTROL!$C$15, $D$11, 100%, $F$11)</f>
        <v>22.705200000000001</v>
      </c>
      <c r="H766" s="4">
        <f>CHOOSE( CONTROL!$C$32, 23.6532, 23.6509) * CHOOSE(CONTROL!$C$15, $D$11, 100%, $F$11)</f>
        <v>23.653199999999998</v>
      </c>
      <c r="I766" s="8">
        <f>CHOOSE( CONTROL!$C$32, 22.4281, 22.4258) * CHOOSE(CONTROL!$C$15, $D$11, 100%, $F$11)</f>
        <v>22.428100000000001</v>
      </c>
      <c r="J766" s="4">
        <f>CHOOSE( CONTROL!$C$32, 22.3062, 22.3039) * CHOOSE(CONTROL!$C$15, $D$11, 100%, $F$11)</f>
        <v>22.3062</v>
      </c>
      <c r="K766" s="4"/>
      <c r="L766" s="9">
        <v>29.7257</v>
      </c>
      <c r="M766" s="9">
        <v>11.6745</v>
      </c>
      <c r="N766" s="9">
        <v>4.7850000000000001</v>
      </c>
      <c r="O766" s="9">
        <v>0.36199999999999999</v>
      </c>
      <c r="P766" s="9">
        <v>1.1791</v>
      </c>
      <c r="Q766" s="9">
        <v>19.053000000000001</v>
      </c>
      <c r="R766" s="9"/>
      <c r="S766" s="11"/>
    </row>
    <row r="767" spans="1:19" ht="15.75">
      <c r="A767" s="13">
        <v>64862</v>
      </c>
      <c r="B767" s="8">
        <f>CHOOSE( CONTROL!$C$32, 24.2632, 24.2609) * CHOOSE(CONTROL!$C$15, $D$11, 100%, $F$11)</f>
        <v>24.263200000000001</v>
      </c>
      <c r="C767" s="8">
        <f>CHOOSE( CONTROL!$C$32, 24.2713, 24.269) * CHOOSE(CONTROL!$C$15, $D$11, 100%, $F$11)</f>
        <v>24.2713</v>
      </c>
      <c r="D767" s="8">
        <f>CHOOSE( CONTROL!$C$32, 24.297, 24.2946) * CHOOSE( CONTROL!$C$15, $D$11, 100%, $F$11)</f>
        <v>24.297000000000001</v>
      </c>
      <c r="E767" s="12">
        <f>CHOOSE( CONTROL!$C$32, 24.2865, 24.2841) * CHOOSE( CONTROL!$C$15, $D$11, 100%, $F$11)</f>
        <v>24.2865</v>
      </c>
      <c r="F767" s="4">
        <f>CHOOSE( CONTROL!$C$32, 24.9767, 24.9743) * CHOOSE(CONTROL!$C$15, $D$11, 100%, $F$11)</f>
        <v>24.976700000000001</v>
      </c>
      <c r="G767" s="8">
        <f>CHOOSE( CONTROL!$C$32, 23.6819, 23.6797) * CHOOSE( CONTROL!$C$15, $D$11, 100%, $F$11)</f>
        <v>23.681899999999999</v>
      </c>
      <c r="H767" s="4">
        <f>CHOOSE( CONTROL!$C$32, 24.6296, 24.6273) * CHOOSE(CONTROL!$C$15, $D$11, 100%, $F$11)</f>
        <v>24.6296</v>
      </c>
      <c r="I767" s="8">
        <f>CHOOSE( CONTROL!$C$32, 23.3895, 23.3872) * CHOOSE(CONTROL!$C$15, $D$11, 100%, $F$11)</f>
        <v>23.389500000000002</v>
      </c>
      <c r="J767" s="4">
        <f>CHOOSE( CONTROL!$C$32, 23.2659, 23.2637) * CHOOSE(CONTROL!$C$15, $D$11, 100%, $F$11)</f>
        <v>23.265899999999998</v>
      </c>
      <c r="K767" s="4"/>
      <c r="L767" s="9">
        <v>30.7165</v>
      </c>
      <c r="M767" s="9">
        <v>12.063700000000001</v>
      </c>
      <c r="N767" s="9">
        <v>4.9444999999999997</v>
      </c>
      <c r="O767" s="9">
        <v>0.37409999999999999</v>
      </c>
      <c r="P767" s="9">
        <v>1.2183999999999999</v>
      </c>
      <c r="Q767" s="9">
        <v>19.688099999999999</v>
      </c>
      <c r="R767" s="9"/>
      <c r="S767" s="11"/>
    </row>
    <row r="768" spans="1:19" ht="15.75">
      <c r="A768" s="13">
        <v>64893</v>
      </c>
      <c r="B768" s="8">
        <f>CHOOSE( CONTROL!$C$32, 22.3928, 22.3905) * CHOOSE(CONTROL!$C$15, $D$11, 100%, $F$11)</f>
        <v>22.392800000000001</v>
      </c>
      <c r="C768" s="8">
        <f>CHOOSE( CONTROL!$C$32, 22.4009, 22.3986) * CHOOSE(CONTROL!$C$15, $D$11, 100%, $F$11)</f>
        <v>22.4009</v>
      </c>
      <c r="D768" s="8">
        <f>CHOOSE( CONTROL!$C$32, 22.4267, 22.4243) * CHOOSE( CONTROL!$C$15, $D$11, 100%, $F$11)</f>
        <v>22.4267</v>
      </c>
      <c r="E768" s="12">
        <f>CHOOSE( CONTROL!$C$32, 22.4161, 22.4138) * CHOOSE( CONTROL!$C$15, $D$11, 100%, $F$11)</f>
        <v>22.4161</v>
      </c>
      <c r="F768" s="4">
        <f>CHOOSE( CONTROL!$C$32, 23.1063, 23.1039) * CHOOSE(CONTROL!$C$15, $D$11, 100%, $F$11)</f>
        <v>23.106300000000001</v>
      </c>
      <c r="G768" s="8">
        <f>CHOOSE( CONTROL!$C$32, 21.8552, 21.8529) * CHOOSE( CONTROL!$C$15, $D$11, 100%, $F$11)</f>
        <v>21.8552</v>
      </c>
      <c r="H768" s="4">
        <f>CHOOSE( CONTROL!$C$32, 22.8027, 22.8005) * CHOOSE(CONTROL!$C$15, $D$11, 100%, $F$11)</f>
        <v>22.802700000000002</v>
      </c>
      <c r="I768" s="8">
        <f>CHOOSE( CONTROL!$C$32, 21.5932, 21.5909) * CHOOSE(CONTROL!$C$15, $D$11, 100%, $F$11)</f>
        <v>21.5932</v>
      </c>
      <c r="J768" s="4">
        <f>CHOOSE( CONTROL!$C$32, 21.4701, 21.4679) * CHOOSE(CONTROL!$C$15, $D$11, 100%, $F$11)</f>
        <v>21.470099999999999</v>
      </c>
      <c r="K768" s="4"/>
      <c r="L768" s="9">
        <v>30.7165</v>
      </c>
      <c r="M768" s="9">
        <v>12.063700000000001</v>
      </c>
      <c r="N768" s="9">
        <v>4.9444999999999997</v>
      </c>
      <c r="O768" s="9">
        <v>0.37409999999999999</v>
      </c>
      <c r="P768" s="9">
        <v>1.2183999999999999</v>
      </c>
      <c r="Q768" s="9">
        <v>19.688099999999999</v>
      </c>
      <c r="R768" s="9"/>
      <c r="S768" s="11"/>
    </row>
    <row r="769" spans="1:19" ht="15.75">
      <c r="A769" s="13">
        <v>64923</v>
      </c>
      <c r="B769" s="8">
        <f>CHOOSE( CONTROL!$C$32, 21.9245, 21.9221) * CHOOSE(CONTROL!$C$15, $D$11, 100%, $F$11)</f>
        <v>21.924499999999998</v>
      </c>
      <c r="C769" s="8">
        <f>CHOOSE( CONTROL!$C$32, 21.9325, 21.9302) * CHOOSE(CONTROL!$C$15, $D$11, 100%, $F$11)</f>
        <v>21.932500000000001</v>
      </c>
      <c r="D769" s="8">
        <f>CHOOSE( CONTROL!$C$32, 21.9583, 21.9559) * CHOOSE( CONTROL!$C$15, $D$11, 100%, $F$11)</f>
        <v>21.958300000000001</v>
      </c>
      <c r="E769" s="12">
        <f>CHOOSE( CONTROL!$C$32, 21.9477, 21.9454) * CHOOSE( CONTROL!$C$15, $D$11, 100%, $F$11)</f>
        <v>21.947700000000001</v>
      </c>
      <c r="F769" s="4">
        <f>CHOOSE( CONTROL!$C$32, 22.6379, 22.6355) * CHOOSE(CONTROL!$C$15, $D$11, 100%, $F$11)</f>
        <v>22.637899999999998</v>
      </c>
      <c r="G769" s="8">
        <f>CHOOSE( CONTROL!$C$32, 21.3977, 21.3954) * CHOOSE( CONTROL!$C$15, $D$11, 100%, $F$11)</f>
        <v>21.3977</v>
      </c>
      <c r="H769" s="4">
        <f>CHOOSE( CONTROL!$C$32, 22.3453, 22.343) * CHOOSE(CONTROL!$C$15, $D$11, 100%, $F$11)</f>
        <v>22.345300000000002</v>
      </c>
      <c r="I769" s="8">
        <f>CHOOSE( CONTROL!$C$32, 21.1432, 21.1409) * CHOOSE(CONTROL!$C$15, $D$11, 100%, $F$11)</f>
        <v>21.1432</v>
      </c>
      <c r="J769" s="4">
        <f>CHOOSE( CONTROL!$C$32, 21.0204, 21.0182) * CHOOSE(CONTROL!$C$15, $D$11, 100%, $F$11)</f>
        <v>21.020399999999999</v>
      </c>
      <c r="K769" s="4"/>
      <c r="L769" s="9">
        <v>29.7257</v>
      </c>
      <c r="M769" s="9">
        <v>11.6745</v>
      </c>
      <c r="N769" s="9">
        <v>4.7850000000000001</v>
      </c>
      <c r="O769" s="9">
        <v>0.36199999999999999</v>
      </c>
      <c r="P769" s="9">
        <v>1.1791</v>
      </c>
      <c r="Q769" s="9">
        <v>19.053000000000001</v>
      </c>
      <c r="R769" s="9"/>
      <c r="S769" s="11"/>
    </row>
    <row r="770" spans="1:19" ht="15.75">
      <c r="A770" s="13">
        <v>64954</v>
      </c>
      <c r="B770" s="8">
        <f>22.8929 * CHOOSE(CONTROL!$C$15, $D$11, 100%, $F$11)</f>
        <v>22.892900000000001</v>
      </c>
      <c r="C770" s="8">
        <f>22.8983 * CHOOSE(CONTROL!$C$15, $D$11, 100%, $F$11)</f>
        <v>22.898299999999999</v>
      </c>
      <c r="D770" s="8">
        <f>22.9291 * CHOOSE( CONTROL!$C$15, $D$11, 100%, $F$11)</f>
        <v>22.929099999999998</v>
      </c>
      <c r="E770" s="12">
        <f>22.9184 * CHOOSE( CONTROL!$C$15, $D$11, 100%, $F$11)</f>
        <v>22.918399999999998</v>
      </c>
      <c r="F770" s="4">
        <f>23.608 * CHOOSE(CONTROL!$C$15, $D$11, 100%, $F$11)</f>
        <v>23.608000000000001</v>
      </c>
      <c r="G770" s="8">
        <f>22.3451 * CHOOSE( CONTROL!$C$15, $D$11, 100%, $F$11)</f>
        <v>22.345099999999999</v>
      </c>
      <c r="H770" s="4">
        <f>23.2928 * CHOOSE(CONTROL!$C$15, $D$11, 100%, $F$11)</f>
        <v>23.2928</v>
      </c>
      <c r="I770" s="8">
        <f>22.0759 * CHOOSE(CONTROL!$C$15, $D$11, 100%, $F$11)</f>
        <v>22.075900000000001</v>
      </c>
      <c r="J770" s="4">
        <f>21.9519 * CHOOSE(CONTROL!$C$15, $D$11, 100%, $F$11)</f>
        <v>21.951899999999998</v>
      </c>
      <c r="K770" s="4"/>
      <c r="L770" s="9">
        <v>31.095300000000002</v>
      </c>
      <c r="M770" s="9">
        <v>12.063700000000001</v>
      </c>
      <c r="N770" s="9">
        <v>4.9444999999999997</v>
      </c>
      <c r="O770" s="9">
        <v>0.37409999999999999</v>
      </c>
      <c r="P770" s="9">
        <v>1.2183999999999999</v>
      </c>
      <c r="Q770" s="9">
        <v>19.688099999999999</v>
      </c>
      <c r="R770" s="9"/>
      <c r="S770" s="11"/>
    </row>
    <row r="771" spans="1:19" ht="15.75">
      <c r="A771" s="13">
        <v>64984</v>
      </c>
      <c r="B771" s="8">
        <f>24.6875 * CHOOSE(CONTROL!$C$15, $D$11, 100%, $F$11)</f>
        <v>24.6875</v>
      </c>
      <c r="C771" s="8">
        <f>24.6927 * CHOOSE(CONTROL!$C$15, $D$11, 100%, $F$11)</f>
        <v>24.692699999999999</v>
      </c>
      <c r="D771" s="8">
        <f>24.6757 * CHOOSE( CONTROL!$C$15, $D$11, 100%, $F$11)</f>
        <v>24.675699999999999</v>
      </c>
      <c r="E771" s="12">
        <f>24.6814 * CHOOSE( CONTROL!$C$15, $D$11, 100%, $F$11)</f>
        <v>24.6814</v>
      </c>
      <c r="F771" s="4">
        <f>25.338 * CHOOSE(CONTROL!$C$15, $D$11, 100%, $F$11)</f>
        <v>25.338000000000001</v>
      </c>
      <c r="G771" s="8">
        <f>24.1045 * CHOOSE( CONTROL!$C$15, $D$11, 100%, $F$11)</f>
        <v>24.104500000000002</v>
      </c>
      <c r="H771" s="4">
        <f>24.9825 * CHOOSE(CONTROL!$C$15, $D$11, 100%, $F$11)</f>
        <v>24.982500000000002</v>
      </c>
      <c r="I771" s="8">
        <f>23.842 * CHOOSE(CONTROL!$C$15, $D$11, 100%, $F$11)</f>
        <v>23.841999999999999</v>
      </c>
      <c r="J771" s="4">
        <f>23.6753 * CHOOSE(CONTROL!$C$15, $D$11, 100%, $F$11)</f>
        <v>23.6753</v>
      </c>
      <c r="K771" s="4"/>
      <c r="L771" s="9">
        <v>28.360600000000002</v>
      </c>
      <c r="M771" s="9">
        <v>11.6745</v>
      </c>
      <c r="N771" s="9">
        <v>4.7850000000000001</v>
      </c>
      <c r="O771" s="9">
        <v>0.36199999999999999</v>
      </c>
      <c r="P771" s="9">
        <v>1.2509999999999999</v>
      </c>
      <c r="Q771" s="9">
        <v>19.053000000000001</v>
      </c>
      <c r="R771" s="9"/>
      <c r="S771" s="11"/>
    </row>
    <row r="772" spans="1:19" ht="15.75">
      <c r="A772" s="13">
        <v>65015</v>
      </c>
      <c r="B772" s="8">
        <f>24.6427 * CHOOSE(CONTROL!$C$15, $D$11, 100%, $F$11)</f>
        <v>24.642700000000001</v>
      </c>
      <c r="C772" s="8">
        <f>24.6479 * CHOOSE(CONTROL!$C$15, $D$11, 100%, $F$11)</f>
        <v>24.6479</v>
      </c>
      <c r="D772" s="8">
        <f>24.6324 * CHOOSE( CONTROL!$C$15, $D$11, 100%, $F$11)</f>
        <v>24.632400000000001</v>
      </c>
      <c r="E772" s="12">
        <f>24.6375 * CHOOSE( CONTROL!$C$15, $D$11, 100%, $F$11)</f>
        <v>24.637499999999999</v>
      </c>
      <c r="F772" s="4">
        <f>25.2932 * CHOOSE(CONTROL!$C$15, $D$11, 100%, $F$11)</f>
        <v>25.293199999999999</v>
      </c>
      <c r="G772" s="8">
        <f>24.0618 * CHOOSE( CONTROL!$C$15, $D$11, 100%, $F$11)</f>
        <v>24.061800000000002</v>
      </c>
      <c r="H772" s="4">
        <f>24.9387 * CHOOSE(CONTROL!$C$15, $D$11, 100%, $F$11)</f>
        <v>24.938700000000001</v>
      </c>
      <c r="I772" s="8">
        <f>23.8037 * CHOOSE(CONTROL!$C$15, $D$11, 100%, $F$11)</f>
        <v>23.803699999999999</v>
      </c>
      <c r="J772" s="4">
        <f>23.6323 * CHOOSE(CONTROL!$C$15, $D$11, 100%, $F$11)</f>
        <v>23.632300000000001</v>
      </c>
      <c r="K772" s="4"/>
      <c r="L772" s="9">
        <v>29.306000000000001</v>
      </c>
      <c r="M772" s="9">
        <v>12.063700000000001</v>
      </c>
      <c r="N772" s="9">
        <v>4.9444999999999997</v>
      </c>
      <c r="O772" s="9">
        <v>0.37409999999999999</v>
      </c>
      <c r="P772" s="9">
        <v>1.2927</v>
      </c>
      <c r="Q772" s="9">
        <v>19.688099999999999</v>
      </c>
      <c r="R772" s="9"/>
      <c r="S772" s="11"/>
    </row>
    <row r="773" spans="1:19" ht="15.75">
      <c r="A773" s="13">
        <v>65046</v>
      </c>
      <c r="B773" s="8">
        <f>25.3687 * CHOOSE(CONTROL!$C$15, $D$11, 100%, $F$11)</f>
        <v>25.3687</v>
      </c>
      <c r="C773" s="8">
        <f>25.3739 * CHOOSE(CONTROL!$C$15, $D$11, 100%, $F$11)</f>
        <v>25.373899999999999</v>
      </c>
      <c r="D773" s="8">
        <f>25.3541 * CHOOSE( CONTROL!$C$15, $D$11, 100%, $F$11)</f>
        <v>25.354099999999999</v>
      </c>
      <c r="E773" s="12">
        <f>25.3608 * CHOOSE( CONTROL!$C$15, $D$11, 100%, $F$11)</f>
        <v>25.360800000000001</v>
      </c>
      <c r="F773" s="4">
        <f>26.0192 * CHOOSE(CONTROL!$C$15, $D$11, 100%, $F$11)</f>
        <v>26.019200000000001</v>
      </c>
      <c r="G773" s="8">
        <f>24.7616 * CHOOSE( CONTROL!$C$15, $D$11, 100%, $F$11)</f>
        <v>24.761600000000001</v>
      </c>
      <c r="H773" s="4">
        <f>25.6478 * CHOOSE(CONTROL!$C$15, $D$11, 100%, $F$11)</f>
        <v>25.6478</v>
      </c>
      <c r="I773" s="8">
        <f>24.4602 * CHOOSE(CONTROL!$C$15, $D$11, 100%, $F$11)</f>
        <v>24.4602</v>
      </c>
      <c r="J773" s="4">
        <f>24.3293 * CHOOSE(CONTROL!$C$15, $D$11, 100%, $F$11)</f>
        <v>24.3293</v>
      </c>
      <c r="K773" s="4"/>
      <c r="L773" s="9">
        <v>29.306000000000001</v>
      </c>
      <c r="M773" s="9">
        <v>12.063700000000001</v>
      </c>
      <c r="N773" s="9">
        <v>4.9444999999999997</v>
      </c>
      <c r="O773" s="9">
        <v>0.37409999999999999</v>
      </c>
      <c r="P773" s="9">
        <v>1.2927</v>
      </c>
      <c r="Q773" s="9">
        <v>19.688099999999999</v>
      </c>
      <c r="R773" s="9"/>
      <c r="S773" s="11"/>
    </row>
    <row r="774" spans="1:19" ht="15.75">
      <c r="A774" s="13">
        <v>65074</v>
      </c>
      <c r="B774" s="8">
        <f>23.7305 * CHOOSE(CONTROL!$C$15, $D$11, 100%, $F$11)</f>
        <v>23.730499999999999</v>
      </c>
      <c r="C774" s="8">
        <f>23.7357 * CHOOSE(CONTROL!$C$15, $D$11, 100%, $F$11)</f>
        <v>23.735700000000001</v>
      </c>
      <c r="D774" s="8">
        <f>23.7158 * CHOOSE( CONTROL!$C$15, $D$11, 100%, $F$11)</f>
        <v>23.715800000000002</v>
      </c>
      <c r="E774" s="12">
        <f>23.7225 * CHOOSE( CONTROL!$C$15, $D$11, 100%, $F$11)</f>
        <v>23.7225</v>
      </c>
      <c r="F774" s="4">
        <f>24.381 * CHOOSE(CONTROL!$C$15, $D$11, 100%, $F$11)</f>
        <v>24.381</v>
      </c>
      <c r="G774" s="8">
        <f>23.1615 * CHOOSE( CONTROL!$C$15, $D$11, 100%, $F$11)</f>
        <v>23.1615</v>
      </c>
      <c r="H774" s="4">
        <f>24.0478 * CHOOSE(CONTROL!$C$15, $D$11, 100%, $F$11)</f>
        <v>24.047799999999999</v>
      </c>
      <c r="I774" s="8">
        <f>22.8864 * CHOOSE(CONTROL!$C$15, $D$11, 100%, $F$11)</f>
        <v>22.886399999999998</v>
      </c>
      <c r="J774" s="4">
        <f>22.7565 * CHOOSE(CONTROL!$C$15, $D$11, 100%, $F$11)</f>
        <v>22.756499999999999</v>
      </c>
      <c r="K774" s="4"/>
      <c r="L774" s="9">
        <v>26.469899999999999</v>
      </c>
      <c r="M774" s="9">
        <v>10.8962</v>
      </c>
      <c r="N774" s="9">
        <v>4.4660000000000002</v>
      </c>
      <c r="O774" s="9">
        <v>0.33789999999999998</v>
      </c>
      <c r="P774" s="9">
        <v>1.1676</v>
      </c>
      <c r="Q774" s="9">
        <v>17.782800000000002</v>
      </c>
      <c r="R774" s="9"/>
      <c r="S774" s="11"/>
    </row>
    <row r="775" spans="1:19" ht="15.75">
      <c r="A775" s="13">
        <v>65105</v>
      </c>
      <c r="B775" s="8">
        <f>23.226 * CHOOSE(CONTROL!$C$15, $D$11, 100%, $F$11)</f>
        <v>23.225999999999999</v>
      </c>
      <c r="C775" s="8">
        <f>23.2311 * CHOOSE(CONTROL!$C$15, $D$11, 100%, $F$11)</f>
        <v>23.231100000000001</v>
      </c>
      <c r="D775" s="8">
        <f>23.2109 * CHOOSE( CONTROL!$C$15, $D$11, 100%, $F$11)</f>
        <v>23.210899999999999</v>
      </c>
      <c r="E775" s="12">
        <f>23.2177 * CHOOSE( CONTROL!$C$15, $D$11, 100%, $F$11)</f>
        <v>23.217700000000001</v>
      </c>
      <c r="F775" s="4">
        <f>23.8764 * CHOOSE(CONTROL!$C$15, $D$11, 100%, $F$11)</f>
        <v>23.8764</v>
      </c>
      <c r="G775" s="8">
        <f>22.6685 * CHOOSE( CONTROL!$C$15, $D$11, 100%, $F$11)</f>
        <v>22.668500000000002</v>
      </c>
      <c r="H775" s="4">
        <f>23.555 * CHOOSE(CONTROL!$C$15, $D$11, 100%, $F$11)</f>
        <v>23.555</v>
      </c>
      <c r="I775" s="8">
        <f>22.4007 * CHOOSE(CONTROL!$C$15, $D$11, 100%, $F$11)</f>
        <v>22.400700000000001</v>
      </c>
      <c r="J775" s="4">
        <f>22.2721 * CHOOSE(CONTROL!$C$15, $D$11, 100%, $F$11)</f>
        <v>22.272099999999998</v>
      </c>
      <c r="K775" s="4"/>
      <c r="L775" s="9">
        <v>29.306000000000001</v>
      </c>
      <c r="M775" s="9">
        <v>12.063700000000001</v>
      </c>
      <c r="N775" s="9">
        <v>4.9444999999999997</v>
      </c>
      <c r="O775" s="9">
        <v>0.37409999999999999</v>
      </c>
      <c r="P775" s="9">
        <v>1.2927</v>
      </c>
      <c r="Q775" s="9">
        <v>19.688099999999999</v>
      </c>
      <c r="R775" s="9"/>
      <c r="S775" s="11"/>
    </row>
    <row r="776" spans="1:19" ht="15.75">
      <c r="A776" s="13">
        <v>65135</v>
      </c>
      <c r="B776" s="8">
        <f>23.5793 * CHOOSE(CONTROL!$C$15, $D$11, 100%, $F$11)</f>
        <v>23.5793</v>
      </c>
      <c r="C776" s="8">
        <f>23.5839 * CHOOSE(CONTROL!$C$15, $D$11, 100%, $F$11)</f>
        <v>23.5839</v>
      </c>
      <c r="D776" s="8">
        <f>23.6144 * CHOOSE( CONTROL!$C$15, $D$11, 100%, $F$11)</f>
        <v>23.6144</v>
      </c>
      <c r="E776" s="12">
        <f>23.6038 * CHOOSE( CONTROL!$C$15, $D$11, 100%, $F$11)</f>
        <v>23.6038</v>
      </c>
      <c r="F776" s="4">
        <f>24.2941 * CHOOSE(CONTROL!$C$15, $D$11, 100%, $F$11)</f>
        <v>24.2941</v>
      </c>
      <c r="G776" s="8">
        <f>23.014 * CHOOSE( CONTROL!$C$15, $D$11, 100%, $F$11)</f>
        <v>23.013999999999999</v>
      </c>
      <c r="H776" s="4">
        <f>23.9629 * CHOOSE(CONTROL!$C$15, $D$11, 100%, $F$11)</f>
        <v>23.962900000000001</v>
      </c>
      <c r="I776" s="8">
        <f>22.7313 * CHOOSE(CONTROL!$C$15, $D$11, 100%, $F$11)</f>
        <v>22.731300000000001</v>
      </c>
      <c r="J776" s="4">
        <f>22.6106 * CHOOSE(CONTROL!$C$15, $D$11, 100%, $F$11)</f>
        <v>22.610600000000002</v>
      </c>
      <c r="K776" s="4"/>
      <c r="L776" s="9">
        <v>30.092199999999998</v>
      </c>
      <c r="M776" s="9">
        <v>11.6745</v>
      </c>
      <c r="N776" s="9">
        <v>4.7850000000000001</v>
      </c>
      <c r="O776" s="9">
        <v>0.36199999999999999</v>
      </c>
      <c r="P776" s="9">
        <v>1.1791</v>
      </c>
      <c r="Q776" s="9">
        <v>19.053000000000001</v>
      </c>
      <c r="R776" s="9"/>
      <c r="S776" s="11"/>
    </row>
    <row r="777" spans="1:19" ht="15.75">
      <c r="A777" s="13">
        <v>65166</v>
      </c>
      <c r="B777" s="8">
        <f>CHOOSE( CONTROL!$C$32, 24.2105, 24.2082) * CHOOSE(CONTROL!$C$15, $D$11, 100%, $F$11)</f>
        <v>24.2105</v>
      </c>
      <c r="C777" s="8">
        <f>CHOOSE( CONTROL!$C$32, 24.2186, 24.2163) * CHOOSE(CONTROL!$C$15, $D$11, 100%, $F$11)</f>
        <v>24.218599999999999</v>
      </c>
      <c r="D777" s="8">
        <f>CHOOSE( CONTROL!$C$32, 24.2438, 24.2415) * CHOOSE( CONTROL!$C$15, $D$11, 100%, $F$11)</f>
        <v>24.2438</v>
      </c>
      <c r="E777" s="12">
        <f>CHOOSE( CONTROL!$C$32, 24.2334, 24.2311) * CHOOSE( CONTROL!$C$15, $D$11, 100%, $F$11)</f>
        <v>24.2334</v>
      </c>
      <c r="F777" s="4">
        <f>CHOOSE( CONTROL!$C$32, 24.924, 24.9216) * CHOOSE(CONTROL!$C$15, $D$11, 100%, $F$11)</f>
        <v>24.923999999999999</v>
      </c>
      <c r="G777" s="8">
        <f>CHOOSE( CONTROL!$C$32, 23.6298, 23.6275) * CHOOSE( CONTROL!$C$15, $D$11, 100%, $F$11)</f>
        <v>23.629799999999999</v>
      </c>
      <c r="H777" s="4">
        <f>CHOOSE( CONTROL!$C$32, 24.5781, 24.5758) * CHOOSE(CONTROL!$C$15, $D$11, 100%, $F$11)</f>
        <v>24.578099999999999</v>
      </c>
      <c r="I777" s="8">
        <f>CHOOSE( CONTROL!$C$32, 23.3367, 23.3344) * CHOOSE(CONTROL!$C$15, $D$11, 100%, $F$11)</f>
        <v>23.3367</v>
      </c>
      <c r="J777" s="4">
        <f>CHOOSE( CONTROL!$C$32, 23.2153, 23.213) * CHOOSE(CONTROL!$C$15, $D$11, 100%, $F$11)</f>
        <v>23.215299999999999</v>
      </c>
      <c r="K777" s="4"/>
      <c r="L777" s="9">
        <v>30.7165</v>
      </c>
      <c r="M777" s="9">
        <v>12.063700000000001</v>
      </c>
      <c r="N777" s="9">
        <v>4.9444999999999997</v>
      </c>
      <c r="O777" s="9">
        <v>0.37409999999999999</v>
      </c>
      <c r="P777" s="9">
        <v>1.2183999999999999</v>
      </c>
      <c r="Q777" s="9">
        <v>19.688099999999999</v>
      </c>
      <c r="R777" s="9"/>
      <c r="S777" s="11"/>
    </row>
    <row r="778" spans="1:19" ht="15.75">
      <c r="A778" s="13">
        <v>65196</v>
      </c>
      <c r="B778" s="8">
        <f>CHOOSE( CONTROL!$C$32, 23.8218, 23.8194) * CHOOSE(CONTROL!$C$15, $D$11, 100%, $F$11)</f>
        <v>23.8218</v>
      </c>
      <c r="C778" s="8">
        <f>CHOOSE( CONTROL!$C$32, 23.8299, 23.8275) * CHOOSE(CONTROL!$C$15, $D$11, 100%, $F$11)</f>
        <v>23.829899999999999</v>
      </c>
      <c r="D778" s="8">
        <f>CHOOSE( CONTROL!$C$32, 23.8553, 23.8529) * CHOOSE( CONTROL!$C$15, $D$11, 100%, $F$11)</f>
        <v>23.8553</v>
      </c>
      <c r="E778" s="12">
        <f>CHOOSE( CONTROL!$C$32, 23.8449, 23.8425) * CHOOSE( CONTROL!$C$15, $D$11, 100%, $F$11)</f>
        <v>23.844899999999999</v>
      </c>
      <c r="F778" s="4">
        <f>CHOOSE( CONTROL!$C$32, 24.5352, 24.5329) * CHOOSE(CONTROL!$C$15, $D$11, 100%, $F$11)</f>
        <v>24.5352</v>
      </c>
      <c r="G778" s="8">
        <f>CHOOSE( CONTROL!$C$32, 23.2504, 23.2481) * CHOOSE( CONTROL!$C$15, $D$11, 100%, $F$11)</f>
        <v>23.250399999999999</v>
      </c>
      <c r="H778" s="4">
        <f>CHOOSE( CONTROL!$C$32, 24.1984, 24.1961) * CHOOSE(CONTROL!$C$15, $D$11, 100%, $F$11)</f>
        <v>24.198399999999999</v>
      </c>
      <c r="I778" s="8">
        <f>CHOOSE( CONTROL!$C$32, 22.9642, 22.962) * CHOOSE(CONTROL!$C$15, $D$11, 100%, $F$11)</f>
        <v>22.964200000000002</v>
      </c>
      <c r="J778" s="4">
        <f>CHOOSE( CONTROL!$C$32, 22.8421, 22.8398) * CHOOSE(CONTROL!$C$15, $D$11, 100%, $F$11)</f>
        <v>22.842099999999999</v>
      </c>
      <c r="K778" s="4"/>
      <c r="L778" s="9">
        <v>29.7257</v>
      </c>
      <c r="M778" s="9">
        <v>11.6745</v>
      </c>
      <c r="N778" s="9">
        <v>4.7850000000000001</v>
      </c>
      <c r="O778" s="9">
        <v>0.36199999999999999</v>
      </c>
      <c r="P778" s="9">
        <v>1.1791</v>
      </c>
      <c r="Q778" s="9">
        <v>19.053000000000001</v>
      </c>
      <c r="R778" s="9"/>
      <c r="S778" s="11"/>
    </row>
    <row r="779" spans="1:19" ht="15.75">
      <c r="A779" s="13">
        <v>65227</v>
      </c>
      <c r="B779" s="8">
        <f>CHOOSE( CONTROL!$C$32, 24.8454, 24.8431) * CHOOSE(CONTROL!$C$15, $D$11, 100%, $F$11)</f>
        <v>24.845400000000001</v>
      </c>
      <c r="C779" s="8">
        <f>CHOOSE( CONTROL!$C$32, 24.8535, 24.8512) * CHOOSE(CONTROL!$C$15, $D$11, 100%, $F$11)</f>
        <v>24.8535</v>
      </c>
      <c r="D779" s="8">
        <f>CHOOSE( CONTROL!$C$32, 24.8792, 24.8768) * CHOOSE( CONTROL!$C$15, $D$11, 100%, $F$11)</f>
        <v>24.879200000000001</v>
      </c>
      <c r="E779" s="12">
        <f>CHOOSE( CONTROL!$C$32, 24.8687, 24.8663) * CHOOSE( CONTROL!$C$15, $D$11, 100%, $F$11)</f>
        <v>24.8687</v>
      </c>
      <c r="F779" s="4">
        <f>CHOOSE( CONTROL!$C$32, 25.5589, 25.5565) * CHOOSE(CONTROL!$C$15, $D$11, 100%, $F$11)</f>
        <v>25.558900000000001</v>
      </c>
      <c r="G779" s="8">
        <f>CHOOSE( CONTROL!$C$32, 24.2506, 24.2483) * CHOOSE( CONTROL!$C$15, $D$11, 100%, $F$11)</f>
        <v>24.250599999999999</v>
      </c>
      <c r="H779" s="4">
        <f>CHOOSE( CONTROL!$C$32, 25.1982, 25.1959) * CHOOSE(CONTROL!$C$15, $D$11, 100%, $F$11)</f>
        <v>25.1982</v>
      </c>
      <c r="I779" s="8">
        <f>CHOOSE( CONTROL!$C$32, 23.9487, 23.9465) * CHOOSE(CONTROL!$C$15, $D$11, 100%, $F$11)</f>
        <v>23.948699999999999</v>
      </c>
      <c r="J779" s="4">
        <f>CHOOSE( CONTROL!$C$32, 23.8249, 23.8226) * CHOOSE(CONTROL!$C$15, $D$11, 100%, $F$11)</f>
        <v>23.8249</v>
      </c>
      <c r="K779" s="4"/>
      <c r="L779" s="9">
        <v>30.7165</v>
      </c>
      <c r="M779" s="9">
        <v>12.063700000000001</v>
      </c>
      <c r="N779" s="9">
        <v>4.9444999999999997</v>
      </c>
      <c r="O779" s="9">
        <v>0.37409999999999999</v>
      </c>
      <c r="P779" s="9">
        <v>1.2183999999999999</v>
      </c>
      <c r="Q779" s="9">
        <v>19.688099999999999</v>
      </c>
      <c r="R779" s="9"/>
      <c r="S779" s="11"/>
    </row>
    <row r="780" spans="1:19" ht="15.75">
      <c r="A780" s="13">
        <v>65258</v>
      </c>
      <c r="B780" s="8">
        <f>CHOOSE( CONTROL!$C$32, 22.9301, 22.9277) * CHOOSE(CONTROL!$C$15, $D$11, 100%, $F$11)</f>
        <v>22.930099999999999</v>
      </c>
      <c r="C780" s="8">
        <f>CHOOSE( CONTROL!$C$32, 22.9382, 22.9358) * CHOOSE(CONTROL!$C$15, $D$11, 100%, $F$11)</f>
        <v>22.938199999999998</v>
      </c>
      <c r="D780" s="8">
        <f>CHOOSE( CONTROL!$C$32, 22.9639, 22.9616) * CHOOSE( CONTROL!$C$15, $D$11, 100%, $F$11)</f>
        <v>22.963899999999999</v>
      </c>
      <c r="E780" s="12">
        <f>CHOOSE( CONTROL!$C$32, 22.9534, 22.951) * CHOOSE( CONTROL!$C$15, $D$11, 100%, $F$11)</f>
        <v>22.953399999999998</v>
      </c>
      <c r="F780" s="4">
        <f>CHOOSE( CONTROL!$C$32, 23.6435, 23.6412) * CHOOSE(CONTROL!$C$15, $D$11, 100%, $F$11)</f>
        <v>23.6435</v>
      </c>
      <c r="G780" s="8">
        <f>CHOOSE( CONTROL!$C$32, 22.38, 22.3777) * CHOOSE( CONTROL!$C$15, $D$11, 100%, $F$11)</f>
        <v>22.38</v>
      </c>
      <c r="H780" s="4">
        <f>CHOOSE( CONTROL!$C$32, 23.3275, 23.3252) * CHOOSE(CONTROL!$C$15, $D$11, 100%, $F$11)</f>
        <v>23.327500000000001</v>
      </c>
      <c r="I780" s="8">
        <f>CHOOSE( CONTROL!$C$32, 22.1093, 22.107) * CHOOSE(CONTROL!$C$15, $D$11, 100%, $F$11)</f>
        <v>22.109300000000001</v>
      </c>
      <c r="J780" s="4">
        <f>CHOOSE( CONTROL!$C$32, 21.986, 21.9837) * CHOOSE(CONTROL!$C$15, $D$11, 100%, $F$11)</f>
        <v>21.986000000000001</v>
      </c>
      <c r="K780" s="4"/>
      <c r="L780" s="9">
        <v>30.7165</v>
      </c>
      <c r="M780" s="9">
        <v>12.063700000000001</v>
      </c>
      <c r="N780" s="9">
        <v>4.9444999999999997</v>
      </c>
      <c r="O780" s="9">
        <v>0.37409999999999999</v>
      </c>
      <c r="P780" s="9">
        <v>1.2183999999999999</v>
      </c>
      <c r="Q780" s="9">
        <v>19.688099999999999</v>
      </c>
      <c r="R780" s="9"/>
      <c r="S780" s="11"/>
    </row>
    <row r="781" spans="1:19" ht="15.75">
      <c r="A781" s="13">
        <v>65288</v>
      </c>
      <c r="B781" s="8">
        <f>CHOOSE( CONTROL!$C$32, 22.4505, 22.4481) * CHOOSE(CONTROL!$C$15, $D$11, 100%, $F$11)</f>
        <v>22.450500000000002</v>
      </c>
      <c r="C781" s="8">
        <f>CHOOSE( CONTROL!$C$32, 22.4585, 22.4562) * CHOOSE(CONTROL!$C$15, $D$11, 100%, $F$11)</f>
        <v>22.458500000000001</v>
      </c>
      <c r="D781" s="8">
        <f>CHOOSE( CONTROL!$C$32, 22.4843, 22.4819) * CHOOSE( CONTROL!$C$15, $D$11, 100%, $F$11)</f>
        <v>22.484300000000001</v>
      </c>
      <c r="E781" s="12">
        <f>CHOOSE( CONTROL!$C$32, 22.4737, 22.4714) * CHOOSE( CONTROL!$C$15, $D$11, 100%, $F$11)</f>
        <v>22.473700000000001</v>
      </c>
      <c r="F781" s="4">
        <f>CHOOSE( CONTROL!$C$32, 23.1639, 23.1615) * CHOOSE(CONTROL!$C$15, $D$11, 100%, $F$11)</f>
        <v>23.163900000000002</v>
      </c>
      <c r="G781" s="8">
        <f>CHOOSE( CONTROL!$C$32, 21.9115, 21.9092) * CHOOSE( CONTROL!$C$15, $D$11, 100%, $F$11)</f>
        <v>21.9115</v>
      </c>
      <c r="H781" s="4">
        <f>CHOOSE( CONTROL!$C$32, 22.859, 22.8567) * CHOOSE(CONTROL!$C$15, $D$11, 100%, $F$11)</f>
        <v>22.859000000000002</v>
      </c>
      <c r="I781" s="8">
        <f>CHOOSE( CONTROL!$C$32, 21.6484, 21.6462) * CHOOSE(CONTROL!$C$15, $D$11, 100%, $F$11)</f>
        <v>21.648399999999999</v>
      </c>
      <c r="J781" s="4">
        <f>CHOOSE( CONTROL!$C$32, 21.5255, 21.5232) * CHOOSE(CONTROL!$C$15, $D$11, 100%, $F$11)</f>
        <v>21.525500000000001</v>
      </c>
      <c r="K781" s="4"/>
      <c r="L781" s="9">
        <v>29.7257</v>
      </c>
      <c r="M781" s="9">
        <v>11.6745</v>
      </c>
      <c r="N781" s="9">
        <v>4.7850000000000001</v>
      </c>
      <c r="O781" s="9">
        <v>0.36199999999999999</v>
      </c>
      <c r="P781" s="9">
        <v>1.1791</v>
      </c>
      <c r="Q781" s="9">
        <v>19.053000000000001</v>
      </c>
      <c r="R781" s="9"/>
      <c r="S781" s="11"/>
    </row>
    <row r="782" spans="1:19" ht="15.75">
      <c r="A782" s="13">
        <v>65319</v>
      </c>
      <c r="B782" s="8">
        <f>23.4423 * CHOOSE(CONTROL!$C$15, $D$11, 100%, $F$11)</f>
        <v>23.442299999999999</v>
      </c>
      <c r="C782" s="8">
        <f>23.4477 * CHOOSE(CONTROL!$C$15, $D$11, 100%, $F$11)</f>
        <v>23.447700000000001</v>
      </c>
      <c r="D782" s="8">
        <f>23.4785 * CHOOSE( CONTROL!$C$15, $D$11, 100%, $F$11)</f>
        <v>23.4785</v>
      </c>
      <c r="E782" s="12">
        <f>23.4678 * CHOOSE( CONTROL!$C$15, $D$11, 100%, $F$11)</f>
        <v>23.4678</v>
      </c>
      <c r="F782" s="4">
        <f>24.1574 * CHOOSE(CONTROL!$C$15, $D$11, 100%, $F$11)</f>
        <v>24.157399999999999</v>
      </c>
      <c r="G782" s="8">
        <f>22.8816 * CHOOSE( CONTROL!$C$15, $D$11, 100%, $F$11)</f>
        <v>22.881599999999999</v>
      </c>
      <c r="H782" s="4">
        <f>23.8294 * CHOOSE(CONTROL!$C$15, $D$11, 100%, $F$11)</f>
        <v>23.8294</v>
      </c>
      <c r="I782" s="8">
        <f>22.6036 * CHOOSE(CONTROL!$C$15, $D$11, 100%, $F$11)</f>
        <v>22.6036</v>
      </c>
      <c r="J782" s="4">
        <f>22.4793 * CHOOSE(CONTROL!$C$15, $D$11, 100%, $F$11)</f>
        <v>22.479299999999999</v>
      </c>
      <c r="K782" s="4"/>
      <c r="L782" s="9">
        <v>31.095300000000002</v>
      </c>
      <c r="M782" s="9">
        <v>12.063700000000001</v>
      </c>
      <c r="N782" s="9">
        <v>4.9444999999999997</v>
      </c>
      <c r="O782" s="9">
        <v>0.37409999999999999</v>
      </c>
      <c r="P782" s="9">
        <v>1.2183999999999999</v>
      </c>
      <c r="Q782" s="9">
        <v>19.688099999999999</v>
      </c>
      <c r="R782" s="9"/>
      <c r="S782" s="11"/>
    </row>
    <row r="783" spans="1:19" ht="15.75">
      <c r="A783" s="13">
        <v>65349</v>
      </c>
      <c r="B783" s="8">
        <f>25.28 * CHOOSE(CONTROL!$C$15, $D$11, 100%, $F$11)</f>
        <v>25.28</v>
      </c>
      <c r="C783" s="8">
        <f>25.2852 * CHOOSE(CONTROL!$C$15, $D$11, 100%, $F$11)</f>
        <v>25.2852</v>
      </c>
      <c r="D783" s="8">
        <f>25.2682 * CHOOSE( CONTROL!$C$15, $D$11, 100%, $F$11)</f>
        <v>25.2682</v>
      </c>
      <c r="E783" s="12">
        <f>25.2739 * CHOOSE( CONTROL!$C$15, $D$11, 100%, $F$11)</f>
        <v>25.273900000000001</v>
      </c>
      <c r="F783" s="4">
        <f>25.9305 * CHOOSE(CONTROL!$C$15, $D$11, 100%, $F$11)</f>
        <v>25.930499999999999</v>
      </c>
      <c r="G783" s="8">
        <f>24.6832 * CHOOSE( CONTROL!$C$15, $D$11, 100%, $F$11)</f>
        <v>24.683199999999999</v>
      </c>
      <c r="H783" s="4">
        <f>25.5612 * CHOOSE(CONTROL!$C$15, $D$11, 100%, $F$11)</f>
        <v>25.561199999999999</v>
      </c>
      <c r="I783" s="8">
        <f>24.4112 * CHOOSE(CONTROL!$C$15, $D$11, 100%, $F$11)</f>
        <v>24.411200000000001</v>
      </c>
      <c r="J783" s="4">
        <f>24.2442 * CHOOSE(CONTROL!$C$15, $D$11, 100%, $F$11)</f>
        <v>24.244199999999999</v>
      </c>
      <c r="K783" s="4"/>
      <c r="L783" s="9">
        <v>28.360600000000002</v>
      </c>
      <c r="M783" s="9">
        <v>11.6745</v>
      </c>
      <c r="N783" s="9">
        <v>4.7850000000000001</v>
      </c>
      <c r="O783" s="9">
        <v>0.36199999999999999</v>
      </c>
      <c r="P783" s="9">
        <v>1.2509999999999999</v>
      </c>
      <c r="Q783" s="9">
        <v>19.053000000000001</v>
      </c>
      <c r="R783" s="9"/>
      <c r="S783" s="11"/>
    </row>
    <row r="784" spans="1:19" ht="15.75">
      <c r="A784" s="13">
        <v>65380</v>
      </c>
      <c r="B784" s="8">
        <f>25.2341 * CHOOSE(CONTROL!$C$15, $D$11, 100%, $F$11)</f>
        <v>25.234100000000002</v>
      </c>
      <c r="C784" s="8">
        <f>25.2393 * CHOOSE(CONTROL!$C$15, $D$11, 100%, $F$11)</f>
        <v>25.2393</v>
      </c>
      <c r="D784" s="8">
        <f>25.2238 * CHOOSE( CONTROL!$C$15, $D$11, 100%, $F$11)</f>
        <v>25.223800000000001</v>
      </c>
      <c r="E784" s="12">
        <f>25.2289 * CHOOSE( CONTROL!$C$15, $D$11, 100%, $F$11)</f>
        <v>25.228899999999999</v>
      </c>
      <c r="F784" s="4">
        <f>25.8846 * CHOOSE(CONTROL!$C$15, $D$11, 100%, $F$11)</f>
        <v>25.884599999999999</v>
      </c>
      <c r="G784" s="8">
        <f>24.6394 * CHOOSE( CONTROL!$C$15, $D$11, 100%, $F$11)</f>
        <v>24.639399999999998</v>
      </c>
      <c r="H784" s="4">
        <f>25.5163 * CHOOSE(CONTROL!$C$15, $D$11, 100%, $F$11)</f>
        <v>25.516300000000001</v>
      </c>
      <c r="I784" s="8">
        <f>24.3718 * CHOOSE(CONTROL!$C$15, $D$11, 100%, $F$11)</f>
        <v>24.3718</v>
      </c>
      <c r="J784" s="4">
        <f>24.2001 * CHOOSE(CONTROL!$C$15, $D$11, 100%, $F$11)</f>
        <v>24.200099999999999</v>
      </c>
      <c r="K784" s="4"/>
      <c r="L784" s="9">
        <v>29.306000000000001</v>
      </c>
      <c r="M784" s="9">
        <v>12.063700000000001</v>
      </c>
      <c r="N784" s="9">
        <v>4.9444999999999997</v>
      </c>
      <c r="O784" s="9">
        <v>0.37409999999999999</v>
      </c>
      <c r="P784" s="9">
        <v>1.2927</v>
      </c>
      <c r="Q784" s="9">
        <v>19.688099999999999</v>
      </c>
      <c r="R784" s="9"/>
      <c r="S784" s="11"/>
    </row>
    <row r="785" spans="1:19" ht="15.75">
      <c r="A785" s="13">
        <v>65411</v>
      </c>
      <c r="B785" s="8">
        <f>25.9776 * CHOOSE(CONTROL!$C$15, $D$11, 100%, $F$11)</f>
        <v>25.977599999999999</v>
      </c>
      <c r="C785" s="8">
        <f>25.9828 * CHOOSE(CONTROL!$C$15, $D$11, 100%, $F$11)</f>
        <v>25.982800000000001</v>
      </c>
      <c r="D785" s="8">
        <f>25.9629 * CHOOSE( CONTROL!$C$15, $D$11, 100%, $F$11)</f>
        <v>25.962900000000001</v>
      </c>
      <c r="E785" s="12">
        <f>25.9696 * CHOOSE( CONTROL!$C$15, $D$11, 100%, $F$11)</f>
        <v>25.9696</v>
      </c>
      <c r="F785" s="4">
        <f>26.6281 * CHOOSE(CONTROL!$C$15, $D$11, 100%, $F$11)</f>
        <v>26.6281</v>
      </c>
      <c r="G785" s="8">
        <f>25.3563 * CHOOSE( CONTROL!$C$15, $D$11, 100%, $F$11)</f>
        <v>25.356300000000001</v>
      </c>
      <c r="H785" s="4">
        <f>26.2425 * CHOOSE(CONTROL!$C$15, $D$11, 100%, $F$11)</f>
        <v>26.2425</v>
      </c>
      <c r="I785" s="8">
        <f>25.0451 * CHOOSE(CONTROL!$C$15, $D$11, 100%, $F$11)</f>
        <v>25.045100000000001</v>
      </c>
      <c r="J785" s="4">
        <f>24.9139 * CHOOSE(CONTROL!$C$15, $D$11, 100%, $F$11)</f>
        <v>24.913900000000002</v>
      </c>
      <c r="K785" s="4"/>
      <c r="L785" s="9">
        <v>29.306000000000001</v>
      </c>
      <c r="M785" s="9">
        <v>12.063700000000001</v>
      </c>
      <c r="N785" s="9">
        <v>4.9444999999999997</v>
      </c>
      <c r="O785" s="9">
        <v>0.37409999999999999</v>
      </c>
      <c r="P785" s="9">
        <v>1.2927</v>
      </c>
      <c r="Q785" s="9">
        <v>19.688099999999999</v>
      </c>
      <c r="R785" s="9"/>
      <c r="S785" s="11"/>
    </row>
    <row r="786" spans="1:19" ht="15.75">
      <c r="A786" s="13">
        <v>65439</v>
      </c>
      <c r="B786" s="8">
        <f>24.3 * CHOOSE(CONTROL!$C$15, $D$11, 100%, $F$11)</f>
        <v>24.3</v>
      </c>
      <c r="C786" s="8">
        <f>24.3052 * CHOOSE(CONTROL!$C$15, $D$11, 100%, $F$11)</f>
        <v>24.305199999999999</v>
      </c>
      <c r="D786" s="8">
        <f>24.2853 * CHOOSE( CONTROL!$C$15, $D$11, 100%, $F$11)</f>
        <v>24.285299999999999</v>
      </c>
      <c r="E786" s="12">
        <f>24.292 * CHOOSE( CONTROL!$C$15, $D$11, 100%, $F$11)</f>
        <v>24.292000000000002</v>
      </c>
      <c r="F786" s="4">
        <f>24.9505 * CHOOSE(CONTROL!$C$15, $D$11, 100%, $F$11)</f>
        <v>24.950500000000002</v>
      </c>
      <c r="G786" s="8">
        <f>23.7178 * CHOOSE( CONTROL!$C$15, $D$11, 100%, $F$11)</f>
        <v>23.7178</v>
      </c>
      <c r="H786" s="4">
        <f>24.604 * CHOOSE(CONTROL!$C$15, $D$11, 100%, $F$11)</f>
        <v>24.603999999999999</v>
      </c>
      <c r="I786" s="8">
        <f>23.4335 * CHOOSE(CONTROL!$C$15, $D$11, 100%, $F$11)</f>
        <v>23.433499999999999</v>
      </c>
      <c r="J786" s="4">
        <f>23.3033 * CHOOSE(CONTROL!$C$15, $D$11, 100%, $F$11)</f>
        <v>23.3033</v>
      </c>
      <c r="K786" s="4"/>
      <c r="L786" s="9">
        <v>26.469899999999999</v>
      </c>
      <c r="M786" s="9">
        <v>10.8962</v>
      </c>
      <c r="N786" s="9">
        <v>4.4660000000000002</v>
      </c>
      <c r="O786" s="9">
        <v>0.33789999999999998</v>
      </c>
      <c r="P786" s="9">
        <v>1.1676</v>
      </c>
      <c r="Q786" s="9">
        <v>17.782800000000002</v>
      </c>
      <c r="R786" s="9"/>
      <c r="S786" s="11"/>
    </row>
    <row r="787" spans="1:19" ht="15.75">
      <c r="A787" s="13">
        <v>65470</v>
      </c>
      <c r="B787" s="8">
        <f>23.7833 * CHOOSE(CONTROL!$C$15, $D$11, 100%, $F$11)</f>
        <v>23.783300000000001</v>
      </c>
      <c r="C787" s="8">
        <f>23.7885 * CHOOSE(CONTROL!$C$15, $D$11, 100%, $F$11)</f>
        <v>23.788499999999999</v>
      </c>
      <c r="D787" s="8">
        <f>23.7683 * CHOOSE( CONTROL!$C$15, $D$11, 100%, $F$11)</f>
        <v>23.7683</v>
      </c>
      <c r="E787" s="12">
        <f>23.7751 * CHOOSE( CONTROL!$C$15, $D$11, 100%, $F$11)</f>
        <v>23.775099999999998</v>
      </c>
      <c r="F787" s="4">
        <f>24.4338 * CHOOSE(CONTROL!$C$15, $D$11, 100%, $F$11)</f>
        <v>24.433800000000002</v>
      </c>
      <c r="G787" s="8">
        <f>23.2129 * CHOOSE( CONTROL!$C$15, $D$11, 100%, $F$11)</f>
        <v>23.212900000000001</v>
      </c>
      <c r="H787" s="4">
        <f>24.0993 * CHOOSE(CONTROL!$C$15, $D$11, 100%, $F$11)</f>
        <v>24.099299999999999</v>
      </c>
      <c r="I787" s="8">
        <f>22.9361 * CHOOSE(CONTROL!$C$15, $D$11, 100%, $F$11)</f>
        <v>22.9361</v>
      </c>
      <c r="J787" s="4">
        <f>22.8072 * CHOOSE(CONTROL!$C$15, $D$11, 100%, $F$11)</f>
        <v>22.807200000000002</v>
      </c>
      <c r="K787" s="4"/>
      <c r="L787" s="9">
        <v>29.306000000000001</v>
      </c>
      <c r="M787" s="9">
        <v>12.063700000000001</v>
      </c>
      <c r="N787" s="9">
        <v>4.9444999999999997</v>
      </c>
      <c r="O787" s="9">
        <v>0.37409999999999999</v>
      </c>
      <c r="P787" s="9">
        <v>1.2927</v>
      </c>
      <c r="Q787" s="9">
        <v>19.688099999999999</v>
      </c>
      <c r="R787" s="9"/>
      <c r="S787" s="11"/>
    </row>
    <row r="788" spans="1:19" ht="15.75">
      <c r="A788" s="13">
        <v>65500</v>
      </c>
      <c r="B788" s="8">
        <f>24.1451 * CHOOSE(CONTROL!$C$15, $D$11, 100%, $F$11)</f>
        <v>24.145099999999999</v>
      </c>
      <c r="C788" s="8">
        <f>24.1498 * CHOOSE(CONTROL!$C$15, $D$11, 100%, $F$11)</f>
        <v>24.149799999999999</v>
      </c>
      <c r="D788" s="8">
        <f>24.1803 * CHOOSE( CONTROL!$C$15, $D$11, 100%, $F$11)</f>
        <v>24.180299999999999</v>
      </c>
      <c r="E788" s="12">
        <f>24.1697 * CHOOSE( CONTROL!$C$15, $D$11, 100%, $F$11)</f>
        <v>24.169699999999999</v>
      </c>
      <c r="F788" s="4">
        <f>24.8599 * CHOOSE(CONTROL!$C$15, $D$11, 100%, $F$11)</f>
        <v>24.8599</v>
      </c>
      <c r="G788" s="8">
        <f>23.5667 * CHOOSE( CONTROL!$C$15, $D$11, 100%, $F$11)</f>
        <v>23.566700000000001</v>
      </c>
      <c r="H788" s="4">
        <f>24.5156 * CHOOSE(CONTROL!$C$15, $D$11, 100%, $F$11)</f>
        <v>24.515599999999999</v>
      </c>
      <c r="I788" s="8">
        <f>23.2749 * CHOOSE(CONTROL!$C$15, $D$11, 100%, $F$11)</f>
        <v>23.274899999999999</v>
      </c>
      <c r="J788" s="4">
        <f>23.1538 * CHOOSE(CONTROL!$C$15, $D$11, 100%, $F$11)</f>
        <v>23.1538</v>
      </c>
      <c r="K788" s="4"/>
      <c r="L788" s="9">
        <v>30.092199999999998</v>
      </c>
      <c r="M788" s="9">
        <v>11.6745</v>
      </c>
      <c r="N788" s="9">
        <v>4.7850000000000001</v>
      </c>
      <c r="O788" s="9">
        <v>0.36199999999999999</v>
      </c>
      <c r="P788" s="9">
        <v>1.1791</v>
      </c>
      <c r="Q788" s="9">
        <v>19.053000000000001</v>
      </c>
      <c r="R788" s="9"/>
      <c r="S788" s="11"/>
    </row>
    <row r="789" spans="1:19" ht="15.75">
      <c r="A789" s="13">
        <v>65531</v>
      </c>
      <c r="B789" s="8">
        <f>CHOOSE( CONTROL!$C$32, 24.7914, 24.7891) * CHOOSE(CONTROL!$C$15, $D$11, 100%, $F$11)</f>
        <v>24.791399999999999</v>
      </c>
      <c r="C789" s="8">
        <f>CHOOSE( CONTROL!$C$32, 24.7995, 24.7972) * CHOOSE(CONTROL!$C$15, $D$11, 100%, $F$11)</f>
        <v>24.799499999999998</v>
      </c>
      <c r="D789" s="8">
        <f>CHOOSE( CONTROL!$C$32, 24.8247, 24.8224) * CHOOSE( CONTROL!$C$15, $D$11, 100%, $F$11)</f>
        <v>24.8247</v>
      </c>
      <c r="E789" s="12">
        <f>CHOOSE( CONTROL!$C$32, 24.8143, 24.812) * CHOOSE( CONTROL!$C$15, $D$11, 100%, $F$11)</f>
        <v>24.814299999999999</v>
      </c>
      <c r="F789" s="4">
        <f>CHOOSE( CONTROL!$C$32, 25.5049, 25.5025) * CHOOSE(CONTROL!$C$15, $D$11, 100%, $F$11)</f>
        <v>25.504899999999999</v>
      </c>
      <c r="G789" s="8">
        <f>CHOOSE( CONTROL!$C$32, 24.1972, 24.1949) * CHOOSE( CONTROL!$C$15, $D$11, 100%, $F$11)</f>
        <v>24.197199999999999</v>
      </c>
      <c r="H789" s="4">
        <f>CHOOSE( CONTROL!$C$32, 25.1455, 25.1432) * CHOOSE(CONTROL!$C$15, $D$11, 100%, $F$11)</f>
        <v>25.145499999999998</v>
      </c>
      <c r="I789" s="8">
        <f>CHOOSE( CONTROL!$C$32, 23.8947, 23.8924) * CHOOSE(CONTROL!$C$15, $D$11, 100%, $F$11)</f>
        <v>23.8947</v>
      </c>
      <c r="J789" s="4">
        <f>CHOOSE( CONTROL!$C$32, 23.773, 23.7708) * CHOOSE(CONTROL!$C$15, $D$11, 100%, $F$11)</f>
        <v>23.773</v>
      </c>
      <c r="K789" s="4"/>
      <c r="L789" s="9">
        <v>30.7165</v>
      </c>
      <c r="M789" s="9">
        <v>12.063700000000001</v>
      </c>
      <c r="N789" s="9">
        <v>4.9444999999999997</v>
      </c>
      <c r="O789" s="9">
        <v>0.37409999999999999</v>
      </c>
      <c r="P789" s="9">
        <v>1.2183999999999999</v>
      </c>
      <c r="Q789" s="9">
        <v>19.688099999999999</v>
      </c>
      <c r="R789" s="9"/>
      <c r="S789" s="11"/>
    </row>
    <row r="790" spans="1:19" ht="15.75">
      <c r="A790" s="13">
        <v>65561</v>
      </c>
      <c r="B790" s="8">
        <f>CHOOSE( CONTROL!$C$32, 24.3934, 24.391) * CHOOSE(CONTROL!$C$15, $D$11, 100%, $F$11)</f>
        <v>24.3934</v>
      </c>
      <c r="C790" s="8">
        <f>CHOOSE( CONTROL!$C$32, 24.4015, 24.3991) * CHOOSE(CONTROL!$C$15, $D$11, 100%, $F$11)</f>
        <v>24.401499999999999</v>
      </c>
      <c r="D790" s="8">
        <f>CHOOSE( CONTROL!$C$32, 24.4269, 24.4245) * CHOOSE( CONTROL!$C$15, $D$11, 100%, $F$11)</f>
        <v>24.4269</v>
      </c>
      <c r="E790" s="12">
        <f>CHOOSE( CONTROL!$C$32, 24.4165, 24.4141) * CHOOSE( CONTROL!$C$15, $D$11, 100%, $F$11)</f>
        <v>24.416499999999999</v>
      </c>
      <c r="F790" s="4">
        <f>CHOOSE( CONTROL!$C$32, 25.1068, 25.1045) * CHOOSE(CONTROL!$C$15, $D$11, 100%, $F$11)</f>
        <v>25.1068</v>
      </c>
      <c r="G790" s="8">
        <f>CHOOSE( CONTROL!$C$32, 23.8087, 23.8064) * CHOOSE( CONTROL!$C$15, $D$11, 100%, $F$11)</f>
        <v>23.808700000000002</v>
      </c>
      <c r="H790" s="4">
        <f>CHOOSE( CONTROL!$C$32, 24.7567, 24.7544) * CHOOSE(CONTROL!$C$15, $D$11, 100%, $F$11)</f>
        <v>24.756699999999999</v>
      </c>
      <c r="I790" s="8">
        <f>CHOOSE( CONTROL!$C$32, 23.5133, 23.511) * CHOOSE(CONTROL!$C$15, $D$11, 100%, $F$11)</f>
        <v>23.513300000000001</v>
      </c>
      <c r="J790" s="4">
        <f>CHOOSE( CONTROL!$C$32, 23.3909, 23.3886) * CHOOSE(CONTROL!$C$15, $D$11, 100%, $F$11)</f>
        <v>23.390899999999998</v>
      </c>
      <c r="K790" s="4"/>
      <c r="L790" s="9">
        <v>29.7257</v>
      </c>
      <c r="M790" s="9">
        <v>11.6745</v>
      </c>
      <c r="N790" s="9">
        <v>4.7850000000000001</v>
      </c>
      <c r="O790" s="9">
        <v>0.36199999999999999</v>
      </c>
      <c r="P790" s="9">
        <v>1.1791</v>
      </c>
      <c r="Q790" s="9">
        <v>19.053000000000001</v>
      </c>
      <c r="R790" s="9"/>
      <c r="S790" s="11"/>
    </row>
    <row r="791" spans="1:19" ht="15.75">
      <c r="A791" s="13">
        <v>65592</v>
      </c>
      <c r="B791" s="8">
        <f>CHOOSE( CONTROL!$C$32, 25.4416, 25.4393) * CHOOSE(CONTROL!$C$15, $D$11, 100%, $F$11)</f>
        <v>25.441600000000001</v>
      </c>
      <c r="C791" s="8">
        <f>CHOOSE( CONTROL!$C$32, 25.4497, 25.4474) * CHOOSE(CONTROL!$C$15, $D$11, 100%, $F$11)</f>
        <v>25.4497</v>
      </c>
      <c r="D791" s="8">
        <f>CHOOSE( CONTROL!$C$32, 25.4754, 25.473) * CHOOSE( CONTROL!$C$15, $D$11, 100%, $F$11)</f>
        <v>25.4754</v>
      </c>
      <c r="E791" s="12">
        <f>CHOOSE( CONTROL!$C$32, 25.4649, 25.4625) * CHOOSE( CONTROL!$C$15, $D$11, 100%, $F$11)</f>
        <v>25.4649</v>
      </c>
      <c r="F791" s="4">
        <f>CHOOSE( CONTROL!$C$32, 26.1551, 26.1527) * CHOOSE(CONTROL!$C$15, $D$11, 100%, $F$11)</f>
        <v>26.155100000000001</v>
      </c>
      <c r="G791" s="8">
        <f>CHOOSE( CONTROL!$C$32, 24.8329, 24.8306) * CHOOSE( CONTROL!$C$15, $D$11, 100%, $F$11)</f>
        <v>24.832899999999999</v>
      </c>
      <c r="H791" s="4">
        <f>CHOOSE( CONTROL!$C$32, 25.7805, 25.7782) * CHOOSE(CONTROL!$C$15, $D$11, 100%, $F$11)</f>
        <v>25.7805</v>
      </c>
      <c r="I791" s="8">
        <f>CHOOSE( CONTROL!$C$32, 24.5214, 24.5192) * CHOOSE(CONTROL!$C$15, $D$11, 100%, $F$11)</f>
        <v>24.5214</v>
      </c>
      <c r="J791" s="4">
        <f>CHOOSE( CONTROL!$C$32, 24.3973, 24.395) * CHOOSE(CONTROL!$C$15, $D$11, 100%, $F$11)</f>
        <v>24.397300000000001</v>
      </c>
      <c r="K791" s="4"/>
      <c r="L791" s="9">
        <v>30.7165</v>
      </c>
      <c r="M791" s="9">
        <v>12.063700000000001</v>
      </c>
      <c r="N791" s="9">
        <v>4.9444999999999997</v>
      </c>
      <c r="O791" s="9">
        <v>0.37409999999999999</v>
      </c>
      <c r="P791" s="9">
        <v>1.2183999999999999</v>
      </c>
      <c r="Q791" s="9">
        <v>19.688099999999999</v>
      </c>
      <c r="R791" s="9"/>
      <c r="S791" s="11"/>
    </row>
    <row r="792" spans="1:19" ht="15.75">
      <c r="A792" s="13">
        <v>65623</v>
      </c>
      <c r="B792" s="8">
        <f>CHOOSE( CONTROL!$C$32, 23.4803, 23.4779) * CHOOSE(CONTROL!$C$15, $D$11, 100%, $F$11)</f>
        <v>23.4803</v>
      </c>
      <c r="C792" s="8">
        <f>CHOOSE( CONTROL!$C$32, 23.4883, 23.486) * CHOOSE(CONTROL!$C$15, $D$11, 100%, $F$11)</f>
        <v>23.488299999999999</v>
      </c>
      <c r="D792" s="8">
        <f>CHOOSE( CONTROL!$C$32, 23.5141, 23.5117) * CHOOSE( CONTROL!$C$15, $D$11, 100%, $F$11)</f>
        <v>23.514099999999999</v>
      </c>
      <c r="E792" s="12">
        <f>CHOOSE( CONTROL!$C$32, 23.5035, 23.5012) * CHOOSE( CONTROL!$C$15, $D$11, 100%, $F$11)</f>
        <v>23.503499999999999</v>
      </c>
      <c r="F792" s="4">
        <f>CHOOSE( CONTROL!$C$32, 24.1937, 24.1913) * CHOOSE(CONTROL!$C$15, $D$11, 100%, $F$11)</f>
        <v>24.1937</v>
      </c>
      <c r="G792" s="8">
        <f>CHOOSE( CONTROL!$C$32, 22.9173, 22.915) * CHOOSE( CONTROL!$C$15, $D$11, 100%, $F$11)</f>
        <v>22.917300000000001</v>
      </c>
      <c r="H792" s="4">
        <f>CHOOSE( CONTROL!$C$32, 23.8648, 23.8625) * CHOOSE(CONTROL!$C$15, $D$11, 100%, $F$11)</f>
        <v>23.864799999999999</v>
      </c>
      <c r="I792" s="8">
        <f>CHOOSE( CONTROL!$C$32, 22.6377, 22.6355) * CHOOSE(CONTROL!$C$15, $D$11, 100%, $F$11)</f>
        <v>22.637699999999999</v>
      </c>
      <c r="J792" s="4">
        <f>CHOOSE( CONTROL!$C$32, 22.5142, 22.5119) * CHOOSE(CONTROL!$C$15, $D$11, 100%, $F$11)</f>
        <v>22.514199999999999</v>
      </c>
      <c r="K792" s="4"/>
      <c r="L792" s="9">
        <v>30.7165</v>
      </c>
      <c r="M792" s="9">
        <v>12.063700000000001</v>
      </c>
      <c r="N792" s="9">
        <v>4.9444999999999997</v>
      </c>
      <c r="O792" s="9">
        <v>0.37409999999999999</v>
      </c>
      <c r="P792" s="9">
        <v>1.2183999999999999</v>
      </c>
      <c r="Q792" s="9">
        <v>19.688099999999999</v>
      </c>
      <c r="R792" s="9"/>
      <c r="S792" s="11"/>
    </row>
    <row r="793" spans="1:19" ht="15.75">
      <c r="A793" s="13">
        <v>65653</v>
      </c>
      <c r="B793" s="8">
        <f>CHOOSE( CONTROL!$C$32, 22.9891, 22.9868) * CHOOSE(CONTROL!$C$15, $D$11, 100%, $F$11)</f>
        <v>22.989100000000001</v>
      </c>
      <c r="C793" s="8">
        <f>CHOOSE( CONTROL!$C$32, 22.9972, 22.9948) * CHOOSE(CONTROL!$C$15, $D$11, 100%, $F$11)</f>
        <v>22.997199999999999</v>
      </c>
      <c r="D793" s="8">
        <f>CHOOSE( CONTROL!$C$32, 23.0229, 23.0205) * CHOOSE( CONTROL!$C$15, $D$11, 100%, $F$11)</f>
        <v>23.0229</v>
      </c>
      <c r="E793" s="12">
        <f>CHOOSE( CONTROL!$C$32, 23.0124, 23.01) * CHOOSE( CONTROL!$C$15, $D$11, 100%, $F$11)</f>
        <v>23.0124</v>
      </c>
      <c r="F793" s="4">
        <f>CHOOSE( CONTROL!$C$32, 23.7025, 23.7002) * CHOOSE(CONTROL!$C$15, $D$11, 100%, $F$11)</f>
        <v>23.702500000000001</v>
      </c>
      <c r="G793" s="8">
        <f>CHOOSE( CONTROL!$C$32, 22.4376, 22.4353) * CHOOSE( CONTROL!$C$15, $D$11, 100%, $F$11)</f>
        <v>22.4376</v>
      </c>
      <c r="H793" s="4">
        <f>CHOOSE( CONTROL!$C$32, 23.3851, 23.3828) * CHOOSE(CONTROL!$C$15, $D$11, 100%, $F$11)</f>
        <v>23.385100000000001</v>
      </c>
      <c r="I793" s="8">
        <f>CHOOSE( CONTROL!$C$32, 22.1658, 22.1636) * CHOOSE(CONTROL!$C$15, $D$11, 100%, $F$11)</f>
        <v>22.165800000000001</v>
      </c>
      <c r="J793" s="4">
        <f>CHOOSE( CONTROL!$C$32, 22.0426, 22.0404) * CHOOSE(CONTROL!$C$15, $D$11, 100%, $F$11)</f>
        <v>22.0426</v>
      </c>
      <c r="K793" s="4"/>
      <c r="L793" s="9">
        <v>29.7257</v>
      </c>
      <c r="M793" s="9">
        <v>11.6745</v>
      </c>
      <c r="N793" s="9">
        <v>4.7850000000000001</v>
      </c>
      <c r="O793" s="9">
        <v>0.36199999999999999</v>
      </c>
      <c r="P793" s="9">
        <v>1.1791</v>
      </c>
      <c r="Q793" s="9">
        <v>19.053000000000001</v>
      </c>
      <c r="R793" s="9"/>
      <c r="S793" s="11"/>
    </row>
    <row r="794" spans="1:19" ht="15.75">
      <c r="A794" s="13">
        <v>65684</v>
      </c>
      <c r="B794" s="8">
        <f>24.0048 * CHOOSE(CONTROL!$C$15, $D$11, 100%, $F$11)</f>
        <v>24.004799999999999</v>
      </c>
      <c r="C794" s="8">
        <f>24.0103 * CHOOSE(CONTROL!$C$15, $D$11, 100%, $F$11)</f>
        <v>24.010300000000001</v>
      </c>
      <c r="D794" s="8">
        <f>24.0411 * CHOOSE( CONTROL!$C$15, $D$11, 100%, $F$11)</f>
        <v>24.0411</v>
      </c>
      <c r="E794" s="12">
        <f>24.0303 * CHOOSE( CONTROL!$C$15, $D$11, 100%, $F$11)</f>
        <v>24.0303</v>
      </c>
      <c r="F794" s="4">
        <f>24.72 * CHOOSE(CONTROL!$C$15, $D$11, 100%, $F$11)</f>
        <v>24.72</v>
      </c>
      <c r="G794" s="8">
        <f>23.4311 * CHOOSE( CONTROL!$C$15, $D$11, 100%, $F$11)</f>
        <v>23.431100000000001</v>
      </c>
      <c r="H794" s="4">
        <f>24.3789 * CHOOSE(CONTROL!$C$15, $D$11, 100%, $F$11)</f>
        <v>24.378900000000002</v>
      </c>
      <c r="I794" s="8">
        <f>23.144 * CHOOSE(CONTROL!$C$15, $D$11, 100%, $F$11)</f>
        <v>23.143999999999998</v>
      </c>
      <c r="J794" s="4">
        <f>23.0195 * CHOOSE(CONTROL!$C$15, $D$11, 100%, $F$11)</f>
        <v>23.019500000000001</v>
      </c>
      <c r="K794" s="4"/>
      <c r="L794" s="9">
        <v>31.095300000000002</v>
      </c>
      <c r="M794" s="9">
        <v>12.063700000000001</v>
      </c>
      <c r="N794" s="9">
        <v>4.9444999999999997</v>
      </c>
      <c r="O794" s="9">
        <v>0.37409999999999999</v>
      </c>
      <c r="P794" s="9">
        <v>1.2183999999999999</v>
      </c>
      <c r="Q794" s="9">
        <v>19.688099999999999</v>
      </c>
      <c r="R794" s="9"/>
      <c r="S794" s="11"/>
    </row>
    <row r="795" spans="1:19" ht="15.75">
      <c r="A795" s="13">
        <v>65714</v>
      </c>
      <c r="B795" s="8">
        <f>25.8868 * CHOOSE(CONTROL!$C$15, $D$11, 100%, $F$11)</f>
        <v>25.886800000000001</v>
      </c>
      <c r="C795" s="8">
        <f>25.892 * CHOOSE(CONTROL!$C$15, $D$11, 100%, $F$11)</f>
        <v>25.891999999999999</v>
      </c>
      <c r="D795" s="8">
        <f>25.875 * CHOOSE( CONTROL!$C$15, $D$11, 100%, $F$11)</f>
        <v>25.875</v>
      </c>
      <c r="E795" s="12">
        <f>25.8807 * CHOOSE( CONTROL!$C$15, $D$11, 100%, $F$11)</f>
        <v>25.880700000000001</v>
      </c>
      <c r="F795" s="4">
        <f>26.5372 * CHOOSE(CONTROL!$C$15, $D$11, 100%, $F$11)</f>
        <v>26.537199999999999</v>
      </c>
      <c r="G795" s="8">
        <f>25.2758 * CHOOSE( CONTROL!$C$15, $D$11, 100%, $F$11)</f>
        <v>25.2758</v>
      </c>
      <c r="H795" s="4">
        <f>26.1538 * CHOOSE(CONTROL!$C$15, $D$11, 100%, $F$11)</f>
        <v>26.1538</v>
      </c>
      <c r="I795" s="8">
        <f>24.994 * CHOOSE(CONTROL!$C$15, $D$11, 100%, $F$11)</f>
        <v>24.994</v>
      </c>
      <c r="J795" s="4">
        <f>24.8267 * CHOOSE(CONTROL!$C$15, $D$11, 100%, $F$11)</f>
        <v>24.826699999999999</v>
      </c>
      <c r="K795" s="4"/>
      <c r="L795" s="9">
        <v>28.360600000000002</v>
      </c>
      <c r="M795" s="9">
        <v>11.6745</v>
      </c>
      <c r="N795" s="9">
        <v>4.7850000000000001</v>
      </c>
      <c r="O795" s="9">
        <v>0.36199999999999999</v>
      </c>
      <c r="P795" s="9">
        <v>1.2509999999999999</v>
      </c>
      <c r="Q795" s="9">
        <v>19.053000000000001</v>
      </c>
      <c r="R795" s="9"/>
      <c r="S795" s="11"/>
    </row>
    <row r="796" spans="1:19" ht="15.75">
      <c r="A796" s="13">
        <v>65745</v>
      </c>
      <c r="B796" s="8">
        <f>25.8397 * CHOOSE(CONTROL!$C$15, $D$11, 100%, $F$11)</f>
        <v>25.839700000000001</v>
      </c>
      <c r="C796" s="8">
        <f>25.8449 * CHOOSE(CONTROL!$C$15, $D$11, 100%, $F$11)</f>
        <v>25.844899999999999</v>
      </c>
      <c r="D796" s="8">
        <f>25.8294 * CHOOSE( CONTROL!$C$15, $D$11, 100%, $F$11)</f>
        <v>25.8294</v>
      </c>
      <c r="E796" s="12">
        <f>25.8345 * CHOOSE( CONTROL!$C$15, $D$11, 100%, $F$11)</f>
        <v>25.834499999999998</v>
      </c>
      <c r="F796" s="4">
        <f>26.4902 * CHOOSE(CONTROL!$C$15, $D$11, 100%, $F$11)</f>
        <v>26.490200000000002</v>
      </c>
      <c r="G796" s="8">
        <f>25.2309 * CHOOSE( CONTROL!$C$15, $D$11, 100%, $F$11)</f>
        <v>25.230899999999998</v>
      </c>
      <c r="H796" s="4">
        <f>26.1078 * CHOOSE(CONTROL!$C$15, $D$11, 100%, $F$11)</f>
        <v>26.107800000000001</v>
      </c>
      <c r="I796" s="8">
        <f>24.9535 * CHOOSE(CONTROL!$C$15, $D$11, 100%, $F$11)</f>
        <v>24.953499999999998</v>
      </c>
      <c r="J796" s="4">
        <f>24.7816 * CHOOSE(CONTROL!$C$15, $D$11, 100%, $F$11)</f>
        <v>24.781600000000001</v>
      </c>
      <c r="K796" s="4"/>
      <c r="L796" s="9">
        <v>29.306000000000001</v>
      </c>
      <c r="M796" s="9">
        <v>12.063700000000001</v>
      </c>
      <c r="N796" s="9">
        <v>4.9444999999999997</v>
      </c>
      <c r="O796" s="9">
        <v>0.37409999999999999</v>
      </c>
      <c r="P796" s="9">
        <v>1.2927</v>
      </c>
      <c r="Q796" s="9">
        <v>19.688099999999999</v>
      </c>
      <c r="R796" s="9"/>
      <c r="S796" s="11"/>
    </row>
    <row r="797" spans="1:19" ht="15.75">
      <c r="A797" s="13">
        <v>65776</v>
      </c>
      <c r="B797" s="8">
        <f>26.6011 * CHOOSE(CONTROL!$C$15, $D$11, 100%, $F$11)</f>
        <v>26.601099999999999</v>
      </c>
      <c r="C797" s="8">
        <f>26.6063 * CHOOSE(CONTROL!$C$15, $D$11, 100%, $F$11)</f>
        <v>26.606300000000001</v>
      </c>
      <c r="D797" s="8">
        <f>26.5864 * CHOOSE( CONTROL!$C$15, $D$11, 100%, $F$11)</f>
        <v>26.586400000000001</v>
      </c>
      <c r="E797" s="12">
        <f>26.5931 * CHOOSE( CONTROL!$C$15, $D$11, 100%, $F$11)</f>
        <v>26.5931</v>
      </c>
      <c r="F797" s="4">
        <f>27.2516 * CHOOSE(CONTROL!$C$15, $D$11, 100%, $F$11)</f>
        <v>27.2516</v>
      </c>
      <c r="G797" s="8">
        <f>25.9653 * CHOOSE( CONTROL!$C$15, $D$11, 100%, $F$11)</f>
        <v>25.965299999999999</v>
      </c>
      <c r="H797" s="4">
        <f>26.8515 * CHOOSE(CONTROL!$C$15, $D$11, 100%, $F$11)</f>
        <v>26.851500000000001</v>
      </c>
      <c r="I797" s="8">
        <f>25.644 * CHOOSE(CONTROL!$C$15, $D$11, 100%, $F$11)</f>
        <v>25.643999999999998</v>
      </c>
      <c r="J797" s="4">
        <f>25.5125 * CHOOSE(CONTROL!$C$15, $D$11, 100%, $F$11)</f>
        <v>25.512499999999999</v>
      </c>
      <c r="K797" s="4"/>
      <c r="L797" s="9">
        <v>29.306000000000001</v>
      </c>
      <c r="M797" s="9">
        <v>12.063700000000001</v>
      </c>
      <c r="N797" s="9">
        <v>4.9444999999999997</v>
      </c>
      <c r="O797" s="9">
        <v>0.37409999999999999</v>
      </c>
      <c r="P797" s="9">
        <v>1.2927</v>
      </c>
      <c r="Q797" s="9">
        <v>19.688099999999999</v>
      </c>
      <c r="R797" s="9"/>
      <c r="S797" s="11"/>
    </row>
    <row r="798" spans="1:19" ht="15.75">
      <c r="A798" s="13">
        <v>65805</v>
      </c>
      <c r="B798" s="8">
        <f>24.8832 * CHOOSE(CONTROL!$C$15, $D$11, 100%, $F$11)</f>
        <v>24.883199999999999</v>
      </c>
      <c r="C798" s="8">
        <f>24.8884 * CHOOSE(CONTROL!$C$15, $D$11, 100%, $F$11)</f>
        <v>24.888400000000001</v>
      </c>
      <c r="D798" s="8">
        <f>24.8685 * CHOOSE( CONTROL!$C$15, $D$11, 100%, $F$11)</f>
        <v>24.868500000000001</v>
      </c>
      <c r="E798" s="12">
        <f>24.8752 * CHOOSE( CONTROL!$C$15, $D$11, 100%, $F$11)</f>
        <v>24.8752</v>
      </c>
      <c r="F798" s="4">
        <f>25.5337 * CHOOSE(CONTROL!$C$15, $D$11, 100%, $F$11)</f>
        <v>25.5337</v>
      </c>
      <c r="G798" s="8">
        <f>24.2874 * CHOOSE( CONTROL!$C$15, $D$11, 100%, $F$11)</f>
        <v>24.287400000000002</v>
      </c>
      <c r="H798" s="4">
        <f>25.1736 * CHOOSE(CONTROL!$C$15, $D$11, 100%, $F$11)</f>
        <v>25.1736</v>
      </c>
      <c r="I798" s="8">
        <f>23.9937 * CHOOSE(CONTROL!$C$15, $D$11, 100%, $F$11)</f>
        <v>23.9937</v>
      </c>
      <c r="J798" s="4">
        <f>23.8632 * CHOOSE(CONTROL!$C$15, $D$11, 100%, $F$11)</f>
        <v>23.863199999999999</v>
      </c>
      <c r="K798" s="4"/>
      <c r="L798" s="9">
        <v>27.415299999999998</v>
      </c>
      <c r="M798" s="9">
        <v>11.285299999999999</v>
      </c>
      <c r="N798" s="9">
        <v>4.6254999999999997</v>
      </c>
      <c r="O798" s="9">
        <v>0.34989999999999999</v>
      </c>
      <c r="P798" s="9">
        <v>1.2093</v>
      </c>
      <c r="Q798" s="9">
        <v>18.417899999999999</v>
      </c>
      <c r="R798" s="9"/>
      <c r="S798" s="11"/>
    </row>
    <row r="799" spans="1:19" ht="15.75">
      <c r="A799" s="13">
        <v>65836</v>
      </c>
      <c r="B799" s="8">
        <f>24.3541 * CHOOSE(CONTROL!$C$15, $D$11, 100%, $F$11)</f>
        <v>24.354099999999999</v>
      </c>
      <c r="C799" s="8">
        <f>24.3593 * CHOOSE(CONTROL!$C$15, $D$11, 100%, $F$11)</f>
        <v>24.359300000000001</v>
      </c>
      <c r="D799" s="8">
        <f>24.3391 * CHOOSE( CONTROL!$C$15, $D$11, 100%, $F$11)</f>
        <v>24.339099999999998</v>
      </c>
      <c r="E799" s="12">
        <f>24.3459 * CHOOSE( CONTROL!$C$15, $D$11, 100%, $F$11)</f>
        <v>24.3459</v>
      </c>
      <c r="F799" s="4">
        <f>25.0046 * CHOOSE(CONTROL!$C$15, $D$11, 100%, $F$11)</f>
        <v>25.0046</v>
      </c>
      <c r="G799" s="8">
        <f>23.7703 * CHOOSE( CONTROL!$C$15, $D$11, 100%, $F$11)</f>
        <v>23.770299999999999</v>
      </c>
      <c r="H799" s="4">
        <f>24.6568 * CHOOSE(CONTROL!$C$15, $D$11, 100%, $F$11)</f>
        <v>24.6568</v>
      </c>
      <c r="I799" s="8">
        <f>23.4844 * CHOOSE(CONTROL!$C$15, $D$11, 100%, $F$11)</f>
        <v>23.484400000000001</v>
      </c>
      <c r="J799" s="4">
        <f>23.3552 * CHOOSE(CONTROL!$C$15, $D$11, 100%, $F$11)</f>
        <v>23.3552</v>
      </c>
      <c r="K799" s="4"/>
      <c r="L799" s="9">
        <v>29.306000000000001</v>
      </c>
      <c r="M799" s="9">
        <v>12.063700000000001</v>
      </c>
      <c r="N799" s="9">
        <v>4.9444999999999997</v>
      </c>
      <c r="O799" s="9">
        <v>0.37409999999999999</v>
      </c>
      <c r="P799" s="9">
        <v>1.2927</v>
      </c>
      <c r="Q799" s="9">
        <v>19.688099999999999</v>
      </c>
      <c r="R799" s="9"/>
      <c r="S799" s="11"/>
    </row>
    <row r="800" spans="1:19" ht="15.75">
      <c r="A800" s="13">
        <v>65866</v>
      </c>
      <c r="B800" s="8">
        <f>24.7246 * CHOOSE(CONTROL!$C$15, $D$11, 100%, $F$11)</f>
        <v>24.724599999999999</v>
      </c>
      <c r="C800" s="8">
        <f>24.7292 * CHOOSE(CONTROL!$C$15, $D$11, 100%, $F$11)</f>
        <v>24.729199999999999</v>
      </c>
      <c r="D800" s="8">
        <f>24.7597 * CHOOSE( CONTROL!$C$15, $D$11, 100%, $F$11)</f>
        <v>24.759699999999999</v>
      </c>
      <c r="E800" s="12">
        <f>24.7491 * CHOOSE( CONTROL!$C$15, $D$11, 100%, $F$11)</f>
        <v>24.749099999999999</v>
      </c>
      <c r="F800" s="4">
        <f>25.4394 * CHOOSE(CONTROL!$C$15, $D$11, 100%, $F$11)</f>
        <v>25.439399999999999</v>
      </c>
      <c r="G800" s="8">
        <f>24.1326 * CHOOSE( CONTROL!$C$15, $D$11, 100%, $F$11)</f>
        <v>24.1326</v>
      </c>
      <c r="H800" s="4">
        <f>25.0815 * CHOOSE(CONTROL!$C$15, $D$11, 100%, $F$11)</f>
        <v>25.081499999999998</v>
      </c>
      <c r="I800" s="8">
        <f>23.8315 * CHOOSE(CONTROL!$C$15, $D$11, 100%, $F$11)</f>
        <v>23.831499999999998</v>
      </c>
      <c r="J800" s="4">
        <f>23.7102 * CHOOSE(CONTROL!$C$15, $D$11, 100%, $F$11)</f>
        <v>23.7102</v>
      </c>
      <c r="K800" s="4"/>
      <c r="L800" s="9">
        <v>30.092199999999998</v>
      </c>
      <c r="M800" s="9">
        <v>11.6745</v>
      </c>
      <c r="N800" s="9">
        <v>4.7850000000000001</v>
      </c>
      <c r="O800" s="9">
        <v>0.36199999999999999</v>
      </c>
      <c r="P800" s="9">
        <v>1.1791</v>
      </c>
      <c r="Q800" s="9">
        <v>19.053000000000001</v>
      </c>
      <c r="R800" s="9"/>
      <c r="S800" s="11"/>
    </row>
    <row r="801" spans="1:19" ht="15.75">
      <c r="A801" s="13">
        <v>65897</v>
      </c>
      <c r="B801" s="8">
        <f>CHOOSE( CONTROL!$C$32, 25.3863, 25.384) * CHOOSE(CONTROL!$C$15, $D$11, 100%, $F$11)</f>
        <v>25.386299999999999</v>
      </c>
      <c r="C801" s="8">
        <f>CHOOSE( CONTROL!$C$32, 25.3944, 25.3921) * CHOOSE(CONTROL!$C$15, $D$11, 100%, $F$11)</f>
        <v>25.394400000000001</v>
      </c>
      <c r="D801" s="8">
        <f>CHOOSE( CONTROL!$C$32, 25.4196, 25.4173) * CHOOSE( CONTROL!$C$15, $D$11, 100%, $F$11)</f>
        <v>25.419599999999999</v>
      </c>
      <c r="E801" s="12">
        <f>CHOOSE( CONTROL!$C$32, 25.4092, 25.4069) * CHOOSE( CONTROL!$C$15, $D$11, 100%, $F$11)</f>
        <v>25.409199999999998</v>
      </c>
      <c r="F801" s="4">
        <f>CHOOSE( CONTROL!$C$32, 26.0998, 26.0974) * CHOOSE(CONTROL!$C$15, $D$11, 100%, $F$11)</f>
        <v>26.099799999999998</v>
      </c>
      <c r="G801" s="8">
        <f>CHOOSE( CONTROL!$C$32, 24.7782, 24.7759) * CHOOSE( CONTROL!$C$15, $D$11, 100%, $F$11)</f>
        <v>24.778199999999998</v>
      </c>
      <c r="H801" s="4">
        <f>CHOOSE( CONTROL!$C$32, 25.7265, 25.7242) * CHOOSE(CONTROL!$C$15, $D$11, 100%, $F$11)</f>
        <v>25.726500000000001</v>
      </c>
      <c r="I801" s="8">
        <f>CHOOSE( CONTROL!$C$32, 24.4661, 24.4639) * CHOOSE(CONTROL!$C$15, $D$11, 100%, $F$11)</f>
        <v>24.466100000000001</v>
      </c>
      <c r="J801" s="4">
        <f>CHOOSE( CONTROL!$C$32, 24.3442, 24.3419) * CHOOSE(CONTROL!$C$15, $D$11, 100%, $F$11)</f>
        <v>24.344200000000001</v>
      </c>
      <c r="K801" s="4"/>
      <c r="L801" s="9">
        <v>30.7165</v>
      </c>
      <c r="M801" s="9">
        <v>12.063700000000001</v>
      </c>
      <c r="N801" s="9">
        <v>4.9444999999999997</v>
      </c>
      <c r="O801" s="9">
        <v>0.37409999999999999</v>
      </c>
      <c r="P801" s="9">
        <v>1.2183999999999999</v>
      </c>
      <c r="Q801" s="9">
        <v>19.688099999999999</v>
      </c>
      <c r="R801" s="9"/>
      <c r="S801" s="11"/>
    </row>
    <row r="802" spans="1:19" ht="15.75">
      <c r="A802" s="13">
        <v>65927</v>
      </c>
      <c r="B802" s="8">
        <f>CHOOSE( CONTROL!$C$32, 24.9787, 24.9764) * CHOOSE(CONTROL!$C$15, $D$11, 100%, $F$11)</f>
        <v>24.9787</v>
      </c>
      <c r="C802" s="8">
        <f>CHOOSE( CONTROL!$C$32, 24.9868, 24.9844) * CHOOSE(CONTROL!$C$15, $D$11, 100%, $F$11)</f>
        <v>24.986799999999999</v>
      </c>
      <c r="D802" s="8">
        <f>CHOOSE( CONTROL!$C$32, 25.0122, 25.0098) * CHOOSE( CONTROL!$C$15, $D$11, 100%, $F$11)</f>
        <v>25.0122</v>
      </c>
      <c r="E802" s="12">
        <f>CHOOSE( CONTROL!$C$32, 25.0018, 24.9994) * CHOOSE( CONTROL!$C$15, $D$11, 100%, $F$11)</f>
        <v>25.001799999999999</v>
      </c>
      <c r="F802" s="4">
        <f>CHOOSE( CONTROL!$C$32, 25.6921, 25.6898) * CHOOSE(CONTROL!$C$15, $D$11, 100%, $F$11)</f>
        <v>25.6921</v>
      </c>
      <c r="G802" s="8">
        <f>CHOOSE( CONTROL!$C$32, 24.3804, 24.3781) * CHOOSE( CONTROL!$C$15, $D$11, 100%, $F$11)</f>
        <v>24.380400000000002</v>
      </c>
      <c r="H802" s="4">
        <f>CHOOSE( CONTROL!$C$32, 25.3284, 25.3261) * CHOOSE(CONTROL!$C$15, $D$11, 100%, $F$11)</f>
        <v>25.328399999999998</v>
      </c>
      <c r="I802" s="8">
        <f>CHOOSE( CONTROL!$C$32, 24.0755, 24.0733) * CHOOSE(CONTROL!$C$15, $D$11, 100%, $F$11)</f>
        <v>24.075500000000002</v>
      </c>
      <c r="J802" s="4">
        <f>CHOOSE( CONTROL!$C$32, 23.9528, 23.9506) * CHOOSE(CONTROL!$C$15, $D$11, 100%, $F$11)</f>
        <v>23.9528</v>
      </c>
      <c r="K802" s="4"/>
      <c r="L802" s="9">
        <v>29.7257</v>
      </c>
      <c r="M802" s="9">
        <v>11.6745</v>
      </c>
      <c r="N802" s="9">
        <v>4.7850000000000001</v>
      </c>
      <c r="O802" s="9">
        <v>0.36199999999999999</v>
      </c>
      <c r="P802" s="9">
        <v>1.1791</v>
      </c>
      <c r="Q802" s="9">
        <v>19.053000000000001</v>
      </c>
      <c r="R802" s="9"/>
      <c r="S802" s="11"/>
    </row>
    <row r="803" spans="1:19" ht="15.75">
      <c r="A803" s="13">
        <v>65958</v>
      </c>
      <c r="B803" s="8">
        <f>CHOOSE( CONTROL!$C$32, 26.0521, 26.0498) * CHOOSE(CONTROL!$C$15, $D$11, 100%, $F$11)</f>
        <v>26.052099999999999</v>
      </c>
      <c r="C803" s="8">
        <f>CHOOSE( CONTROL!$C$32, 26.0602, 26.0579) * CHOOSE(CONTROL!$C$15, $D$11, 100%, $F$11)</f>
        <v>26.060199999999998</v>
      </c>
      <c r="D803" s="8">
        <f>CHOOSE( CONTROL!$C$32, 26.0859, 26.0835) * CHOOSE( CONTROL!$C$15, $D$11, 100%, $F$11)</f>
        <v>26.085899999999999</v>
      </c>
      <c r="E803" s="12">
        <f>CHOOSE( CONTROL!$C$32, 26.0754, 26.073) * CHOOSE( CONTROL!$C$15, $D$11, 100%, $F$11)</f>
        <v>26.075399999999998</v>
      </c>
      <c r="F803" s="4">
        <f>CHOOSE( CONTROL!$C$32, 26.7656, 26.7632) * CHOOSE(CONTROL!$C$15, $D$11, 100%, $F$11)</f>
        <v>26.765599999999999</v>
      </c>
      <c r="G803" s="8">
        <f>CHOOSE( CONTROL!$C$32, 25.4292, 25.4269) * CHOOSE( CONTROL!$C$15, $D$11, 100%, $F$11)</f>
        <v>25.429200000000002</v>
      </c>
      <c r="H803" s="4">
        <f>CHOOSE( CONTROL!$C$32, 26.3768, 26.3745) * CHOOSE(CONTROL!$C$15, $D$11, 100%, $F$11)</f>
        <v>26.376799999999999</v>
      </c>
      <c r="I803" s="8">
        <f>CHOOSE( CONTROL!$C$32, 25.1079, 25.1056) * CHOOSE(CONTROL!$C$15, $D$11, 100%, $F$11)</f>
        <v>25.107900000000001</v>
      </c>
      <c r="J803" s="4">
        <f>CHOOSE( CONTROL!$C$32, 24.9834, 24.9812) * CHOOSE(CONTROL!$C$15, $D$11, 100%, $F$11)</f>
        <v>24.9834</v>
      </c>
      <c r="K803" s="4"/>
      <c r="L803" s="9">
        <v>30.7165</v>
      </c>
      <c r="M803" s="9">
        <v>12.063700000000001</v>
      </c>
      <c r="N803" s="9">
        <v>4.9444999999999997</v>
      </c>
      <c r="O803" s="9">
        <v>0.37409999999999999</v>
      </c>
      <c r="P803" s="9">
        <v>1.2183999999999999</v>
      </c>
      <c r="Q803" s="9">
        <v>19.688099999999999</v>
      </c>
      <c r="R803" s="9"/>
      <c r="S803" s="11"/>
    </row>
    <row r="804" spans="1:19" ht="15.75">
      <c r="A804" s="13">
        <v>65989</v>
      </c>
      <c r="B804" s="8">
        <f>CHOOSE( CONTROL!$C$32, 24.0436, 24.0413) * CHOOSE(CONTROL!$C$15, $D$11, 100%, $F$11)</f>
        <v>24.043600000000001</v>
      </c>
      <c r="C804" s="8">
        <f>CHOOSE( CONTROL!$C$32, 24.0517, 24.0494) * CHOOSE(CONTROL!$C$15, $D$11, 100%, $F$11)</f>
        <v>24.0517</v>
      </c>
      <c r="D804" s="8">
        <f>CHOOSE( CONTROL!$C$32, 24.0775, 24.0751) * CHOOSE( CONTROL!$C$15, $D$11, 100%, $F$11)</f>
        <v>24.077500000000001</v>
      </c>
      <c r="E804" s="12">
        <f>CHOOSE( CONTROL!$C$32, 24.0669, 24.0646) * CHOOSE( CONTROL!$C$15, $D$11, 100%, $F$11)</f>
        <v>24.0669</v>
      </c>
      <c r="F804" s="4">
        <f>CHOOSE( CONTROL!$C$32, 24.7571, 24.7547) * CHOOSE(CONTROL!$C$15, $D$11, 100%, $F$11)</f>
        <v>24.757100000000001</v>
      </c>
      <c r="G804" s="8">
        <f>CHOOSE( CONTROL!$C$32, 23.4676, 23.4653) * CHOOSE( CONTROL!$C$15, $D$11, 100%, $F$11)</f>
        <v>23.467600000000001</v>
      </c>
      <c r="H804" s="4">
        <f>CHOOSE( CONTROL!$C$32, 24.4151, 24.4128) * CHOOSE(CONTROL!$C$15, $D$11, 100%, $F$11)</f>
        <v>24.415099999999999</v>
      </c>
      <c r="I804" s="8">
        <f>CHOOSE( CONTROL!$C$32, 23.1789, 23.1767) * CHOOSE(CONTROL!$C$15, $D$11, 100%, $F$11)</f>
        <v>23.178899999999999</v>
      </c>
      <c r="J804" s="4">
        <f>CHOOSE( CONTROL!$C$32, 23.0551, 23.0528) * CHOOSE(CONTROL!$C$15, $D$11, 100%, $F$11)</f>
        <v>23.055099999999999</v>
      </c>
      <c r="K804" s="4"/>
      <c r="L804" s="9">
        <v>30.7165</v>
      </c>
      <c r="M804" s="9">
        <v>12.063700000000001</v>
      </c>
      <c r="N804" s="9">
        <v>4.9444999999999997</v>
      </c>
      <c r="O804" s="9">
        <v>0.37409999999999999</v>
      </c>
      <c r="P804" s="9">
        <v>1.2183999999999999</v>
      </c>
      <c r="Q804" s="9">
        <v>19.688099999999999</v>
      </c>
      <c r="R804" s="9"/>
      <c r="S804" s="11"/>
    </row>
    <row r="805" spans="1:19" ht="15.75">
      <c r="A805" s="13">
        <v>66019</v>
      </c>
      <c r="B805" s="8">
        <f>CHOOSE( CONTROL!$C$32, 23.5407, 23.5383) * CHOOSE(CONTROL!$C$15, $D$11, 100%, $F$11)</f>
        <v>23.540700000000001</v>
      </c>
      <c r="C805" s="8">
        <f>CHOOSE( CONTROL!$C$32, 23.5488, 23.5464) * CHOOSE(CONTROL!$C$15, $D$11, 100%, $F$11)</f>
        <v>23.5488</v>
      </c>
      <c r="D805" s="8">
        <f>CHOOSE( CONTROL!$C$32, 23.5745, 23.5721) * CHOOSE( CONTROL!$C$15, $D$11, 100%, $F$11)</f>
        <v>23.5745</v>
      </c>
      <c r="E805" s="12">
        <f>CHOOSE( CONTROL!$C$32, 23.564, 23.5616) * CHOOSE( CONTROL!$C$15, $D$11, 100%, $F$11)</f>
        <v>23.564</v>
      </c>
      <c r="F805" s="4">
        <f>CHOOSE( CONTROL!$C$32, 24.2541, 24.2518) * CHOOSE(CONTROL!$C$15, $D$11, 100%, $F$11)</f>
        <v>24.254100000000001</v>
      </c>
      <c r="G805" s="8">
        <f>CHOOSE( CONTROL!$C$32, 22.9763, 22.974) * CHOOSE( CONTROL!$C$15, $D$11, 100%, $F$11)</f>
        <v>22.976299999999998</v>
      </c>
      <c r="H805" s="4">
        <f>CHOOSE( CONTROL!$C$32, 23.9239, 23.9216) * CHOOSE(CONTROL!$C$15, $D$11, 100%, $F$11)</f>
        <v>23.9239</v>
      </c>
      <c r="I805" s="8">
        <f>CHOOSE( CONTROL!$C$32, 22.6957, 22.6934) * CHOOSE(CONTROL!$C$15, $D$11, 100%, $F$11)</f>
        <v>22.695699999999999</v>
      </c>
      <c r="J805" s="4">
        <f>CHOOSE( CONTROL!$C$32, 22.5722, 22.5699) * CHOOSE(CONTROL!$C$15, $D$11, 100%, $F$11)</f>
        <v>22.572199999999999</v>
      </c>
      <c r="K805" s="4"/>
      <c r="L805" s="9">
        <v>29.7257</v>
      </c>
      <c r="M805" s="9">
        <v>11.6745</v>
      </c>
      <c r="N805" s="9">
        <v>4.7850000000000001</v>
      </c>
      <c r="O805" s="9">
        <v>0.36199999999999999</v>
      </c>
      <c r="P805" s="9">
        <v>1.1791</v>
      </c>
      <c r="Q805" s="9">
        <v>19.053000000000001</v>
      </c>
      <c r="R805" s="9"/>
      <c r="S805" s="11"/>
    </row>
    <row r="806" spans="1:19" ht="15.75">
      <c r="A806" s="13">
        <v>66050</v>
      </c>
      <c r="B806" s="8">
        <f>24.5809 * CHOOSE(CONTROL!$C$15, $D$11, 100%, $F$11)</f>
        <v>24.5809</v>
      </c>
      <c r="C806" s="8">
        <f>24.5864 * CHOOSE(CONTROL!$C$15, $D$11, 100%, $F$11)</f>
        <v>24.586400000000001</v>
      </c>
      <c r="D806" s="8">
        <f>24.6171 * CHOOSE( CONTROL!$C$15, $D$11, 100%, $F$11)</f>
        <v>24.617100000000001</v>
      </c>
      <c r="E806" s="12">
        <f>24.6064 * CHOOSE( CONTROL!$C$15, $D$11, 100%, $F$11)</f>
        <v>24.606400000000001</v>
      </c>
      <c r="F806" s="4">
        <f>25.2961 * CHOOSE(CONTROL!$C$15, $D$11, 100%, $F$11)</f>
        <v>25.296099999999999</v>
      </c>
      <c r="G806" s="8">
        <f>23.9938 * CHOOSE( CONTROL!$C$15, $D$11, 100%, $F$11)</f>
        <v>23.9938</v>
      </c>
      <c r="H806" s="4">
        <f>24.9415 * CHOOSE(CONTROL!$C$15, $D$11, 100%, $F$11)</f>
        <v>24.941500000000001</v>
      </c>
      <c r="I806" s="8">
        <f>23.6974 * CHOOSE(CONTROL!$C$15, $D$11, 100%, $F$11)</f>
        <v>23.697399999999998</v>
      </c>
      <c r="J806" s="4">
        <f>23.5726 * CHOOSE(CONTROL!$C$15, $D$11, 100%, $F$11)</f>
        <v>23.572600000000001</v>
      </c>
      <c r="K806" s="4"/>
      <c r="L806" s="9">
        <v>31.095300000000002</v>
      </c>
      <c r="M806" s="9">
        <v>12.063700000000001</v>
      </c>
      <c r="N806" s="9">
        <v>4.9444999999999997</v>
      </c>
      <c r="O806" s="9">
        <v>0.37409999999999999</v>
      </c>
      <c r="P806" s="9">
        <v>1.2183999999999999</v>
      </c>
      <c r="Q806" s="9">
        <v>19.688099999999999</v>
      </c>
      <c r="R806" s="9"/>
      <c r="S806" s="11"/>
    </row>
    <row r="807" spans="1:19" ht="15.75">
      <c r="A807" s="13">
        <v>66080</v>
      </c>
      <c r="B807" s="8">
        <f>26.5081 * CHOOSE(CONTROL!$C$15, $D$11, 100%, $F$11)</f>
        <v>26.508099999999999</v>
      </c>
      <c r="C807" s="8">
        <f>26.5133 * CHOOSE(CONTROL!$C$15, $D$11, 100%, $F$11)</f>
        <v>26.513300000000001</v>
      </c>
      <c r="D807" s="8">
        <f>26.4963 * CHOOSE( CONTROL!$C$15, $D$11, 100%, $F$11)</f>
        <v>26.496300000000002</v>
      </c>
      <c r="E807" s="12">
        <f>26.502 * CHOOSE( CONTROL!$C$15, $D$11, 100%, $F$11)</f>
        <v>26.501999999999999</v>
      </c>
      <c r="F807" s="4">
        <f>27.1585 * CHOOSE(CONTROL!$C$15, $D$11, 100%, $F$11)</f>
        <v>27.1585</v>
      </c>
      <c r="G807" s="8">
        <f>25.8826 * CHOOSE( CONTROL!$C$15, $D$11, 100%, $F$11)</f>
        <v>25.8826</v>
      </c>
      <c r="H807" s="4">
        <f>26.7606 * CHOOSE(CONTROL!$C$15, $D$11, 100%, $F$11)</f>
        <v>26.7606</v>
      </c>
      <c r="I807" s="8">
        <f>25.5908 * CHOOSE(CONTROL!$C$15, $D$11, 100%, $F$11)</f>
        <v>25.590800000000002</v>
      </c>
      <c r="J807" s="4">
        <f>25.4232 * CHOOSE(CONTROL!$C$15, $D$11, 100%, $F$11)</f>
        <v>25.423200000000001</v>
      </c>
      <c r="K807" s="4"/>
      <c r="L807" s="9">
        <v>28.360600000000002</v>
      </c>
      <c r="M807" s="9">
        <v>11.6745</v>
      </c>
      <c r="N807" s="9">
        <v>4.7850000000000001</v>
      </c>
      <c r="O807" s="9">
        <v>0.36199999999999999</v>
      </c>
      <c r="P807" s="9">
        <v>1.2509999999999999</v>
      </c>
      <c r="Q807" s="9">
        <v>19.053000000000001</v>
      </c>
      <c r="R807" s="9"/>
      <c r="S807" s="11"/>
    </row>
    <row r="808" spans="1:19" ht="15.75">
      <c r="A808" s="13">
        <v>66111</v>
      </c>
      <c r="B808" s="8">
        <f>26.4599 * CHOOSE(CONTROL!$C$15, $D$11, 100%, $F$11)</f>
        <v>26.459900000000001</v>
      </c>
      <c r="C808" s="8">
        <f>26.4651 * CHOOSE(CONTROL!$C$15, $D$11, 100%, $F$11)</f>
        <v>26.4651</v>
      </c>
      <c r="D808" s="8">
        <f>26.4496 * CHOOSE( CONTROL!$C$15, $D$11, 100%, $F$11)</f>
        <v>26.4496</v>
      </c>
      <c r="E808" s="12">
        <f>26.4547 * CHOOSE( CONTROL!$C$15, $D$11, 100%, $F$11)</f>
        <v>26.454699999999999</v>
      </c>
      <c r="F808" s="4">
        <f>27.1104 * CHOOSE(CONTROL!$C$15, $D$11, 100%, $F$11)</f>
        <v>27.110399999999998</v>
      </c>
      <c r="G808" s="8">
        <f>25.8367 * CHOOSE( CONTROL!$C$15, $D$11, 100%, $F$11)</f>
        <v>25.8367</v>
      </c>
      <c r="H808" s="4">
        <f>26.7136 * CHOOSE(CONTROL!$C$15, $D$11, 100%, $F$11)</f>
        <v>26.7136</v>
      </c>
      <c r="I808" s="8">
        <f>25.5493 * CHOOSE(CONTROL!$C$15, $D$11, 100%, $F$11)</f>
        <v>25.549299999999999</v>
      </c>
      <c r="J808" s="4">
        <f>25.377 * CHOOSE(CONTROL!$C$15, $D$11, 100%, $F$11)</f>
        <v>25.376999999999999</v>
      </c>
      <c r="K808" s="4"/>
      <c r="L808" s="9">
        <v>29.306000000000001</v>
      </c>
      <c r="M808" s="9">
        <v>12.063700000000001</v>
      </c>
      <c r="N808" s="9">
        <v>4.9444999999999997</v>
      </c>
      <c r="O808" s="9">
        <v>0.37409999999999999</v>
      </c>
      <c r="P808" s="9">
        <v>1.2927</v>
      </c>
      <c r="Q808" s="9">
        <v>19.688099999999999</v>
      </c>
      <c r="R808" s="9"/>
      <c r="S808" s="11"/>
    </row>
    <row r="809" spans="1:19" ht="15.75">
      <c r="A809" s="13">
        <v>66142</v>
      </c>
      <c r="B809" s="8">
        <f>27.2396 * CHOOSE(CONTROL!$C$15, $D$11, 100%, $F$11)</f>
        <v>27.239599999999999</v>
      </c>
      <c r="C809" s="8">
        <f>27.2448 * CHOOSE(CONTROL!$C$15, $D$11, 100%, $F$11)</f>
        <v>27.244800000000001</v>
      </c>
      <c r="D809" s="8">
        <f>27.2249 * CHOOSE( CONTROL!$C$15, $D$11, 100%, $F$11)</f>
        <v>27.224900000000002</v>
      </c>
      <c r="E809" s="12">
        <f>27.2316 * CHOOSE( CONTROL!$C$15, $D$11, 100%, $F$11)</f>
        <v>27.2316</v>
      </c>
      <c r="F809" s="4">
        <f>27.89 * CHOOSE(CONTROL!$C$15, $D$11, 100%, $F$11)</f>
        <v>27.89</v>
      </c>
      <c r="G809" s="8">
        <f>26.5889 * CHOOSE( CONTROL!$C$15, $D$11, 100%, $F$11)</f>
        <v>26.588899999999999</v>
      </c>
      <c r="H809" s="4">
        <f>27.4751 * CHOOSE(CONTROL!$C$15, $D$11, 100%, $F$11)</f>
        <v>27.475100000000001</v>
      </c>
      <c r="I809" s="8">
        <f>26.2573 * CHOOSE(CONTROL!$C$15, $D$11, 100%, $F$11)</f>
        <v>26.257300000000001</v>
      </c>
      <c r="J809" s="4">
        <f>26.1255 * CHOOSE(CONTROL!$C$15, $D$11, 100%, $F$11)</f>
        <v>26.125499999999999</v>
      </c>
      <c r="K809" s="4"/>
      <c r="L809" s="9">
        <v>29.306000000000001</v>
      </c>
      <c r="M809" s="9">
        <v>12.063700000000001</v>
      </c>
      <c r="N809" s="9">
        <v>4.9444999999999997</v>
      </c>
      <c r="O809" s="9">
        <v>0.37409999999999999</v>
      </c>
      <c r="P809" s="9">
        <v>1.2927</v>
      </c>
      <c r="Q809" s="9">
        <v>19.688099999999999</v>
      </c>
      <c r="R809" s="9"/>
      <c r="S809" s="11"/>
    </row>
    <row r="810" spans="1:19" ht="15.75">
      <c r="A810" s="13">
        <v>66170</v>
      </c>
      <c r="B810" s="8">
        <f>25.4804 * CHOOSE(CONTROL!$C$15, $D$11, 100%, $F$11)</f>
        <v>25.480399999999999</v>
      </c>
      <c r="C810" s="8">
        <f>25.4856 * CHOOSE(CONTROL!$C$15, $D$11, 100%, $F$11)</f>
        <v>25.485600000000002</v>
      </c>
      <c r="D810" s="8">
        <f>25.4657 * CHOOSE( CONTROL!$C$15, $D$11, 100%, $F$11)</f>
        <v>25.465699999999998</v>
      </c>
      <c r="E810" s="12">
        <f>25.4724 * CHOOSE( CONTROL!$C$15, $D$11, 100%, $F$11)</f>
        <v>25.4724</v>
      </c>
      <c r="F810" s="4">
        <f>26.1309 * CHOOSE(CONTROL!$C$15, $D$11, 100%, $F$11)</f>
        <v>26.1309</v>
      </c>
      <c r="G810" s="8">
        <f>24.8707 * CHOOSE( CONTROL!$C$15, $D$11, 100%, $F$11)</f>
        <v>24.870699999999999</v>
      </c>
      <c r="H810" s="4">
        <f>25.7569 * CHOOSE(CONTROL!$C$15, $D$11, 100%, $F$11)</f>
        <v>25.756900000000002</v>
      </c>
      <c r="I810" s="8">
        <f>24.5673 * CHOOSE(CONTROL!$C$15, $D$11, 100%, $F$11)</f>
        <v>24.567299999999999</v>
      </c>
      <c r="J810" s="4">
        <f>24.4366 * CHOOSE(CONTROL!$C$15, $D$11, 100%, $F$11)</f>
        <v>24.436599999999999</v>
      </c>
      <c r="K810" s="4"/>
      <c r="L810" s="9">
        <v>26.469899999999999</v>
      </c>
      <c r="M810" s="9">
        <v>10.8962</v>
      </c>
      <c r="N810" s="9">
        <v>4.4660000000000002</v>
      </c>
      <c r="O810" s="9">
        <v>0.33789999999999998</v>
      </c>
      <c r="P810" s="9">
        <v>1.1676</v>
      </c>
      <c r="Q810" s="9">
        <v>17.782800000000002</v>
      </c>
      <c r="R810" s="9"/>
      <c r="S810" s="11"/>
    </row>
    <row r="811" spans="1:19" ht="15.75">
      <c r="A811" s="13">
        <v>66201</v>
      </c>
      <c r="B811" s="8">
        <f>24.9386 * CHOOSE(CONTROL!$C$15, $D$11, 100%, $F$11)</f>
        <v>24.938600000000001</v>
      </c>
      <c r="C811" s="8">
        <f>24.9438 * CHOOSE(CONTROL!$C$15, $D$11, 100%, $F$11)</f>
        <v>24.9438</v>
      </c>
      <c r="D811" s="8">
        <f>24.9236 * CHOOSE( CONTROL!$C$15, $D$11, 100%, $F$11)</f>
        <v>24.9236</v>
      </c>
      <c r="E811" s="12">
        <f>24.9304 * CHOOSE( CONTROL!$C$15, $D$11, 100%, $F$11)</f>
        <v>24.930399999999999</v>
      </c>
      <c r="F811" s="4">
        <f>25.5891 * CHOOSE(CONTROL!$C$15, $D$11, 100%, $F$11)</f>
        <v>25.589099999999998</v>
      </c>
      <c r="G811" s="8">
        <f>24.3412 * CHOOSE( CONTROL!$C$15, $D$11, 100%, $F$11)</f>
        <v>24.341200000000001</v>
      </c>
      <c r="H811" s="4">
        <f>25.2277 * CHOOSE(CONTROL!$C$15, $D$11, 100%, $F$11)</f>
        <v>25.227699999999999</v>
      </c>
      <c r="I811" s="8">
        <f>24.0458 * CHOOSE(CONTROL!$C$15, $D$11, 100%, $F$11)</f>
        <v>24.0458</v>
      </c>
      <c r="J811" s="4">
        <f>23.9164 * CHOOSE(CONTROL!$C$15, $D$11, 100%, $F$11)</f>
        <v>23.916399999999999</v>
      </c>
      <c r="K811" s="4"/>
      <c r="L811" s="9">
        <v>29.306000000000001</v>
      </c>
      <c r="M811" s="9">
        <v>12.063700000000001</v>
      </c>
      <c r="N811" s="9">
        <v>4.9444999999999997</v>
      </c>
      <c r="O811" s="9">
        <v>0.37409999999999999</v>
      </c>
      <c r="P811" s="9">
        <v>1.2927</v>
      </c>
      <c r="Q811" s="9">
        <v>19.688099999999999</v>
      </c>
      <c r="R811" s="9"/>
      <c r="S811" s="11"/>
    </row>
    <row r="812" spans="1:19" ht="15.75">
      <c r="A812" s="13">
        <v>66231</v>
      </c>
      <c r="B812" s="8">
        <f>25.318 * CHOOSE(CONTROL!$C$15, $D$11, 100%, $F$11)</f>
        <v>25.318000000000001</v>
      </c>
      <c r="C812" s="8">
        <f>25.3226 * CHOOSE(CONTROL!$C$15, $D$11, 100%, $F$11)</f>
        <v>25.322600000000001</v>
      </c>
      <c r="D812" s="8">
        <f>25.3531 * CHOOSE( CONTROL!$C$15, $D$11, 100%, $F$11)</f>
        <v>25.353100000000001</v>
      </c>
      <c r="E812" s="12">
        <f>25.3425 * CHOOSE( CONTROL!$C$15, $D$11, 100%, $F$11)</f>
        <v>25.342500000000001</v>
      </c>
      <c r="F812" s="4">
        <f>26.0328 * CHOOSE(CONTROL!$C$15, $D$11, 100%, $F$11)</f>
        <v>26.032800000000002</v>
      </c>
      <c r="G812" s="8">
        <f>24.7122 * CHOOSE( CONTROL!$C$15, $D$11, 100%, $F$11)</f>
        <v>24.712199999999999</v>
      </c>
      <c r="H812" s="4">
        <f>25.6611 * CHOOSE(CONTROL!$C$15, $D$11, 100%, $F$11)</f>
        <v>25.661100000000001</v>
      </c>
      <c r="I812" s="8">
        <f>24.4015 * CHOOSE(CONTROL!$C$15, $D$11, 100%, $F$11)</f>
        <v>24.401499999999999</v>
      </c>
      <c r="J812" s="4">
        <f>24.2799 * CHOOSE(CONTROL!$C$15, $D$11, 100%, $F$11)</f>
        <v>24.279900000000001</v>
      </c>
      <c r="K812" s="4"/>
      <c r="L812" s="9">
        <v>30.092199999999998</v>
      </c>
      <c r="M812" s="9">
        <v>11.6745</v>
      </c>
      <c r="N812" s="9">
        <v>4.7850000000000001</v>
      </c>
      <c r="O812" s="9">
        <v>0.36199999999999999</v>
      </c>
      <c r="P812" s="9">
        <v>1.1791</v>
      </c>
      <c r="Q812" s="9">
        <v>19.053000000000001</v>
      </c>
      <c r="R812" s="9"/>
      <c r="S812" s="11"/>
    </row>
    <row r="813" spans="1:19" ht="15.75">
      <c r="A813" s="13">
        <v>66262</v>
      </c>
      <c r="B813" s="8">
        <f>CHOOSE( CONTROL!$C$32, 25.9955, 25.9932) * CHOOSE(CONTROL!$C$15, $D$11, 100%, $F$11)</f>
        <v>25.9955</v>
      </c>
      <c r="C813" s="8">
        <f>CHOOSE( CONTROL!$C$32, 26.0036, 26.0013) * CHOOSE(CONTROL!$C$15, $D$11, 100%, $F$11)</f>
        <v>26.003599999999999</v>
      </c>
      <c r="D813" s="8">
        <f>CHOOSE( CONTROL!$C$32, 26.0288, 26.0265) * CHOOSE( CONTROL!$C$15, $D$11, 100%, $F$11)</f>
        <v>26.0288</v>
      </c>
      <c r="E813" s="12">
        <f>CHOOSE( CONTROL!$C$32, 26.0184, 26.0161) * CHOOSE( CONTROL!$C$15, $D$11, 100%, $F$11)</f>
        <v>26.0184</v>
      </c>
      <c r="F813" s="4">
        <f>CHOOSE( CONTROL!$C$32, 26.7089, 26.7066) * CHOOSE(CONTROL!$C$15, $D$11, 100%, $F$11)</f>
        <v>26.7089</v>
      </c>
      <c r="G813" s="8">
        <f>CHOOSE( CONTROL!$C$32, 25.3732, 25.3709) * CHOOSE( CONTROL!$C$15, $D$11, 100%, $F$11)</f>
        <v>25.373200000000001</v>
      </c>
      <c r="H813" s="4">
        <f>CHOOSE( CONTROL!$C$32, 26.3215, 26.3192) * CHOOSE(CONTROL!$C$15, $D$11, 100%, $F$11)</f>
        <v>26.3215</v>
      </c>
      <c r="I813" s="8">
        <f>CHOOSE( CONTROL!$C$32, 25.0513, 25.049) * CHOOSE(CONTROL!$C$15, $D$11, 100%, $F$11)</f>
        <v>25.051300000000001</v>
      </c>
      <c r="J813" s="4">
        <f>CHOOSE( CONTROL!$C$32, 24.9291, 24.9268) * CHOOSE(CONTROL!$C$15, $D$11, 100%, $F$11)</f>
        <v>24.929099999999998</v>
      </c>
      <c r="K813" s="4"/>
      <c r="L813" s="9">
        <v>30.7165</v>
      </c>
      <c r="M813" s="9">
        <v>12.063700000000001</v>
      </c>
      <c r="N813" s="9">
        <v>4.9444999999999997</v>
      </c>
      <c r="O813" s="9">
        <v>0.37409999999999999</v>
      </c>
      <c r="P813" s="9">
        <v>1.2183999999999999</v>
      </c>
      <c r="Q813" s="9">
        <v>19.688099999999999</v>
      </c>
      <c r="R813" s="9"/>
      <c r="S813" s="11"/>
    </row>
    <row r="814" spans="1:19" ht="15.75">
      <c r="A814" s="13">
        <v>66292</v>
      </c>
      <c r="B814" s="8">
        <f>CHOOSE( CONTROL!$C$32, 25.5781, 25.5757) * CHOOSE(CONTROL!$C$15, $D$11, 100%, $F$11)</f>
        <v>25.578099999999999</v>
      </c>
      <c r="C814" s="8">
        <f>CHOOSE( CONTROL!$C$32, 25.5862, 25.5838) * CHOOSE(CONTROL!$C$15, $D$11, 100%, $F$11)</f>
        <v>25.586200000000002</v>
      </c>
      <c r="D814" s="8">
        <f>CHOOSE( CONTROL!$C$32, 25.6116, 25.6092) * CHOOSE( CONTROL!$C$15, $D$11, 100%, $F$11)</f>
        <v>25.611599999999999</v>
      </c>
      <c r="E814" s="12">
        <f>CHOOSE( CONTROL!$C$32, 25.6012, 25.5988) * CHOOSE( CONTROL!$C$15, $D$11, 100%, $F$11)</f>
        <v>25.601199999999999</v>
      </c>
      <c r="F814" s="4">
        <f>CHOOSE( CONTROL!$C$32, 26.2915, 26.2892) * CHOOSE(CONTROL!$C$15, $D$11, 100%, $F$11)</f>
        <v>26.291499999999999</v>
      </c>
      <c r="G814" s="8">
        <f>CHOOSE( CONTROL!$C$32, 24.9658, 24.9635) * CHOOSE( CONTROL!$C$15, $D$11, 100%, $F$11)</f>
        <v>24.965800000000002</v>
      </c>
      <c r="H814" s="4">
        <f>CHOOSE( CONTROL!$C$32, 25.9138, 25.9115) * CHOOSE(CONTROL!$C$15, $D$11, 100%, $F$11)</f>
        <v>25.913799999999998</v>
      </c>
      <c r="I814" s="8">
        <f>CHOOSE( CONTROL!$C$32, 24.6513, 24.6491) * CHOOSE(CONTROL!$C$15, $D$11, 100%, $F$11)</f>
        <v>24.651299999999999</v>
      </c>
      <c r="J814" s="4">
        <f>CHOOSE( CONTROL!$C$32, 24.5283, 24.5261) * CHOOSE(CONTROL!$C$15, $D$11, 100%, $F$11)</f>
        <v>24.528300000000002</v>
      </c>
      <c r="K814" s="4"/>
      <c r="L814" s="9">
        <v>29.7257</v>
      </c>
      <c r="M814" s="9">
        <v>11.6745</v>
      </c>
      <c r="N814" s="9">
        <v>4.7850000000000001</v>
      </c>
      <c r="O814" s="9">
        <v>0.36199999999999999</v>
      </c>
      <c r="P814" s="9">
        <v>1.1791</v>
      </c>
      <c r="Q814" s="9">
        <v>19.053000000000001</v>
      </c>
      <c r="R814" s="9"/>
      <c r="S814" s="11"/>
    </row>
    <row r="815" spans="1:19" ht="15.75">
      <c r="A815" s="13">
        <v>66323</v>
      </c>
      <c r="B815" s="8">
        <f>CHOOSE( CONTROL!$C$32, 26.6773, 26.675) * CHOOSE(CONTROL!$C$15, $D$11, 100%, $F$11)</f>
        <v>26.677299999999999</v>
      </c>
      <c r="C815" s="8">
        <f>CHOOSE( CONTROL!$C$32, 26.6854, 26.6831) * CHOOSE(CONTROL!$C$15, $D$11, 100%, $F$11)</f>
        <v>26.685400000000001</v>
      </c>
      <c r="D815" s="8">
        <f>CHOOSE( CONTROL!$C$32, 26.7111, 26.7087) * CHOOSE( CONTROL!$C$15, $D$11, 100%, $F$11)</f>
        <v>26.711099999999998</v>
      </c>
      <c r="E815" s="12">
        <f>CHOOSE( CONTROL!$C$32, 26.7006, 26.6982) * CHOOSE( CONTROL!$C$15, $D$11, 100%, $F$11)</f>
        <v>26.700600000000001</v>
      </c>
      <c r="F815" s="4">
        <f>CHOOSE( CONTROL!$C$32, 27.3908, 27.3884) * CHOOSE(CONTROL!$C$15, $D$11, 100%, $F$11)</f>
        <v>27.390799999999999</v>
      </c>
      <c r="G815" s="8">
        <f>CHOOSE( CONTROL!$C$32, 26.0398, 26.0375) * CHOOSE( CONTROL!$C$15, $D$11, 100%, $F$11)</f>
        <v>26.0398</v>
      </c>
      <c r="H815" s="4">
        <f>CHOOSE( CONTROL!$C$32, 26.9874, 26.9851) * CHOOSE(CONTROL!$C$15, $D$11, 100%, $F$11)</f>
        <v>26.987400000000001</v>
      </c>
      <c r="I815" s="8">
        <f>CHOOSE( CONTROL!$C$32, 25.7084, 25.7062) * CHOOSE(CONTROL!$C$15, $D$11, 100%, $F$11)</f>
        <v>25.708400000000001</v>
      </c>
      <c r="J815" s="4">
        <f>CHOOSE( CONTROL!$C$32, 25.5837, 25.5814) * CHOOSE(CONTROL!$C$15, $D$11, 100%, $F$11)</f>
        <v>25.5837</v>
      </c>
      <c r="K815" s="4"/>
      <c r="L815" s="9">
        <v>30.7165</v>
      </c>
      <c r="M815" s="9">
        <v>12.063700000000001</v>
      </c>
      <c r="N815" s="9">
        <v>4.9444999999999997</v>
      </c>
      <c r="O815" s="9">
        <v>0.37409999999999999</v>
      </c>
      <c r="P815" s="9">
        <v>1.2183999999999999</v>
      </c>
      <c r="Q815" s="9">
        <v>19.688099999999999</v>
      </c>
      <c r="R815" s="9"/>
      <c r="S815" s="11"/>
    </row>
    <row r="816" spans="1:19" ht="15.75">
      <c r="A816" s="13">
        <v>66354</v>
      </c>
      <c r="B816" s="8">
        <f>CHOOSE( CONTROL!$C$32, 24.6206, 24.6182) * CHOOSE(CONTROL!$C$15, $D$11, 100%, $F$11)</f>
        <v>24.6206</v>
      </c>
      <c r="C816" s="8">
        <f>CHOOSE( CONTROL!$C$32, 24.6286, 24.6263) * CHOOSE(CONTROL!$C$15, $D$11, 100%, $F$11)</f>
        <v>24.628599999999999</v>
      </c>
      <c r="D816" s="8">
        <f>CHOOSE( CONTROL!$C$32, 24.6544, 24.652) * CHOOSE( CONTROL!$C$15, $D$11, 100%, $F$11)</f>
        <v>24.654399999999999</v>
      </c>
      <c r="E816" s="12">
        <f>CHOOSE( CONTROL!$C$32, 24.6438, 24.6415) * CHOOSE( CONTROL!$C$15, $D$11, 100%, $F$11)</f>
        <v>24.643799999999999</v>
      </c>
      <c r="F816" s="4">
        <f>CHOOSE( CONTROL!$C$32, 25.334, 25.3316) * CHOOSE(CONTROL!$C$15, $D$11, 100%, $F$11)</f>
        <v>25.334</v>
      </c>
      <c r="G816" s="8">
        <f>CHOOSE( CONTROL!$C$32, 24.031, 24.0288) * CHOOSE( CONTROL!$C$15, $D$11, 100%, $F$11)</f>
        <v>24.030999999999999</v>
      </c>
      <c r="H816" s="4">
        <f>CHOOSE( CONTROL!$C$32, 24.9786, 24.9763) * CHOOSE(CONTROL!$C$15, $D$11, 100%, $F$11)</f>
        <v>24.9786</v>
      </c>
      <c r="I816" s="8">
        <f>CHOOSE( CONTROL!$C$32, 23.7331, 23.7308) * CHOOSE(CONTROL!$C$15, $D$11, 100%, $F$11)</f>
        <v>23.7331</v>
      </c>
      <c r="J816" s="4">
        <f>CHOOSE( CONTROL!$C$32, 23.609, 23.6067) * CHOOSE(CONTROL!$C$15, $D$11, 100%, $F$11)</f>
        <v>23.609000000000002</v>
      </c>
      <c r="K816" s="4"/>
      <c r="L816" s="9">
        <v>30.7165</v>
      </c>
      <c r="M816" s="9">
        <v>12.063700000000001</v>
      </c>
      <c r="N816" s="9">
        <v>4.9444999999999997</v>
      </c>
      <c r="O816" s="9">
        <v>0.37409999999999999</v>
      </c>
      <c r="P816" s="9">
        <v>1.2183999999999999</v>
      </c>
      <c r="Q816" s="9">
        <v>19.688099999999999</v>
      </c>
      <c r="R816" s="9"/>
      <c r="S816" s="11"/>
    </row>
    <row r="817" spans="1:19" ht="15.75">
      <c r="A817" s="13">
        <v>66384</v>
      </c>
      <c r="B817" s="8">
        <f>CHOOSE( CONTROL!$C$32, 24.1055, 24.1032) * CHOOSE(CONTROL!$C$15, $D$11, 100%, $F$11)</f>
        <v>24.105499999999999</v>
      </c>
      <c r="C817" s="8">
        <f>CHOOSE( CONTROL!$C$32, 24.1136, 24.1113) * CHOOSE(CONTROL!$C$15, $D$11, 100%, $F$11)</f>
        <v>24.113600000000002</v>
      </c>
      <c r="D817" s="8">
        <f>CHOOSE( CONTROL!$C$32, 24.1393, 24.137) * CHOOSE( CONTROL!$C$15, $D$11, 100%, $F$11)</f>
        <v>24.139299999999999</v>
      </c>
      <c r="E817" s="12">
        <f>CHOOSE( CONTROL!$C$32, 24.1288, 24.1265) * CHOOSE( CONTROL!$C$15, $D$11, 100%, $F$11)</f>
        <v>24.128799999999998</v>
      </c>
      <c r="F817" s="4">
        <f>CHOOSE( CONTROL!$C$32, 24.819, 24.8166) * CHOOSE(CONTROL!$C$15, $D$11, 100%, $F$11)</f>
        <v>24.818999999999999</v>
      </c>
      <c r="G817" s="8">
        <f>CHOOSE( CONTROL!$C$32, 23.528, 23.5257) * CHOOSE( CONTROL!$C$15, $D$11, 100%, $F$11)</f>
        <v>23.527999999999999</v>
      </c>
      <c r="H817" s="4">
        <f>CHOOSE( CONTROL!$C$32, 24.4755, 24.4732) * CHOOSE(CONTROL!$C$15, $D$11, 100%, $F$11)</f>
        <v>24.4755</v>
      </c>
      <c r="I817" s="8">
        <f>CHOOSE( CONTROL!$C$32, 23.2382, 23.236) * CHOOSE(CONTROL!$C$15, $D$11, 100%, $F$11)</f>
        <v>23.238199999999999</v>
      </c>
      <c r="J817" s="4">
        <f>CHOOSE( CONTROL!$C$32, 23.1145, 23.1122) * CHOOSE(CONTROL!$C$15, $D$11, 100%, $F$11)</f>
        <v>23.1145</v>
      </c>
      <c r="K817" s="4"/>
      <c r="L817" s="9">
        <v>29.7257</v>
      </c>
      <c r="M817" s="9">
        <v>11.6745</v>
      </c>
      <c r="N817" s="9">
        <v>4.7850000000000001</v>
      </c>
      <c r="O817" s="9">
        <v>0.36199999999999999</v>
      </c>
      <c r="P817" s="9">
        <v>1.1791</v>
      </c>
      <c r="Q817" s="9">
        <v>19.053000000000001</v>
      </c>
      <c r="R817" s="9"/>
      <c r="S817" s="11"/>
    </row>
    <row r="818" spans="1:19" ht="15.75">
      <c r="A818" s="13">
        <v>66415</v>
      </c>
      <c r="B818" s="8">
        <f>25.1708 * CHOOSE(CONTROL!$C$15, $D$11, 100%, $F$11)</f>
        <v>25.1708</v>
      </c>
      <c r="C818" s="8">
        <f>25.1763 * CHOOSE(CONTROL!$C$15, $D$11, 100%, $F$11)</f>
        <v>25.176300000000001</v>
      </c>
      <c r="D818" s="8">
        <f>25.2071 * CHOOSE( CONTROL!$C$15, $D$11, 100%, $F$11)</f>
        <v>25.207100000000001</v>
      </c>
      <c r="E818" s="12">
        <f>25.1963 * CHOOSE( CONTROL!$C$15, $D$11, 100%, $F$11)</f>
        <v>25.196300000000001</v>
      </c>
      <c r="F818" s="4">
        <f>25.886 * CHOOSE(CONTROL!$C$15, $D$11, 100%, $F$11)</f>
        <v>25.885999999999999</v>
      </c>
      <c r="G818" s="8">
        <f>24.5699 * CHOOSE( CONTROL!$C$15, $D$11, 100%, $F$11)</f>
        <v>24.569900000000001</v>
      </c>
      <c r="H818" s="4">
        <f>25.5177 * CHOOSE(CONTROL!$C$15, $D$11, 100%, $F$11)</f>
        <v>25.517700000000001</v>
      </c>
      <c r="I818" s="8">
        <f>24.2641 * CHOOSE(CONTROL!$C$15, $D$11, 100%, $F$11)</f>
        <v>24.264099999999999</v>
      </c>
      <c r="J818" s="4">
        <f>24.139 * CHOOSE(CONTROL!$C$15, $D$11, 100%, $F$11)</f>
        <v>24.138999999999999</v>
      </c>
      <c r="K818" s="4"/>
      <c r="L818" s="9">
        <v>31.095300000000002</v>
      </c>
      <c r="M818" s="9">
        <v>12.063700000000001</v>
      </c>
      <c r="N818" s="9">
        <v>4.9444999999999997</v>
      </c>
      <c r="O818" s="9">
        <v>0.37409999999999999</v>
      </c>
      <c r="P818" s="9">
        <v>1.2183999999999999</v>
      </c>
      <c r="Q818" s="9">
        <v>19.688099999999999</v>
      </c>
      <c r="R818" s="9"/>
      <c r="S818" s="11"/>
    </row>
    <row r="819" spans="1:19" ht="15.75">
      <c r="A819" s="13">
        <v>66445</v>
      </c>
      <c r="B819" s="8">
        <f>27.1443 * CHOOSE(CONTROL!$C$15, $D$11, 100%, $F$11)</f>
        <v>27.144300000000001</v>
      </c>
      <c r="C819" s="8">
        <f>27.1495 * CHOOSE(CONTROL!$C$15, $D$11, 100%, $F$11)</f>
        <v>27.1495</v>
      </c>
      <c r="D819" s="8">
        <f>27.1325 * CHOOSE( CONTROL!$C$15, $D$11, 100%, $F$11)</f>
        <v>27.1325</v>
      </c>
      <c r="E819" s="12">
        <f>27.1382 * CHOOSE( CONTROL!$C$15, $D$11, 100%, $F$11)</f>
        <v>27.138200000000001</v>
      </c>
      <c r="F819" s="4">
        <f>27.7948 * CHOOSE(CONTROL!$C$15, $D$11, 100%, $F$11)</f>
        <v>27.794799999999999</v>
      </c>
      <c r="G819" s="8">
        <f>26.504 * CHOOSE( CONTROL!$C$15, $D$11, 100%, $F$11)</f>
        <v>26.504000000000001</v>
      </c>
      <c r="H819" s="4">
        <f>27.382 * CHOOSE(CONTROL!$C$15, $D$11, 100%, $F$11)</f>
        <v>27.382000000000001</v>
      </c>
      <c r="I819" s="8">
        <f>26.202 * CHOOSE(CONTROL!$C$15, $D$11, 100%, $F$11)</f>
        <v>26.202000000000002</v>
      </c>
      <c r="J819" s="4">
        <f>26.0341 * CHOOSE(CONTROL!$C$15, $D$11, 100%, $F$11)</f>
        <v>26.034099999999999</v>
      </c>
      <c r="K819" s="4"/>
      <c r="L819" s="9">
        <v>28.360600000000002</v>
      </c>
      <c r="M819" s="9">
        <v>11.6745</v>
      </c>
      <c r="N819" s="9">
        <v>4.7850000000000001</v>
      </c>
      <c r="O819" s="9">
        <v>0.36199999999999999</v>
      </c>
      <c r="P819" s="9">
        <v>1.2509999999999999</v>
      </c>
      <c r="Q819" s="9">
        <v>19.053000000000001</v>
      </c>
      <c r="R819" s="9"/>
      <c r="S819" s="11"/>
    </row>
    <row r="820" spans="1:19" ht="15.75">
      <c r="A820" s="13">
        <v>66476</v>
      </c>
      <c r="B820" s="8">
        <f>27.095 * CHOOSE(CONTROL!$C$15, $D$11, 100%, $F$11)</f>
        <v>27.094999999999999</v>
      </c>
      <c r="C820" s="8">
        <f>27.1002 * CHOOSE(CONTROL!$C$15, $D$11, 100%, $F$11)</f>
        <v>27.100200000000001</v>
      </c>
      <c r="D820" s="8">
        <f>27.0847 * CHOOSE( CONTROL!$C$15, $D$11, 100%, $F$11)</f>
        <v>27.084700000000002</v>
      </c>
      <c r="E820" s="12">
        <f>27.0898 * CHOOSE( CONTROL!$C$15, $D$11, 100%, $F$11)</f>
        <v>27.0898</v>
      </c>
      <c r="F820" s="4">
        <f>27.7455 * CHOOSE(CONTROL!$C$15, $D$11, 100%, $F$11)</f>
        <v>27.7455</v>
      </c>
      <c r="G820" s="8">
        <f>26.457 * CHOOSE( CONTROL!$C$15, $D$11, 100%, $F$11)</f>
        <v>26.457000000000001</v>
      </c>
      <c r="H820" s="4">
        <f>27.3339 * CHOOSE(CONTROL!$C$15, $D$11, 100%, $F$11)</f>
        <v>27.3339</v>
      </c>
      <c r="I820" s="8">
        <f>26.1593 * CHOOSE(CONTROL!$C$15, $D$11, 100%, $F$11)</f>
        <v>26.159300000000002</v>
      </c>
      <c r="J820" s="4">
        <f>25.9867 * CHOOSE(CONTROL!$C$15, $D$11, 100%, $F$11)</f>
        <v>25.986699999999999</v>
      </c>
      <c r="K820" s="4"/>
      <c r="L820" s="9">
        <v>29.306000000000001</v>
      </c>
      <c r="M820" s="9">
        <v>12.063700000000001</v>
      </c>
      <c r="N820" s="9">
        <v>4.9444999999999997</v>
      </c>
      <c r="O820" s="9">
        <v>0.37409999999999999</v>
      </c>
      <c r="P820" s="9">
        <v>1.2927</v>
      </c>
      <c r="Q820" s="9">
        <v>19.688099999999999</v>
      </c>
      <c r="R820" s="9"/>
      <c r="S820" s="11"/>
    </row>
    <row r="821" spans="1:19" ht="15.75">
      <c r="A821" s="13">
        <v>66507</v>
      </c>
      <c r="B821" s="8">
        <f>27.8934 * CHOOSE(CONTROL!$C$15, $D$11, 100%, $F$11)</f>
        <v>27.8934</v>
      </c>
      <c r="C821" s="8">
        <f>27.8986 * CHOOSE(CONTROL!$C$15, $D$11, 100%, $F$11)</f>
        <v>27.898599999999998</v>
      </c>
      <c r="D821" s="8">
        <f>27.8787 * CHOOSE( CONTROL!$C$15, $D$11, 100%, $F$11)</f>
        <v>27.878699999999998</v>
      </c>
      <c r="E821" s="12">
        <f>27.8854 * CHOOSE( CONTROL!$C$15, $D$11, 100%, $F$11)</f>
        <v>27.885400000000001</v>
      </c>
      <c r="F821" s="4">
        <f>28.5439 * CHOOSE(CONTROL!$C$15, $D$11, 100%, $F$11)</f>
        <v>28.543900000000001</v>
      </c>
      <c r="G821" s="8">
        <f>27.2275 * CHOOSE( CONTROL!$C$15, $D$11, 100%, $F$11)</f>
        <v>27.227499999999999</v>
      </c>
      <c r="H821" s="4">
        <f>28.1137 * CHOOSE(CONTROL!$C$15, $D$11, 100%, $F$11)</f>
        <v>28.113700000000001</v>
      </c>
      <c r="I821" s="8">
        <f>26.8853 * CHOOSE(CONTROL!$C$15, $D$11, 100%, $F$11)</f>
        <v>26.885300000000001</v>
      </c>
      <c r="J821" s="4">
        <f>26.7533 * CHOOSE(CONTROL!$C$15, $D$11, 100%, $F$11)</f>
        <v>26.753299999999999</v>
      </c>
      <c r="K821" s="4"/>
      <c r="L821" s="9">
        <v>29.306000000000001</v>
      </c>
      <c r="M821" s="9">
        <v>12.063700000000001</v>
      </c>
      <c r="N821" s="9">
        <v>4.9444999999999997</v>
      </c>
      <c r="O821" s="9">
        <v>0.37409999999999999</v>
      </c>
      <c r="P821" s="9">
        <v>1.2927</v>
      </c>
      <c r="Q821" s="9">
        <v>19.688099999999999</v>
      </c>
      <c r="R821" s="9"/>
      <c r="S821" s="11"/>
    </row>
    <row r="822" spans="1:19" ht="15.75">
      <c r="A822" s="13">
        <v>66535</v>
      </c>
      <c r="B822" s="8">
        <f>26.092 * CHOOSE(CONTROL!$C$15, $D$11, 100%, $F$11)</f>
        <v>26.091999999999999</v>
      </c>
      <c r="C822" s="8">
        <f>26.0971 * CHOOSE(CONTROL!$C$15, $D$11, 100%, $F$11)</f>
        <v>26.097100000000001</v>
      </c>
      <c r="D822" s="8">
        <f>26.0773 * CHOOSE( CONTROL!$C$15, $D$11, 100%, $F$11)</f>
        <v>26.077300000000001</v>
      </c>
      <c r="E822" s="12">
        <f>26.084 * CHOOSE( CONTROL!$C$15, $D$11, 100%, $F$11)</f>
        <v>26.084</v>
      </c>
      <c r="F822" s="4">
        <f>26.7424 * CHOOSE(CONTROL!$C$15, $D$11, 100%, $F$11)</f>
        <v>26.7424</v>
      </c>
      <c r="G822" s="8">
        <f>25.468 * CHOOSE( CONTROL!$C$15, $D$11, 100%, $F$11)</f>
        <v>25.468</v>
      </c>
      <c r="H822" s="4">
        <f>26.3542 * CHOOSE(CONTROL!$C$15, $D$11, 100%, $F$11)</f>
        <v>26.354199999999999</v>
      </c>
      <c r="I822" s="8">
        <f>25.1548 * CHOOSE(CONTROL!$C$15, $D$11, 100%, $F$11)</f>
        <v>25.154800000000002</v>
      </c>
      <c r="J822" s="4">
        <f>25.0237 * CHOOSE(CONTROL!$C$15, $D$11, 100%, $F$11)</f>
        <v>25.023700000000002</v>
      </c>
      <c r="K822" s="4"/>
      <c r="L822" s="9">
        <v>26.469899999999999</v>
      </c>
      <c r="M822" s="9">
        <v>10.8962</v>
      </c>
      <c r="N822" s="9">
        <v>4.4660000000000002</v>
      </c>
      <c r="O822" s="9">
        <v>0.33789999999999998</v>
      </c>
      <c r="P822" s="9">
        <v>1.1676</v>
      </c>
      <c r="Q822" s="9">
        <v>17.782800000000002</v>
      </c>
      <c r="R822" s="9"/>
      <c r="S822" s="11"/>
    </row>
    <row r="823" spans="1:19" ht="15.75">
      <c r="A823" s="13">
        <v>66566</v>
      </c>
      <c r="B823" s="8">
        <f>25.5371 * CHOOSE(CONTROL!$C$15, $D$11, 100%, $F$11)</f>
        <v>25.537099999999999</v>
      </c>
      <c r="C823" s="8">
        <f>25.5423 * CHOOSE(CONTROL!$C$15, $D$11, 100%, $F$11)</f>
        <v>25.542300000000001</v>
      </c>
      <c r="D823" s="8">
        <f>25.5221 * CHOOSE( CONTROL!$C$15, $D$11, 100%, $F$11)</f>
        <v>25.522099999999998</v>
      </c>
      <c r="E823" s="12">
        <f>25.5289 * CHOOSE( CONTROL!$C$15, $D$11, 100%, $F$11)</f>
        <v>25.5289</v>
      </c>
      <c r="F823" s="4">
        <f>26.1876 * CHOOSE(CONTROL!$C$15, $D$11, 100%, $F$11)</f>
        <v>26.1876</v>
      </c>
      <c r="G823" s="8">
        <f>24.9258 * CHOOSE( CONTROL!$C$15, $D$11, 100%, $F$11)</f>
        <v>24.925799999999999</v>
      </c>
      <c r="H823" s="4">
        <f>25.8123 * CHOOSE(CONTROL!$C$15, $D$11, 100%, $F$11)</f>
        <v>25.8123</v>
      </c>
      <c r="I823" s="8">
        <f>24.6207 * CHOOSE(CONTROL!$C$15, $D$11, 100%, $F$11)</f>
        <v>24.620699999999999</v>
      </c>
      <c r="J823" s="4">
        <f>24.491 * CHOOSE(CONTROL!$C$15, $D$11, 100%, $F$11)</f>
        <v>24.491</v>
      </c>
      <c r="K823" s="4"/>
      <c r="L823" s="9">
        <v>29.306000000000001</v>
      </c>
      <c r="M823" s="9">
        <v>12.063700000000001</v>
      </c>
      <c r="N823" s="9">
        <v>4.9444999999999997</v>
      </c>
      <c r="O823" s="9">
        <v>0.37409999999999999</v>
      </c>
      <c r="P823" s="9">
        <v>1.2927</v>
      </c>
      <c r="Q823" s="9">
        <v>19.688099999999999</v>
      </c>
      <c r="R823" s="9"/>
      <c r="S823" s="11"/>
    </row>
    <row r="824" spans="1:19" ht="15.75">
      <c r="A824" s="13">
        <v>66596</v>
      </c>
      <c r="B824" s="8">
        <f>25.9256 * CHOOSE(CONTROL!$C$15, $D$11, 100%, $F$11)</f>
        <v>25.925599999999999</v>
      </c>
      <c r="C824" s="8">
        <f>25.9302 * CHOOSE(CONTROL!$C$15, $D$11, 100%, $F$11)</f>
        <v>25.930199999999999</v>
      </c>
      <c r="D824" s="8">
        <f>25.9607 * CHOOSE( CONTROL!$C$15, $D$11, 100%, $F$11)</f>
        <v>25.960699999999999</v>
      </c>
      <c r="E824" s="12">
        <f>25.9501 * CHOOSE( CONTROL!$C$15, $D$11, 100%, $F$11)</f>
        <v>25.950099999999999</v>
      </c>
      <c r="F824" s="4">
        <f>26.6404 * CHOOSE(CONTROL!$C$15, $D$11, 100%, $F$11)</f>
        <v>26.6404</v>
      </c>
      <c r="G824" s="8">
        <f>25.3056 * CHOOSE( CONTROL!$C$15, $D$11, 100%, $F$11)</f>
        <v>25.305599999999998</v>
      </c>
      <c r="H824" s="4">
        <f>26.2545 * CHOOSE(CONTROL!$C$15, $D$11, 100%, $F$11)</f>
        <v>26.2545</v>
      </c>
      <c r="I824" s="8">
        <f>24.9851 * CHOOSE(CONTROL!$C$15, $D$11, 100%, $F$11)</f>
        <v>24.985099999999999</v>
      </c>
      <c r="J824" s="4">
        <f>24.8632 * CHOOSE(CONTROL!$C$15, $D$11, 100%, $F$11)</f>
        <v>24.863199999999999</v>
      </c>
      <c r="K824" s="4"/>
      <c r="L824" s="9">
        <v>30.092199999999998</v>
      </c>
      <c r="M824" s="9">
        <v>11.6745</v>
      </c>
      <c r="N824" s="9">
        <v>4.7850000000000001</v>
      </c>
      <c r="O824" s="9">
        <v>0.36199999999999999</v>
      </c>
      <c r="P824" s="9">
        <v>1.1791</v>
      </c>
      <c r="Q824" s="9">
        <v>19.053000000000001</v>
      </c>
      <c r="R824" s="9"/>
      <c r="S824" s="11"/>
    </row>
    <row r="825" spans="1:19" ht="15.75">
      <c r="A825" s="13">
        <v>66627</v>
      </c>
      <c r="B825" s="8">
        <f>CHOOSE( CONTROL!$C$32, 26.6193, 26.617) * CHOOSE(CONTROL!$C$15, $D$11, 100%, $F$11)</f>
        <v>26.619299999999999</v>
      </c>
      <c r="C825" s="8">
        <f>CHOOSE( CONTROL!$C$32, 26.6274, 26.6251) * CHOOSE(CONTROL!$C$15, $D$11, 100%, $F$11)</f>
        <v>26.627400000000002</v>
      </c>
      <c r="D825" s="8">
        <f>CHOOSE( CONTROL!$C$32, 26.6526, 26.6503) * CHOOSE( CONTROL!$C$15, $D$11, 100%, $F$11)</f>
        <v>26.6526</v>
      </c>
      <c r="E825" s="12">
        <f>CHOOSE( CONTROL!$C$32, 26.6422, 26.6399) * CHOOSE( CONTROL!$C$15, $D$11, 100%, $F$11)</f>
        <v>26.642199999999999</v>
      </c>
      <c r="F825" s="4">
        <f>CHOOSE( CONTROL!$C$32, 27.3328, 27.3304) * CHOOSE(CONTROL!$C$15, $D$11, 100%, $F$11)</f>
        <v>27.332799999999999</v>
      </c>
      <c r="G825" s="8">
        <f>CHOOSE( CONTROL!$C$32, 25.9825, 25.9802) * CHOOSE( CONTROL!$C$15, $D$11, 100%, $F$11)</f>
        <v>25.982500000000002</v>
      </c>
      <c r="H825" s="4">
        <f>CHOOSE( CONTROL!$C$32, 26.9308, 26.9285) * CHOOSE(CONTROL!$C$15, $D$11, 100%, $F$11)</f>
        <v>26.930800000000001</v>
      </c>
      <c r="I825" s="8">
        <f>CHOOSE( CONTROL!$C$32, 25.6505, 25.6483) * CHOOSE(CONTROL!$C$15, $D$11, 100%, $F$11)</f>
        <v>25.650500000000001</v>
      </c>
      <c r="J825" s="4">
        <f>CHOOSE( CONTROL!$C$32, 25.528, 25.5257) * CHOOSE(CONTROL!$C$15, $D$11, 100%, $F$11)</f>
        <v>25.527999999999999</v>
      </c>
      <c r="K825" s="4"/>
      <c r="L825" s="9">
        <v>30.7165</v>
      </c>
      <c r="M825" s="9">
        <v>12.063700000000001</v>
      </c>
      <c r="N825" s="9">
        <v>4.9444999999999997</v>
      </c>
      <c r="O825" s="9">
        <v>0.37409999999999999</v>
      </c>
      <c r="P825" s="9">
        <v>1.2183999999999999</v>
      </c>
      <c r="Q825" s="9">
        <v>19.688099999999999</v>
      </c>
      <c r="R825" s="9"/>
      <c r="S825" s="11"/>
    </row>
    <row r="826" spans="1:19" ht="15.75">
      <c r="A826" s="13">
        <v>66657</v>
      </c>
      <c r="B826" s="8">
        <f>CHOOSE( CONTROL!$C$32, 26.1919, 26.1895) * CHOOSE(CONTROL!$C$15, $D$11, 100%, $F$11)</f>
        <v>26.1919</v>
      </c>
      <c r="C826" s="8">
        <f>CHOOSE( CONTROL!$C$32, 26.2, 26.1976) * CHOOSE(CONTROL!$C$15, $D$11, 100%, $F$11)</f>
        <v>26.2</v>
      </c>
      <c r="D826" s="8">
        <f>CHOOSE( CONTROL!$C$32, 26.2254, 26.223) * CHOOSE( CONTROL!$C$15, $D$11, 100%, $F$11)</f>
        <v>26.2254</v>
      </c>
      <c r="E826" s="12">
        <f>CHOOSE( CONTROL!$C$32, 26.215, 26.2126) * CHOOSE( CONTROL!$C$15, $D$11, 100%, $F$11)</f>
        <v>26.215</v>
      </c>
      <c r="F826" s="4">
        <f>CHOOSE( CONTROL!$C$32, 26.9053, 26.903) * CHOOSE(CONTROL!$C$15, $D$11, 100%, $F$11)</f>
        <v>26.9053</v>
      </c>
      <c r="G826" s="8">
        <f>CHOOSE( CONTROL!$C$32, 25.5653, 25.563) * CHOOSE( CONTROL!$C$15, $D$11, 100%, $F$11)</f>
        <v>25.565300000000001</v>
      </c>
      <c r="H826" s="4">
        <f>CHOOSE( CONTROL!$C$32, 26.5133, 26.511) * CHOOSE(CONTROL!$C$15, $D$11, 100%, $F$11)</f>
        <v>26.513300000000001</v>
      </c>
      <c r="I826" s="8">
        <f>CHOOSE( CONTROL!$C$32, 25.2409, 25.2386) * CHOOSE(CONTROL!$C$15, $D$11, 100%, $F$11)</f>
        <v>25.2409</v>
      </c>
      <c r="J826" s="4">
        <f>CHOOSE( CONTROL!$C$32, 25.1176, 25.1154) * CHOOSE(CONTROL!$C$15, $D$11, 100%, $F$11)</f>
        <v>25.117599999999999</v>
      </c>
      <c r="K826" s="4"/>
      <c r="L826" s="9">
        <v>29.7257</v>
      </c>
      <c r="M826" s="9">
        <v>11.6745</v>
      </c>
      <c r="N826" s="9">
        <v>4.7850000000000001</v>
      </c>
      <c r="O826" s="9">
        <v>0.36199999999999999</v>
      </c>
      <c r="P826" s="9">
        <v>1.1791</v>
      </c>
      <c r="Q826" s="9">
        <v>19.053000000000001</v>
      </c>
      <c r="R826" s="9"/>
      <c r="S826" s="11"/>
    </row>
    <row r="827" spans="1:19" ht="15.75">
      <c r="A827" s="13">
        <v>66688</v>
      </c>
      <c r="B827" s="8">
        <f>CHOOSE( CONTROL!$C$32, 27.3175, 27.3152) * CHOOSE(CONTROL!$C$15, $D$11, 100%, $F$11)</f>
        <v>27.317499999999999</v>
      </c>
      <c r="C827" s="8">
        <f>CHOOSE( CONTROL!$C$32, 27.3256, 27.3233) * CHOOSE(CONTROL!$C$15, $D$11, 100%, $F$11)</f>
        <v>27.325600000000001</v>
      </c>
      <c r="D827" s="8">
        <f>CHOOSE( CONTROL!$C$32, 27.3513, 27.3489) * CHOOSE( CONTROL!$C$15, $D$11, 100%, $F$11)</f>
        <v>27.351299999999998</v>
      </c>
      <c r="E827" s="12">
        <f>CHOOSE( CONTROL!$C$32, 27.3408, 27.3384) * CHOOSE( CONTROL!$C$15, $D$11, 100%, $F$11)</f>
        <v>27.340800000000002</v>
      </c>
      <c r="F827" s="4">
        <f>CHOOSE( CONTROL!$C$32, 28.031, 28.0286) * CHOOSE(CONTROL!$C$15, $D$11, 100%, $F$11)</f>
        <v>28.030999999999999</v>
      </c>
      <c r="G827" s="8">
        <f>CHOOSE( CONTROL!$C$32, 26.6651, 26.6628) * CHOOSE( CONTROL!$C$15, $D$11, 100%, $F$11)</f>
        <v>26.665099999999999</v>
      </c>
      <c r="H827" s="4">
        <f>CHOOSE( CONTROL!$C$32, 27.6127, 27.6104) * CHOOSE(CONTROL!$C$15, $D$11, 100%, $F$11)</f>
        <v>27.6127</v>
      </c>
      <c r="I827" s="8">
        <f>CHOOSE( CONTROL!$C$32, 26.3234, 26.3211) * CHOOSE(CONTROL!$C$15, $D$11, 100%, $F$11)</f>
        <v>26.323399999999999</v>
      </c>
      <c r="J827" s="4">
        <f>CHOOSE( CONTROL!$C$32, 26.1983, 26.1961) * CHOOSE(CONTROL!$C$15, $D$11, 100%, $F$11)</f>
        <v>26.1983</v>
      </c>
      <c r="K827" s="4"/>
      <c r="L827" s="9">
        <v>30.7165</v>
      </c>
      <c r="M827" s="9">
        <v>12.063700000000001</v>
      </c>
      <c r="N827" s="9">
        <v>4.9444999999999997</v>
      </c>
      <c r="O827" s="9">
        <v>0.37409999999999999</v>
      </c>
      <c r="P827" s="9">
        <v>1.2183999999999999</v>
      </c>
      <c r="Q827" s="9">
        <v>19.688099999999999</v>
      </c>
      <c r="R827" s="9"/>
      <c r="S827" s="11"/>
    </row>
    <row r="828" spans="1:19" ht="15.75">
      <c r="A828" s="13">
        <v>66719</v>
      </c>
      <c r="B828" s="8">
        <f>CHOOSE( CONTROL!$C$32, 25.2113, 25.209) * CHOOSE(CONTROL!$C$15, $D$11, 100%, $F$11)</f>
        <v>25.211300000000001</v>
      </c>
      <c r="C828" s="8">
        <f>CHOOSE( CONTROL!$C$32, 25.2194, 25.2171) * CHOOSE(CONTROL!$C$15, $D$11, 100%, $F$11)</f>
        <v>25.2194</v>
      </c>
      <c r="D828" s="8">
        <f>CHOOSE( CONTROL!$C$32, 25.2452, 25.2428) * CHOOSE( CONTROL!$C$15, $D$11, 100%, $F$11)</f>
        <v>25.245200000000001</v>
      </c>
      <c r="E828" s="12">
        <f>CHOOSE( CONTROL!$C$32, 25.2346, 25.2323) * CHOOSE( CONTROL!$C$15, $D$11, 100%, $F$11)</f>
        <v>25.2346</v>
      </c>
      <c r="F828" s="4">
        <f>CHOOSE( CONTROL!$C$32, 25.9248, 25.9224) * CHOOSE(CONTROL!$C$15, $D$11, 100%, $F$11)</f>
        <v>25.924800000000001</v>
      </c>
      <c r="G828" s="8">
        <f>CHOOSE( CONTROL!$C$32, 24.6081, 24.6058) * CHOOSE( CONTROL!$C$15, $D$11, 100%, $F$11)</f>
        <v>24.6081</v>
      </c>
      <c r="H828" s="4">
        <f>CHOOSE( CONTROL!$C$32, 25.5556, 25.5533) * CHOOSE(CONTROL!$C$15, $D$11, 100%, $F$11)</f>
        <v>25.555599999999998</v>
      </c>
      <c r="I828" s="8">
        <f>CHOOSE( CONTROL!$C$32, 24.3006, 24.2983) * CHOOSE(CONTROL!$C$15, $D$11, 100%, $F$11)</f>
        <v>24.300599999999999</v>
      </c>
      <c r="J828" s="4">
        <f>CHOOSE( CONTROL!$C$32, 24.1762, 24.1739) * CHOOSE(CONTROL!$C$15, $D$11, 100%, $F$11)</f>
        <v>24.176200000000001</v>
      </c>
      <c r="K828" s="4"/>
      <c r="L828" s="9">
        <v>30.7165</v>
      </c>
      <c r="M828" s="9">
        <v>12.063700000000001</v>
      </c>
      <c r="N828" s="9">
        <v>4.9444999999999997</v>
      </c>
      <c r="O828" s="9">
        <v>0.37409999999999999</v>
      </c>
      <c r="P828" s="9">
        <v>1.2183999999999999</v>
      </c>
      <c r="Q828" s="9">
        <v>19.688099999999999</v>
      </c>
      <c r="R828" s="9"/>
      <c r="S828" s="11"/>
    </row>
    <row r="829" spans="1:19" ht="15.75">
      <c r="A829" s="13">
        <v>66749</v>
      </c>
      <c r="B829" s="8">
        <f>CHOOSE( CONTROL!$C$32, 24.6839, 24.6816) * CHOOSE(CONTROL!$C$15, $D$11, 100%, $F$11)</f>
        <v>24.683900000000001</v>
      </c>
      <c r="C829" s="8">
        <f>CHOOSE( CONTROL!$C$32, 24.692, 24.6897) * CHOOSE(CONTROL!$C$15, $D$11, 100%, $F$11)</f>
        <v>24.692</v>
      </c>
      <c r="D829" s="8">
        <f>CHOOSE( CONTROL!$C$32, 24.7177, 24.7154) * CHOOSE( CONTROL!$C$15, $D$11, 100%, $F$11)</f>
        <v>24.717700000000001</v>
      </c>
      <c r="E829" s="12">
        <f>CHOOSE( CONTROL!$C$32, 24.7072, 24.7049) * CHOOSE( CONTROL!$C$15, $D$11, 100%, $F$11)</f>
        <v>24.7072</v>
      </c>
      <c r="F829" s="4">
        <f>CHOOSE( CONTROL!$C$32, 25.3974, 25.395) * CHOOSE(CONTROL!$C$15, $D$11, 100%, $F$11)</f>
        <v>25.397400000000001</v>
      </c>
      <c r="G829" s="8">
        <f>CHOOSE( CONTROL!$C$32, 24.0929, 24.0906) * CHOOSE( CONTROL!$C$15, $D$11, 100%, $F$11)</f>
        <v>24.0929</v>
      </c>
      <c r="H829" s="4">
        <f>CHOOSE( CONTROL!$C$32, 25.0405, 25.0382) * CHOOSE(CONTROL!$C$15, $D$11, 100%, $F$11)</f>
        <v>25.040500000000002</v>
      </c>
      <c r="I829" s="8">
        <f>CHOOSE( CONTROL!$C$32, 23.7939, 23.7916) * CHOOSE(CONTROL!$C$15, $D$11, 100%, $F$11)</f>
        <v>23.793900000000001</v>
      </c>
      <c r="J829" s="4">
        <f>CHOOSE( CONTROL!$C$32, 23.6698, 23.6676) * CHOOSE(CONTROL!$C$15, $D$11, 100%, $F$11)</f>
        <v>23.669799999999999</v>
      </c>
      <c r="K829" s="4"/>
      <c r="L829" s="9">
        <v>29.7257</v>
      </c>
      <c r="M829" s="9">
        <v>11.6745</v>
      </c>
      <c r="N829" s="9">
        <v>4.7850000000000001</v>
      </c>
      <c r="O829" s="9">
        <v>0.36199999999999999</v>
      </c>
      <c r="P829" s="9">
        <v>1.1791</v>
      </c>
      <c r="Q829" s="9">
        <v>19.053000000000001</v>
      </c>
      <c r="R829" s="9"/>
      <c r="S829" s="11"/>
    </row>
    <row r="830" spans="1:19" ht="15.75">
      <c r="A830" s="13">
        <v>66780</v>
      </c>
      <c r="B830" s="8">
        <f>25.7749 * CHOOSE(CONTROL!$C$15, $D$11, 100%, $F$11)</f>
        <v>25.774899999999999</v>
      </c>
      <c r="C830" s="8">
        <f>25.7804 * CHOOSE(CONTROL!$C$15, $D$11, 100%, $F$11)</f>
        <v>25.7804</v>
      </c>
      <c r="D830" s="8">
        <f>25.8112 * CHOOSE( CONTROL!$C$15, $D$11, 100%, $F$11)</f>
        <v>25.811199999999999</v>
      </c>
      <c r="E830" s="12">
        <f>25.8004 * CHOOSE( CONTROL!$C$15, $D$11, 100%, $F$11)</f>
        <v>25.8004</v>
      </c>
      <c r="F830" s="4">
        <f>26.4901 * CHOOSE(CONTROL!$C$15, $D$11, 100%, $F$11)</f>
        <v>26.490100000000002</v>
      </c>
      <c r="G830" s="8">
        <f>25.16 * CHOOSE( CONTROL!$C$15, $D$11, 100%, $F$11)</f>
        <v>25.16</v>
      </c>
      <c r="H830" s="4">
        <f>26.1077 * CHOOSE(CONTROL!$C$15, $D$11, 100%, $F$11)</f>
        <v>26.107700000000001</v>
      </c>
      <c r="I830" s="8">
        <f>24.8444 * CHOOSE(CONTROL!$C$15, $D$11, 100%, $F$11)</f>
        <v>24.8444</v>
      </c>
      <c r="J830" s="4">
        <f>24.719 * CHOOSE(CONTROL!$C$15, $D$11, 100%, $F$11)</f>
        <v>24.719000000000001</v>
      </c>
      <c r="K830" s="4"/>
      <c r="L830" s="9">
        <v>31.095300000000002</v>
      </c>
      <c r="M830" s="9">
        <v>12.063700000000001</v>
      </c>
      <c r="N830" s="9">
        <v>4.9444999999999997</v>
      </c>
      <c r="O830" s="9">
        <v>0.37409999999999999</v>
      </c>
      <c r="P830" s="9">
        <v>1.2183999999999999</v>
      </c>
      <c r="Q830" s="9">
        <v>19.688099999999999</v>
      </c>
      <c r="R830" s="9"/>
      <c r="S830" s="11"/>
    </row>
    <row r="831" spans="1:19" ht="15.75">
      <c r="A831" s="13">
        <v>66810</v>
      </c>
      <c r="B831" s="8">
        <f>27.7959 * CHOOSE(CONTROL!$C$15, $D$11, 100%, $F$11)</f>
        <v>27.7959</v>
      </c>
      <c r="C831" s="8">
        <f>27.801 * CHOOSE(CONTROL!$C$15, $D$11, 100%, $F$11)</f>
        <v>27.800999999999998</v>
      </c>
      <c r="D831" s="8">
        <f>27.7841 * CHOOSE( CONTROL!$C$15, $D$11, 100%, $F$11)</f>
        <v>27.784099999999999</v>
      </c>
      <c r="E831" s="12">
        <f>27.7897 * CHOOSE( CONTROL!$C$15, $D$11, 100%, $F$11)</f>
        <v>27.7897</v>
      </c>
      <c r="F831" s="4">
        <f>28.4463 * CHOOSE(CONTROL!$C$15, $D$11, 100%, $F$11)</f>
        <v>28.446300000000001</v>
      </c>
      <c r="G831" s="8">
        <f>27.1404 * CHOOSE( CONTROL!$C$15, $D$11, 100%, $F$11)</f>
        <v>27.1404</v>
      </c>
      <c r="H831" s="4">
        <f>28.0184 * CHOOSE(CONTROL!$C$15, $D$11, 100%, $F$11)</f>
        <v>28.0184</v>
      </c>
      <c r="I831" s="8">
        <f>26.8278 * CHOOSE(CONTROL!$C$15, $D$11, 100%, $F$11)</f>
        <v>26.8278</v>
      </c>
      <c r="J831" s="4">
        <f>26.6596 * CHOOSE(CONTROL!$C$15, $D$11, 100%, $F$11)</f>
        <v>26.659600000000001</v>
      </c>
      <c r="K831" s="4"/>
      <c r="L831" s="9">
        <v>28.360600000000002</v>
      </c>
      <c r="M831" s="9">
        <v>11.6745</v>
      </c>
      <c r="N831" s="9">
        <v>4.7850000000000001</v>
      </c>
      <c r="O831" s="9">
        <v>0.36199999999999999</v>
      </c>
      <c r="P831" s="9">
        <v>1.2509999999999999</v>
      </c>
      <c r="Q831" s="9">
        <v>19.053000000000001</v>
      </c>
      <c r="R831" s="9"/>
      <c r="S831" s="11"/>
    </row>
    <row r="832" spans="1:19" ht="15.75">
      <c r="A832" s="13">
        <v>66841</v>
      </c>
      <c r="B832" s="8">
        <f>27.7453 * CHOOSE(CONTROL!$C$15, $D$11, 100%, $F$11)</f>
        <v>27.7453</v>
      </c>
      <c r="C832" s="8">
        <f>27.7505 * CHOOSE(CONTROL!$C$15, $D$11, 100%, $F$11)</f>
        <v>27.750499999999999</v>
      </c>
      <c r="D832" s="8">
        <f>27.735 * CHOOSE( CONTROL!$C$15, $D$11, 100%, $F$11)</f>
        <v>27.734999999999999</v>
      </c>
      <c r="E832" s="12">
        <f>27.7401 * CHOOSE( CONTROL!$C$15, $D$11, 100%, $F$11)</f>
        <v>27.740100000000002</v>
      </c>
      <c r="F832" s="4">
        <f>28.3958 * CHOOSE(CONTROL!$C$15, $D$11, 100%, $F$11)</f>
        <v>28.395800000000001</v>
      </c>
      <c r="G832" s="8">
        <f>27.0922 * CHOOSE( CONTROL!$C$15, $D$11, 100%, $F$11)</f>
        <v>27.092199999999998</v>
      </c>
      <c r="H832" s="4">
        <f>27.9691 * CHOOSE(CONTROL!$C$15, $D$11, 100%, $F$11)</f>
        <v>27.969100000000001</v>
      </c>
      <c r="I832" s="8">
        <f>26.784 * CHOOSE(CONTROL!$C$15, $D$11, 100%, $F$11)</f>
        <v>26.783999999999999</v>
      </c>
      <c r="J832" s="4">
        <f>26.6111 * CHOOSE(CONTROL!$C$15, $D$11, 100%, $F$11)</f>
        <v>26.6111</v>
      </c>
      <c r="K832" s="4"/>
      <c r="L832" s="9">
        <v>29.306000000000001</v>
      </c>
      <c r="M832" s="9">
        <v>12.063700000000001</v>
      </c>
      <c r="N832" s="9">
        <v>4.9444999999999997</v>
      </c>
      <c r="O832" s="9">
        <v>0.37409999999999999</v>
      </c>
      <c r="P832" s="9">
        <v>1.2927</v>
      </c>
      <c r="Q832" s="9">
        <v>19.688099999999999</v>
      </c>
      <c r="R832" s="9"/>
      <c r="S832" s="11"/>
    </row>
    <row r="833" spans="1:19" ht="15.75">
      <c r="A833" s="13">
        <v>66872</v>
      </c>
      <c r="B833" s="8">
        <f>28.5629 * CHOOSE(CONTROL!$C$15, $D$11, 100%, $F$11)</f>
        <v>28.562899999999999</v>
      </c>
      <c r="C833" s="8">
        <f>28.5681 * CHOOSE(CONTROL!$C$15, $D$11, 100%, $F$11)</f>
        <v>28.568100000000001</v>
      </c>
      <c r="D833" s="8">
        <f>28.5483 * CHOOSE( CONTROL!$C$15, $D$11, 100%, $F$11)</f>
        <v>28.548300000000001</v>
      </c>
      <c r="E833" s="12">
        <f>28.555 * CHOOSE( CONTROL!$C$15, $D$11, 100%, $F$11)</f>
        <v>28.555</v>
      </c>
      <c r="F833" s="4">
        <f>29.2134 * CHOOSE(CONTROL!$C$15, $D$11, 100%, $F$11)</f>
        <v>29.2134</v>
      </c>
      <c r="G833" s="8">
        <f>27.8814 * CHOOSE( CONTROL!$C$15, $D$11, 100%, $F$11)</f>
        <v>27.881399999999999</v>
      </c>
      <c r="H833" s="4">
        <f>28.7676 * CHOOSE(CONTROL!$C$15, $D$11, 100%, $F$11)</f>
        <v>28.767600000000002</v>
      </c>
      <c r="I833" s="8">
        <f>27.5285 * CHOOSE(CONTROL!$C$15, $D$11, 100%, $F$11)</f>
        <v>27.528500000000001</v>
      </c>
      <c r="J833" s="4">
        <f>27.3961 * CHOOSE(CONTROL!$C$15, $D$11, 100%, $F$11)</f>
        <v>27.396100000000001</v>
      </c>
      <c r="K833" s="4"/>
      <c r="L833" s="9">
        <v>29.306000000000001</v>
      </c>
      <c r="M833" s="9">
        <v>12.063700000000001</v>
      </c>
      <c r="N833" s="9">
        <v>4.9444999999999997</v>
      </c>
      <c r="O833" s="9">
        <v>0.37409999999999999</v>
      </c>
      <c r="P833" s="9">
        <v>1.2927</v>
      </c>
      <c r="Q833" s="9">
        <v>19.688099999999999</v>
      </c>
      <c r="R833" s="9"/>
      <c r="S833" s="11"/>
    </row>
    <row r="834" spans="1:19" ht="15.75">
      <c r="A834" s="13">
        <v>66900</v>
      </c>
      <c r="B834" s="8">
        <f>26.7182 * CHOOSE(CONTROL!$C$15, $D$11, 100%, $F$11)</f>
        <v>26.7182</v>
      </c>
      <c r="C834" s="8">
        <f>26.7234 * CHOOSE(CONTROL!$C$15, $D$11, 100%, $F$11)</f>
        <v>26.723400000000002</v>
      </c>
      <c r="D834" s="8">
        <f>26.7035 * CHOOSE( CONTROL!$C$15, $D$11, 100%, $F$11)</f>
        <v>26.703499999999998</v>
      </c>
      <c r="E834" s="12">
        <f>26.7102 * CHOOSE( CONTROL!$C$15, $D$11, 100%, $F$11)</f>
        <v>26.7102</v>
      </c>
      <c r="F834" s="4">
        <f>27.3687 * CHOOSE(CONTROL!$C$15, $D$11, 100%, $F$11)</f>
        <v>27.3687</v>
      </c>
      <c r="G834" s="8">
        <f>26.0796 * CHOOSE( CONTROL!$C$15, $D$11, 100%, $F$11)</f>
        <v>26.079599999999999</v>
      </c>
      <c r="H834" s="4">
        <f>26.9658 * CHOOSE(CONTROL!$C$15, $D$11, 100%, $F$11)</f>
        <v>26.965800000000002</v>
      </c>
      <c r="I834" s="8">
        <f>25.7563 * CHOOSE(CONTROL!$C$15, $D$11, 100%, $F$11)</f>
        <v>25.7563</v>
      </c>
      <c r="J834" s="4">
        <f>25.625 * CHOOSE(CONTROL!$C$15, $D$11, 100%, $F$11)</f>
        <v>25.625</v>
      </c>
      <c r="K834" s="4"/>
      <c r="L834" s="9">
        <v>26.469899999999999</v>
      </c>
      <c r="M834" s="9">
        <v>10.8962</v>
      </c>
      <c r="N834" s="9">
        <v>4.4660000000000002</v>
      </c>
      <c r="O834" s="9">
        <v>0.33789999999999998</v>
      </c>
      <c r="P834" s="9">
        <v>1.1676</v>
      </c>
      <c r="Q834" s="9">
        <v>17.782800000000002</v>
      </c>
      <c r="R834" s="9"/>
      <c r="S834" s="11"/>
    </row>
    <row r="835" spans="1:19" ht="15.75">
      <c r="A835" s="13">
        <v>66931</v>
      </c>
      <c r="B835" s="8">
        <f>26.15 * CHOOSE(CONTROL!$C$15, $D$11, 100%, $F$11)</f>
        <v>26.15</v>
      </c>
      <c r="C835" s="8">
        <f>26.1552 * CHOOSE(CONTROL!$C$15, $D$11, 100%, $F$11)</f>
        <v>26.155200000000001</v>
      </c>
      <c r="D835" s="8">
        <f>26.135 * CHOOSE( CONTROL!$C$15, $D$11, 100%, $F$11)</f>
        <v>26.135000000000002</v>
      </c>
      <c r="E835" s="12">
        <f>26.1418 * CHOOSE( CONTROL!$C$15, $D$11, 100%, $F$11)</f>
        <v>26.1418</v>
      </c>
      <c r="F835" s="4">
        <f>26.8005 * CHOOSE(CONTROL!$C$15, $D$11, 100%, $F$11)</f>
        <v>26.8005</v>
      </c>
      <c r="G835" s="8">
        <f>25.5244 * CHOOSE( CONTROL!$C$15, $D$11, 100%, $F$11)</f>
        <v>25.5244</v>
      </c>
      <c r="H835" s="4">
        <f>26.4109 * CHOOSE(CONTROL!$C$15, $D$11, 100%, $F$11)</f>
        <v>26.410900000000002</v>
      </c>
      <c r="I835" s="8">
        <f>25.2095 * CHOOSE(CONTROL!$C$15, $D$11, 100%, $F$11)</f>
        <v>25.209499999999998</v>
      </c>
      <c r="J835" s="4">
        <f>25.0795 * CHOOSE(CONTROL!$C$15, $D$11, 100%, $F$11)</f>
        <v>25.079499999999999</v>
      </c>
      <c r="K835" s="4"/>
      <c r="L835" s="9">
        <v>29.306000000000001</v>
      </c>
      <c r="M835" s="9">
        <v>12.063700000000001</v>
      </c>
      <c r="N835" s="9">
        <v>4.9444999999999997</v>
      </c>
      <c r="O835" s="9">
        <v>0.37409999999999999</v>
      </c>
      <c r="P835" s="9">
        <v>1.2927</v>
      </c>
      <c r="Q835" s="9">
        <v>19.688099999999999</v>
      </c>
      <c r="R835" s="9"/>
      <c r="S835" s="11"/>
    </row>
    <row r="836" spans="1:19" ht="15.75">
      <c r="A836" s="13">
        <v>66961</v>
      </c>
      <c r="B836" s="8">
        <f>26.5478 * CHOOSE(CONTROL!$C$15, $D$11, 100%, $F$11)</f>
        <v>26.547799999999999</v>
      </c>
      <c r="C836" s="8">
        <f>26.5524 * CHOOSE(CONTROL!$C$15, $D$11, 100%, $F$11)</f>
        <v>26.552399999999999</v>
      </c>
      <c r="D836" s="8">
        <f>26.583 * CHOOSE( CONTROL!$C$15, $D$11, 100%, $F$11)</f>
        <v>26.582999999999998</v>
      </c>
      <c r="E836" s="12">
        <f>26.5724 * CHOOSE( CONTROL!$C$15, $D$11, 100%, $F$11)</f>
        <v>26.572399999999998</v>
      </c>
      <c r="F836" s="4">
        <f>27.2626 * CHOOSE(CONTROL!$C$15, $D$11, 100%, $F$11)</f>
        <v>27.262599999999999</v>
      </c>
      <c r="G836" s="8">
        <f>25.9134 * CHOOSE( CONTROL!$C$15, $D$11, 100%, $F$11)</f>
        <v>25.913399999999999</v>
      </c>
      <c r="H836" s="4">
        <f>26.8623 * CHOOSE(CONTROL!$C$15, $D$11, 100%, $F$11)</f>
        <v>26.862300000000001</v>
      </c>
      <c r="I836" s="8">
        <f>25.5828 * CHOOSE(CONTROL!$C$15, $D$11, 100%, $F$11)</f>
        <v>25.582799999999999</v>
      </c>
      <c r="J836" s="4">
        <f>25.4606 * CHOOSE(CONTROL!$C$15, $D$11, 100%, $F$11)</f>
        <v>25.460599999999999</v>
      </c>
      <c r="K836" s="4"/>
      <c r="L836" s="9">
        <v>30.092199999999998</v>
      </c>
      <c r="M836" s="9">
        <v>11.6745</v>
      </c>
      <c r="N836" s="9">
        <v>4.7850000000000001</v>
      </c>
      <c r="O836" s="9">
        <v>0.36199999999999999</v>
      </c>
      <c r="P836" s="9">
        <v>1.1791</v>
      </c>
      <c r="Q836" s="9">
        <v>19.053000000000001</v>
      </c>
      <c r="R836" s="9"/>
      <c r="S836" s="11"/>
    </row>
    <row r="837" spans="1:19" ht="15.75">
      <c r="A837" s="13">
        <v>66992</v>
      </c>
      <c r="B837" s="8">
        <f>CHOOSE( CONTROL!$C$32, 27.2581, 27.2558) * CHOOSE(CONTROL!$C$15, $D$11, 100%, $F$11)</f>
        <v>27.258099999999999</v>
      </c>
      <c r="C837" s="8">
        <f>CHOOSE( CONTROL!$C$32, 27.2662, 27.2639) * CHOOSE(CONTROL!$C$15, $D$11, 100%, $F$11)</f>
        <v>27.266200000000001</v>
      </c>
      <c r="D837" s="8">
        <f>CHOOSE( CONTROL!$C$32, 27.2914, 27.2891) * CHOOSE( CONTROL!$C$15, $D$11, 100%, $F$11)</f>
        <v>27.291399999999999</v>
      </c>
      <c r="E837" s="12">
        <f>CHOOSE( CONTROL!$C$32, 27.281, 27.2787) * CHOOSE( CONTROL!$C$15, $D$11, 100%, $F$11)</f>
        <v>27.280999999999999</v>
      </c>
      <c r="F837" s="4">
        <f>CHOOSE( CONTROL!$C$32, 27.9716, 27.9692) * CHOOSE(CONTROL!$C$15, $D$11, 100%, $F$11)</f>
        <v>27.971599999999999</v>
      </c>
      <c r="G837" s="8">
        <f>CHOOSE( CONTROL!$C$32, 26.6064, 26.6041) * CHOOSE( CONTROL!$C$15, $D$11, 100%, $F$11)</f>
        <v>26.606400000000001</v>
      </c>
      <c r="H837" s="4">
        <f>CHOOSE( CONTROL!$C$32, 27.5547, 27.5524) * CHOOSE(CONTROL!$C$15, $D$11, 100%, $F$11)</f>
        <v>27.5547</v>
      </c>
      <c r="I837" s="8">
        <f>CHOOSE( CONTROL!$C$32, 26.2641, 26.2619) * CHOOSE(CONTROL!$C$15, $D$11, 100%, $F$11)</f>
        <v>26.264099999999999</v>
      </c>
      <c r="J837" s="4">
        <f>CHOOSE( CONTROL!$C$32, 26.1413, 26.1391) * CHOOSE(CONTROL!$C$15, $D$11, 100%, $F$11)</f>
        <v>26.141300000000001</v>
      </c>
      <c r="K837" s="4"/>
      <c r="L837" s="9">
        <v>30.7165</v>
      </c>
      <c r="M837" s="9">
        <v>12.063700000000001</v>
      </c>
      <c r="N837" s="9">
        <v>4.9444999999999997</v>
      </c>
      <c r="O837" s="9">
        <v>0.37409999999999999</v>
      </c>
      <c r="P837" s="9">
        <v>1.2183999999999999</v>
      </c>
      <c r="Q837" s="9">
        <v>19.688099999999999</v>
      </c>
      <c r="R837" s="9"/>
      <c r="S837" s="11"/>
    </row>
    <row r="838" spans="1:19" ht="15.75">
      <c r="A838" s="13">
        <v>67022</v>
      </c>
      <c r="B838" s="8">
        <f>CHOOSE( CONTROL!$C$32, 26.8204, 26.8181) * CHOOSE(CONTROL!$C$15, $D$11, 100%, $F$11)</f>
        <v>26.820399999999999</v>
      </c>
      <c r="C838" s="8">
        <f>CHOOSE( CONTROL!$C$32, 26.8285, 26.8262) * CHOOSE(CONTROL!$C$15, $D$11, 100%, $F$11)</f>
        <v>26.828499999999998</v>
      </c>
      <c r="D838" s="8">
        <f>CHOOSE( CONTROL!$C$32, 26.8539, 26.8516) * CHOOSE( CONTROL!$C$15, $D$11, 100%, $F$11)</f>
        <v>26.853899999999999</v>
      </c>
      <c r="E838" s="12">
        <f>CHOOSE( CONTROL!$C$32, 26.8435, 26.8412) * CHOOSE( CONTROL!$C$15, $D$11, 100%, $F$11)</f>
        <v>26.843499999999999</v>
      </c>
      <c r="F838" s="4">
        <f>CHOOSE( CONTROL!$C$32, 27.5339, 27.5315) * CHOOSE(CONTROL!$C$15, $D$11, 100%, $F$11)</f>
        <v>27.533899999999999</v>
      </c>
      <c r="G838" s="8">
        <f>CHOOSE( CONTROL!$C$32, 26.1792, 26.1769) * CHOOSE( CONTROL!$C$15, $D$11, 100%, $F$11)</f>
        <v>26.179200000000002</v>
      </c>
      <c r="H838" s="4">
        <f>CHOOSE( CONTROL!$C$32, 27.1272, 27.1249) * CHOOSE(CONTROL!$C$15, $D$11, 100%, $F$11)</f>
        <v>27.127199999999998</v>
      </c>
      <c r="I838" s="8">
        <f>CHOOSE( CONTROL!$C$32, 25.8447, 25.8424) * CHOOSE(CONTROL!$C$15, $D$11, 100%, $F$11)</f>
        <v>25.8447</v>
      </c>
      <c r="J838" s="4">
        <f>CHOOSE( CONTROL!$C$32, 25.7211, 25.7188) * CHOOSE(CONTROL!$C$15, $D$11, 100%, $F$11)</f>
        <v>25.7211</v>
      </c>
      <c r="K838" s="4"/>
      <c r="L838" s="9">
        <v>29.7257</v>
      </c>
      <c r="M838" s="9">
        <v>11.6745</v>
      </c>
      <c r="N838" s="9">
        <v>4.7850000000000001</v>
      </c>
      <c r="O838" s="9">
        <v>0.36199999999999999</v>
      </c>
      <c r="P838" s="9">
        <v>1.1791</v>
      </c>
      <c r="Q838" s="9">
        <v>19.053000000000001</v>
      </c>
      <c r="R838" s="9"/>
      <c r="S838" s="11"/>
    </row>
    <row r="839" spans="1:19" ht="15.75">
      <c r="A839" s="13">
        <v>67053</v>
      </c>
      <c r="B839" s="8">
        <f>CHOOSE( CONTROL!$C$32, 27.9731, 27.9708) * CHOOSE(CONTROL!$C$15, $D$11, 100%, $F$11)</f>
        <v>27.973099999999999</v>
      </c>
      <c r="C839" s="8">
        <f>CHOOSE( CONTROL!$C$32, 27.9812, 27.9788) * CHOOSE(CONTROL!$C$15, $D$11, 100%, $F$11)</f>
        <v>27.981200000000001</v>
      </c>
      <c r="D839" s="8">
        <f>CHOOSE( CONTROL!$C$32, 28.0068, 28.0045) * CHOOSE( CONTROL!$C$15, $D$11, 100%, $F$11)</f>
        <v>28.006799999999998</v>
      </c>
      <c r="E839" s="12">
        <f>CHOOSE( CONTROL!$C$32, 27.9963, 27.994) * CHOOSE( CONTROL!$C$15, $D$11, 100%, $F$11)</f>
        <v>27.996300000000002</v>
      </c>
      <c r="F839" s="4">
        <f>CHOOSE( CONTROL!$C$32, 28.6865, 28.6842) * CHOOSE(CONTROL!$C$15, $D$11, 100%, $F$11)</f>
        <v>28.686499999999999</v>
      </c>
      <c r="G839" s="8">
        <f>CHOOSE( CONTROL!$C$32, 27.3054, 27.3031) * CHOOSE( CONTROL!$C$15, $D$11, 100%, $F$11)</f>
        <v>27.305399999999999</v>
      </c>
      <c r="H839" s="4">
        <f>CHOOSE( CONTROL!$C$32, 28.253, 28.2507) * CHOOSE(CONTROL!$C$15, $D$11, 100%, $F$11)</f>
        <v>28.253</v>
      </c>
      <c r="I839" s="8">
        <f>CHOOSE( CONTROL!$C$32, 26.9531, 26.9509) * CHOOSE(CONTROL!$C$15, $D$11, 100%, $F$11)</f>
        <v>26.953099999999999</v>
      </c>
      <c r="J839" s="4">
        <f>CHOOSE( CONTROL!$C$32, 26.8278, 26.8255) * CHOOSE(CONTROL!$C$15, $D$11, 100%, $F$11)</f>
        <v>26.8278</v>
      </c>
      <c r="K839" s="4"/>
      <c r="L839" s="9">
        <v>30.7165</v>
      </c>
      <c r="M839" s="9">
        <v>12.063700000000001</v>
      </c>
      <c r="N839" s="9">
        <v>4.9444999999999997</v>
      </c>
      <c r="O839" s="9">
        <v>0.37409999999999999</v>
      </c>
      <c r="P839" s="9">
        <v>1.2183999999999999</v>
      </c>
      <c r="Q839" s="9">
        <v>19.688099999999999</v>
      </c>
      <c r="R839" s="9"/>
      <c r="S839" s="11"/>
    </row>
    <row r="840" spans="1:19" ht="15.75">
      <c r="A840" s="13">
        <v>67084</v>
      </c>
      <c r="B840" s="8">
        <f>CHOOSE( CONTROL!$C$32, 25.8163, 25.814) * CHOOSE(CONTROL!$C$15, $D$11, 100%, $F$11)</f>
        <v>25.816299999999998</v>
      </c>
      <c r="C840" s="8">
        <f>CHOOSE( CONTROL!$C$32, 25.8244, 25.8221) * CHOOSE(CONTROL!$C$15, $D$11, 100%, $F$11)</f>
        <v>25.824400000000001</v>
      </c>
      <c r="D840" s="8">
        <f>CHOOSE( CONTROL!$C$32, 25.8501, 25.8478) * CHOOSE( CONTROL!$C$15, $D$11, 100%, $F$11)</f>
        <v>25.850100000000001</v>
      </c>
      <c r="E840" s="12">
        <f>CHOOSE( CONTROL!$C$32, 25.8396, 25.8373) * CHOOSE( CONTROL!$C$15, $D$11, 100%, $F$11)</f>
        <v>25.839600000000001</v>
      </c>
      <c r="F840" s="4">
        <f>CHOOSE( CONTROL!$C$32, 26.5297, 26.5274) * CHOOSE(CONTROL!$C$15, $D$11, 100%, $F$11)</f>
        <v>26.529699999999998</v>
      </c>
      <c r="G840" s="8">
        <f>CHOOSE( CONTROL!$C$32, 25.1989, 25.1967) * CHOOSE( CONTROL!$C$15, $D$11, 100%, $F$11)</f>
        <v>25.198899999999998</v>
      </c>
      <c r="H840" s="4">
        <f>CHOOSE( CONTROL!$C$32, 26.1465, 26.1442) * CHOOSE(CONTROL!$C$15, $D$11, 100%, $F$11)</f>
        <v>26.1465</v>
      </c>
      <c r="I840" s="8">
        <f>CHOOSE( CONTROL!$C$32, 24.8817, 24.8795) * CHOOSE(CONTROL!$C$15, $D$11, 100%, $F$11)</f>
        <v>24.881699999999999</v>
      </c>
      <c r="J840" s="4">
        <f>CHOOSE( CONTROL!$C$32, 24.757, 24.7548) * CHOOSE(CONTROL!$C$15, $D$11, 100%, $F$11)</f>
        <v>24.757000000000001</v>
      </c>
      <c r="K840" s="4"/>
      <c r="L840" s="9">
        <v>30.7165</v>
      </c>
      <c r="M840" s="9">
        <v>12.063700000000001</v>
      </c>
      <c r="N840" s="9">
        <v>4.9444999999999997</v>
      </c>
      <c r="O840" s="9">
        <v>0.37409999999999999</v>
      </c>
      <c r="P840" s="9">
        <v>1.2183999999999999</v>
      </c>
      <c r="Q840" s="9">
        <v>19.688099999999999</v>
      </c>
      <c r="R840" s="9"/>
      <c r="S840" s="11"/>
    </row>
    <row r="841" spans="1:19" ht="15.75">
      <c r="A841" s="13">
        <v>67114</v>
      </c>
      <c r="B841" s="8">
        <f>CHOOSE( CONTROL!$C$32, 25.2762, 25.2739) * CHOOSE(CONTROL!$C$15, $D$11, 100%, $F$11)</f>
        <v>25.276199999999999</v>
      </c>
      <c r="C841" s="8">
        <f>CHOOSE( CONTROL!$C$32, 25.2843, 25.282) * CHOOSE(CONTROL!$C$15, $D$11, 100%, $F$11)</f>
        <v>25.284300000000002</v>
      </c>
      <c r="D841" s="8">
        <f>CHOOSE( CONTROL!$C$32, 25.31, 25.3077) * CHOOSE( CONTROL!$C$15, $D$11, 100%, $F$11)</f>
        <v>25.31</v>
      </c>
      <c r="E841" s="12">
        <f>CHOOSE( CONTROL!$C$32, 25.2995, 25.2972) * CHOOSE( CONTROL!$C$15, $D$11, 100%, $F$11)</f>
        <v>25.299499999999998</v>
      </c>
      <c r="F841" s="4">
        <f>CHOOSE( CONTROL!$C$32, 25.9897, 25.9873) * CHOOSE(CONTROL!$C$15, $D$11, 100%, $F$11)</f>
        <v>25.989699999999999</v>
      </c>
      <c r="G841" s="8">
        <f>CHOOSE( CONTROL!$C$32, 24.6714, 24.6691) * CHOOSE( CONTROL!$C$15, $D$11, 100%, $F$11)</f>
        <v>24.671399999999998</v>
      </c>
      <c r="H841" s="4">
        <f>CHOOSE( CONTROL!$C$32, 25.619, 25.6167) * CHOOSE(CONTROL!$C$15, $D$11, 100%, $F$11)</f>
        <v>25.619</v>
      </c>
      <c r="I841" s="8">
        <f>CHOOSE( CONTROL!$C$32, 24.3628, 24.3606) * CHOOSE(CONTROL!$C$15, $D$11, 100%, $F$11)</f>
        <v>24.3628</v>
      </c>
      <c r="J841" s="4">
        <f>CHOOSE( CONTROL!$C$32, 24.2385, 24.2362) * CHOOSE(CONTROL!$C$15, $D$11, 100%, $F$11)</f>
        <v>24.238499999999998</v>
      </c>
      <c r="K841" s="4"/>
      <c r="L841" s="9">
        <v>29.7257</v>
      </c>
      <c r="M841" s="9">
        <v>11.6745</v>
      </c>
      <c r="N841" s="9">
        <v>4.7850000000000001</v>
      </c>
      <c r="O841" s="9">
        <v>0.36199999999999999</v>
      </c>
      <c r="P841" s="9">
        <v>1.1791</v>
      </c>
      <c r="Q841" s="9">
        <v>19.053000000000001</v>
      </c>
      <c r="R841" s="9"/>
      <c r="S841" s="11"/>
    </row>
    <row r="842" spans="1:19" ht="15.75">
      <c r="A842" s="13">
        <v>67145</v>
      </c>
      <c r="B842" s="8">
        <f>26.3936 * CHOOSE(CONTROL!$C$15, $D$11, 100%, $F$11)</f>
        <v>26.393599999999999</v>
      </c>
      <c r="C842" s="8">
        <f>26.399 * CHOOSE(CONTROL!$C$15, $D$11, 100%, $F$11)</f>
        <v>26.399000000000001</v>
      </c>
      <c r="D842" s="8">
        <f>26.4298 * CHOOSE( CONTROL!$C$15, $D$11, 100%, $F$11)</f>
        <v>26.4298</v>
      </c>
      <c r="E842" s="12">
        <f>26.4191 * CHOOSE( CONTROL!$C$15, $D$11, 100%, $F$11)</f>
        <v>26.4191</v>
      </c>
      <c r="F842" s="4">
        <f>27.1087 * CHOOSE(CONTROL!$C$15, $D$11, 100%, $F$11)</f>
        <v>27.108699999999999</v>
      </c>
      <c r="G842" s="8">
        <f>25.7642 * CHOOSE( CONTROL!$C$15, $D$11, 100%, $F$11)</f>
        <v>25.764199999999999</v>
      </c>
      <c r="H842" s="4">
        <f>26.712 * CHOOSE(CONTROL!$C$15, $D$11, 100%, $F$11)</f>
        <v>26.712</v>
      </c>
      <c r="I842" s="8">
        <f>25.4386 * CHOOSE(CONTROL!$C$15, $D$11, 100%, $F$11)</f>
        <v>25.438600000000001</v>
      </c>
      <c r="J842" s="4">
        <f>25.3129 * CHOOSE(CONTROL!$C$15, $D$11, 100%, $F$11)</f>
        <v>25.312899999999999</v>
      </c>
      <c r="K842" s="4"/>
      <c r="L842" s="9">
        <v>31.095300000000002</v>
      </c>
      <c r="M842" s="9">
        <v>12.063700000000001</v>
      </c>
      <c r="N842" s="9">
        <v>4.9444999999999997</v>
      </c>
      <c r="O842" s="9">
        <v>0.37409999999999999</v>
      </c>
      <c r="P842" s="9">
        <v>1.2183999999999999</v>
      </c>
      <c r="Q842" s="9">
        <v>19.688099999999999</v>
      </c>
      <c r="R842" s="9"/>
      <c r="S842" s="11"/>
    </row>
    <row r="843" spans="1:19" ht="15.75">
      <c r="A843" s="13">
        <v>67175</v>
      </c>
      <c r="B843" s="8">
        <f>28.463 * CHOOSE(CONTROL!$C$15, $D$11, 100%, $F$11)</f>
        <v>28.463000000000001</v>
      </c>
      <c r="C843" s="8">
        <f>28.4682 * CHOOSE(CONTROL!$C$15, $D$11, 100%, $F$11)</f>
        <v>28.4682</v>
      </c>
      <c r="D843" s="8">
        <f>28.4512 * CHOOSE( CONTROL!$C$15, $D$11, 100%, $F$11)</f>
        <v>28.4512</v>
      </c>
      <c r="E843" s="12">
        <f>28.4569 * CHOOSE( CONTROL!$C$15, $D$11, 100%, $F$11)</f>
        <v>28.456900000000001</v>
      </c>
      <c r="F843" s="4">
        <f>29.1135 * CHOOSE(CONTROL!$C$15, $D$11, 100%, $F$11)</f>
        <v>29.113499999999998</v>
      </c>
      <c r="G843" s="8">
        <f>27.792 * CHOOSE( CONTROL!$C$15, $D$11, 100%, $F$11)</f>
        <v>27.792000000000002</v>
      </c>
      <c r="H843" s="4">
        <f>28.67 * CHOOSE(CONTROL!$C$15, $D$11, 100%, $F$11)</f>
        <v>28.67</v>
      </c>
      <c r="I843" s="8">
        <f>27.4687 * CHOOSE(CONTROL!$C$15, $D$11, 100%, $F$11)</f>
        <v>27.468699999999998</v>
      </c>
      <c r="J843" s="4">
        <f>27.3002 * CHOOSE(CONTROL!$C$15, $D$11, 100%, $F$11)</f>
        <v>27.3002</v>
      </c>
      <c r="K843" s="4"/>
      <c r="L843" s="9">
        <v>28.360600000000002</v>
      </c>
      <c r="M843" s="9">
        <v>11.6745</v>
      </c>
      <c r="N843" s="9">
        <v>4.7850000000000001</v>
      </c>
      <c r="O843" s="9">
        <v>0.36199999999999999</v>
      </c>
      <c r="P843" s="9">
        <v>1.2509999999999999</v>
      </c>
      <c r="Q843" s="9">
        <v>19.053000000000001</v>
      </c>
      <c r="R843" s="9"/>
      <c r="S843" s="11"/>
    </row>
    <row r="844" spans="1:19" ht="15.75">
      <c r="A844" s="13">
        <v>67206</v>
      </c>
      <c r="B844" s="8">
        <f>28.4113 * CHOOSE(CONTROL!$C$15, $D$11, 100%, $F$11)</f>
        <v>28.411300000000001</v>
      </c>
      <c r="C844" s="8">
        <f>28.4165 * CHOOSE(CONTROL!$C$15, $D$11, 100%, $F$11)</f>
        <v>28.416499999999999</v>
      </c>
      <c r="D844" s="8">
        <f>28.401 * CHOOSE( CONTROL!$C$15, $D$11, 100%, $F$11)</f>
        <v>28.401</v>
      </c>
      <c r="E844" s="12">
        <f>28.4061 * CHOOSE( CONTROL!$C$15, $D$11, 100%, $F$11)</f>
        <v>28.406099999999999</v>
      </c>
      <c r="F844" s="4">
        <f>29.0618 * CHOOSE(CONTROL!$C$15, $D$11, 100%, $F$11)</f>
        <v>29.061800000000002</v>
      </c>
      <c r="G844" s="8">
        <f>27.7426 * CHOOSE( CONTROL!$C$15, $D$11, 100%, $F$11)</f>
        <v>27.742599999999999</v>
      </c>
      <c r="H844" s="4">
        <f>28.6195 * CHOOSE(CONTROL!$C$15, $D$11, 100%, $F$11)</f>
        <v>28.619499999999999</v>
      </c>
      <c r="I844" s="8">
        <f>27.4237 * CHOOSE(CONTROL!$C$15, $D$11, 100%, $F$11)</f>
        <v>27.4237</v>
      </c>
      <c r="J844" s="4">
        <f>27.2505 * CHOOSE(CONTROL!$C$15, $D$11, 100%, $F$11)</f>
        <v>27.250499999999999</v>
      </c>
      <c r="K844" s="4"/>
      <c r="L844" s="9">
        <v>29.306000000000001</v>
      </c>
      <c r="M844" s="9">
        <v>12.063700000000001</v>
      </c>
      <c r="N844" s="9">
        <v>4.9444999999999997</v>
      </c>
      <c r="O844" s="9">
        <v>0.37409999999999999</v>
      </c>
      <c r="P844" s="9">
        <v>1.2927</v>
      </c>
      <c r="Q844" s="9">
        <v>19.688099999999999</v>
      </c>
      <c r="R844" s="9"/>
      <c r="S844" s="11"/>
    </row>
    <row r="845" spans="1:19" ht="15.75">
      <c r="A845" s="13">
        <v>67237</v>
      </c>
      <c r="B845" s="8">
        <f>29.2485 * CHOOSE(CONTROL!$C$15, $D$11, 100%, $F$11)</f>
        <v>29.2485</v>
      </c>
      <c r="C845" s="8">
        <f>29.2537 * CHOOSE(CONTROL!$C$15, $D$11, 100%, $F$11)</f>
        <v>29.253699999999998</v>
      </c>
      <c r="D845" s="8">
        <f>29.2339 * CHOOSE( CONTROL!$C$15, $D$11, 100%, $F$11)</f>
        <v>29.233899999999998</v>
      </c>
      <c r="E845" s="12">
        <f>29.2406 * CHOOSE( CONTROL!$C$15, $D$11, 100%, $F$11)</f>
        <v>29.240600000000001</v>
      </c>
      <c r="F845" s="4">
        <f>29.899 * CHOOSE(CONTROL!$C$15, $D$11, 100%, $F$11)</f>
        <v>29.899000000000001</v>
      </c>
      <c r="G845" s="8">
        <f>28.551 * CHOOSE( CONTROL!$C$15, $D$11, 100%, $F$11)</f>
        <v>28.550999999999998</v>
      </c>
      <c r="H845" s="4">
        <f>29.4372 * CHOOSE(CONTROL!$C$15, $D$11, 100%, $F$11)</f>
        <v>29.437200000000001</v>
      </c>
      <c r="I845" s="8">
        <f>28.187 * CHOOSE(CONTROL!$C$15, $D$11, 100%, $F$11)</f>
        <v>28.187000000000001</v>
      </c>
      <c r="J845" s="4">
        <f>28.0543 * CHOOSE(CONTROL!$C$15, $D$11, 100%, $F$11)</f>
        <v>28.054300000000001</v>
      </c>
      <c r="K845" s="4"/>
      <c r="L845" s="9">
        <v>29.306000000000001</v>
      </c>
      <c r="M845" s="9">
        <v>12.063700000000001</v>
      </c>
      <c r="N845" s="9">
        <v>4.9444999999999997</v>
      </c>
      <c r="O845" s="9">
        <v>0.37409999999999999</v>
      </c>
      <c r="P845" s="9">
        <v>1.2927</v>
      </c>
      <c r="Q845" s="9">
        <v>19.688099999999999</v>
      </c>
      <c r="R845" s="9"/>
      <c r="S845" s="11"/>
    </row>
    <row r="846" spans="1:19" ht="15.75">
      <c r="A846" s="13">
        <v>67266</v>
      </c>
      <c r="B846" s="8">
        <f>27.3595 * CHOOSE(CONTROL!$C$15, $D$11, 100%, $F$11)</f>
        <v>27.359500000000001</v>
      </c>
      <c r="C846" s="8">
        <f>27.3647 * CHOOSE(CONTROL!$C$15, $D$11, 100%, $F$11)</f>
        <v>27.364699999999999</v>
      </c>
      <c r="D846" s="8">
        <f>27.3448 * CHOOSE( CONTROL!$C$15, $D$11, 100%, $F$11)</f>
        <v>27.344799999999999</v>
      </c>
      <c r="E846" s="12">
        <f>27.3515 * CHOOSE( CONTROL!$C$15, $D$11, 100%, $F$11)</f>
        <v>27.351500000000001</v>
      </c>
      <c r="F846" s="4">
        <f>28.01 * CHOOSE(CONTROL!$C$15, $D$11, 100%, $F$11)</f>
        <v>28.01</v>
      </c>
      <c r="G846" s="8">
        <f>26.706 * CHOOSE( CONTROL!$C$15, $D$11, 100%, $F$11)</f>
        <v>26.706</v>
      </c>
      <c r="H846" s="4">
        <f>27.5922 * CHOOSE(CONTROL!$C$15, $D$11, 100%, $F$11)</f>
        <v>27.592199999999998</v>
      </c>
      <c r="I846" s="8">
        <f>26.3724 * CHOOSE(CONTROL!$C$15, $D$11, 100%, $F$11)</f>
        <v>26.372399999999999</v>
      </c>
      <c r="J846" s="4">
        <f>26.2407 * CHOOSE(CONTROL!$C$15, $D$11, 100%, $F$11)</f>
        <v>26.2407</v>
      </c>
      <c r="K846" s="4"/>
      <c r="L846" s="9">
        <v>27.415299999999998</v>
      </c>
      <c r="M846" s="9">
        <v>11.285299999999999</v>
      </c>
      <c r="N846" s="9">
        <v>4.6254999999999997</v>
      </c>
      <c r="O846" s="9">
        <v>0.34989999999999999</v>
      </c>
      <c r="P846" s="9">
        <v>1.2093</v>
      </c>
      <c r="Q846" s="9">
        <v>18.417899999999999</v>
      </c>
      <c r="R846" s="9"/>
      <c r="S846" s="11"/>
    </row>
    <row r="847" spans="1:19" ht="15.75">
      <c r="A847" s="13">
        <v>67297</v>
      </c>
      <c r="B847" s="8">
        <f>26.7777 * CHOOSE(CONTROL!$C$15, $D$11, 100%, $F$11)</f>
        <v>26.777699999999999</v>
      </c>
      <c r="C847" s="8">
        <f>26.7829 * CHOOSE(CONTROL!$C$15, $D$11, 100%, $F$11)</f>
        <v>26.782900000000001</v>
      </c>
      <c r="D847" s="8">
        <f>26.7626 * CHOOSE( CONTROL!$C$15, $D$11, 100%, $F$11)</f>
        <v>26.762599999999999</v>
      </c>
      <c r="E847" s="12">
        <f>26.7695 * CHOOSE( CONTROL!$C$15, $D$11, 100%, $F$11)</f>
        <v>26.769500000000001</v>
      </c>
      <c r="F847" s="4">
        <f>27.4281 * CHOOSE(CONTROL!$C$15, $D$11, 100%, $F$11)</f>
        <v>27.428100000000001</v>
      </c>
      <c r="G847" s="8">
        <f>26.1375 * CHOOSE( CONTROL!$C$15, $D$11, 100%, $F$11)</f>
        <v>26.137499999999999</v>
      </c>
      <c r="H847" s="4">
        <f>27.0239 * CHOOSE(CONTROL!$C$15, $D$11, 100%, $F$11)</f>
        <v>27.023900000000001</v>
      </c>
      <c r="I847" s="8">
        <f>25.8124 * CHOOSE(CONTROL!$C$15, $D$11, 100%, $F$11)</f>
        <v>25.8124</v>
      </c>
      <c r="J847" s="4">
        <f>25.6821 * CHOOSE(CONTROL!$C$15, $D$11, 100%, $F$11)</f>
        <v>25.682099999999998</v>
      </c>
      <c r="K847" s="4"/>
      <c r="L847" s="9">
        <v>29.306000000000001</v>
      </c>
      <c r="M847" s="9">
        <v>12.063700000000001</v>
      </c>
      <c r="N847" s="9">
        <v>4.9444999999999997</v>
      </c>
      <c r="O847" s="9">
        <v>0.37409999999999999</v>
      </c>
      <c r="P847" s="9">
        <v>1.2927</v>
      </c>
      <c r="Q847" s="9">
        <v>19.688099999999999</v>
      </c>
      <c r="R847" s="9"/>
      <c r="S847" s="11"/>
    </row>
    <row r="848" spans="1:19" ht="15.75">
      <c r="A848" s="13">
        <v>67327</v>
      </c>
      <c r="B848" s="8">
        <f>27.185 * CHOOSE(CONTROL!$C$15, $D$11, 100%, $F$11)</f>
        <v>27.184999999999999</v>
      </c>
      <c r="C848" s="8">
        <f>27.1896 * CHOOSE(CONTROL!$C$15, $D$11, 100%, $F$11)</f>
        <v>27.189599999999999</v>
      </c>
      <c r="D848" s="8">
        <f>27.2201 * CHOOSE( CONTROL!$C$15, $D$11, 100%, $F$11)</f>
        <v>27.220099999999999</v>
      </c>
      <c r="E848" s="12">
        <f>27.2095 * CHOOSE( CONTROL!$C$15, $D$11, 100%, $F$11)</f>
        <v>27.209499999999998</v>
      </c>
      <c r="F848" s="4">
        <f>27.8998 * CHOOSE(CONTROL!$C$15, $D$11, 100%, $F$11)</f>
        <v>27.899799999999999</v>
      </c>
      <c r="G848" s="8">
        <f>26.5357 * CHOOSE( CONTROL!$C$15, $D$11, 100%, $F$11)</f>
        <v>26.535699999999999</v>
      </c>
      <c r="H848" s="4">
        <f>27.4846 * CHOOSE(CONTROL!$C$15, $D$11, 100%, $F$11)</f>
        <v>27.4846</v>
      </c>
      <c r="I848" s="8">
        <f>26.1949 * CHOOSE(CONTROL!$C$15, $D$11, 100%, $F$11)</f>
        <v>26.194900000000001</v>
      </c>
      <c r="J848" s="4">
        <f>26.0724 * CHOOSE(CONTROL!$C$15, $D$11, 100%, $F$11)</f>
        <v>26.072399999999998</v>
      </c>
      <c r="K848" s="4"/>
      <c r="L848" s="9">
        <v>30.092199999999998</v>
      </c>
      <c r="M848" s="9">
        <v>11.6745</v>
      </c>
      <c r="N848" s="9">
        <v>4.7850000000000001</v>
      </c>
      <c r="O848" s="9">
        <v>0.36199999999999999</v>
      </c>
      <c r="P848" s="9">
        <v>1.1791</v>
      </c>
      <c r="Q848" s="9">
        <v>19.053000000000001</v>
      </c>
      <c r="R848" s="9"/>
      <c r="S848" s="11"/>
    </row>
    <row r="849" spans="1:19" ht="15.75">
      <c r="A849" s="13">
        <v>67358</v>
      </c>
      <c r="B849" s="8">
        <f>CHOOSE( CONTROL!$C$32, 27.9123, 27.9099) * CHOOSE(CONTROL!$C$15, $D$11, 100%, $F$11)</f>
        <v>27.912299999999998</v>
      </c>
      <c r="C849" s="8">
        <f>CHOOSE( CONTROL!$C$32, 27.9204, 27.918) * CHOOSE(CONTROL!$C$15, $D$11, 100%, $F$11)</f>
        <v>27.920400000000001</v>
      </c>
      <c r="D849" s="8">
        <f>CHOOSE( CONTROL!$C$32, 27.9456, 27.9432) * CHOOSE( CONTROL!$C$15, $D$11, 100%, $F$11)</f>
        <v>27.945599999999999</v>
      </c>
      <c r="E849" s="12">
        <f>CHOOSE( CONTROL!$C$32, 27.9352, 27.9328) * CHOOSE( CONTROL!$C$15, $D$11, 100%, $F$11)</f>
        <v>27.935199999999998</v>
      </c>
      <c r="F849" s="4">
        <f>CHOOSE( CONTROL!$C$32, 28.6257, 28.6234) * CHOOSE(CONTROL!$C$15, $D$11, 100%, $F$11)</f>
        <v>28.625699999999998</v>
      </c>
      <c r="G849" s="8">
        <f>CHOOSE( CONTROL!$C$32, 27.2453, 27.243) * CHOOSE( CONTROL!$C$15, $D$11, 100%, $F$11)</f>
        <v>27.2453</v>
      </c>
      <c r="H849" s="4">
        <f>CHOOSE( CONTROL!$C$32, 28.1936, 28.1913) * CHOOSE(CONTROL!$C$15, $D$11, 100%, $F$11)</f>
        <v>28.1936</v>
      </c>
      <c r="I849" s="8">
        <f>CHOOSE( CONTROL!$C$32, 26.8925, 26.8903) * CHOOSE(CONTROL!$C$15, $D$11, 100%, $F$11)</f>
        <v>26.892499999999998</v>
      </c>
      <c r="J849" s="4">
        <f>CHOOSE( CONTROL!$C$32, 26.7694, 26.7671) * CHOOSE(CONTROL!$C$15, $D$11, 100%, $F$11)</f>
        <v>26.769400000000001</v>
      </c>
      <c r="K849" s="4"/>
      <c r="L849" s="9">
        <v>30.7165</v>
      </c>
      <c r="M849" s="9">
        <v>12.063700000000001</v>
      </c>
      <c r="N849" s="9">
        <v>4.9444999999999997</v>
      </c>
      <c r="O849" s="9">
        <v>0.37409999999999999</v>
      </c>
      <c r="P849" s="9">
        <v>1.2183999999999999</v>
      </c>
      <c r="Q849" s="9">
        <v>19.688099999999999</v>
      </c>
      <c r="R849" s="9"/>
      <c r="S849" s="11"/>
    </row>
    <row r="850" spans="1:19" ht="15.75">
      <c r="A850" s="13">
        <v>67388</v>
      </c>
      <c r="B850" s="8">
        <f>CHOOSE( CONTROL!$C$32, 27.4641, 27.4617) * CHOOSE(CONTROL!$C$15, $D$11, 100%, $F$11)</f>
        <v>27.464099999999998</v>
      </c>
      <c r="C850" s="8">
        <f>CHOOSE( CONTROL!$C$32, 27.4721, 27.4698) * CHOOSE(CONTROL!$C$15, $D$11, 100%, $F$11)</f>
        <v>27.472100000000001</v>
      </c>
      <c r="D850" s="8">
        <f>CHOOSE( CONTROL!$C$32, 27.4975, 27.4952) * CHOOSE( CONTROL!$C$15, $D$11, 100%, $F$11)</f>
        <v>27.497499999999999</v>
      </c>
      <c r="E850" s="12">
        <f>CHOOSE( CONTROL!$C$32, 27.4871, 27.4848) * CHOOSE( CONTROL!$C$15, $D$11, 100%, $F$11)</f>
        <v>27.487100000000002</v>
      </c>
      <c r="F850" s="4">
        <f>CHOOSE( CONTROL!$C$32, 28.1775, 28.1751) * CHOOSE(CONTROL!$C$15, $D$11, 100%, $F$11)</f>
        <v>28.177499999999998</v>
      </c>
      <c r="G850" s="8">
        <f>CHOOSE( CONTROL!$C$32, 26.8078, 26.8055) * CHOOSE( CONTROL!$C$15, $D$11, 100%, $F$11)</f>
        <v>26.8078</v>
      </c>
      <c r="H850" s="4">
        <f>CHOOSE( CONTROL!$C$32, 27.7558, 27.7535) * CHOOSE(CONTROL!$C$15, $D$11, 100%, $F$11)</f>
        <v>27.755800000000001</v>
      </c>
      <c r="I850" s="8">
        <f>CHOOSE( CONTROL!$C$32, 26.4629, 26.4607) * CHOOSE(CONTROL!$C$15, $D$11, 100%, $F$11)</f>
        <v>26.462900000000001</v>
      </c>
      <c r="J850" s="4">
        <f>CHOOSE( CONTROL!$C$32, 26.339, 26.3368) * CHOOSE(CONTROL!$C$15, $D$11, 100%, $F$11)</f>
        <v>26.338999999999999</v>
      </c>
      <c r="K850" s="4"/>
      <c r="L850" s="9">
        <v>29.7257</v>
      </c>
      <c r="M850" s="9">
        <v>11.6745</v>
      </c>
      <c r="N850" s="9">
        <v>4.7850000000000001</v>
      </c>
      <c r="O850" s="9">
        <v>0.36199999999999999</v>
      </c>
      <c r="P850" s="9">
        <v>1.1791</v>
      </c>
      <c r="Q850" s="9">
        <v>19.053000000000001</v>
      </c>
      <c r="R850" s="9"/>
      <c r="S850" s="11"/>
    </row>
    <row r="851" spans="1:19" ht="15.75">
      <c r="A851" s="13">
        <v>67419</v>
      </c>
      <c r="B851" s="8">
        <f>CHOOSE( CONTROL!$C$32, 28.6444, 28.6421) * CHOOSE(CONTROL!$C$15, $D$11, 100%, $F$11)</f>
        <v>28.644400000000001</v>
      </c>
      <c r="C851" s="8">
        <f>CHOOSE( CONTROL!$C$32, 28.6525, 28.6502) * CHOOSE(CONTROL!$C$15, $D$11, 100%, $F$11)</f>
        <v>28.6525</v>
      </c>
      <c r="D851" s="8">
        <f>CHOOSE( CONTROL!$C$32, 28.6782, 28.6758) * CHOOSE( CONTROL!$C$15, $D$11, 100%, $F$11)</f>
        <v>28.6782</v>
      </c>
      <c r="E851" s="12">
        <f>CHOOSE( CONTROL!$C$32, 28.6677, 28.6653) * CHOOSE( CONTROL!$C$15, $D$11, 100%, $F$11)</f>
        <v>28.6677</v>
      </c>
      <c r="F851" s="4">
        <f>CHOOSE( CONTROL!$C$32, 29.3579, 29.3555) * CHOOSE(CONTROL!$C$15, $D$11, 100%, $F$11)</f>
        <v>29.357900000000001</v>
      </c>
      <c r="G851" s="8">
        <f>CHOOSE( CONTROL!$C$32, 27.9611, 27.9588) * CHOOSE( CONTROL!$C$15, $D$11, 100%, $F$11)</f>
        <v>27.961099999999998</v>
      </c>
      <c r="H851" s="4">
        <f>CHOOSE( CONTROL!$C$32, 28.9087, 28.9064) * CHOOSE(CONTROL!$C$15, $D$11, 100%, $F$11)</f>
        <v>28.9087</v>
      </c>
      <c r="I851" s="8">
        <f>CHOOSE( CONTROL!$C$32, 27.598, 27.5957) * CHOOSE(CONTROL!$C$15, $D$11, 100%, $F$11)</f>
        <v>27.597999999999999</v>
      </c>
      <c r="J851" s="4">
        <f>CHOOSE( CONTROL!$C$32, 27.4723, 27.47) * CHOOSE(CONTROL!$C$15, $D$11, 100%, $F$11)</f>
        <v>27.472300000000001</v>
      </c>
      <c r="K851" s="4"/>
      <c r="L851" s="9">
        <v>30.7165</v>
      </c>
      <c r="M851" s="9">
        <v>12.063700000000001</v>
      </c>
      <c r="N851" s="9">
        <v>4.9444999999999997</v>
      </c>
      <c r="O851" s="9">
        <v>0.37409999999999999</v>
      </c>
      <c r="P851" s="9">
        <v>1.2183999999999999</v>
      </c>
      <c r="Q851" s="9">
        <v>19.688099999999999</v>
      </c>
      <c r="R851" s="9"/>
      <c r="S851" s="11"/>
    </row>
    <row r="852" spans="1:19" ht="15.75">
      <c r="A852" s="13">
        <v>67450</v>
      </c>
      <c r="B852" s="8">
        <f>CHOOSE( CONTROL!$C$32, 26.4358, 26.4335) * CHOOSE(CONTROL!$C$15, $D$11, 100%, $F$11)</f>
        <v>26.4358</v>
      </c>
      <c r="C852" s="8">
        <f>CHOOSE( CONTROL!$C$32, 26.4439, 26.4416) * CHOOSE(CONTROL!$C$15, $D$11, 100%, $F$11)</f>
        <v>26.443899999999999</v>
      </c>
      <c r="D852" s="8">
        <f>CHOOSE( CONTROL!$C$32, 26.4696, 26.4673) * CHOOSE( CONTROL!$C$15, $D$11, 100%, $F$11)</f>
        <v>26.4696</v>
      </c>
      <c r="E852" s="12">
        <f>CHOOSE( CONTROL!$C$32, 26.4591, 26.4568) * CHOOSE( CONTROL!$C$15, $D$11, 100%, $F$11)</f>
        <v>26.459099999999999</v>
      </c>
      <c r="F852" s="4">
        <f>CHOOSE( CONTROL!$C$32, 27.1493, 27.1469) * CHOOSE(CONTROL!$C$15, $D$11, 100%, $F$11)</f>
        <v>27.1493</v>
      </c>
      <c r="G852" s="8">
        <f>CHOOSE( CONTROL!$C$32, 25.804, 25.8017) * CHOOSE( CONTROL!$C$15, $D$11, 100%, $F$11)</f>
        <v>25.803999999999998</v>
      </c>
      <c r="H852" s="4">
        <f>CHOOSE( CONTROL!$C$32, 26.7515, 26.7493) * CHOOSE(CONTROL!$C$15, $D$11, 100%, $F$11)</f>
        <v>26.7515</v>
      </c>
      <c r="I852" s="8">
        <f>CHOOSE( CONTROL!$C$32, 25.4768, 25.4746) * CHOOSE(CONTROL!$C$15, $D$11, 100%, $F$11)</f>
        <v>25.476800000000001</v>
      </c>
      <c r="J852" s="4">
        <f>CHOOSE( CONTROL!$C$32, 25.3518, 25.3496) * CHOOSE(CONTROL!$C$15, $D$11, 100%, $F$11)</f>
        <v>25.351800000000001</v>
      </c>
      <c r="K852" s="4"/>
      <c r="L852" s="9">
        <v>30.7165</v>
      </c>
      <c r="M852" s="9">
        <v>12.063700000000001</v>
      </c>
      <c r="N852" s="9">
        <v>4.9444999999999997</v>
      </c>
      <c r="O852" s="9">
        <v>0.37409999999999999</v>
      </c>
      <c r="P852" s="9">
        <v>1.2183999999999999</v>
      </c>
      <c r="Q852" s="9">
        <v>19.688099999999999</v>
      </c>
      <c r="R852" s="9"/>
      <c r="S852" s="11"/>
    </row>
    <row r="853" spans="1:19" ht="15.75">
      <c r="A853" s="13">
        <v>67480</v>
      </c>
      <c r="B853" s="8">
        <f>CHOOSE( CONTROL!$C$32, 25.8828, 25.8804) * CHOOSE(CONTROL!$C$15, $D$11, 100%, $F$11)</f>
        <v>25.8828</v>
      </c>
      <c r="C853" s="8">
        <f>CHOOSE( CONTROL!$C$32, 25.8908, 25.8885) * CHOOSE(CONTROL!$C$15, $D$11, 100%, $F$11)</f>
        <v>25.890799999999999</v>
      </c>
      <c r="D853" s="8">
        <f>CHOOSE( CONTROL!$C$32, 25.9166, 25.9142) * CHOOSE( CONTROL!$C$15, $D$11, 100%, $F$11)</f>
        <v>25.916599999999999</v>
      </c>
      <c r="E853" s="12">
        <f>CHOOSE( CONTROL!$C$32, 25.906, 25.9037) * CHOOSE( CONTROL!$C$15, $D$11, 100%, $F$11)</f>
        <v>25.905999999999999</v>
      </c>
      <c r="F853" s="4">
        <f>CHOOSE( CONTROL!$C$32, 26.5962, 26.5938) * CHOOSE(CONTROL!$C$15, $D$11, 100%, $F$11)</f>
        <v>26.5962</v>
      </c>
      <c r="G853" s="8">
        <f>CHOOSE( CONTROL!$C$32, 25.2638, 25.2615) * CHOOSE( CONTROL!$C$15, $D$11, 100%, $F$11)</f>
        <v>25.2638</v>
      </c>
      <c r="H853" s="4">
        <f>CHOOSE( CONTROL!$C$32, 26.2114, 26.2091) * CHOOSE(CONTROL!$C$15, $D$11, 100%, $F$11)</f>
        <v>26.211400000000001</v>
      </c>
      <c r="I853" s="8">
        <f>CHOOSE( CONTROL!$C$32, 24.9454, 24.9432) * CHOOSE(CONTROL!$C$15, $D$11, 100%, $F$11)</f>
        <v>24.945399999999999</v>
      </c>
      <c r="J853" s="4">
        <f>CHOOSE( CONTROL!$C$32, 24.8208, 24.8186) * CHOOSE(CONTROL!$C$15, $D$11, 100%, $F$11)</f>
        <v>24.820799999999998</v>
      </c>
      <c r="K853" s="4"/>
      <c r="L853" s="9">
        <v>29.7257</v>
      </c>
      <c r="M853" s="9">
        <v>11.6745</v>
      </c>
      <c r="N853" s="9">
        <v>4.7850000000000001</v>
      </c>
      <c r="O853" s="9">
        <v>0.36199999999999999</v>
      </c>
      <c r="P853" s="9">
        <v>1.1791</v>
      </c>
      <c r="Q853" s="9">
        <v>19.053000000000001</v>
      </c>
      <c r="R853" s="9"/>
      <c r="S853" s="11"/>
    </row>
    <row r="854" spans="1:19" ht="15.75">
      <c r="A854" s="13">
        <v>67511</v>
      </c>
      <c r="B854" s="8">
        <f>27.027 * CHOOSE(CONTROL!$C$15, $D$11, 100%, $F$11)</f>
        <v>27.027000000000001</v>
      </c>
      <c r="C854" s="8">
        <f>27.0325 * CHOOSE(CONTROL!$C$15, $D$11, 100%, $F$11)</f>
        <v>27.032499999999999</v>
      </c>
      <c r="D854" s="8">
        <f>27.0633 * CHOOSE( CONTROL!$C$15, $D$11, 100%, $F$11)</f>
        <v>27.063300000000002</v>
      </c>
      <c r="E854" s="12">
        <f>27.0525 * CHOOSE( CONTROL!$C$15, $D$11, 100%, $F$11)</f>
        <v>27.052499999999998</v>
      </c>
      <c r="F854" s="4">
        <f>27.7422 * CHOOSE(CONTROL!$C$15, $D$11, 100%, $F$11)</f>
        <v>27.7422</v>
      </c>
      <c r="G854" s="8">
        <f>26.3829 * CHOOSE( CONTROL!$C$15, $D$11, 100%, $F$11)</f>
        <v>26.382899999999999</v>
      </c>
      <c r="H854" s="4">
        <f>27.3307 * CHOOSE(CONTROL!$C$15, $D$11, 100%, $F$11)</f>
        <v>27.3307</v>
      </c>
      <c r="I854" s="8">
        <f>26.0471 * CHOOSE(CONTROL!$C$15, $D$11, 100%, $F$11)</f>
        <v>26.0471</v>
      </c>
      <c r="J854" s="4">
        <f>25.9211 * CHOOSE(CONTROL!$C$15, $D$11, 100%, $F$11)</f>
        <v>25.921099999999999</v>
      </c>
      <c r="K854" s="4"/>
      <c r="L854" s="9">
        <v>31.095300000000002</v>
      </c>
      <c r="M854" s="9">
        <v>12.063700000000001</v>
      </c>
      <c r="N854" s="9">
        <v>4.9444999999999997</v>
      </c>
      <c r="O854" s="9">
        <v>0.37409999999999999</v>
      </c>
      <c r="P854" s="9">
        <v>1.2183999999999999</v>
      </c>
      <c r="Q854" s="9">
        <v>19.688099999999999</v>
      </c>
      <c r="R854" s="9"/>
      <c r="S854" s="11"/>
    </row>
    <row r="855" spans="1:19" ht="15.75">
      <c r="A855" s="13">
        <v>67541</v>
      </c>
      <c r="B855" s="8">
        <f>29.1462 * CHOOSE(CONTROL!$C$15, $D$11, 100%, $F$11)</f>
        <v>29.1462</v>
      </c>
      <c r="C855" s="8">
        <f>29.1514 * CHOOSE(CONTROL!$C$15, $D$11, 100%, $F$11)</f>
        <v>29.151399999999999</v>
      </c>
      <c r="D855" s="8">
        <f>29.1345 * CHOOSE( CONTROL!$C$15, $D$11, 100%, $F$11)</f>
        <v>29.134499999999999</v>
      </c>
      <c r="E855" s="12">
        <f>29.1401 * CHOOSE( CONTROL!$C$15, $D$11, 100%, $F$11)</f>
        <v>29.1401</v>
      </c>
      <c r="F855" s="4">
        <f>29.7967 * CHOOSE(CONTROL!$C$15, $D$11, 100%, $F$11)</f>
        <v>29.796700000000001</v>
      </c>
      <c r="G855" s="8">
        <f>28.4593 * CHOOSE( CONTROL!$C$15, $D$11, 100%, $F$11)</f>
        <v>28.459299999999999</v>
      </c>
      <c r="H855" s="4">
        <f>29.3373 * CHOOSE(CONTROL!$C$15, $D$11, 100%, $F$11)</f>
        <v>29.337299999999999</v>
      </c>
      <c r="I855" s="8">
        <f>28.125 * CHOOSE(CONTROL!$C$15, $D$11, 100%, $F$11)</f>
        <v>28.125</v>
      </c>
      <c r="J855" s="4">
        <f>27.9561 * CHOOSE(CONTROL!$C$15, $D$11, 100%, $F$11)</f>
        <v>27.956099999999999</v>
      </c>
      <c r="K855" s="4"/>
      <c r="L855" s="9">
        <v>28.360600000000002</v>
      </c>
      <c r="M855" s="9">
        <v>11.6745</v>
      </c>
      <c r="N855" s="9">
        <v>4.7850000000000001</v>
      </c>
      <c r="O855" s="9">
        <v>0.36199999999999999</v>
      </c>
      <c r="P855" s="9">
        <v>1.2509999999999999</v>
      </c>
      <c r="Q855" s="9">
        <v>19.053000000000001</v>
      </c>
      <c r="R855" s="9"/>
      <c r="S855" s="11"/>
    </row>
    <row r="856" spans="1:19" ht="15.75">
      <c r="A856" s="13">
        <v>67572</v>
      </c>
      <c r="B856" s="8">
        <f>29.0933 * CHOOSE(CONTROL!$C$15, $D$11, 100%, $F$11)</f>
        <v>29.093299999999999</v>
      </c>
      <c r="C856" s="8">
        <f>29.0985 * CHOOSE(CONTROL!$C$15, $D$11, 100%, $F$11)</f>
        <v>29.098500000000001</v>
      </c>
      <c r="D856" s="8">
        <f>29.083 * CHOOSE( CONTROL!$C$15, $D$11, 100%, $F$11)</f>
        <v>29.082999999999998</v>
      </c>
      <c r="E856" s="12">
        <f>29.0881 * CHOOSE( CONTROL!$C$15, $D$11, 100%, $F$11)</f>
        <v>29.088100000000001</v>
      </c>
      <c r="F856" s="4">
        <f>29.7438 * CHOOSE(CONTROL!$C$15, $D$11, 100%, $F$11)</f>
        <v>29.7438</v>
      </c>
      <c r="G856" s="8">
        <f>28.4087 * CHOOSE( CONTROL!$C$15, $D$11, 100%, $F$11)</f>
        <v>28.4087</v>
      </c>
      <c r="H856" s="4">
        <f>29.2856 * CHOOSE(CONTROL!$C$15, $D$11, 100%, $F$11)</f>
        <v>29.285599999999999</v>
      </c>
      <c r="I856" s="8">
        <f>28.0788 * CHOOSE(CONTROL!$C$15, $D$11, 100%, $F$11)</f>
        <v>28.078800000000001</v>
      </c>
      <c r="J856" s="4">
        <f>27.9053 * CHOOSE(CONTROL!$C$15, $D$11, 100%, $F$11)</f>
        <v>27.9053</v>
      </c>
      <c r="K856" s="4"/>
      <c r="L856" s="9">
        <v>29.306000000000001</v>
      </c>
      <c r="M856" s="9">
        <v>12.063700000000001</v>
      </c>
      <c r="N856" s="9">
        <v>4.9444999999999997</v>
      </c>
      <c r="O856" s="9">
        <v>0.37409999999999999</v>
      </c>
      <c r="P856" s="9">
        <v>1.2927</v>
      </c>
      <c r="Q856" s="9">
        <v>19.688099999999999</v>
      </c>
      <c r="R856" s="9"/>
      <c r="S856" s="11"/>
    </row>
    <row r="857" spans="1:19" ht="15.75">
      <c r="A857" s="13">
        <v>67603</v>
      </c>
      <c r="B857" s="8">
        <f>29.9506 * CHOOSE(CONTROL!$C$15, $D$11, 100%, $F$11)</f>
        <v>29.950600000000001</v>
      </c>
      <c r="C857" s="8">
        <f>29.9558 * CHOOSE(CONTROL!$C$15, $D$11, 100%, $F$11)</f>
        <v>29.9558</v>
      </c>
      <c r="D857" s="8">
        <f>29.936 * CHOOSE( CONTROL!$C$15, $D$11, 100%, $F$11)</f>
        <v>29.936</v>
      </c>
      <c r="E857" s="12">
        <f>29.9427 * CHOOSE( CONTROL!$C$15, $D$11, 100%, $F$11)</f>
        <v>29.942699999999999</v>
      </c>
      <c r="F857" s="4">
        <f>30.6011 * CHOOSE(CONTROL!$C$15, $D$11, 100%, $F$11)</f>
        <v>30.601099999999999</v>
      </c>
      <c r="G857" s="8">
        <f>29.2368 * CHOOSE( CONTROL!$C$15, $D$11, 100%, $F$11)</f>
        <v>29.236799999999999</v>
      </c>
      <c r="H857" s="4">
        <f>30.123 * CHOOSE(CONTROL!$C$15, $D$11, 100%, $F$11)</f>
        <v>30.123000000000001</v>
      </c>
      <c r="I857" s="8">
        <f>28.8615 * CHOOSE(CONTROL!$C$15, $D$11, 100%, $F$11)</f>
        <v>28.861499999999999</v>
      </c>
      <c r="J857" s="4">
        <f>28.7284 * CHOOSE(CONTROL!$C$15, $D$11, 100%, $F$11)</f>
        <v>28.728400000000001</v>
      </c>
      <c r="K857" s="4"/>
      <c r="L857" s="9">
        <v>29.306000000000001</v>
      </c>
      <c r="M857" s="9">
        <v>12.063700000000001</v>
      </c>
      <c r="N857" s="9">
        <v>4.9444999999999997</v>
      </c>
      <c r="O857" s="9">
        <v>0.37409999999999999</v>
      </c>
      <c r="P857" s="9">
        <v>1.2927</v>
      </c>
      <c r="Q857" s="9">
        <v>19.688099999999999</v>
      </c>
      <c r="R857" s="9"/>
      <c r="S857" s="11"/>
    </row>
    <row r="858" spans="1:19" ht="15.75">
      <c r="A858" s="13">
        <v>67631</v>
      </c>
      <c r="B858" s="8">
        <f>28.0162 * CHOOSE(CONTROL!$C$15, $D$11, 100%, $F$11)</f>
        <v>28.016200000000001</v>
      </c>
      <c r="C858" s="8">
        <f>28.0214 * CHOOSE(CONTROL!$C$15, $D$11, 100%, $F$11)</f>
        <v>28.0214</v>
      </c>
      <c r="D858" s="8">
        <f>28.0015 * CHOOSE( CONTROL!$C$15, $D$11, 100%, $F$11)</f>
        <v>28.0015</v>
      </c>
      <c r="E858" s="12">
        <f>28.0082 * CHOOSE( CONTROL!$C$15, $D$11, 100%, $F$11)</f>
        <v>28.008199999999999</v>
      </c>
      <c r="F858" s="4">
        <f>28.6667 * CHOOSE(CONTROL!$C$15, $D$11, 100%, $F$11)</f>
        <v>28.666699999999999</v>
      </c>
      <c r="G858" s="8">
        <f>27.3474 * CHOOSE( CONTROL!$C$15, $D$11, 100%, $F$11)</f>
        <v>27.3474</v>
      </c>
      <c r="H858" s="4">
        <f>28.2336 * CHOOSE(CONTROL!$C$15, $D$11, 100%, $F$11)</f>
        <v>28.233599999999999</v>
      </c>
      <c r="I858" s="8">
        <f>27.0032 * CHOOSE(CONTROL!$C$15, $D$11, 100%, $F$11)</f>
        <v>27.0032</v>
      </c>
      <c r="J858" s="4">
        <f>26.8712 * CHOOSE(CONTROL!$C$15, $D$11, 100%, $F$11)</f>
        <v>26.871200000000002</v>
      </c>
      <c r="K858" s="4"/>
      <c r="L858" s="9">
        <v>26.469899999999999</v>
      </c>
      <c r="M858" s="9">
        <v>10.8962</v>
      </c>
      <c r="N858" s="9">
        <v>4.4660000000000002</v>
      </c>
      <c r="O858" s="9">
        <v>0.33789999999999998</v>
      </c>
      <c r="P858" s="9">
        <v>1.1676</v>
      </c>
      <c r="Q858" s="9">
        <v>17.782800000000002</v>
      </c>
      <c r="R858" s="9"/>
      <c r="S858" s="11"/>
    </row>
    <row r="859" spans="1:19" ht="15.75">
      <c r="A859" s="13">
        <v>67662</v>
      </c>
      <c r="B859" s="8">
        <f>27.4204 * CHOOSE(CONTROL!$C$15, $D$11, 100%, $F$11)</f>
        <v>27.420400000000001</v>
      </c>
      <c r="C859" s="8">
        <f>27.4256 * CHOOSE(CONTROL!$C$15, $D$11, 100%, $F$11)</f>
        <v>27.425599999999999</v>
      </c>
      <c r="D859" s="8">
        <f>27.4054 * CHOOSE( CONTROL!$C$15, $D$11, 100%, $F$11)</f>
        <v>27.4054</v>
      </c>
      <c r="E859" s="12">
        <f>27.4122 * CHOOSE( CONTROL!$C$15, $D$11, 100%, $F$11)</f>
        <v>27.412199999999999</v>
      </c>
      <c r="F859" s="4">
        <f>28.0709 * CHOOSE(CONTROL!$C$15, $D$11, 100%, $F$11)</f>
        <v>28.070900000000002</v>
      </c>
      <c r="G859" s="8">
        <f>26.7652 * CHOOSE( CONTROL!$C$15, $D$11, 100%, $F$11)</f>
        <v>26.7652</v>
      </c>
      <c r="H859" s="4">
        <f>27.6517 * CHOOSE(CONTROL!$C$15, $D$11, 100%, $F$11)</f>
        <v>27.651700000000002</v>
      </c>
      <c r="I859" s="8">
        <f>26.4298 * CHOOSE(CONTROL!$C$15, $D$11, 100%, $F$11)</f>
        <v>26.4298</v>
      </c>
      <c r="J859" s="4">
        <f>26.2991 * CHOOSE(CONTROL!$C$15, $D$11, 100%, $F$11)</f>
        <v>26.299099999999999</v>
      </c>
      <c r="K859" s="4"/>
      <c r="L859" s="9">
        <v>29.306000000000001</v>
      </c>
      <c r="M859" s="9">
        <v>12.063700000000001</v>
      </c>
      <c r="N859" s="9">
        <v>4.9444999999999997</v>
      </c>
      <c r="O859" s="9">
        <v>0.37409999999999999</v>
      </c>
      <c r="P859" s="9">
        <v>1.2927</v>
      </c>
      <c r="Q859" s="9">
        <v>19.688099999999999</v>
      </c>
      <c r="R859" s="9"/>
      <c r="S859" s="11"/>
    </row>
    <row r="860" spans="1:19" ht="15.75">
      <c r="A860" s="13">
        <v>67692</v>
      </c>
      <c r="B860" s="8">
        <f>27.8375 * CHOOSE(CONTROL!$C$15, $D$11, 100%, $F$11)</f>
        <v>27.837499999999999</v>
      </c>
      <c r="C860" s="8">
        <f>27.8421 * CHOOSE(CONTROL!$C$15, $D$11, 100%, $F$11)</f>
        <v>27.842099999999999</v>
      </c>
      <c r="D860" s="8">
        <f>27.8726 * CHOOSE( CONTROL!$C$15, $D$11, 100%, $F$11)</f>
        <v>27.872599999999998</v>
      </c>
      <c r="E860" s="12">
        <f>27.862 * CHOOSE( CONTROL!$C$15, $D$11, 100%, $F$11)</f>
        <v>27.861999999999998</v>
      </c>
      <c r="F860" s="4">
        <f>28.5523 * CHOOSE(CONTROL!$C$15, $D$11, 100%, $F$11)</f>
        <v>28.552299999999999</v>
      </c>
      <c r="G860" s="8">
        <f>27.173 * CHOOSE( CONTROL!$C$15, $D$11, 100%, $F$11)</f>
        <v>27.172999999999998</v>
      </c>
      <c r="H860" s="4">
        <f>28.1219 * CHOOSE(CONTROL!$C$15, $D$11, 100%, $F$11)</f>
        <v>28.1219</v>
      </c>
      <c r="I860" s="8">
        <f>26.8217 * CHOOSE(CONTROL!$C$15, $D$11, 100%, $F$11)</f>
        <v>26.8217</v>
      </c>
      <c r="J860" s="4">
        <f>26.6989 * CHOOSE(CONTROL!$C$15, $D$11, 100%, $F$11)</f>
        <v>26.698899999999998</v>
      </c>
      <c r="K860" s="4"/>
      <c r="L860" s="9">
        <v>30.092199999999998</v>
      </c>
      <c r="M860" s="9">
        <v>11.6745</v>
      </c>
      <c r="N860" s="9">
        <v>4.7850000000000001</v>
      </c>
      <c r="O860" s="9">
        <v>0.36199999999999999</v>
      </c>
      <c r="P860" s="9">
        <v>1.1791</v>
      </c>
      <c r="Q860" s="9">
        <v>19.053000000000001</v>
      </c>
      <c r="R860" s="9"/>
      <c r="S860" s="11"/>
    </row>
    <row r="861" spans="1:19" ht="15.75">
      <c r="A861" s="13">
        <v>67723</v>
      </c>
      <c r="B861" s="8">
        <f>CHOOSE( CONTROL!$C$32, 28.5822, 28.5798) * CHOOSE(CONTROL!$C$15, $D$11, 100%, $F$11)</f>
        <v>28.5822</v>
      </c>
      <c r="C861" s="8">
        <f>CHOOSE( CONTROL!$C$32, 28.5903, 28.5879) * CHOOSE(CONTROL!$C$15, $D$11, 100%, $F$11)</f>
        <v>28.590299999999999</v>
      </c>
      <c r="D861" s="8">
        <f>CHOOSE( CONTROL!$C$32, 28.6155, 28.6131) * CHOOSE( CONTROL!$C$15, $D$11, 100%, $F$11)</f>
        <v>28.615500000000001</v>
      </c>
      <c r="E861" s="12">
        <f>CHOOSE( CONTROL!$C$32, 28.6051, 28.6027) * CHOOSE( CONTROL!$C$15, $D$11, 100%, $F$11)</f>
        <v>28.6051</v>
      </c>
      <c r="F861" s="4">
        <f>CHOOSE( CONTROL!$C$32, 29.2956, 29.2933) * CHOOSE(CONTROL!$C$15, $D$11, 100%, $F$11)</f>
        <v>29.2956</v>
      </c>
      <c r="G861" s="8">
        <f>CHOOSE( CONTROL!$C$32, 27.8996, 27.8973) * CHOOSE( CONTROL!$C$15, $D$11, 100%, $F$11)</f>
        <v>27.8996</v>
      </c>
      <c r="H861" s="4">
        <f>CHOOSE( CONTROL!$C$32, 28.8479, 28.8456) * CHOOSE(CONTROL!$C$15, $D$11, 100%, $F$11)</f>
        <v>28.847899999999999</v>
      </c>
      <c r="I861" s="8">
        <f>CHOOSE( CONTROL!$C$32, 27.536, 27.5337) * CHOOSE(CONTROL!$C$15, $D$11, 100%, $F$11)</f>
        <v>27.536000000000001</v>
      </c>
      <c r="J861" s="4">
        <f>CHOOSE( CONTROL!$C$32, 27.4125, 27.4103) * CHOOSE(CONTROL!$C$15, $D$11, 100%, $F$11)</f>
        <v>27.412500000000001</v>
      </c>
      <c r="K861" s="4"/>
      <c r="L861" s="9">
        <v>30.7165</v>
      </c>
      <c r="M861" s="9">
        <v>12.063700000000001</v>
      </c>
      <c r="N861" s="9">
        <v>4.9444999999999997</v>
      </c>
      <c r="O861" s="9">
        <v>0.37409999999999999</v>
      </c>
      <c r="P861" s="9">
        <v>1.2183999999999999</v>
      </c>
      <c r="Q861" s="9">
        <v>19.688099999999999</v>
      </c>
      <c r="R861" s="9"/>
      <c r="S861" s="11"/>
    </row>
    <row r="862" spans="1:19" ht="15.75">
      <c r="A862" s="13">
        <v>67753</v>
      </c>
      <c r="B862" s="8">
        <f>CHOOSE( CONTROL!$C$32, 28.1232, 28.1208) * CHOOSE(CONTROL!$C$15, $D$11, 100%, $F$11)</f>
        <v>28.123200000000001</v>
      </c>
      <c r="C862" s="8">
        <f>CHOOSE( CONTROL!$C$32, 28.1312, 28.1289) * CHOOSE(CONTROL!$C$15, $D$11, 100%, $F$11)</f>
        <v>28.1312</v>
      </c>
      <c r="D862" s="8">
        <f>CHOOSE( CONTROL!$C$32, 28.1567, 28.1543) * CHOOSE( CONTROL!$C$15, $D$11, 100%, $F$11)</f>
        <v>28.156700000000001</v>
      </c>
      <c r="E862" s="12">
        <f>CHOOSE( CONTROL!$C$32, 28.1462, 28.1439) * CHOOSE( CONTROL!$C$15, $D$11, 100%, $F$11)</f>
        <v>28.1462</v>
      </c>
      <c r="F862" s="4">
        <f>CHOOSE( CONTROL!$C$32, 28.8366, 28.8342) * CHOOSE(CONTROL!$C$15, $D$11, 100%, $F$11)</f>
        <v>28.836600000000001</v>
      </c>
      <c r="G862" s="8">
        <f>CHOOSE( CONTROL!$C$32, 27.4516, 27.4493) * CHOOSE( CONTROL!$C$15, $D$11, 100%, $F$11)</f>
        <v>27.451599999999999</v>
      </c>
      <c r="H862" s="4">
        <f>CHOOSE( CONTROL!$C$32, 28.3996, 28.3973) * CHOOSE(CONTROL!$C$15, $D$11, 100%, $F$11)</f>
        <v>28.3996</v>
      </c>
      <c r="I862" s="8">
        <f>CHOOSE( CONTROL!$C$32, 27.096, 27.0938) * CHOOSE(CONTROL!$C$15, $D$11, 100%, $F$11)</f>
        <v>27.096</v>
      </c>
      <c r="J862" s="4">
        <f>CHOOSE( CONTROL!$C$32, 26.9718, 26.9696) * CHOOSE(CONTROL!$C$15, $D$11, 100%, $F$11)</f>
        <v>26.971800000000002</v>
      </c>
      <c r="K862" s="4"/>
      <c r="L862" s="9">
        <v>29.7257</v>
      </c>
      <c r="M862" s="9">
        <v>11.6745</v>
      </c>
      <c r="N862" s="9">
        <v>4.7850000000000001</v>
      </c>
      <c r="O862" s="9">
        <v>0.36199999999999999</v>
      </c>
      <c r="P862" s="9">
        <v>1.1791</v>
      </c>
      <c r="Q862" s="9">
        <v>19.053000000000001</v>
      </c>
      <c r="R862" s="9"/>
      <c r="S862" s="11"/>
    </row>
    <row r="863" spans="1:19" ht="15.75">
      <c r="A863" s="13">
        <v>67784</v>
      </c>
      <c r="B863" s="8">
        <f>CHOOSE( CONTROL!$C$32, 29.3319, 29.3296) * CHOOSE(CONTROL!$C$15, $D$11, 100%, $F$11)</f>
        <v>29.331900000000001</v>
      </c>
      <c r="C863" s="8">
        <f>CHOOSE( CONTROL!$C$32, 29.34, 29.3376) * CHOOSE(CONTROL!$C$15, $D$11, 100%, $F$11)</f>
        <v>29.34</v>
      </c>
      <c r="D863" s="8">
        <f>CHOOSE( CONTROL!$C$32, 29.3656, 29.3633) * CHOOSE( CONTROL!$C$15, $D$11, 100%, $F$11)</f>
        <v>29.365600000000001</v>
      </c>
      <c r="E863" s="12">
        <f>CHOOSE( CONTROL!$C$32, 29.3551, 29.3528) * CHOOSE( CONTROL!$C$15, $D$11, 100%, $F$11)</f>
        <v>29.3551</v>
      </c>
      <c r="F863" s="4">
        <f>CHOOSE( CONTROL!$C$32, 30.0453, 30.043) * CHOOSE(CONTROL!$C$15, $D$11, 100%, $F$11)</f>
        <v>30.045300000000001</v>
      </c>
      <c r="G863" s="8">
        <f>CHOOSE( CONTROL!$C$32, 28.6325, 28.6302) * CHOOSE( CONTROL!$C$15, $D$11, 100%, $F$11)</f>
        <v>28.6325</v>
      </c>
      <c r="H863" s="4">
        <f>CHOOSE( CONTROL!$C$32, 29.5802, 29.5779) * CHOOSE(CONTROL!$C$15, $D$11, 100%, $F$11)</f>
        <v>29.580200000000001</v>
      </c>
      <c r="I863" s="8">
        <f>CHOOSE( CONTROL!$C$32, 28.2583, 28.2561) * CHOOSE(CONTROL!$C$15, $D$11, 100%, $F$11)</f>
        <v>28.258299999999998</v>
      </c>
      <c r="J863" s="4">
        <f>CHOOSE( CONTROL!$C$32, 28.1323, 28.1301) * CHOOSE(CONTROL!$C$15, $D$11, 100%, $F$11)</f>
        <v>28.132300000000001</v>
      </c>
      <c r="K863" s="4"/>
      <c r="L863" s="9">
        <v>30.7165</v>
      </c>
      <c r="M863" s="9">
        <v>12.063700000000001</v>
      </c>
      <c r="N863" s="9">
        <v>4.9444999999999997</v>
      </c>
      <c r="O863" s="9">
        <v>0.37409999999999999</v>
      </c>
      <c r="P863" s="9">
        <v>1.2183999999999999</v>
      </c>
      <c r="Q863" s="9">
        <v>19.688099999999999</v>
      </c>
      <c r="R863" s="9"/>
      <c r="S863" s="11"/>
    </row>
    <row r="864" spans="1:19" ht="15.75">
      <c r="A864" s="13">
        <v>67815</v>
      </c>
      <c r="B864" s="8">
        <f>CHOOSE( CONTROL!$C$32, 27.0702, 27.0679) * CHOOSE(CONTROL!$C$15, $D$11, 100%, $F$11)</f>
        <v>27.0702</v>
      </c>
      <c r="C864" s="8">
        <f>CHOOSE( CONTROL!$C$32, 27.0783, 27.076) * CHOOSE(CONTROL!$C$15, $D$11, 100%, $F$11)</f>
        <v>27.078299999999999</v>
      </c>
      <c r="D864" s="8">
        <f>CHOOSE( CONTROL!$C$32, 27.104, 27.1017) * CHOOSE( CONTROL!$C$15, $D$11, 100%, $F$11)</f>
        <v>27.103999999999999</v>
      </c>
      <c r="E864" s="12">
        <f>CHOOSE( CONTROL!$C$32, 27.0935, 27.0912) * CHOOSE( CONTROL!$C$15, $D$11, 100%, $F$11)</f>
        <v>27.093499999999999</v>
      </c>
      <c r="F864" s="4">
        <f>CHOOSE( CONTROL!$C$32, 27.7837, 27.7813) * CHOOSE(CONTROL!$C$15, $D$11, 100%, $F$11)</f>
        <v>27.7837</v>
      </c>
      <c r="G864" s="8">
        <f>CHOOSE( CONTROL!$C$32, 26.4236, 26.4214) * CHOOSE( CONTROL!$C$15, $D$11, 100%, $F$11)</f>
        <v>26.4236</v>
      </c>
      <c r="H864" s="4">
        <f>CHOOSE( CONTROL!$C$32, 27.3712, 27.3689) * CHOOSE(CONTROL!$C$15, $D$11, 100%, $F$11)</f>
        <v>27.371200000000002</v>
      </c>
      <c r="I864" s="8">
        <f>CHOOSE( CONTROL!$C$32, 26.0862, 26.0839) * CHOOSE(CONTROL!$C$15, $D$11, 100%, $F$11)</f>
        <v>26.086200000000002</v>
      </c>
      <c r="J864" s="4">
        <f>CHOOSE( CONTROL!$C$32, 25.9609, 25.9586) * CHOOSE(CONTROL!$C$15, $D$11, 100%, $F$11)</f>
        <v>25.960899999999999</v>
      </c>
      <c r="K864" s="4"/>
      <c r="L864" s="9">
        <v>30.7165</v>
      </c>
      <c r="M864" s="9">
        <v>12.063700000000001</v>
      </c>
      <c r="N864" s="9">
        <v>4.9444999999999997</v>
      </c>
      <c r="O864" s="9">
        <v>0.37409999999999999</v>
      </c>
      <c r="P864" s="9">
        <v>1.2183999999999999</v>
      </c>
      <c r="Q864" s="9">
        <v>19.688099999999999</v>
      </c>
      <c r="R864" s="9"/>
      <c r="S864" s="11"/>
    </row>
    <row r="865" spans="1:19" ht="15.75">
      <c r="A865" s="13">
        <v>67845</v>
      </c>
      <c r="B865" s="8">
        <f>CHOOSE( CONTROL!$C$32, 26.5039, 26.5015) * CHOOSE(CONTROL!$C$15, $D$11, 100%, $F$11)</f>
        <v>26.503900000000002</v>
      </c>
      <c r="C865" s="8">
        <f>CHOOSE( CONTROL!$C$32, 26.512, 26.5096) * CHOOSE(CONTROL!$C$15, $D$11, 100%, $F$11)</f>
        <v>26.512</v>
      </c>
      <c r="D865" s="8">
        <f>CHOOSE( CONTROL!$C$32, 26.5377, 26.5353) * CHOOSE( CONTROL!$C$15, $D$11, 100%, $F$11)</f>
        <v>26.537700000000001</v>
      </c>
      <c r="E865" s="12">
        <f>CHOOSE( CONTROL!$C$32, 26.5272, 26.5248) * CHOOSE( CONTROL!$C$15, $D$11, 100%, $F$11)</f>
        <v>26.527200000000001</v>
      </c>
      <c r="F865" s="4">
        <f>CHOOSE( CONTROL!$C$32, 27.2173, 27.215) * CHOOSE(CONTROL!$C$15, $D$11, 100%, $F$11)</f>
        <v>27.217300000000002</v>
      </c>
      <c r="G865" s="8">
        <f>CHOOSE( CONTROL!$C$32, 25.8705, 25.8682) * CHOOSE( CONTROL!$C$15, $D$11, 100%, $F$11)</f>
        <v>25.8705</v>
      </c>
      <c r="H865" s="4">
        <f>CHOOSE( CONTROL!$C$32, 26.818, 26.8157) * CHOOSE(CONTROL!$C$15, $D$11, 100%, $F$11)</f>
        <v>26.818000000000001</v>
      </c>
      <c r="I865" s="8">
        <f>CHOOSE( CONTROL!$C$32, 25.5421, 25.5398) * CHOOSE(CONTROL!$C$15, $D$11, 100%, $F$11)</f>
        <v>25.542100000000001</v>
      </c>
      <c r="J865" s="4">
        <f>CHOOSE( CONTROL!$C$32, 25.4171, 25.4149) * CHOOSE(CONTROL!$C$15, $D$11, 100%, $F$11)</f>
        <v>25.417100000000001</v>
      </c>
      <c r="K865" s="4"/>
      <c r="L865" s="9">
        <v>29.7257</v>
      </c>
      <c r="M865" s="9">
        <v>11.6745</v>
      </c>
      <c r="N865" s="9">
        <v>4.7850000000000001</v>
      </c>
      <c r="O865" s="9">
        <v>0.36199999999999999</v>
      </c>
      <c r="P865" s="9">
        <v>1.1791</v>
      </c>
      <c r="Q865" s="9">
        <v>19.053000000000001</v>
      </c>
      <c r="R865" s="9"/>
      <c r="S865" s="11"/>
    </row>
    <row r="866" spans="1:19" ht="15.75">
      <c r="A866" s="13">
        <v>67876</v>
      </c>
      <c r="B866" s="8">
        <f>27.6757 * CHOOSE(CONTROL!$C$15, $D$11, 100%, $F$11)</f>
        <v>27.675699999999999</v>
      </c>
      <c r="C866" s="8">
        <f>27.6812 * CHOOSE(CONTROL!$C$15, $D$11, 100%, $F$11)</f>
        <v>27.6812</v>
      </c>
      <c r="D866" s="8">
        <f>27.712 * CHOOSE( CONTROL!$C$15, $D$11, 100%, $F$11)</f>
        <v>27.712</v>
      </c>
      <c r="E866" s="12">
        <f>27.7012 * CHOOSE( CONTROL!$C$15, $D$11, 100%, $F$11)</f>
        <v>27.7012</v>
      </c>
      <c r="F866" s="4">
        <f>28.3909 * CHOOSE(CONTROL!$C$15, $D$11, 100%, $F$11)</f>
        <v>28.390899999999998</v>
      </c>
      <c r="G866" s="8">
        <f>27.0165 * CHOOSE( CONTROL!$C$15, $D$11, 100%, $F$11)</f>
        <v>27.016500000000001</v>
      </c>
      <c r="H866" s="4">
        <f>27.9643 * CHOOSE(CONTROL!$C$15, $D$11, 100%, $F$11)</f>
        <v>27.964300000000001</v>
      </c>
      <c r="I866" s="8">
        <f>26.6702 * CHOOSE(CONTROL!$C$15, $D$11, 100%, $F$11)</f>
        <v>26.670200000000001</v>
      </c>
      <c r="J866" s="4">
        <f>26.5439 * CHOOSE(CONTROL!$C$15, $D$11, 100%, $F$11)</f>
        <v>26.543900000000001</v>
      </c>
      <c r="K866" s="4"/>
      <c r="L866" s="9">
        <v>31.095300000000002</v>
      </c>
      <c r="M866" s="9">
        <v>12.063700000000001</v>
      </c>
      <c r="N866" s="9">
        <v>4.9444999999999997</v>
      </c>
      <c r="O866" s="9">
        <v>0.37409999999999999</v>
      </c>
      <c r="P866" s="9">
        <v>1.2183999999999999</v>
      </c>
      <c r="Q866" s="9">
        <v>19.688099999999999</v>
      </c>
      <c r="R866" s="9"/>
      <c r="S866" s="11"/>
    </row>
    <row r="867" spans="1:19" ht="15.75">
      <c r="A867" s="13">
        <v>67906</v>
      </c>
      <c r="B867" s="8">
        <f>29.8459 * CHOOSE(CONTROL!$C$15, $D$11, 100%, $F$11)</f>
        <v>29.8459</v>
      </c>
      <c r="C867" s="8">
        <f>29.8511 * CHOOSE(CONTROL!$C$15, $D$11, 100%, $F$11)</f>
        <v>29.851099999999999</v>
      </c>
      <c r="D867" s="8">
        <f>29.8341 * CHOOSE( CONTROL!$C$15, $D$11, 100%, $F$11)</f>
        <v>29.834099999999999</v>
      </c>
      <c r="E867" s="12">
        <f>29.8398 * CHOOSE( CONTROL!$C$15, $D$11, 100%, $F$11)</f>
        <v>29.8398</v>
      </c>
      <c r="F867" s="4">
        <f>30.4963 * CHOOSE(CONTROL!$C$15, $D$11, 100%, $F$11)</f>
        <v>30.496300000000002</v>
      </c>
      <c r="G867" s="8">
        <f>29.1427 * CHOOSE( CONTROL!$C$15, $D$11, 100%, $F$11)</f>
        <v>29.142700000000001</v>
      </c>
      <c r="H867" s="4">
        <f>30.0207 * CHOOSE(CONTROL!$C$15, $D$11, 100%, $F$11)</f>
        <v>30.020700000000001</v>
      </c>
      <c r="I867" s="8">
        <f>28.797 * CHOOSE(CONTROL!$C$15, $D$11, 100%, $F$11)</f>
        <v>28.797000000000001</v>
      </c>
      <c r="J867" s="4">
        <f>28.6279 * CHOOSE(CONTROL!$C$15, $D$11, 100%, $F$11)</f>
        <v>28.6279</v>
      </c>
      <c r="K867" s="4"/>
      <c r="L867" s="9">
        <v>28.360600000000002</v>
      </c>
      <c r="M867" s="9">
        <v>11.6745</v>
      </c>
      <c r="N867" s="9">
        <v>4.7850000000000001</v>
      </c>
      <c r="O867" s="9">
        <v>0.36199999999999999</v>
      </c>
      <c r="P867" s="9">
        <v>1.2509999999999999</v>
      </c>
      <c r="Q867" s="9">
        <v>19.053000000000001</v>
      </c>
      <c r="R867" s="9"/>
      <c r="S867" s="11"/>
    </row>
    <row r="868" spans="1:19" ht="15.75">
      <c r="A868" s="13">
        <v>67937</v>
      </c>
      <c r="B868" s="8">
        <f>29.7916 * CHOOSE(CONTROL!$C$15, $D$11, 100%, $F$11)</f>
        <v>29.791599999999999</v>
      </c>
      <c r="C868" s="8">
        <f>29.7968 * CHOOSE(CONTROL!$C$15, $D$11, 100%, $F$11)</f>
        <v>29.796800000000001</v>
      </c>
      <c r="D868" s="8">
        <f>29.7813 * CHOOSE( CONTROL!$C$15, $D$11, 100%, $F$11)</f>
        <v>29.781300000000002</v>
      </c>
      <c r="E868" s="12">
        <f>29.7864 * CHOOSE( CONTROL!$C$15, $D$11, 100%, $F$11)</f>
        <v>29.7864</v>
      </c>
      <c r="F868" s="4">
        <f>30.4421 * CHOOSE(CONTROL!$C$15, $D$11, 100%, $F$11)</f>
        <v>30.4421</v>
      </c>
      <c r="G868" s="8">
        <f>29.0908 * CHOOSE( CONTROL!$C$15, $D$11, 100%, $F$11)</f>
        <v>29.090800000000002</v>
      </c>
      <c r="H868" s="4">
        <f>29.9677 * CHOOSE(CONTROL!$C$15, $D$11, 100%, $F$11)</f>
        <v>29.967700000000001</v>
      </c>
      <c r="I868" s="8">
        <f>28.7497 * CHOOSE(CONTROL!$C$15, $D$11, 100%, $F$11)</f>
        <v>28.749700000000001</v>
      </c>
      <c r="J868" s="4">
        <f>28.5758 * CHOOSE(CONTROL!$C$15, $D$11, 100%, $F$11)</f>
        <v>28.575800000000001</v>
      </c>
      <c r="K868" s="4"/>
      <c r="L868" s="9">
        <v>29.306000000000001</v>
      </c>
      <c r="M868" s="9">
        <v>12.063700000000001</v>
      </c>
      <c r="N868" s="9">
        <v>4.9444999999999997</v>
      </c>
      <c r="O868" s="9">
        <v>0.37409999999999999</v>
      </c>
      <c r="P868" s="9">
        <v>1.2927</v>
      </c>
      <c r="Q868" s="9">
        <v>19.688099999999999</v>
      </c>
      <c r="R868" s="9"/>
      <c r="S868" s="11"/>
    </row>
    <row r="869" spans="1:19" ht="15.75">
      <c r="A869" s="13">
        <v>67968</v>
      </c>
      <c r="B869" s="8">
        <f>30.6696 * CHOOSE(CONTROL!$C$15, $D$11, 100%, $F$11)</f>
        <v>30.669599999999999</v>
      </c>
      <c r="C869" s="8">
        <f>30.6748 * CHOOSE(CONTROL!$C$15, $D$11, 100%, $F$11)</f>
        <v>30.674800000000001</v>
      </c>
      <c r="D869" s="8">
        <f>30.6549 * CHOOSE( CONTROL!$C$15, $D$11, 100%, $F$11)</f>
        <v>30.654900000000001</v>
      </c>
      <c r="E869" s="12">
        <f>30.6616 * CHOOSE( CONTROL!$C$15, $D$11, 100%, $F$11)</f>
        <v>30.6616</v>
      </c>
      <c r="F869" s="4">
        <f>31.32 * CHOOSE(CONTROL!$C$15, $D$11, 100%, $F$11)</f>
        <v>31.32</v>
      </c>
      <c r="G869" s="8">
        <f>29.939 * CHOOSE( CONTROL!$C$15, $D$11, 100%, $F$11)</f>
        <v>29.939</v>
      </c>
      <c r="H869" s="4">
        <f>30.8252 * CHOOSE(CONTROL!$C$15, $D$11, 100%, $F$11)</f>
        <v>30.825199999999999</v>
      </c>
      <c r="I869" s="8">
        <f>29.5521 * CHOOSE(CONTROL!$C$15, $D$11, 100%, $F$11)</f>
        <v>29.552099999999999</v>
      </c>
      <c r="J869" s="4">
        <f>29.4187 * CHOOSE(CONTROL!$C$15, $D$11, 100%, $F$11)</f>
        <v>29.418700000000001</v>
      </c>
      <c r="K869" s="4"/>
      <c r="L869" s="9">
        <v>29.306000000000001</v>
      </c>
      <c r="M869" s="9">
        <v>12.063700000000001</v>
      </c>
      <c r="N869" s="9">
        <v>4.9444999999999997</v>
      </c>
      <c r="O869" s="9">
        <v>0.37409999999999999</v>
      </c>
      <c r="P869" s="9">
        <v>1.2927</v>
      </c>
      <c r="Q869" s="9">
        <v>19.688099999999999</v>
      </c>
      <c r="R869" s="9"/>
      <c r="S869" s="11"/>
    </row>
    <row r="870" spans="1:19" ht="15.75">
      <c r="A870" s="13">
        <v>67996</v>
      </c>
      <c r="B870" s="8">
        <f>28.6887 * CHOOSE(CONTROL!$C$15, $D$11, 100%, $F$11)</f>
        <v>28.688700000000001</v>
      </c>
      <c r="C870" s="8">
        <f>28.6939 * CHOOSE(CONTROL!$C$15, $D$11, 100%, $F$11)</f>
        <v>28.693899999999999</v>
      </c>
      <c r="D870" s="8">
        <f>28.674 * CHOOSE( CONTROL!$C$15, $D$11, 100%, $F$11)</f>
        <v>28.673999999999999</v>
      </c>
      <c r="E870" s="12">
        <f>28.6807 * CHOOSE( CONTROL!$C$15, $D$11, 100%, $F$11)</f>
        <v>28.680700000000002</v>
      </c>
      <c r="F870" s="4">
        <f>29.3391 * CHOOSE(CONTROL!$C$15, $D$11, 100%, $F$11)</f>
        <v>29.339099999999998</v>
      </c>
      <c r="G870" s="8">
        <f>28.0042 * CHOOSE( CONTROL!$C$15, $D$11, 100%, $F$11)</f>
        <v>28.004200000000001</v>
      </c>
      <c r="H870" s="4">
        <f>28.8904 * CHOOSE(CONTROL!$C$15, $D$11, 100%, $F$11)</f>
        <v>28.8904</v>
      </c>
      <c r="I870" s="8">
        <f>27.6491 * CHOOSE(CONTROL!$C$15, $D$11, 100%, $F$11)</f>
        <v>27.649100000000001</v>
      </c>
      <c r="J870" s="4">
        <f>27.5168 * CHOOSE(CONTROL!$C$15, $D$11, 100%, $F$11)</f>
        <v>27.5168</v>
      </c>
      <c r="K870" s="4"/>
      <c r="L870" s="9">
        <v>26.469899999999999</v>
      </c>
      <c r="M870" s="9">
        <v>10.8962</v>
      </c>
      <c r="N870" s="9">
        <v>4.4660000000000002</v>
      </c>
      <c r="O870" s="9">
        <v>0.33789999999999998</v>
      </c>
      <c r="P870" s="9">
        <v>1.1676</v>
      </c>
      <c r="Q870" s="9">
        <v>17.782800000000002</v>
      </c>
      <c r="R870" s="9"/>
      <c r="S870" s="11"/>
    </row>
    <row r="871" spans="1:19" ht="15.75">
      <c r="A871" s="13">
        <v>68027</v>
      </c>
      <c r="B871" s="8">
        <f>28.0786 * CHOOSE(CONTROL!$C$15, $D$11, 100%, $F$11)</f>
        <v>28.078600000000002</v>
      </c>
      <c r="C871" s="8">
        <f>28.0837 * CHOOSE(CONTROL!$C$15, $D$11, 100%, $F$11)</f>
        <v>28.0837</v>
      </c>
      <c r="D871" s="8">
        <f>28.0635 * CHOOSE( CONTROL!$C$15, $D$11, 100%, $F$11)</f>
        <v>28.063500000000001</v>
      </c>
      <c r="E871" s="12">
        <f>28.0703 * CHOOSE( CONTROL!$C$15, $D$11, 100%, $F$11)</f>
        <v>28.0703</v>
      </c>
      <c r="F871" s="4">
        <f>28.729 * CHOOSE(CONTROL!$C$15, $D$11, 100%, $F$11)</f>
        <v>28.728999999999999</v>
      </c>
      <c r="G871" s="8">
        <f>27.408 * CHOOSE( CONTROL!$C$15, $D$11, 100%, $F$11)</f>
        <v>27.408000000000001</v>
      </c>
      <c r="H871" s="4">
        <f>28.2945 * CHOOSE(CONTROL!$C$15, $D$11, 100%, $F$11)</f>
        <v>28.294499999999999</v>
      </c>
      <c r="I871" s="8">
        <f>27.062 * CHOOSE(CONTROL!$C$15, $D$11, 100%, $F$11)</f>
        <v>27.062000000000001</v>
      </c>
      <c r="J871" s="4">
        <f>26.931 * CHOOSE(CONTROL!$C$15, $D$11, 100%, $F$11)</f>
        <v>26.931000000000001</v>
      </c>
      <c r="K871" s="4"/>
      <c r="L871" s="9">
        <v>29.306000000000001</v>
      </c>
      <c r="M871" s="9">
        <v>12.063700000000001</v>
      </c>
      <c r="N871" s="9">
        <v>4.9444999999999997</v>
      </c>
      <c r="O871" s="9">
        <v>0.37409999999999999</v>
      </c>
      <c r="P871" s="9">
        <v>1.2927</v>
      </c>
      <c r="Q871" s="9">
        <v>19.688099999999999</v>
      </c>
      <c r="R871" s="9"/>
      <c r="S871" s="11"/>
    </row>
    <row r="872" spans="1:19" ht="15.75">
      <c r="A872" s="13">
        <v>68057</v>
      </c>
      <c r="B872" s="8">
        <f>28.5057 * CHOOSE(CONTROL!$C$15, $D$11, 100%, $F$11)</f>
        <v>28.505700000000001</v>
      </c>
      <c r="C872" s="8">
        <f>28.5103 * CHOOSE(CONTROL!$C$15, $D$11, 100%, $F$11)</f>
        <v>28.510300000000001</v>
      </c>
      <c r="D872" s="8">
        <f>28.5408 * CHOOSE( CONTROL!$C$15, $D$11, 100%, $F$11)</f>
        <v>28.540800000000001</v>
      </c>
      <c r="E872" s="12">
        <f>28.5302 * CHOOSE( CONTROL!$C$15, $D$11, 100%, $F$11)</f>
        <v>28.530200000000001</v>
      </c>
      <c r="F872" s="4">
        <f>29.2205 * CHOOSE(CONTROL!$C$15, $D$11, 100%, $F$11)</f>
        <v>29.220500000000001</v>
      </c>
      <c r="G872" s="8">
        <f>27.8256 * CHOOSE( CONTROL!$C$15, $D$11, 100%, $F$11)</f>
        <v>27.825600000000001</v>
      </c>
      <c r="H872" s="4">
        <f>28.7745 * CHOOSE(CONTROL!$C$15, $D$11, 100%, $F$11)</f>
        <v>28.7745</v>
      </c>
      <c r="I872" s="8">
        <f>27.4635 * CHOOSE(CONTROL!$C$15, $D$11, 100%, $F$11)</f>
        <v>27.4635</v>
      </c>
      <c r="J872" s="4">
        <f>27.3404 * CHOOSE(CONTROL!$C$15, $D$11, 100%, $F$11)</f>
        <v>27.340399999999999</v>
      </c>
      <c r="K872" s="4"/>
      <c r="L872" s="9">
        <v>30.092199999999998</v>
      </c>
      <c r="M872" s="9">
        <v>11.6745</v>
      </c>
      <c r="N872" s="9">
        <v>4.7850000000000001</v>
      </c>
      <c r="O872" s="9">
        <v>0.36199999999999999</v>
      </c>
      <c r="P872" s="9">
        <v>1.1791</v>
      </c>
      <c r="Q872" s="9">
        <v>19.053000000000001</v>
      </c>
      <c r="R872" s="9"/>
      <c r="S872" s="11"/>
    </row>
    <row r="873" spans="1:19" ht="15.75">
      <c r="A873" s="13">
        <v>68088</v>
      </c>
      <c r="B873" s="8">
        <f>CHOOSE( CONTROL!$C$32, 29.2681, 29.2658) * CHOOSE(CONTROL!$C$15, $D$11, 100%, $F$11)</f>
        <v>29.2681</v>
      </c>
      <c r="C873" s="8">
        <f>CHOOSE( CONTROL!$C$32, 29.2762, 29.2739) * CHOOSE(CONTROL!$C$15, $D$11, 100%, $F$11)</f>
        <v>29.276199999999999</v>
      </c>
      <c r="D873" s="8">
        <f>CHOOSE( CONTROL!$C$32, 29.3014, 29.2991) * CHOOSE( CONTROL!$C$15, $D$11, 100%, $F$11)</f>
        <v>29.301400000000001</v>
      </c>
      <c r="E873" s="12">
        <f>CHOOSE( CONTROL!$C$32, 29.291, 29.2887) * CHOOSE( CONTROL!$C$15, $D$11, 100%, $F$11)</f>
        <v>29.291</v>
      </c>
      <c r="F873" s="4">
        <f>CHOOSE( CONTROL!$C$32, 29.9816, 29.9792) * CHOOSE(CONTROL!$C$15, $D$11, 100%, $F$11)</f>
        <v>29.9816</v>
      </c>
      <c r="G873" s="8">
        <f>CHOOSE( CONTROL!$C$32, 28.5696, 28.5673) * CHOOSE( CONTROL!$C$15, $D$11, 100%, $F$11)</f>
        <v>28.569600000000001</v>
      </c>
      <c r="H873" s="4">
        <f>CHOOSE( CONTROL!$C$32, 29.5179, 29.5156) * CHOOSE(CONTROL!$C$15, $D$11, 100%, $F$11)</f>
        <v>29.517900000000001</v>
      </c>
      <c r="I873" s="8">
        <f>CHOOSE( CONTROL!$C$32, 28.1949, 28.1927) * CHOOSE(CONTROL!$C$15, $D$11, 100%, $F$11)</f>
        <v>28.194900000000001</v>
      </c>
      <c r="J873" s="4">
        <f>CHOOSE( CONTROL!$C$32, 28.0711, 28.0689) * CHOOSE(CONTROL!$C$15, $D$11, 100%, $F$11)</f>
        <v>28.071100000000001</v>
      </c>
      <c r="K873" s="4"/>
      <c r="L873" s="9">
        <v>30.7165</v>
      </c>
      <c r="M873" s="9">
        <v>12.063700000000001</v>
      </c>
      <c r="N873" s="9">
        <v>4.9444999999999997</v>
      </c>
      <c r="O873" s="9">
        <v>0.37409999999999999</v>
      </c>
      <c r="P873" s="9">
        <v>1.2183999999999999</v>
      </c>
      <c r="Q873" s="9">
        <v>19.688099999999999</v>
      </c>
      <c r="R873" s="9"/>
      <c r="S873" s="11"/>
    </row>
    <row r="874" spans="1:19" ht="15.75">
      <c r="A874" s="13">
        <v>68118</v>
      </c>
      <c r="B874" s="8">
        <f>CHOOSE( CONTROL!$C$32, 28.7981, 28.7958) * CHOOSE(CONTROL!$C$15, $D$11, 100%, $F$11)</f>
        <v>28.798100000000002</v>
      </c>
      <c r="C874" s="8">
        <f>CHOOSE( CONTROL!$C$32, 28.8062, 28.8038) * CHOOSE(CONTROL!$C$15, $D$11, 100%, $F$11)</f>
        <v>28.8062</v>
      </c>
      <c r="D874" s="8">
        <f>CHOOSE( CONTROL!$C$32, 28.8316, 28.8292) * CHOOSE( CONTROL!$C$15, $D$11, 100%, $F$11)</f>
        <v>28.831600000000002</v>
      </c>
      <c r="E874" s="12">
        <f>CHOOSE( CONTROL!$C$32, 28.8212, 28.8188) * CHOOSE( CONTROL!$C$15, $D$11, 100%, $F$11)</f>
        <v>28.821200000000001</v>
      </c>
      <c r="F874" s="4">
        <f>CHOOSE( CONTROL!$C$32, 29.5115, 29.5092) * CHOOSE(CONTROL!$C$15, $D$11, 100%, $F$11)</f>
        <v>29.511500000000002</v>
      </c>
      <c r="G874" s="8">
        <f>CHOOSE( CONTROL!$C$32, 28.1108, 28.1085) * CHOOSE( CONTROL!$C$15, $D$11, 100%, $F$11)</f>
        <v>28.110800000000001</v>
      </c>
      <c r="H874" s="4">
        <f>CHOOSE( CONTROL!$C$32, 29.0588, 29.0565) * CHOOSE(CONTROL!$C$15, $D$11, 100%, $F$11)</f>
        <v>29.058800000000002</v>
      </c>
      <c r="I874" s="8">
        <f>CHOOSE( CONTROL!$C$32, 27.7444, 27.7421) * CHOOSE(CONTROL!$C$15, $D$11, 100%, $F$11)</f>
        <v>27.744399999999999</v>
      </c>
      <c r="J874" s="4">
        <f>CHOOSE( CONTROL!$C$32, 27.6198, 27.6176) * CHOOSE(CONTROL!$C$15, $D$11, 100%, $F$11)</f>
        <v>27.619800000000001</v>
      </c>
      <c r="K874" s="4"/>
      <c r="L874" s="9">
        <v>29.7257</v>
      </c>
      <c r="M874" s="9">
        <v>11.6745</v>
      </c>
      <c r="N874" s="9">
        <v>4.7850000000000001</v>
      </c>
      <c r="O874" s="9">
        <v>0.36199999999999999</v>
      </c>
      <c r="P874" s="9">
        <v>1.1791</v>
      </c>
      <c r="Q874" s="9">
        <v>19.053000000000001</v>
      </c>
      <c r="R874" s="9"/>
      <c r="S874" s="11"/>
    </row>
    <row r="875" spans="1:19" ht="15.75">
      <c r="A875" s="13">
        <v>68149</v>
      </c>
      <c r="B875" s="8">
        <f>CHOOSE( CONTROL!$C$32, 30.0359, 30.0335) * CHOOSE(CONTROL!$C$15, $D$11, 100%, $F$11)</f>
        <v>30.035900000000002</v>
      </c>
      <c r="C875" s="8">
        <f>CHOOSE( CONTROL!$C$32, 30.044, 30.0416) * CHOOSE(CONTROL!$C$15, $D$11, 100%, $F$11)</f>
        <v>30.044</v>
      </c>
      <c r="D875" s="8">
        <f>CHOOSE( CONTROL!$C$32, 30.0696, 30.0673) * CHOOSE( CONTROL!$C$15, $D$11, 100%, $F$11)</f>
        <v>30.069600000000001</v>
      </c>
      <c r="E875" s="12">
        <f>CHOOSE( CONTROL!$C$32, 30.0591, 30.0568) * CHOOSE( CONTROL!$C$15, $D$11, 100%, $F$11)</f>
        <v>30.059100000000001</v>
      </c>
      <c r="F875" s="4">
        <f>CHOOSE( CONTROL!$C$32, 30.7493, 30.747) * CHOOSE(CONTROL!$C$15, $D$11, 100%, $F$11)</f>
        <v>30.749300000000002</v>
      </c>
      <c r="G875" s="8">
        <f>CHOOSE( CONTROL!$C$32, 29.3201, 29.3178) * CHOOSE( CONTROL!$C$15, $D$11, 100%, $F$11)</f>
        <v>29.3201</v>
      </c>
      <c r="H875" s="4">
        <f>CHOOSE( CONTROL!$C$32, 30.2677, 30.2654) * CHOOSE(CONTROL!$C$15, $D$11, 100%, $F$11)</f>
        <v>30.267700000000001</v>
      </c>
      <c r="I875" s="8">
        <f>CHOOSE( CONTROL!$C$32, 28.9346, 28.9323) * CHOOSE(CONTROL!$C$15, $D$11, 100%, $F$11)</f>
        <v>28.9346</v>
      </c>
      <c r="J875" s="4">
        <f>CHOOSE( CONTROL!$C$32, 28.8082, 28.806) * CHOOSE(CONTROL!$C$15, $D$11, 100%, $F$11)</f>
        <v>28.808199999999999</v>
      </c>
      <c r="K875" s="4"/>
      <c r="L875" s="9">
        <v>30.7165</v>
      </c>
      <c r="M875" s="9">
        <v>12.063700000000001</v>
      </c>
      <c r="N875" s="9">
        <v>4.9444999999999997</v>
      </c>
      <c r="O875" s="9">
        <v>0.37409999999999999</v>
      </c>
      <c r="P875" s="9">
        <v>1.2183999999999999</v>
      </c>
      <c r="Q875" s="9">
        <v>19.688099999999999</v>
      </c>
      <c r="R875" s="9"/>
      <c r="S875" s="11"/>
    </row>
    <row r="876" spans="1:19" ht="15.75">
      <c r="A876" s="13">
        <v>68180</v>
      </c>
      <c r="B876" s="8">
        <f>CHOOSE( CONTROL!$C$32, 27.7199, 27.7175) * CHOOSE(CONTROL!$C$15, $D$11, 100%, $F$11)</f>
        <v>27.719899999999999</v>
      </c>
      <c r="C876" s="8">
        <f>CHOOSE( CONTROL!$C$32, 27.728, 27.7256) * CHOOSE(CONTROL!$C$15, $D$11, 100%, $F$11)</f>
        <v>27.728000000000002</v>
      </c>
      <c r="D876" s="8">
        <f>CHOOSE( CONTROL!$C$32, 27.7537, 27.7513) * CHOOSE( CONTROL!$C$15, $D$11, 100%, $F$11)</f>
        <v>27.753699999999998</v>
      </c>
      <c r="E876" s="12">
        <f>CHOOSE( CONTROL!$C$32, 27.7432, 27.7408) * CHOOSE( CONTROL!$C$15, $D$11, 100%, $F$11)</f>
        <v>27.743200000000002</v>
      </c>
      <c r="F876" s="4">
        <f>CHOOSE( CONTROL!$C$32, 28.4333, 28.431) * CHOOSE(CONTROL!$C$15, $D$11, 100%, $F$11)</f>
        <v>28.433299999999999</v>
      </c>
      <c r="G876" s="8">
        <f>CHOOSE( CONTROL!$C$32, 27.0582, 27.0559) * CHOOSE( CONTROL!$C$15, $D$11, 100%, $F$11)</f>
        <v>27.058199999999999</v>
      </c>
      <c r="H876" s="4">
        <f>CHOOSE( CONTROL!$C$32, 28.0057, 28.0034) * CHOOSE(CONTROL!$C$15, $D$11, 100%, $F$11)</f>
        <v>28.005700000000001</v>
      </c>
      <c r="I876" s="8">
        <f>CHOOSE( CONTROL!$C$32, 26.7102, 26.708) * CHOOSE(CONTROL!$C$15, $D$11, 100%, $F$11)</f>
        <v>26.7102</v>
      </c>
      <c r="J876" s="4">
        <f>CHOOSE( CONTROL!$C$32, 26.5846, 26.5824) * CHOOSE(CONTROL!$C$15, $D$11, 100%, $F$11)</f>
        <v>26.584599999999998</v>
      </c>
      <c r="K876" s="4"/>
      <c r="L876" s="9">
        <v>30.7165</v>
      </c>
      <c r="M876" s="9">
        <v>12.063700000000001</v>
      </c>
      <c r="N876" s="9">
        <v>4.9444999999999997</v>
      </c>
      <c r="O876" s="9">
        <v>0.37409999999999999</v>
      </c>
      <c r="P876" s="9">
        <v>1.2183999999999999</v>
      </c>
      <c r="Q876" s="9">
        <v>19.688099999999999</v>
      </c>
      <c r="R876" s="9"/>
      <c r="S876" s="11"/>
    </row>
    <row r="877" spans="1:19" ht="15.75">
      <c r="A877" s="13">
        <v>68210</v>
      </c>
      <c r="B877" s="8">
        <f>CHOOSE( CONTROL!$C$32, 27.1399, 27.1376) * CHOOSE(CONTROL!$C$15, $D$11, 100%, $F$11)</f>
        <v>27.139900000000001</v>
      </c>
      <c r="C877" s="8">
        <f>CHOOSE( CONTROL!$C$32, 27.148, 27.1456) * CHOOSE(CONTROL!$C$15, $D$11, 100%, $F$11)</f>
        <v>27.148</v>
      </c>
      <c r="D877" s="8">
        <f>CHOOSE( CONTROL!$C$32, 27.1737, 27.1714) * CHOOSE( CONTROL!$C$15, $D$11, 100%, $F$11)</f>
        <v>27.1737</v>
      </c>
      <c r="E877" s="12">
        <f>CHOOSE( CONTROL!$C$32, 27.1632, 27.1608) * CHOOSE( CONTROL!$C$15, $D$11, 100%, $F$11)</f>
        <v>27.1632</v>
      </c>
      <c r="F877" s="4">
        <f>CHOOSE( CONTROL!$C$32, 27.8533, 27.851) * CHOOSE(CONTROL!$C$15, $D$11, 100%, $F$11)</f>
        <v>27.853300000000001</v>
      </c>
      <c r="G877" s="8">
        <f>CHOOSE( CONTROL!$C$32, 26.4917, 26.4894) * CHOOSE( CONTROL!$C$15, $D$11, 100%, $F$11)</f>
        <v>26.491700000000002</v>
      </c>
      <c r="H877" s="4">
        <f>CHOOSE( CONTROL!$C$32, 27.4392, 27.4369) * CHOOSE(CONTROL!$C$15, $D$11, 100%, $F$11)</f>
        <v>27.4392</v>
      </c>
      <c r="I877" s="8">
        <f>CHOOSE( CONTROL!$C$32, 26.153, 26.1508) * CHOOSE(CONTROL!$C$15, $D$11, 100%, $F$11)</f>
        <v>26.152999999999999</v>
      </c>
      <c r="J877" s="4">
        <f>CHOOSE( CONTROL!$C$32, 26.0278, 26.0255) * CHOOSE(CONTROL!$C$15, $D$11, 100%, $F$11)</f>
        <v>26.027799999999999</v>
      </c>
      <c r="K877" s="4"/>
      <c r="L877" s="9">
        <v>29.7257</v>
      </c>
      <c r="M877" s="9">
        <v>11.6745</v>
      </c>
      <c r="N877" s="9">
        <v>4.7850000000000001</v>
      </c>
      <c r="O877" s="9">
        <v>0.36199999999999999</v>
      </c>
      <c r="P877" s="9">
        <v>1.1791</v>
      </c>
      <c r="Q877" s="9">
        <v>19.053000000000001</v>
      </c>
      <c r="R877" s="9"/>
      <c r="S877" s="11"/>
    </row>
    <row r="878" spans="1:19" ht="15.75">
      <c r="A878" s="13">
        <v>68241</v>
      </c>
      <c r="B878" s="8">
        <f>28.34 * CHOOSE(CONTROL!$C$15, $D$11, 100%, $F$11)</f>
        <v>28.34</v>
      </c>
      <c r="C878" s="8">
        <f>28.3455 * CHOOSE(CONTROL!$C$15, $D$11, 100%, $F$11)</f>
        <v>28.345500000000001</v>
      </c>
      <c r="D878" s="8">
        <f>28.3763 * CHOOSE( CONTROL!$C$15, $D$11, 100%, $F$11)</f>
        <v>28.376300000000001</v>
      </c>
      <c r="E878" s="12">
        <f>28.3655 * CHOOSE( CONTROL!$C$15, $D$11, 100%, $F$11)</f>
        <v>28.365500000000001</v>
      </c>
      <c r="F878" s="4">
        <f>29.0552 * CHOOSE(CONTROL!$C$15, $D$11, 100%, $F$11)</f>
        <v>29.055199999999999</v>
      </c>
      <c r="G878" s="8">
        <f>27.6653 * CHOOSE( CONTROL!$C$15, $D$11, 100%, $F$11)</f>
        <v>27.665299999999998</v>
      </c>
      <c r="H878" s="4">
        <f>28.6131 * CHOOSE(CONTROL!$C$15, $D$11, 100%, $F$11)</f>
        <v>28.613099999999999</v>
      </c>
      <c r="I878" s="8">
        <f>27.3083 * CHOOSE(CONTROL!$C$15, $D$11, 100%, $F$11)</f>
        <v>27.308299999999999</v>
      </c>
      <c r="J878" s="4">
        <f>27.1817 * CHOOSE(CONTROL!$C$15, $D$11, 100%, $F$11)</f>
        <v>27.181699999999999</v>
      </c>
      <c r="K878" s="4"/>
      <c r="L878" s="9">
        <v>31.095300000000002</v>
      </c>
      <c r="M878" s="9">
        <v>12.063700000000001</v>
      </c>
      <c r="N878" s="9">
        <v>4.9444999999999997</v>
      </c>
      <c r="O878" s="9">
        <v>0.37409999999999999</v>
      </c>
      <c r="P878" s="9">
        <v>1.2183999999999999</v>
      </c>
      <c r="Q878" s="9">
        <v>19.688099999999999</v>
      </c>
      <c r="R878" s="9"/>
      <c r="S878" s="11"/>
    </row>
    <row r="879" spans="1:19" ht="15.75">
      <c r="A879" s="13">
        <v>68271</v>
      </c>
      <c r="B879" s="8">
        <f>30.5623 * CHOOSE(CONTROL!$C$15, $D$11, 100%, $F$11)</f>
        <v>30.5623</v>
      </c>
      <c r="C879" s="8">
        <f>30.5675 * CHOOSE(CONTROL!$C$15, $D$11, 100%, $F$11)</f>
        <v>30.567499999999999</v>
      </c>
      <c r="D879" s="8">
        <f>30.5505 * CHOOSE( CONTROL!$C$15, $D$11, 100%, $F$11)</f>
        <v>30.5505</v>
      </c>
      <c r="E879" s="12">
        <f>30.5562 * CHOOSE( CONTROL!$C$15, $D$11, 100%, $F$11)</f>
        <v>30.5562</v>
      </c>
      <c r="F879" s="4">
        <f>31.2128 * CHOOSE(CONTROL!$C$15, $D$11, 100%, $F$11)</f>
        <v>31.212800000000001</v>
      </c>
      <c r="G879" s="8">
        <f>29.8424 * CHOOSE( CONTROL!$C$15, $D$11, 100%, $F$11)</f>
        <v>29.842400000000001</v>
      </c>
      <c r="H879" s="4">
        <f>30.7204 * CHOOSE(CONTROL!$C$15, $D$11, 100%, $F$11)</f>
        <v>30.720400000000001</v>
      </c>
      <c r="I879" s="8">
        <f>29.4852 * CHOOSE(CONTROL!$C$15, $D$11, 100%, $F$11)</f>
        <v>29.485199999999999</v>
      </c>
      <c r="J879" s="4">
        <f>29.3157 * CHOOSE(CONTROL!$C$15, $D$11, 100%, $F$11)</f>
        <v>29.3157</v>
      </c>
      <c r="K879" s="4"/>
      <c r="L879" s="9">
        <v>28.360600000000002</v>
      </c>
      <c r="M879" s="9">
        <v>11.6745</v>
      </c>
      <c r="N879" s="9">
        <v>4.7850000000000001</v>
      </c>
      <c r="O879" s="9">
        <v>0.36199999999999999</v>
      </c>
      <c r="P879" s="9">
        <v>1.2509999999999999</v>
      </c>
      <c r="Q879" s="9">
        <v>19.053000000000001</v>
      </c>
      <c r="R879" s="9"/>
      <c r="S879" s="11"/>
    </row>
    <row r="880" spans="1:19" ht="15.75">
      <c r="A880" s="13">
        <v>68302</v>
      </c>
      <c r="B880" s="8">
        <f>30.5068 * CHOOSE(CONTROL!$C$15, $D$11, 100%, $F$11)</f>
        <v>30.506799999999998</v>
      </c>
      <c r="C880" s="8">
        <f>30.512 * CHOOSE(CONTROL!$C$15, $D$11, 100%, $F$11)</f>
        <v>30.512</v>
      </c>
      <c r="D880" s="8">
        <f>30.4965 * CHOOSE( CONTROL!$C$15, $D$11, 100%, $F$11)</f>
        <v>30.496500000000001</v>
      </c>
      <c r="E880" s="12">
        <f>30.5016 * CHOOSE( CONTROL!$C$15, $D$11, 100%, $F$11)</f>
        <v>30.5016</v>
      </c>
      <c r="F880" s="4">
        <f>31.1573 * CHOOSE(CONTROL!$C$15, $D$11, 100%, $F$11)</f>
        <v>31.157299999999999</v>
      </c>
      <c r="G880" s="8">
        <f>29.7893 * CHOOSE( CONTROL!$C$15, $D$11, 100%, $F$11)</f>
        <v>29.789300000000001</v>
      </c>
      <c r="H880" s="4">
        <f>30.6662 * CHOOSE(CONTROL!$C$15, $D$11, 100%, $F$11)</f>
        <v>30.6662</v>
      </c>
      <c r="I880" s="8">
        <f>29.4366 * CHOOSE(CONTROL!$C$15, $D$11, 100%, $F$11)</f>
        <v>29.436599999999999</v>
      </c>
      <c r="J880" s="4">
        <f>29.2624 * CHOOSE(CONTROL!$C$15, $D$11, 100%, $F$11)</f>
        <v>29.2624</v>
      </c>
      <c r="K880" s="4"/>
      <c r="L880" s="9">
        <v>29.306000000000001</v>
      </c>
      <c r="M880" s="9">
        <v>12.063700000000001</v>
      </c>
      <c r="N880" s="9">
        <v>4.9444999999999997</v>
      </c>
      <c r="O880" s="9">
        <v>0.37409999999999999</v>
      </c>
      <c r="P880" s="9">
        <v>1.2927</v>
      </c>
      <c r="Q880" s="9">
        <v>19.688099999999999</v>
      </c>
      <c r="R880" s="9"/>
      <c r="S880" s="11"/>
    </row>
    <row r="881" spans="1:19" ht="15.75">
      <c r="A881" s="13">
        <v>68333</v>
      </c>
      <c r="B881" s="8">
        <f>31.4058 * CHOOSE(CONTROL!$C$15, $D$11, 100%, $F$11)</f>
        <v>31.405799999999999</v>
      </c>
      <c r="C881" s="8">
        <f>31.411 * CHOOSE(CONTROL!$C$15, $D$11, 100%, $F$11)</f>
        <v>31.411000000000001</v>
      </c>
      <c r="D881" s="8">
        <f>31.3911 * CHOOSE( CONTROL!$C$15, $D$11, 100%, $F$11)</f>
        <v>31.391100000000002</v>
      </c>
      <c r="E881" s="12">
        <f>31.3978 * CHOOSE( CONTROL!$C$15, $D$11, 100%, $F$11)</f>
        <v>31.3978</v>
      </c>
      <c r="F881" s="4">
        <f>32.0563 * CHOOSE(CONTROL!$C$15, $D$11, 100%, $F$11)</f>
        <v>32.0563</v>
      </c>
      <c r="G881" s="8">
        <f>30.658 * CHOOSE( CONTROL!$C$15, $D$11, 100%, $F$11)</f>
        <v>30.658000000000001</v>
      </c>
      <c r="H881" s="4">
        <f>31.5442 * CHOOSE(CONTROL!$C$15, $D$11, 100%, $F$11)</f>
        <v>31.5442</v>
      </c>
      <c r="I881" s="8">
        <f>30.2593 * CHOOSE(CONTROL!$C$15, $D$11, 100%, $F$11)</f>
        <v>30.2593</v>
      </c>
      <c r="J881" s="4">
        <f>30.1255 * CHOOSE(CONTROL!$C$15, $D$11, 100%, $F$11)</f>
        <v>30.125499999999999</v>
      </c>
      <c r="K881" s="4"/>
      <c r="L881" s="9">
        <v>29.306000000000001</v>
      </c>
      <c r="M881" s="9">
        <v>12.063700000000001</v>
      </c>
      <c r="N881" s="9">
        <v>4.9444999999999997</v>
      </c>
      <c r="O881" s="9">
        <v>0.37409999999999999</v>
      </c>
      <c r="P881" s="9">
        <v>1.2927</v>
      </c>
      <c r="Q881" s="9">
        <v>19.688099999999999</v>
      </c>
      <c r="R881" s="9"/>
      <c r="S881" s="11"/>
    </row>
    <row r="882" spans="1:19" ht="15.75">
      <c r="A882" s="13">
        <v>68361</v>
      </c>
      <c r="B882" s="8">
        <f>29.3773 * CHOOSE(CONTROL!$C$15, $D$11, 100%, $F$11)</f>
        <v>29.377300000000002</v>
      </c>
      <c r="C882" s="8">
        <f>29.3825 * CHOOSE(CONTROL!$C$15, $D$11, 100%, $F$11)</f>
        <v>29.3825</v>
      </c>
      <c r="D882" s="8">
        <f>29.3626 * CHOOSE( CONTROL!$C$15, $D$11, 100%, $F$11)</f>
        <v>29.3626</v>
      </c>
      <c r="E882" s="12">
        <f>29.3693 * CHOOSE( CONTROL!$C$15, $D$11, 100%, $F$11)</f>
        <v>29.369299999999999</v>
      </c>
      <c r="F882" s="4">
        <f>30.0278 * CHOOSE(CONTROL!$C$15, $D$11, 100%, $F$11)</f>
        <v>30.027799999999999</v>
      </c>
      <c r="G882" s="8">
        <f>28.6768 * CHOOSE( CONTROL!$C$15, $D$11, 100%, $F$11)</f>
        <v>28.6768</v>
      </c>
      <c r="H882" s="4">
        <f>29.563 * CHOOSE(CONTROL!$C$15, $D$11, 100%, $F$11)</f>
        <v>29.562999999999999</v>
      </c>
      <c r="I882" s="8">
        <f>28.3106 * CHOOSE(CONTROL!$C$15, $D$11, 100%, $F$11)</f>
        <v>28.310600000000001</v>
      </c>
      <c r="J882" s="4">
        <f>28.178 * CHOOSE(CONTROL!$C$15, $D$11, 100%, $F$11)</f>
        <v>28.178000000000001</v>
      </c>
      <c r="K882" s="4"/>
      <c r="L882" s="9">
        <v>26.469899999999999</v>
      </c>
      <c r="M882" s="9">
        <v>10.8962</v>
      </c>
      <c r="N882" s="9">
        <v>4.4660000000000002</v>
      </c>
      <c r="O882" s="9">
        <v>0.33789999999999998</v>
      </c>
      <c r="P882" s="9">
        <v>1.1676</v>
      </c>
      <c r="Q882" s="9">
        <v>17.782800000000002</v>
      </c>
      <c r="R882" s="9"/>
      <c r="S882" s="11"/>
    </row>
    <row r="883" spans="1:19" ht="15.75">
      <c r="A883" s="13">
        <v>68392</v>
      </c>
      <c r="B883" s="8">
        <f>28.7525 * CHOOSE(CONTROL!$C$15, $D$11, 100%, $F$11)</f>
        <v>28.752500000000001</v>
      </c>
      <c r="C883" s="8">
        <f>28.7577 * CHOOSE(CONTROL!$C$15, $D$11, 100%, $F$11)</f>
        <v>28.7577</v>
      </c>
      <c r="D883" s="8">
        <f>28.7375 * CHOOSE( CONTROL!$C$15, $D$11, 100%, $F$11)</f>
        <v>28.737500000000001</v>
      </c>
      <c r="E883" s="12">
        <f>28.7443 * CHOOSE( CONTROL!$C$15, $D$11, 100%, $F$11)</f>
        <v>28.744299999999999</v>
      </c>
      <c r="F883" s="4">
        <f>29.403 * CHOOSE(CONTROL!$C$15, $D$11, 100%, $F$11)</f>
        <v>29.402999999999999</v>
      </c>
      <c r="G883" s="8">
        <f>28.0663 * CHOOSE( CONTROL!$C$15, $D$11, 100%, $F$11)</f>
        <v>28.066299999999998</v>
      </c>
      <c r="H883" s="4">
        <f>28.9528 * CHOOSE(CONTROL!$C$15, $D$11, 100%, $F$11)</f>
        <v>28.9528</v>
      </c>
      <c r="I883" s="8">
        <f>27.7094 * CHOOSE(CONTROL!$C$15, $D$11, 100%, $F$11)</f>
        <v>27.709399999999999</v>
      </c>
      <c r="J883" s="4">
        <f>27.5781 * CHOOSE(CONTROL!$C$15, $D$11, 100%, $F$11)</f>
        <v>27.578099999999999</v>
      </c>
      <c r="K883" s="4"/>
      <c r="L883" s="9">
        <v>29.306000000000001</v>
      </c>
      <c r="M883" s="9">
        <v>12.063700000000001</v>
      </c>
      <c r="N883" s="9">
        <v>4.9444999999999997</v>
      </c>
      <c r="O883" s="9">
        <v>0.37409999999999999</v>
      </c>
      <c r="P883" s="9">
        <v>1.2927</v>
      </c>
      <c r="Q883" s="9">
        <v>19.688099999999999</v>
      </c>
      <c r="R883" s="9"/>
      <c r="S883" s="11"/>
    </row>
    <row r="884" spans="1:19" ht="15.75">
      <c r="A884" s="13">
        <v>68422</v>
      </c>
      <c r="B884" s="8">
        <f>29.1899 * CHOOSE(CONTROL!$C$15, $D$11, 100%, $F$11)</f>
        <v>29.189900000000002</v>
      </c>
      <c r="C884" s="8">
        <f>29.1945 * CHOOSE(CONTROL!$C$15, $D$11, 100%, $F$11)</f>
        <v>29.194500000000001</v>
      </c>
      <c r="D884" s="8">
        <f>29.225 * CHOOSE( CONTROL!$C$15, $D$11, 100%, $F$11)</f>
        <v>29.225000000000001</v>
      </c>
      <c r="E884" s="12">
        <f>29.2144 * CHOOSE( CONTROL!$C$15, $D$11, 100%, $F$11)</f>
        <v>29.214400000000001</v>
      </c>
      <c r="F884" s="4">
        <f>29.9047 * CHOOSE(CONTROL!$C$15, $D$11, 100%, $F$11)</f>
        <v>29.904699999999998</v>
      </c>
      <c r="G884" s="8">
        <f>28.4939 * CHOOSE( CONTROL!$C$15, $D$11, 100%, $F$11)</f>
        <v>28.4939</v>
      </c>
      <c r="H884" s="4">
        <f>29.4428 * CHOOSE(CONTROL!$C$15, $D$11, 100%, $F$11)</f>
        <v>29.442799999999998</v>
      </c>
      <c r="I884" s="8">
        <f>28.1208 * CHOOSE(CONTROL!$C$15, $D$11, 100%, $F$11)</f>
        <v>28.120799999999999</v>
      </c>
      <c r="J884" s="4">
        <f>27.9973 * CHOOSE(CONTROL!$C$15, $D$11, 100%, $F$11)</f>
        <v>27.997299999999999</v>
      </c>
      <c r="K884" s="4"/>
      <c r="L884" s="9">
        <v>30.092199999999998</v>
      </c>
      <c r="M884" s="9">
        <v>11.6745</v>
      </c>
      <c r="N884" s="9">
        <v>4.7850000000000001</v>
      </c>
      <c r="O884" s="9">
        <v>0.36199999999999999</v>
      </c>
      <c r="P884" s="9">
        <v>1.1791</v>
      </c>
      <c r="Q884" s="9">
        <v>19.053000000000001</v>
      </c>
      <c r="R884" s="9"/>
      <c r="S884" s="11"/>
    </row>
    <row r="885" spans="1:19" ht="15.75">
      <c r="A885" s="13">
        <v>68453</v>
      </c>
      <c r="B885" s="8">
        <f>CHOOSE( CONTROL!$C$32, 29.9706, 29.9682) * CHOOSE(CONTROL!$C$15, $D$11, 100%, $F$11)</f>
        <v>29.970600000000001</v>
      </c>
      <c r="C885" s="8">
        <f>CHOOSE( CONTROL!$C$32, 29.9787, 29.9763) * CHOOSE(CONTROL!$C$15, $D$11, 100%, $F$11)</f>
        <v>29.9787</v>
      </c>
      <c r="D885" s="8">
        <f>CHOOSE( CONTROL!$C$32, 30.0039, 30.0015) * CHOOSE( CONTROL!$C$15, $D$11, 100%, $F$11)</f>
        <v>30.003900000000002</v>
      </c>
      <c r="E885" s="12">
        <f>CHOOSE( CONTROL!$C$32, 29.9935, 29.9911) * CHOOSE( CONTROL!$C$15, $D$11, 100%, $F$11)</f>
        <v>29.993500000000001</v>
      </c>
      <c r="F885" s="4">
        <f>CHOOSE( CONTROL!$C$32, 30.684, 30.6817) * CHOOSE(CONTROL!$C$15, $D$11, 100%, $F$11)</f>
        <v>30.684000000000001</v>
      </c>
      <c r="G885" s="8">
        <f>CHOOSE( CONTROL!$C$32, 29.2556, 29.2534) * CHOOSE( CONTROL!$C$15, $D$11, 100%, $F$11)</f>
        <v>29.255600000000001</v>
      </c>
      <c r="H885" s="4">
        <f>CHOOSE( CONTROL!$C$32, 30.204, 30.2017) * CHOOSE(CONTROL!$C$15, $D$11, 100%, $F$11)</f>
        <v>30.204000000000001</v>
      </c>
      <c r="I885" s="8">
        <f>CHOOSE( CONTROL!$C$32, 28.8697, 28.8674) * CHOOSE(CONTROL!$C$15, $D$11, 100%, $F$11)</f>
        <v>28.869700000000002</v>
      </c>
      <c r="J885" s="4">
        <f>CHOOSE( CONTROL!$C$32, 28.7455, 28.7433) * CHOOSE(CONTROL!$C$15, $D$11, 100%, $F$11)</f>
        <v>28.7455</v>
      </c>
      <c r="K885" s="4"/>
      <c r="L885" s="9">
        <v>30.7165</v>
      </c>
      <c r="M885" s="9">
        <v>12.063700000000001</v>
      </c>
      <c r="N885" s="9">
        <v>4.9444999999999997</v>
      </c>
      <c r="O885" s="9">
        <v>0.37409999999999999</v>
      </c>
      <c r="P885" s="9">
        <v>1.2183999999999999</v>
      </c>
      <c r="Q885" s="9">
        <v>19.688099999999999</v>
      </c>
      <c r="R885" s="9"/>
      <c r="S885" s="11"/>
    </row>
    <row r="886" spans="1:19" ht="15.75">
      <c r="A886" s="13">
        <v>68483</v>
      </c>
      <c r="B886" s="8">
        <f>CHOOSE( CONTROL!$C$32, 29.4893, 29.4869) * CHOOSE(CONTROL!$C$15, $D$11, 100%, $F$11)</f>
        <v>29.4893</v>
      </c>
      <c r="C886" s="8">
        <f>CHOOSE( CONTROL!$C$32, 29.4973, 29.495) * CHOOSE(CONTROL!$C$15, $D$11, 100%, $F$11)</f>
        <v>29.497299999999999</v>
      </c>
      <c r="D886" s="8">
        <f>CHOOSE( CONTROL!$C$32, 29.5227, 29.5204) * CHOOSE( CONTROL!$C$15, $D$11, 100%, $F$11)</f>
        <v>29.5227</v>
      </c>
      <c r="E886" s="12">
        <f>CHOOSE( CONTROL!$C$32, 29.5123, 29.51) * CHOOSE( CONTROL!$C$15, $D$11, 100%, $F$11)</f>
        <v>29.5123</v>
      </c>
      <c r="F886" s="4">
        <f>CHOOSE( CONTROL!$C$32, 30.2027, 30.2003) * CHOOSE(CONTROL!$C$15, $D$11, 100%, $F$11)</f>
        <v>30.2027</v>
      </c>
      <c r="G886" s="8">
        <f>CHOOSE( CONTROL!$C$32, 28.7858, 28.7835) * CHOOSE( CONTROL!$C$15, $D$11, 100%, $F$11)</f>
        <v>28.785799999999998</v>
      </c>
      <c r="H886" s="4">
        <f>CHOOSE( CONTROL!$C$32, 29.7339, 29.7316) * CHOOSE(CONTROL!$C$15, $D$11, 100%, $F$11)</f>
        <v>29.733899999999998</v>
      </c>
      <c r="I886" s="8">
        <f>CHOOSE( CONTROL!$C$32, 28.4083, 28.406) * CHOOSE(CONTROL!$C$15, $D$11, 100%, $F$11)</f>
        <v>28.408300000000001</v>
      </c>
      <c r="J886" s="4">
        <f>CHOOSE( CONTROL!$C$32, 28.2834, 28.2812) * CHOOSE(CONTROL!$C$15, $D$11, 100%, $F$11)</f>
        <v>28.2834</v>
      </c>
      <c r="K886" s="4"/>
      <c r="L886" s="9">
        <v>29.7257</v>
      </c>
      <c r="M886" s="9">
        <v>11.6745</v>
      </c>
      <c r="N886" s="9">
        <v>4.7850000000000001</v>
      </c>
      <c r="O886" s="9">
        <v>0.36199999999999999</v>
      </c>
      <c r="P886" s="9">
        <v>1.1791</v>
      </c>
      <c r="Q886" s="9">
        <v>19.053000000000001</v>
      </c>
      <c r="R886" s="9"/>
      <c r="S886" s="11"/>
    </row>
    <row r="887" spans="1:19" ht="15.75">
      <c r="A887" s="13">
        <v>68514</v>
      </c>
      <c r="B887" s="8">
        <f>CHOOSE( CONTROL!$C$32, 30.7568, 30.7544) * CHOOSE(CONTROL!$C$15, $D$11, 100%, $F$11)</f>
        <v>30.756799999999998</v>
      </c>
      <c r="C887" s="8">
        <f>CHOOSE( CONTROL!$C$32, 30.7649, 30.7625) * CHOOSE(CONTROL!$C$15, $D$11, 100%, $F$11)</f>
        <v>30.764900000000001</v>
      </c>
      <c r="D887" s="8">
        <f>CHOOSE( CONTROL!$C$32, 30.7905, 30.7882) * CHOOSE( CONTROL!$C$15, $D$11, 100%, $F$11)</f>
        <v>30.790500000000002</v>
      </c>
      <c r="E887" s="12">
        <f>CHOOSE( CONTROL!$C$32, 30.78, 30.7777) * CHOOSE( CONTROL!$C$15, $D$11, 100%, $F$11)</f>
        <v>30.78</v>
      </c>
      <c r="F887" s="4">
        <f>CHOOSE( CONTROL!$C$32, 31.4702, 31.4679) * CHOOSE(CONTROL!$C$15, $D$11, 100%, $F$11)</f>
        <v>31.470199999999998</v>
      </c>
      <c r="G887" s="8">
        <f>CHOOSE( CONTROL!$C$32, 30.0242, 30.0219) * CHOOSE( CONTROL!$C$15, $D$11, 100%, $F$11)</f>
        <v>30.0242</v>
      </c>
      <c r="H887" s="4">
        <f>CHOOSE( CONTROL!$C$32, 30.9718, 30.9696) * CHOOSE(CONTROL!$C$15, $D$11, 100%, $F$11)</f>
        <v>30.971800000000002</v>
      </c>
      <c r="I887" s="8">
        <f>CHOOSE( CONTROL!$C$32, 29.6271, 29.6248) * CHOOSE(CONTROL!$C$15, $D$11, 100%, $F$11)</f>
        <v>29.627099999999999</v>
      </c>
      <c r="J887" s="4">
        <f>CHOOSE( CONTROL!$C$32, 29.5004, 29.4981) * CHOOSE(CONTROL!$C$15, $D$11, 100%, $F$11)</f>
        <v>29.500399999999999</v>
      </c>
      <c r="K887" s="4"/>
      <c r="L887" s="9">
        <v>30.7165</v>
      </c>
      <c r="M887" s="9">
        <v>12.063700000000001</v>
      </c>
      <c r="N887" s="9">
        <v>4.9444999999999997</v>
      </c>
      <c r="O887" s="9">
        <v>0.37409999999999999</v>
      </c>
      <c r="P887" s="9">
        <v>1.2183999999999999</v>
      </c>
      <c r="Q887" s="9">
        <v>19.688099999999999</v>
      </c>
      <c r="R887" s="9"/>
      <c r="S887" s="11"/>
    </row>
    <row r="888" spans="1:19" ht="15.75">
      <c r="A888" s="13">
        <v>68545</v>
      </c>
      <c r="B888" s="8">
        <f>CHOOSE( CONTROL!$C$32, 28.3851, 28.3828) * CHOOSE(CONTROL!$C$15, $D$11, 100%, $F$11)</f>
        <v>28.385100000000001</v>
      </c>
      <c r="C888" s="8">
        <f>CHOOSE( CONTROL!$C$32, 28.3932, 28.3909) * CHOOSE(CONTROL!$C$15, $D$11, 100%, $F$11)</f>
        <v>28.3932</v>
      </c>
      <c r="D888" s="8">
        <f>CHOOSE( CONTROL!$C$32, 28.4189, 28.4166) * CHOOSE( CONTROL!$C$15, $D$11, 100%, $F$11)</f>
        <v>28.418900000000001</v>
      </c>
      <c r="E888" s="12">
        <f>CHOOSE( CONTROL!$C$32, 28.4084, 28.4061) * CHOOSE( CONTROL!$C$15, $D$11, 100%, $F$11)</f>
        <v>28.4084</v>
      </c>
      <c r="F888" s="4">
        <f>CHOOSE( CONTROL!$C$32, 29.0985, 29.0962) * CHOOSE(CONTROL!$C$15, $D$11, 100%, $F$11)</f>
        <v>29.098500000000001</v>
      </c>
      <c r="G888" s="8">
        <f>CHOOSE( CONTROL!$C$32, 27.7079, 27.7056) * CHOOSE( CONTROL!$C$15, $D$11, 100%, $F$11)</f>
        <v>27.707899999999999</v>
      </c>
      <c r="H888" s="4">
        <f>CHOOSE( CONTROL!$C$32, 28.6554, 28.6531) * CHOOSE(CONTROL!$C$15, $D$11, 100%, $F$11)</f>
        <v>28.6554</v>
      </c>
      <c r="I888" s="8">
        <f>CHOOSE( CONTROL!$C$32, 27.3493, 27.347) * CHOOSE(CONTROL!$C$15, $D$11, 100%, $F$11)</f>
        <v>27.349299999999999</v>
      </c>
      <c r="J888" s="4">
        <f>CHOOSE( CONTROL!$C$32, 27.2233, 27.2211) * CHOOSE(CONTROL!$C$15, $D$11, 100%, $F$11)</f>
        <v>27.223299999999998</v>
      </c>
      <c r="K888" s="4"/>
      <c r="L888" s="9">
        <v>30.7165</v>
      </c>
      <c r="M888" s="9">
        <v>12.063700000000001</v>
      </c>
      <c r="N888" s="9">
        <v>4.9444999999999997</v>
      </c>
      <c r="O888" s="9">
        <v>0.37409999999999999</v>
      </c>
      <c r="P888" s="9">
        <v>1.2183999999999999</v>
      </c>
      <c r="Q888" s="9">
        <v>19.688099999999999</v>
      </c>
      <c r="R888" s="9"/>
      <c r="S888" s="11"/>
    </row>
    <row r="889" spans="1:19" ht="15.75">
      <c r="A889" s="13">
        <v>68575</v>
      </c>
      <c r="B889" s="8">
        <f>CHOOSE( CONTROL!$C$32, 27.7912, 27.7889) * CHOOSE(CONTROL!$C$15, $D$11, 100%, $F$11)</f>
        <v>27.7912</v>
      </c>
      <c r="C889" s="8">
        <f>CHOOSE( CONTROL!$C$32, 27.7993, 27.797) * CHOOSE(CONTROL!$C$15, $D$11, 100%, $F$11)</f>
        <v>27.799299999999999</v>
      </c>
      <c r="D889" s="8">
        <f>CHOOSE( CONTROL!$C$32, 27.825, 27.8227) * CHOOSE( CONTROL!$C$15, $D$11, 100%, $F$11)</f>
        <v>27.824999999999999</v>
      </c>
      <c r="E889" s="12">
        <f>CHOOSE( CONTROL!$C$32, 27.8145, 27.8122) * CHOOSE( CONTROL!$C$15, $D$11, 100%, $F$11)</f>
        <v>27.814499999999999</v>
      </c>
      <c r="F889" s="4">
        <f>CHOOSE( CONTROL!$C$32, 28.5047, 28.5023) * CHOOSE(CONTROL!$C$15, $D$11, 100%, $F$11)</f>
        <v>28.5047</v>
      </c>
      <c r="G889" s="8">
        <f>CHOOSE( CONTROL!$C$32, 27.1278, 27.1255) * CHOOSE( CONTROL!$C$15, $D$11, 100%, $F$11)</f>
        <v>27.127800000000001</v>
      </c>
      <c r="H889" s="4">
        <f>CHOOSE( CONTROL!$C$32, 28.0754, 28.0731) * CHOOSE(CONTROL!$C$15, $D$11, 100%, $F$11)</f>
        <v>28.075399999999998</v>
      </c>
      <c r="I889" s="8">
        <f>CHOOSE( CONTROL!$C$32, 26.7787, 26.7764) * CHOOSE(CONTROL!$C$15, $D$11, 100%, $F$11)</f>
        <v>26.778700000000001</v>
      </c>
      <c r="J889" s="4">
        <f>CHOOSE( CONTROL!$C$32, 26.6531, 26.6509) * CHOOSE(CONTROL!$C$15, $D$11, 100%, $F$11)</f>
        <v>26.653099999999998</v>
      </c>
      <c r="K889" s="4"/>
      <c r="L889" s="9">
        <v>29.7257</v>
      </c>
      <c r="M889" s="9">
        <v>11.6745</v>
      </c>
      <c r="N889" s="9">
        <v>4.7850000000000001</v>
      </c>
      <c r="O889" s="9">
        <v>0.36199999999999999</v>
      </c>
      <c r="P889" s="9">
        <v>1.1791</v>
      </c>
      <c r="Q889" s="9">
        <v>19.053000000000001</v>
      </c>
      <c r="R889" s="9"/>
      <c r="S889" s="11"/>
    </row>
    <row r="890" spans="1:19" ht="15.75">
      <c r="A890" s="13">
        <v>68606</v>
      </c>
      <c r="B890" s="8">
        <f>29.0203 * CHOOSE(CONTROL!$C$15, $D$11, 100%, $F$11)</f>
        <v>29.020299999999999</v>
      </c>
      <c r="C890" s="8">
        <f>29.0257 * CHOOSE(CONTROL!$C$15, $D$11, 100%, $F$11)</f>
        <v>29.025700000000001</v>
      </c>
      <c r="D890" s="8">
        <f>29.0565 * CHOOSE( CONTROL!$C$15, $D$11, 100%, $F$11)</f>
        <v>29.0565</v>
      </c>
      <c r="E890" s="12">
        <f>29.0458 * CHOOSE( CONTROL!$C$15, $D$11, 100%, $F$11)</f>
        <v>29.0458</v>
      </c>
      <c r="F890" s="4">
        <f>29.7354 * CHOOSE(CONTROL!$C$15, $D$11, 100%, $F$11)</f>
        <v>29.735399999999998</v>
      </c>
      <c r="G890" s="8">
        <f>28.3297 * CHOOSE( CONTROL!$C$15, $D$11, 100%, $F$11)</f>
        <v>28.329699999999999</v>
      </c>
      <c r="H890" s="4">
        <f>29.2775 * CHOOSE(CONTROL!$C$15, $D$11, 100%, $F$11)</f>
        <v>29.2775</v>
      </c>
      <c r="I890" s="8">
        <f>27.9618 * CHOOSE(CONTROL!$C$15, $D$11, 100%, $F$11)</f>
        <v>27.9618</v>
      </c>
      <c r="J890" s="4">
        <f>27.8348 * CHOOSE(CONTROL!$C$15, $D$11, 100%, $F$11)</f>
        <v>27.834800000000001</v>
      </c>
      <c r="K890" s="4"/>
      <c r="L890" s="9">
        <v>31.095300000000002</v>
      </c>
      <c r="M890" s="9">
        <v>12.063700000000001</v>
      </c>
      <c r="N890" s="9">
        <v>4.9444999999999997</v>
      </c>
      <c r="O890" s="9">
        <v>0.37409999999999999</v>
      </c>
      <c r="P890" s="9">
        <v>1.2183999999999999</v>
      </c>
      <c r="Q890" s="9">
        <v>19.688099999999999</v>
      </c>
      <c r="R890" s="9"/>
      <c r="S890" s="11"/>
    </row>
    <row r="891" spans="1:19" ht="15.75">
      <c r="A891" s="13">
        <v>68636</v>
      </c>
      <c r="B891" s="8">
        <f>31.296 * CHOOSE(CONTROL!$C$15, $D$11, 100%, $F$11)</f>
        <v>31.295999999999999</v>
      </c>
      <c r="C891" s="8">
        <f>31.3012 * CHOOSE(CONTROL!$C$15, $D$11, 100%, $F$11)</f>
        <v>31.301200000000001</v>
      </c>
      <c r="D891" s="8">
        <f>31.2842 * CHOOSE( CONTROL!$C$15, $D$11, 100%, $F$11)</f>
        <v>31.284199999999998</v>
      </c>
      <c r="E891" s="12">
        <f>31.2899 * CHOOSE( CONTROL!$C$15, $D$11, 100%, $F$11)</f>
        <v>31.289899999999999</v>
      </c>
      <c r="F891" s="4">
        <f>31.9464 * CHOOSE(CONTROL!$C$15, $D$11, 100%, $F$11)</f>
        <v>31.946400000000001</v>
      </c>
      <c r="G891" s="8">
        <f>30.559 * CHOOSE( CONTROL!$C$15, $D$11, 100%, $F$11)</f>
        <v>30.559000000000001</v>
      </c>
      <c r="H891" s="4">
        <f>31.437 * CHOOSE(CONTROL!$C$15, $D$11, 100%, $F$11)</f>
        <v>31.437000000000001</v>
      </c>
      <c r="I891" s="8">
        <f>30.19 * CHOOSE(CONTROL!$C$15, $D$11, 100%, $F$11)</f>
        <v>30.19</v>
      </c>
      <c r="J891" s="4">
        <f>30.0201 * CHOOSE(CONTROL!$C$15, $D$11, 100%, $F$11)</f>
        <v>30.020099999999999</v>
      </c>
      <c r="K891" s="4"/>
      <c r="L891" s="9">
        <v>28.360600000000002</v>
      </c>
      <c r="M891" s="9">
        <v>11.6745</v>
      </c>
      <c r="N891" s="9">
        <v>4.7850000000000001</v>
      </c>
      <c r="O891" s="9">
        <v>0.36199999999999999</v>
      </c>
      <c r="P891" s="9">
        <v>1.2509999999999999</v>
      </c>
      <c r="Q891" s="9">
        <v>19.053000000000001</v>
      </c>
      <c r="R891" s="9"/>
      <c r="S891" s="11"/>
    </row>
    <row r="892" spans="1:19" ht="15.75">
      <c r="A892" s="13">
        <v>68667</v>
      </c>
      <c r="B892" s="8">
        <f>31.2391 * CHOOSE(CONTROL!$C$15, $D$11, 100%, $F$11)</f>
        <v>31.239100000000001</v>
      </c>
      <c r="C892" s="8">
        <f>31.2443 * CHOOSE(CONTROL!$C$15, $D$11, 100%, $F$11)</f>
        <v>31.244299999999999</v>
      </c>
      <c r="D892" s="8">
        <f>31.2288 * CHOOSE( CONTROL!$C$15, $D$11, 100%, $F$11)</f>
        <v>31.2288</v>
      </c>
      <c r="E892" s="12">
        <f>31.2339 * CHOOSE( CONTROL!$C$15, $D$11, 100%, $F$11)</f>
        <v>31.233899999999998</v>
      </c>
      <c r="F892" s="4">
        <f>31.8896 * CHOOSE(CONTROL!$C$15, $D$11, 100%, $F$11)</f>
        <v>31.889600000000002</v>
      </c>
      <c r="G892" s="8">
        <f>30.5045 * CHOOSE( CONTROL!$C$15, $D$11, 100%, $F$11)</f>
        <v>30.5045</v>
      </c>
      <c r="H892" s="4">
        <f>31.3814 * CHOOSE(CONTROL!$C$15, $D$11, 100%, $F$11)</f>
        <v>31.381399999999999</v>
      </c>
      <c r="I892" s="8">
        <f>30.1401 * CHOOSE(CONTROL!$C$15, $D$11, 100%, $F$11)</f>
        <v>30.1401</v>
      </c>
      <c r="J892" s="4">
        <f>29.9655 * CHOOSE(CONTROL!$C$15, $D$11, 100%, $F$11)</f>
        <v>29.965499999999999</v>
      </c>
      <c r="K892" s="4"/>
      <c r="L892" s="9">
        <v>29.306000000000001</v>
      </c>
      <c r="M892" s="9">
        <v>12.063700000000001</v>
      </c>
      <c r="N892" s="9">
        <v>4.9444999999999997</v>
      </c>
      <c r="O892" s="9">
        <v>0.37409999999999999</v>
      </c>
      <c r="P892" s="9">
        <v>1.2927</v>
      </c>
      <c r="Q892" s="9">
        <v>19.688099999999999</v>
      </c>
      <c r="R892" s="9"/>
      <c r="S892" s="11"/>
    </row>
    <row r="893" spans="1:19" ht="15.75">
      <c r="A893" s="13">
        <v>68698</v>
      </c>
      <c r="B893" s="8">
        <f>32.1597 * CHOOSE(CONTROL!$C$15, $D$11, 100%, $F$11)</f>
        <v>32.159700000000001</v>
      </c>
      <c r="C893" s="8">
        <f>32.1649 * CHOOSE(CONTROL!$C$15, $D$11, 100%, $F$11)</f>
        <v>32.164900000000003</v>
      </c>
      <c r="D893" s="8">
        <f>32.1451 * CHOOSE( CONTROL!$C$15, $D$11, 100%, $F$11)</f>
        <v>32.145099999999999</v>
      </c>
      <c r="E893" s="12">
        <f>32.1518 * CHOOSE( CONTROL!$C$15, $D$11, 100%, $F$11)</f>
        <v>32.151800000000001</v>
      </c>
      <c r="F893" s="4">
        <f>32.8102 * CHOOSE(CONTROL!$C$15, $D$11, 100%, $F$11)</f>
        <v>32.810200000000002</v>
      </c>
      <c r="G893" s="8">
        <f>31.3944 * CHOOSE( CONTROL!$C$15, $D$11, 100%, $F$11)</f>
        <v>31.394400000000001</v>
      </c>
      <c r="H893" s="4">
        <f>32.2806 * CHOOSE(CONTROL!$C$15, $D$11, 100%, $F$11)</f>
        <v>32.2806</v>
      </c>
      <c r="I893" s="8">
        <f>30.9835 * CHOOSE(CONTROL!$C$15, $D$11, 100%, $F$11)</f>
        <v>30.983499999999999</v>
      </c>
      <c r="J893" s="4">
        <f>30.8494 * CHOOSE(CONTROL!$C$15, $D$11, 100%, $F$11)</f>
        <v>30.849399999999999</v>
      </c>
      <c r="K893" s="4"/>
      <c r="L893" s="9">
        <v>29.306000000000001</v>
      </c>
      <c r="M893" s="9">
        <v>12.063700000000001</v>
      </c>
      <c r="N893" s="9">
        <v>4.9444999999999997</v>
      </c>
      <c r="O893" s="9">
        <v>0.37409999999999999</v>
      </c>
      <c r="P893" s="9">
        <v>1.2927</v>
      </c>
      <c r="Q893" s="9">
        <v>19.688099999999999</v>
      </c>
      <c r="R893" s="9"/>
      <c r="S893" s="11"/>
    </row>
    <row r="894" spans="1:19" ht="15.75">
      <c r="A894" s="13">
        <v>68727</v>
      </c>
      <c r="B894" s="8">
        <f>30.0825 * CHOOSE(CONTROL!$C$15, $D$11, 100%, $F$11)</f>
        <v>30.0825</v>
      </c>
      <c r="C894" s="8">
        <f>30.0877 * CHOOSE(CONTROL!$C$15, $D$11, 100%, $F$11)</f>
        <v>30.087700000000002</v>
      </c>
      <c r="D894" s="8">
        <f>30.0678 * CHOOSE( CONTROL!$C$15, $D$11, 100%, $F$11)</f>
        <v>30.067799999999998</v>
      </c>
      <c r="E894" s="12">
        <f>30.0745 * CHOOSE( CONTROL!$C$15, $D$11, 100%, $F$11)</f>
        <v>30.0745</v>
      </c>
      <c r="F894" s="4">
        <f>30.7329 * CHOOSE(CONTROL!$C$15, $D$11, 100%, $F$11)</f>
        <v>30.732900000000001</v>
      </c>
      <c r="G894" s="8">
        <f>29.3655 * CHOOSE( CONTROL!$C$15, $D$11, 100%, $F$11)</f>
        <v>29.365500000000001</v>
      </c>
      <c r="H894" s="4">
        <f>30.2518 * CHOOSE(CONTROL!$C$15, $D$11, 100%, $F$11)</f>
        <v>30.251799999999999</v>
      </c>
      <c r="I894" s="8">
        <f>28.988 * CHOOSE(CONTROL!$C$15, $D$11, 100%, $F$11)</f>
        <v>28.988</v>
      </c>
      <c r="J894" s="4">
        <f>28.855 * CHOOSE(CONTROL!$C$15, $D$11, 100%, $F$11)</f>
        <v>28.855</v>
      </c>
      <c r="K894" s="4"/>
      <c r="L894" s="9">
        <v>27.415299999999998</v>
      </c>
      <c r="M894" s="9">
        <v>11.285299999999999</v>
      </c>
      <c r="N894" s="9">
        <v>4.6254999999999997</v>
      </c>
      <c r="O894" s="9">
        <v>0.34989999999999999</v>
      </c>
      <c r="P894" s="9">
        <v>1.2093</v>
      </c>
      <c r="Q894" s="9">
        <v>18.417899999999999</v>
      </c>
      <c r="R894" s="9"/>
      <c r="S894" s="11"/>
    </row>
    <row r="895" spans="1:19" ht="15.75">
      <c r="A895" s="13">
        <v>68758</v>
      </c>
      <c r="B895" s="8">
        <f>29.4427 * CHOOSE(CONTROL!$C$15, $D$11, 100%, $F$11)</f>
        <v>29.442699999999999</v>
      </c>
      <c r="C895" s="8">
        <f>29.4479 * CHOOSE(CONTROL!$C$15, $D$11, 100%, $F$11)</f>
        <v>29.447900000000001</v>
      </c>
      <c r="D895" s="8">
        <f>29.4277 * CHOOSE( CONTROL!$C$15, $D$11, 100%, $F$11)</f>
        <v>29.427700000000002</v>
      </c>
      <c r="E895" s="12">
        <f>29.4345 * CHOOSE( CONTROL!$C$15, $D$11, 100%, $F$11)</f>
        <v>29.4345</v>
      </c>
      <c r="F895" s="4">
        <f>30.0932 * CHOOSE(CONTROL!$C$15, $D$11, 100%, $F$11)</f>
        <v>30.0932</v>
      </c>
      <c r="G895" s="8">
        <f>28.7404 * CHOOSE( CONTROL!$C$15, $D$11, 100%, $F$11)</f>
        <v>28.740400000000001</v>
      </c>
      <c r="H895" s="4">
        <f>29.6269 * CHOOSE(CONTROL!$C$15, $D$11, 100%, $F$11)</f>
        <v>29.626899999999999</v>
      </c>
      <c r="I895" s="8">
        <f>28.3724 * CHOOSE(CONTROL!$C$15, $D$11, 100%, $F$11)</f>
        <v>28.372399999999999</v>
      </c>
      <c r="J895" s="4">
        <f>28.2408 * CHOOSE(CONTROL!$C$15, $D$11, 100%, $F$11)</f>
        <v>28.2408</v>
      </c>
      <c r="K895" s="4"/>
      <c r="L895" s="9">
        <v>29.306000000000001</v>
      </c>
      <c r="M895" s="9">
        <v>12.063700000000001</v>
      </c>
      <c r="N895" s="9">
        <v>4.9444999999999997</v>
      </c>
      <c r="O895" s="9">
        <v>0.37409999999999999</v>
      </c>
      <c r="P895" s="9">
        <v>1.2927</v>
      </c>
      <c r="Q895" s="9">
        <v>19.688099999999999</v>
      </c>
      <c r="R895" s="9"/>
      <c r="S895" s="11"/>
    </row>
    <row r="896" spans="1:19" ht="15.75">
      <c r="A896" s="13">
        <v>68788</v>
      </c>
      <c r="B896" s="8">
        <f>29.8905 * CHOOSE(CONTROL!$C$15, $D$11, 100%, $F$11)</f>
        <v>29.890499999999999</v>
      </c>
      <c r="C896" s="8">
        <f>29.8951 * CHOOSE(CONTROL!$C$15, $D$11, 100%, $F$11)</f>
        <v>29.895099999999999</v>
      </c>
      <c r="D896" s="8">
        <f>29.9257 * CHOOSE( CONTROL!$C$15, $D$11, 100%, $F$11)</f>
        <v>29.925699999999999</v>
      </c>
      <c r="E896" s="12">
        <f>29.9151 * CHOOSE( CONTROL!$C$15, $D$11, 100%, $F$11)</f>
        <v>29.915099999999999</v>
      </c>
      <c r="F896" s="4">
        <f>30.6053 * CHOOSE(CONTROL!$C$15, $D$11, 100%, $F$11)</f>
        <v>30.6053</v>
      </c>
      <c r="G896" s="8">
        <f>29.1782 * CHOOSE( CONTROL!$C$15, $D$11, 100%, $F$11)</f>
        <v>29.1782</v>
      </c>
      <c r="H896" s="4">
        <f>30.1271 * CHOOSE(CONTROL!$C$15, $D$11, 100%, $F$11)</f>
        <v>30.127099999999999</v>
      </c>
      <c r="I896" s="8">
        <f>28.7938 * CHOOSE(CONTROL!$C$15, $D$11, 100%, $F$11)</f>
        <v>28.793800000000001</v>
      </c>
      <c r="J896" s="4">
        <f>28.67 * CHOOSE(CONTROL!$C$15, $D$11, 100%, $F$11)</f>
        <v>28.67</v>
      </c>
      <c r="K896" s="4"/>
      <c r="L896" s="9">
        <v>30.092199999999998</v>
      </c>
      <c r="M896" s="9">
        <v>11.6745</v>
      </c>
      <c r="N896" s="9">
        <v>4.7850000000000001</v>
      </c>
      <c r="O896" s="9">
        <v>0.36199999999999999</v>
      </c>
      <c r="P896" s="9">
        <v>1.1791</v>
      </c>
      <c r="Q896" s="9">
        <v>19.053000000000001</v>
      </c>
      <c r="R896" s="9"/>
      <c r="S896" s="11"/>
    </row>
    <row r="897" spans="1:19" ht="15.75">
      <c r="A897" s="13">
        <v>68819</v>
      </c>
      <c r="B897" s="8">
        <f>CHOOSE( CONTROL!$C$32, 30.6899, 30.6876) * CHOOSE(CONTROL!$C$15, $D$11, 100%, $F$11)</f>
        <v>30.689900000000002</v>
      </c>
      <c r="C897" s="8">
        <f>CHOOSE( CONTROL!$C$32, 30.698, 30.6957) * CHOOSE(CONTROL!$C$15, $D$11, 100%, $F$11)</f>
        <v>30.698</v>
      </c>
      <c r="D897" s="8">
        <f>CHOOSE( CONTROL!$C$32, 30.7232, 30.7209) * CHOOSE( CONTROL!$C$15, $D$11, 100%, $F$11)</f>
        <v>30.723199999999999</v>
      </c>
      <c r="E897" s="12">
        <f>CHOOSE( CONTROL!$C$32, 30.7128, 30.7105) * CHOOSE( CONTROL!$C$15, $D$11, 100%, $F$11)</f>
        <v>30.712800000000001</v>
      </c>
      <c r="F897" s="4">
        <f>CHOOSE( CONTROL!$C$32, 31.4034, 31.401) * CHOOSE(CONTROL!$C$15, $D$11, 100%, $F$11)</f>
        <v>31.403400000000001</v>
      </c>
      <c r="G897" s="8">
        <f>CHOOSE( CONTROL!$C$32, 29.9582, 29.9559) * CHOOSE( CONTROL!$C$15, $D$11, 100%, $F$11)</f>
        <v>29.958200000000001</v>
      </c>
      <c r="H897" s="4">
        <f>CHOOSE( CONTROL!$C$32, 30.9065, 30.9042) * CHOOSE(CONTROL!$C$15, $D$11, 100%, $F$11)</f>
        <v>30.906500000000001</v>
      </c>
      <c r="I897" s="8">
        <f>CHOOSE( CONTROL!$C$32, 29.5606, 29.5584) * CHOOSE(CONTROL!$C$15, $D$11, 100%, $F$11)</f>
        <v>29.560600000000001</v>
      </c>
      <c r="J897" s="4">
        <f>CHOOSE( CONTROL!$C$32, 29.4362, 29.4339) * CHOOSE(CONTROL!$C$15, $D$11, 100%, $F$11)</f>
        <v>29.436199999999999</v>
      </c>
      <c r="K897" s="4"/>
      <c r="L897" s="9">
        <v>30.7165</v>
      </c>
      <c r="M897" s="9">
        <v>12.063700000000001</v>
      </c>
      <c r="N897" s="9">
        <v>4.9444999999999997</v>
      </c>
      <c r="O897" s="9">
        <v>0.37409999999999999</v>
      </c>
      <c r="P897" s="9">
        <v>1.2183999999999999</v>
      </c>
      <c r="Q897" s="9">
        <v>19.688099999999999</v>
      </c>
      <c r="R897" s="9"/>
      <c r="S897" s="11"/>
    </row>
    <row r="898" spans="1:19" ht="15.75">
      <c r="A898" s="13">
        <v>68849</v>
      </c>
      <c r="B898" s="8">
        <f>CHOOSE( CONTROL!$C$32, 30.197, 30.1947) * CHOOSE(CONTROL!$C$15, $D$11, 100%, $F$11)</f>
        <v>30.196999999999999</v>
      </c>
      <c r="C898" s="8">
        <f>CHOOSE( CONTROL!$C$32, 30.2051, 30.2028) * CHOOSE(CONTROL!$C$15, $D$11, 100%, $F$11)</f>
        <v>30.205100000000002</v>
      </c>
      <c r="D898" s="8">
        <f>CHOOSE( CONTROL!$C$32, 30.2305, 30.2282) * CHOOSE( CONTROL!$C$15, $D$11, 100%, $F$11)</f>
        <v>30.230499999999999</v>
      </c>
      <c r="E898" s="12">
        <f>CHOOSE( CONTROL!$C$32, 30.2201, 30.2178) * CHOOSE( CONTROL!$C$15, $D$11, 100%, $F$11)</f>
        <v>30.220099999999999</v>
      </c>
      <c r="F898" s="4">
        <f>CHOOSE( CONTROL!$C$32, 30.9105, 30.9081) * CHOOSE(CONTROL!$C$15, $D$11, 100%, $F$11)</f>
        <v>30.910499999999999</v>
      </c>
      <c r="G898" s="8">
        <f>CHOOSE( CONTROL!$C$32, 29.4771, 29.4748) * CHOOSE( CONTROL!$C$15, $D$11, 100%, $F$11)</f>
        <v>29.4771</v>
      </c>
      <c r="H898" s="4">
        <f>CHOOSE( CONTROL!$C$32, 30.4251, 30.4228) * CHOOSE(CONTROL!$C$15, $D$11, 100%, $F$11)</f>
        <v>30.4251</v>
      </c>
      <c r="I898" s="8">
        <f>CHOOSE( CONTROL!$C$32, 29.0882, 29.0859) * CHOOSE(CONTROL!$C$15, $D$11, 100%, $F$11)</f>
        <v>29.088200000000001</v>
      </c>
      <c r="J898" s="4">
        <f>CHOOSE( CONTROL!$C$32, 28.9629, 28.9607) * CHOOSE(CONTROL!$C$15, $D$11, 100%, $F$11)</f>
        <v>28.962900000000001</v>
      </c>
      <c r="K898" s="4"/>
      <c r="L898" s="9">
        <v>29.7257</v>
      </c>
      <c r="M898" s="9">
        <v>11.6745</v>
      </c>
      <c r="N898" s="9">
        <v>4.7850000000000001</v>
      </c>
      <c r="O898" s="9">
        <v>0.36199999999999999</v>
      </c>
      <c r="P898" s="9">
        <v>1.1791</v>
      </c>
      <c r="Q898" s="9">
        <v>19.053000000000001</v>
      </c>
      <c r="R898" s="9"/>
      <c r="S898" s="11"/>
    </row>
    <row r="899" spans="1:19" ht="15.75">
      <c r="A899" s="13">
        <v>68880</v>
      </c>
      <c r="B899" s="8">
        <f>CHOOSE( CONTROL!$C$32, 31.495, 31.4927) * CHOOSE(CONTROL!$C$15, $D$11, 100%, $F$11)</f>
        <v>31.495000000000001</v>
      </c>
      <c r="C899" s="8">
        <f>CHOOSE( CONTROL!$C$32, 31.5031, 31.5007) * CHOOSE(CONTROL!$C$15, $D$11, 100%, $F$11)</f>
        <v>31.5031</v>
      </c>
      <c r="D899" s="8">
        <f>CHOOSE( CONTROL!$C$32, 31.5287, 31.5264) * CHOOSE( CONTROL!$C$15, $D$11, 100%, $F$11)</f>
        <v>31.528700000000001</v>
      </c>
      <c r="E899" s="12">
        <f>CHOOSE( CONTROL!$C$32, 31.5182, 31.5159) * CHOOSE( CONTROL!$C$15, $D$11, 100%, $F$11)</f>
        <v>31.5182</v>
      </c>
      <c r="F899" s="4">
        <f>CHOOSE( CONTROL!$C$32, 32.2084, 32.2061) * CHOOSE(CONTROL!$C$15, $D$11, 100%, $F$11)</f>
        <v>32.208399999999997</v>
      </c>
      <c r="G899" s="8">
        <f>CHOOSE( CONTROL!$C$32, 30.7452, 30.7429) * CHOOSE( CONTROL!$C$15, $D$11, 100%, $F$11)</f>
        <v>30.745200000000001</v>
      </c>
      <c r="H899" s="4">
        <f>CHOOSE( CONTROL!$C$32, 31.6929, 31.6906) * CHOOSE(CONTROL!$C$15, $D$11, 100%, $F$11)</f>
        <v>31.692900000000002</v>
      </c>
      <c r="I899" s="8">
        <f>CHOOSE( CONTROL!$C$32, 30.3362, 30.3339) * CHOOSE(CONTROL!$C$15, $D$11, 100%, $F$11)</f>
        <v>30.336200000000002</v>
      </c>
      <c r="J899" s="4">
        <f>CHOOSE( CONTROL!$C$32, 30.2091, 30.2069) * CHOOSE(CONTROL!$C$15, $D$11, 100%, $F$11)</f>
        <v>30.209099999999999</v>
      </c>
      <c r="K899" s="4"/>
      <c r="L899" s="9">
        <v>30.7165</v>
      </c>
      <c r="M899" s="9">
        <v>12.063700000000001</v>
      </c>
      <c r="N899" s="9">
        <v>4.9444999999999997</v>
      </c>
      <c r="O899" s="9">
        <v>0.37409999999999999</v>
      </c>
      <c r="P899" s="9">
        <v>1.2183999999999999</v>
      </c>
      <c r="Q899" s="9">
        <v>19.688099999999999</v>
      </c>
      <c r="R899" s="9"/>
      <c r="S899" s="11"/>
    </row>
    <row r="900" spans="1:19" ht="15.75">
      <c r="A900" s="13">
        <v>68911</v>
      </c>
      <c r="B900" s="8">
        <f>CHOOSE( CONTROL!$C$32, 29.0663, 29.064) * CHOOSE(CONTROL!$C$15, $D$11, 100%, $F$11)</f>
        <v>29.066299999999998</v>
      </c>
      <c r="C900" s="8">
        <f>CHOOSE( CONTROL!$C$32, 29.0744, 29.0721) * CHOOSE(CONTROL!$C$15, $D$11, 100%, $F$11)</f>
        <v>29.074400000000001</v>
      </c>
      <c r="D900" s="8">
        <f>CHOOSE( CONTROL!$C$32, 29.1002, 29.0978) * CHOOSE( CONTROL!$C$15, $D$11, 100%, $F$11)</f>
        <v>29.100200000000001</v>
      </c>
      <c r="E900" s="12">
        <f>CHOOSE( CONTROL!$C$32, 29.0896, 29.0873) * CHOOSE( CONTROL!$C$15, $D$11, 100%, $F$11)</f>
        <v>29.089600000000001</v>
      </c>
      <c r="F900" s="4">
        <f>CHOOSE( CONTROL!$C$32, 29.7798, 29.7774) * CHOOSE(CONTROL!$C$15, $D$11, 100%, $F$11)</f>
        <v>29.779800000000002</v>
      </c>
      <c r="G900" s="8">
        <f>CHOOSE( CONTROL!$C$32, 28.3733, 28.371) * CHOOSE( CONTROL!$C$15, $D$11, 100%, $F$11)</f>
        <v>28.3733</v>
      </c>
      <c r="H900" s="4">
        <f>CHOOSE( CONTROL!$C$32, 29.3208, 29.3185) * CHOOSE(CONTROL!$C$15, $D$11, 100%, $F$11)</f>
        <v>29.320799999999998</v>
      </c>
      <c r="I900" s="8">
        <f>CHOOSE( CONTROL!$C$32, 28.0036, 28.0014) * CHOOSE(CONTROL!$C$15, $D$11, 100%, $F$11)</f>
        <v>28.003599999999999</v>
      </c>
      <c r="J900" s="4">
        <f>CHOOSE( CONTROL!$C$32, 27.8774, 27.8751) * CHOOSE(CONTROL!$C$15, $D$11, 100%, $F$11)</f>
        <v>27.877400000000002</v>
      </c>
      <c r="K900" s="4"/>
      <c r="L900" s="9">
        <v>30.7165</v>
      </c>
      <c r="M900" s="9">
        <v>12.063700000000001</v>
      </c>
      <c r="N900" s="9">
        <v>4.9444999999999997</v>
      </c>
      <c r="O900" s="9">
        <v>0.37409999999999999</v>
      </c>
      <c r="P900" s="9">
        <v>1.2183999999999999</v>
      </c>
      <c r="Q900" s="9">
        <v>19.688099999999999</v>
      </c>
      <c r="R900" s="9"/>
      <c r="S900" s="11"/>
    </row>
    <row r="901" spans="1:19" ht="15.75">
      <c r="A901" s="13">
        <v>68941</v>
      </c>
      <c r="B901" s="8">
        <f>CHOOSE( CONTROL!$C$32, 28.4582, 28.4558) * CHOOSE(CONTROL!$C$15, $D$11, 100%, $F$11)</f>
        <v>28.458200000000001</v>
      </c>
      <c r="C901" s="8">
        <f>CHOOSE( CONTROL!$C$32, 28.4663, 28.4639) * CHOOSE(CONTROL!$C$15, $D$11, 100%, $F$11)</f>
        <v>28.4663</v>
      </c>
      <c r="D901" s="8">
        <f>CHOOSE( CONTROL!$C$32, 28.492, 28.4896) * CHOOSE( CONTROL!$C$15, $D$11, 100%, $F$11)</f>
        <v>28.492000000000001</v>
      </c>
      <c r="E901" s="12">
        <f>CHOOSE( CONTROL!$C$32, 28.4815, 28.4791) * CHOOSE( CONTROL!$C$15, $D$11, 100%, $F$11)</f>
        <v>28.4815</v>
      </c>
      <c r="F901" s="4">
        <f>CHOOSE( CONTROL!$C$32, 29.1716, 29.1693) * CHOOSE(CONTROL!$C$15, $D$11, 100%, $F$11)</f>
        <v>29.171600000000002</v>
      </c>
      <c r="G901" s="8">
        <f>CHOOSE( CONTROL!$C$32, 27.7792, 27.7769) * CHOOSE( CONTROL!$C$15, $D$11, 100%, $F$11)</f>
        <v>27.779199999999999</v>
      </c>
      <c r="H901" s="4">
        <f>CHOOSE( CONTROL!$C$32, 28.7268, 28.7245) * CHOOSE(CONTROL!$C$15, $D$11, 100%, $F$11)</f>
        <v>28.726800000000001</v>
      </c>
      <c r="I901" s="8">
        <f>CHOOSE( CONTROL!$C$32, 27.4193, 27.4171) * CHOOSE(CONTROL!$C$15, $D$11, 100%, $F$11)</f>
        <v>27.4193</v>
      </c>
      <c r="J901" s="4">
        <f>CHOOSE( CONTROL!$C$32, 27.2935, 27.2912) * CHOOSE(CONTROL!$C$15, $D$11, 100%, $F$11)</f>
        <v>27.293500000000002</v>
      </c>
      <c r="K901" s="4"/>
      <c r="L901" s="9">
        <v>29.7257</v>
      </c>
      <c r="M901" s="9">
        <v>11.6745</v>
      </c>
      <c r="N901" s="9">
        <v>4.7850000000000001</v>
      </c>
      <c r="O901" s="9">
        <v>0.36199999999999999</v>
      </c>
      <c r="P901" s="9">
        <v>1.1791</v>
      </c>
      <c r="Q901" s="9">
        <v>19.053000000000001</v>
      </c>
      <c r="R901" s="9"/>
      <c r="S901" s="11"/>
    </row>
    <row r="902" spans="1:19" ht="15.75">
      <c r="A902" s="13">
        <v>68972</v>
      </c>
      <c r="B902" s="8">
        <f>29.7169 * CHOOSE(CONTROL!$C$15, $D$11, 100%, $F$11)</f>
        <v>29.716899999999999</v>
      </c>
      <c r="C902" s="8">
        <f>29.7223 * CHOOSE(CONTROL!$C$15, $D$11, 100%, $F$11)</f>
        <v>29.722300000000001</v>
      </c>
      <c r="D902" s="8">
        <f>29.7531 * CHOOSE( CONTROL!$C$15, $D$11, 100%, $F$11)</f>
        <v>29.7531</v>
      </c>
      <c r="E902" s="12">
        <f>29.7424 * CHOOSE( CONTROL!$C$15, $D$11, 100%, $F$11)</f>
        <v>29.7424</v>
      </c>
      <c r="F902" s="4">
        <f>30.432 * CHOOSE(CONTROL!$C$15, $D$11, 100%, $F$11)</f>
        <v>30.431999999999999</v>
      </c>
      <c r="G902" s="8">
        <f>29.0101 * CHOOSE( CONTROL!$C$15, $D$11, 100%, $F$11)</f>
        <v>29.010100000000001</v>
      </c>
      <c r="H902" s="4">
        <f>29.9578 * CHOOSE(CONTROL!$C$15, $D$11, 100%, $F$11)</f>
        <v>29.957799999999999</v>
      </c>
      <c r="I902" s="8">
        <f>28.6309 * CHOOSE(CONTROL!$C$15, $D$11, 100%, $F$11)</f>
        <v>28.6309</v>
      </c>
      <c r="J902" s="4">
        <f>28.5036 * CHOOSE(CONTROL!$C$15, $D$11, 100%, $F$11)</f>
        <v>28.503599999999999</v>
      </c>
      <c r="K902" s="4"/>
      <c r="L902" s="9">
        <v>31.095300000000002</v>
      </c>
      <c r="M902" s="9">
        <v>12.063700000000001</v>
      </c>
      <c r="N902" s="9">
        <v>4.9444999999999997</v>
      </c>
      <c r="O902" s="9">
        <v>0.37409999999999999</v>
      </c>
      <c r="P902" s="9">
        <v>1.2183999999999999</v>
      </c>
      <c r="Q902" s="9">
        <v>19.688099999999999</v>
      </c>
      <c r="R902" s="9"/>
      <c r="S902" s="11"/>
    </row>
    <row r="903" spans="1:19" ht="15.75">
      <c r="A903" s="13">
        <v>69002</v>
      </c>
      <c r="B903" s="8">
        <f>32.0473 * CHOOSE(CONTROL!$C$15, $D$11, 100%, $F$11)</f>
        <v>32.0473</v>
      </c>
      <c r="C903" s="8">
        <f>32.0524 * CHOOSE(CONTROL!$C$15, $D$11, 100%, $F$11)</f>
        <v>32.052399999999999</v>
      </c>
      <c r="D903" s="8">
        <f>32.0355 * CHOOSE( CONTROL!$C$15, $D$11, 100%, $F$11)</f>
        <v>32.035499999999999</v>
      </c>
      <c r="E903" s="12">
        <f>32.0411 * CHOOSE( CONTROL!$C$15, $D$11, 100%, $F$11)</f>
        <v>32.0411</v>
      </c>
      <c r="F903" s="4">
        <f>32.6977 * CHOOSE(CONTROL!$C$15, $D$11, 100%, $F$11)</f>
        <v>32.697699999999998</v>
      </c>
      <c r="G903" s="8">
        <f>31.2928 * CHOOSE( CONTROL!$C$15, $D$11, 100%, $F$11)</f>
        <v>31.2928</v>
      </c>
      <c r="H903" s="4">
        <f>32.1708 * CHOOSE(CONTROL!$C$15, $D$11, 100%, $F$11)</f>
        <v>32.1708</v>
      </c>
      <c r="I903" s="8">
        <f>30.9116 * CHOOSE(CONTROL!$C$15, $D$11, 100%, $F$11)</f>
        <v>30.9116</v>
      </c>
      <c r="J903" s="4">
        <f>30.7414 * CHOOSE(CONTROL!$C$15, $D$11, 100%, $F$11)</f>
        <v>30.741399999999999</v>
      </c>
      <c r="K903" s="4"/>
      <c r="L903" s="9">
        <v>28.360600000000002</v>
      </c>
      <c r="M903" s="9">
        <v>11.6745</v>
      </c>
      <c r="N903" s="9">
        <v>4.7850000000000001</v>
      </c>
      <c r="O903" s="9">
        <v>0.36199999999999999</v>
      </c>
      <c r="P903" s="9">
        <v>1.2509999999999999</v>
      </c>
      <c r="Q903" s="9">
        <v>19.053000000000001</v>
      </c>
      <c r="R903" s="9"/>
      <c r="S903" s="11"/>
    </row>
    <row r="904" spans="1:19" ht="15.75">
      <c r="A904" s="13">
        <v>69033</v>
      </c>
      <c r="B904" s="8">
        <f>31.989 * CHOOSE(CONTROL!$C$15, $D$11, 100%, $F$11)</f>
        <v>31.989000000000001</v>
      </c>
      <c r="C904" s="8">
        <f>31.9942 * CHOOSE(CONTROL!$C$15, $D$11, 100%, $F$11)</f>
        <v>31.994199999999999</v>
      </c>
      <c r="D904" s="8">
        <f>31.9787 * CHOOSE( CONTROL!$C$15, $D$11, 100%, $F$11)</f>
        <v>31.9787</v>
      </c>
      <c r="E904" s="12">
        <f>31.9838 * CHOOSE( CONTROL!$C$15, $D$11, 100%, $F$11)</f>
        <v>31.983799999999999</v>
      </c>
      <c r="F904" s="4">
        <f>32.6395 * CHOOSE(CONTROL!$C$15, $D$11, 100%, $F$11)</f>
        <v>32.639499999999998</v>
      </c>
      <c r="G904" s="8">
        <f>31.237 * CHOOSE( CONTROL!$C$15, $D$11, 100%, $F$11)</f>
        <v>31.236999999999998</v>
      </c>
      <c r="H904" s="4">
        <f>32.1139 * CHOOSE(CONTROL!$C$15, $D$11, 100%, $F$11)</f>
        <v>32.113900000000001</v>
      </c>
      <c r="I904" s="8">
        <f>30.8604 * CHOOSE(CONTROL!$C$15, $D$11, 100%, $F$11)</f>
        <v>30.860399999999998</v>
      </c>
      <c r="J904" s="4">
        <f>30.6855 * CHOOSE(CONTROL!$C$15, $D$11, 100%, $F$11)</f>
        <v>30.685500000000001</v>
      </c>
      <c r="K904" s="4"/>
      <c r="L904" s="9">
        <v>29.306000000000001</v>
      </c>
      <c r="M904" s="9">
        <v>12.063700000000001</v>
      </c>
      <c r="N904" s="9">
        <v>4.9444999999999997</v>
      </c>
      <c r="O904" s="9">
        <v>0.37409999999999999</v>
      </c>
      <c r="P904" s="9">
        <v>1.2927</v>
      </c>
      <c r="Q904" s="9">
        <v>19.688099999999999</v>
      </c>
      <c r="R904" s="9"/>
      <c r="S904" s="11"/>
    </row>
    <row r="905" spans="1:19" ht="15.75">
      <c r="A905" s="13">
        <v>69064</v>
      </c>
      <c r="B905" s="8">
        <f>32.9318 * CHOOSE(CONTROL!$C$15, $D$11, 100%, $F$11)</f>
        <v>32.931800000000003</v>
      </c>
      <c r="C905" s="8">
        <f>32.9369 * CHOOSE(CONTROL!$C$15, $D$11, 100%, $F$11)</f>
        <v>32.936900000000001</v>
      </c>
      <c r="D905" s="8">
        <f>32.9171 * CHOOSE( CONTROL!$C$15, $D$11, 100%, $F$11)</f>
        <v>32.917099999999998</v>
      </c>
      <c r="E905" s="12">
        <f>32.9238 * CHOOSE( CONTROL!$C$15, $D$11, 100%, $F$11)</f>
        <v>32.9238</v>
      </c>
      <c r="F905" s="4">
        <f>33.5822 * CHOOSE(CONTROL!$C$15, $D$11, 100%, $F$11)</f>
        <v>33.5822</v>
      </c>
      <c r="G905" s="8">
        <f>32.1485 * CHOOSE( CONTROL!$C$15, $D$11, 100%, $F$11)</f>
        <v>32.148499999999999</v>
      </c>
      <c r="H905" s="4">
        <f>33.0347 * CHOOSE(CONTROL!$C$15, $D$11, 100%, $F$11)</f>
        <v>33.034700000000001</v>
      </c>
      <c r="I905" s="8">
        <f>31.7251 * CHOOSE(CONTROL!$C$15, $D$11, 100%, $F$11)</f>
        <v>31.725100000000001</v>
      </c>
      <c r="J905" s="4">
        <f>31.5906 * CHOOSE(CONTROL!$C$15, $D$11, 100%, $F$11)</f>
        <v>31.590599999999998</v>
      </c>
      <c r="K905" s="4"/>
      <c r="L905" s="9">
        <v>29.306000000000001</v>
      </c>
      <c r="M905" s="9">
        <v>12.063700000000001</v>
      </c>
      <c r="N905" s="9">
        <v>4.9444999999999997</v>
      </c>
      <c r="O905" s="9">
        <v>0.37409999999999999</v>
      </c>
      <c r="P905" s="9">
        <v>1.2927</v>
      </c>
      <c r="Q905" s="9">
        <v>19.688099999999999</v>
      </c>
      <c r="R905" s="9"/>
      <c r="S905" s="11"/>
    </row>
    <row r="906" spans="1:19" ht="15.75">
      <c r="A906" s="13">
        <v>69092</v>
      </c>
      <c r="B906" s="8">
        <f>30.8046 * CHOOSE(CONTROL!$C$15, $D$11, 100%, $F$11)</f>
        <v>30.804600000000001</v>
      </c>
      <c r="C906" s="8">
        <f>30.8098 * CHOOSE(CONTROL!$C$15, $D$11, 100%, $F$11)</f>
        <v>30.809799999999999</v>
      </c>
      <c r="D906" s="8">
        <f>30.7899 * CHOOSE( CONTROL!$C$15, $D$11, 100%, $F$11)</f>
        <v>30.789899999999999</v>
      </c>
      <c r="E906" s="12">
        <f>30.7966 * CHOOSE( CONTROL!$C$15, $D$11, 100%, $F$11)</f>
        <v>30.796600000000002</v>
      </c>
      <c r="F906" s="4">
        <f>31.4551 * CHOOSE(CONTROL!$C$15, $D$11, 100%, $F$11)</f>
        <v>31.455100000000002</v>
      </c>
      <c r="G906" s="8">
        <f>30.0708 * CHOOSE( CONTROL!$C$15, $D$11, 100%, $F$11)</f>
        <v>30.070799999999998</v>
      </c>
      <c r="H906" s="4">
        <f>30.9571 * CHOOSE(CONTROL!$C$15, $D$11, 100%, $F$11)</f>
        <v>30.957100000000001</v>
      </c>
      <c r="I906" s="8">
        <f>29.6817 * CHOOSE(CONTROL!$C$15, $D$11, 100%, $F$11)</f>
        <v>29.681699999999999</v>
      </c>
      <c r="J906" s="4">
        <f>29.5483 * CHOOSE(CONTROL!$C$15, $D$11, 100%, $F$11)</f>
        <v>29.548300000000001</v>
      </c>
      <c r="K906" s="4"/>
      <c r="L906" s="9">
        <v>26.469899999999999</v>
      </c>
      <c r="M906" s="9">
        <v>10.8962</v>
      </c>
      <c r="N906" s="9">
        <v>4.4660000000000002</v>
      </c>
      <c r="O906" s="9">
        <v>0.33789999999999998</v>
      </c>
      <c r="P906" s="9">
        <v>1.1676</v>
      </c>
      <c r="Q906" s="9">
        <v>17.782800000000002</v>
      </c>
      <c r="R906" s="9"/>
      <c r="S906" s="11"/>
    </row>
    <row r="907" spans="1:19" ht="15.75">
      <c r="A907" s="13">
        <v>69123</v>
      </c>
      <c r="B907" s="8">
        <f>30.1495 * CHOOSE(CONTROL!$C$15, $D$11, 100%, $F$11)</f>
        <v>30.1495</v>
      </c>
      <c r="C907" s="8">
        <f>30.1546 * CHOOSE(CONTROL!$C$15, $D$11, 100%, $F$11)</f>
        <v>30.154599999999999</v>
      </c>
      <c r="D907" s="8">
        <f>30.1344 * CHOOSE( CONTROL!$C$15, $D$11, 100%, $F$11)</f>
        <v>30.134399999999999</v>
      </c>
      <c r="E907" s="12">
        <f>30.1412 * CHOOSE( CONTROL!$C$15, $D$11, 100%, $F$11)</f>
        <v>30.141200000000001</v>
      </c>
      <c r="F907" s="4">
        <f>30.7999 * CHOOSE(CONTROL!$C$15, $D$11, 100%, $F$11)</f>
        <v>30.799900000000001</v>
      </c>
      <c r="G907" s="8">
        <f>29.4307 * CHOOSE( CONTROL!$C$15, $D$11, 100%, $F$11)</f>
        <v>29.430700000000002</v>
      </c>
      <c r="H907" s="4">
        <f>30.3172 * CHOOSE(CONTROL!$C$15, $D$11, 100%, $F$11)</f>
        <v>30.3172</v>
      </c>
      <c r="I907" s="8">
        <f>29.0512 * CHOOSE(CONTROL!$C$15, $D$11, 100%, $F$11)</f>
        <v>29.051200000000001</v>
      </c>
      <c r="J907" s="4">
        <f>28.9193 * CHOOSE(CONTROL!$C$15, $D$11, 100%, $F$11)</f>
        <v>28.9193</v>
      </c>
      <c r="K907" s="4"/>
      <c r="L907" s="9">
        <v>29.306000000000001</v>
      </c>
      <c r="M907" s="9">
        <v>12.063700000000001</v>
      </c>
      <c r="N907" s="9">
        <v>4.9444999999999997</v>
      </c>
      <c r="O907" s="9">
        <v>0.37409999999999999</v>
      </c>
      <c r="P907" s="9">
        <v>1.2927</v>
      </c>
      <c r="Q907" s="9">
        <v>19.688099999999999</v>
      </c>
      <c r="R907" s="9"/>
      <c r="S907" s="11"/>
    </row>
    <row r="908" spans="1:19" ht="15.75">
      <c r="A908" s="13">
        <v>69153</v>
      </c>
      <c r="B908" s="8">
        <f>30.608 * CHOOSE(CONTROL!$C$15, $D$11, 100%, $F$11)</f>
        <v>30.608000000000001</v>
      </c>
      <c r="C908" s="8">
        <f>30.6126 * CHOOSE(CONTROL!$C$15, $D$11, 100%, $F$11)</f>
        <v>30.6126</v>
      </c>
      <c r="D908" s="8">
        <f>30.6432 * CHOOSE( CONTROL!$C$15, $D$11, 100%, $F$11)</f>
        <v>30.6432</v>
      </c>
      <c r="E908" s="12">
        <f>30.6326 * CHOOSE( CONTROL!$C$15, $D$11, 100%, $F$11)</f>
        <v>30.6326</v>
      </c>
      <c r="F908" s="4">
        <f>31.3228 * CHOOSE(CONTROL!$C$15, $D$11, 100%, $F$11)</f>
        <v>31.322800000000001</v>
      </c>
      <c r="G908" s="8">
        <f>29.879 * CHOOSE( CONTROL!$C$15, $D$11, 100%, $F$11)</f>
        <v>29.879000000000001</v>
      </c>
      <c r="H908" s="4">
        <f>30.8279 * CHOOSE(CONTROL!$C$15, $D$11, 100%, $F$11)</f>
        <v>30.8279</v>
      </c>
      <c r="I908" s="8">
        <f>29.483 * CHOOSE(CONTROL!$C$15, $D$11, 100%, $F$11)</f>
        <v>29.483000000000001</v>
      </c>
      <c r="J908" s="4">
        <f>29.3589 * CHOOSE(CONTROL!$C$15, $D$11, 100%, $F$11)</f>
        <v>29.358899999999998</v>
      </c>
      <c r="K908" s="4"/>
      <c r="L908" s="9">
        <v>30.092199999999998</v>
      </c>
      <c r="M908" s="9">
        <v>11.6745</v>
      </c>
      <c r="N908" s="9">
        <v>4.7850000000000001</v>
      </c>
      <c r="O908" s="9">
        <v>0.36199999999999999</v>
      </c>
      <c r="P908" s="9">
        <v>1.1791</v>
      </c>
      <c r="Q908" s="9">
        <v>19.053000000000001</v>
      </c>
      <c r="R908" s="9"/>
      <c r="S908" s="11"/>
    </row>
    <row r="909" spans="1:19" ht="15.75">
      <c r="A909" s="13">
        <v>69184</v>
      </c>
      <c r="B909" s="8">
        <f>CHOOSE( CONTROL!$C$32, 31.4265, 31.4242) * CHOOSE(CONTROL!$C$15, $D$11, 100%, $F$11)</f>
        <v>31.426500000000001</v>
      </c>
      <c r="C909" s="8">
        <f>CHOOSE( CONTROL!$C$32, 31.4346, 31.4323) * CHOOSE(CONTROL!$C$15, $D$11, 100%, $F$11)</f>
        <v>31.4346</v>
      </c>
      <c r="D909" s="8">
        <f>CHOOSE( CONTROL!$C$32, 31.4598, 31.4575) * CHOOSE( CONTROL!$C$15, $D$11, 100%, $F$11)</f>
        <v>31.459800000000001</v>
      </c>
      <c r="E909" s="12">
        <f>CHOOSE( CONTROL!$C$32, 31.4494, 31.4471) * CHOOSE( CONTROL!$C$15, $D$11, 100%, $F$11)</f>
        <v>31.449400000000001</v>
      </c>
      <c r="F909" s="4">
        <f>CHOOSE( CONTROL!$C$32, 32.14, 32.1376) * CHOOSE(CONTROL!$C$15, $D$11, 100%, $F$11)</f>
        <v>32.14</v>
      </c>
      <c r="G909" s="8">
        <f>CHOOSE( CONTROL!$C$32, 30.6777, 30.6754) * CHOOSE( CONTROL!$C$15, $D$11, 100%, $F$11)</f>
        <v>30.677700000000002</v>
      </c>
      <c r="H909" s="4">
        <f>CHOOSE( CONTROL!$C$32, 31.626, 31.6237) * CHOOSE(CONTROL!$C$15, $D$11, 100%, $F$11)</f>
        <v>31.626000000000001</v>
      </c>
      <c r="I909" s="8">
        <f>CHOOSE( CONTROL!$C$32, 30.2682, 30.266) * CHOOSE(CONTROL!$C$15, $D$11, 100%, $F$11)</f>
        <v>30.2682</v>
      </c>
      <c r="J909" s="4">
        <f>CHOOSE( CONTROL!$C$32, 30.1434, 30.1411) * CHOOSE(CONTROL!$C$15, $D$11, 100%, $F$11)</f>
        <v>30.1434</v>
      </c>
      <c r="K909" s="4"/>
      <c r="L909" s="9">
        <v>30.7165</v>
      </c>
      <c r="M909" s="9">
        <v>12.063700000000001</v>
      </c>
      <c r="N909" s="9">
        <v>4.9444999999999997</v>
      </c>
      <c r="O909" s="9">
        <v>0.37409999999999999</v>
      </c>
      <c r="P909" s="9">
        <v>1.2183999999999999</v>
      </c>
      <c r="Q909" s="9">
        <v>19.688099999999999</v>
      </c>
      <c r="R909" s="9"/>
      <c r="S909" s="11"/>
    </row>
    <row r="910" spans="1:19" ht="15.75">
      <c r="A910" s="13">
        <v>69214</v>
      </c>
      <c r="B910" s="8">
        <f>CHOOSE( CONTROL!$C$32, 30.9218, 30.9194) * CHOOSE(CONTROL!$C$15, $D$11, 100%, $F$11)</f>
        <v>30.921800000000001</v>
      </c>
      <c r="C910" s="8">
        <f>CHOOSE( CONTROL!$C$32, 30.9299, 30.9275) * CHOOSE(CONTROL!$C$15, $D$11, 100%, $F$11)</f>
        <v>30.9299</v>
      </c>
      <c r="D910" s="8">
        <f>CHOOSE( CONTROL!$C$32, 30.9553, 30.9529) * CHOOSE( CONTROL!$C$15, $D$11, 100%, $F$11)</f>
        <v>30.955300000000001</v>
      </c>
      <c r="E910" s="12">
        <f>CHOOSE( CONTROL!$C$32, 30.9449, 30.9425) * CHOOSE( CONTROL!$C$15, $D$11, 100%, $F$11)</f>
        <v>30.944900000000001</v>
      </c>
      <c r="F910" s="4">
        <f>CHOOSE( CONTROL!$C$32, 31.6352, 31.6329) * CHOOSE(CONTROL!$C$15, $D$11, 100%, $F$11)</f>
        <v>31.635200000000001</v>
      </c>
      <c r="G910" s="8">
        <f>CHOOSE( CONTROL!$C$32, 30.185, 30.1827) * CHOOSE( CONTROL!$C$15, $D$11, 100%, $F$11)</f>
        <v>30.184999999999999</v>
      </c>
      <c r="H910" s="4">
        <f>CHOOSE( CONTROL!$C$32, 31.133, 31.1307) * CHOOSE(CONTROL!$C$15, $D$11, 100%, $F$11)</f>
        <v>31.132999999999999</v>
      </c>
      <c r="I910" s="8">
        <f>CHOOSE( CONTROL!$C$32, 29.7844, 29.7821) * CHOOSE(CONTROL!$C$15, $D$11, 100%, $F$11)</f>
        <v>29.784400000000002</v>
      </c>
      <c r="J910" s="4">
        <f>CHOOSE( CONTROL!$C$32, 29.6588, 29.6565) * CHOOSE(CONTROL!$C$15, $D$11, 100%, $F$11)</f>
        <v>29.658799999999999</v>
      </c>
      <c r="K910" s="4"/>
      <c r="L910" s="9">
        <v>29.7257</v>
      </c>
      <c r="M910" s="9">
        <v>11.6745</v>
      </c>
      <c r="N910" s="9">
        <v>4.7850000000000001</v>
      </c>
      <c r="O910" s="9">
        <v>0.36199999999999999</v>
      </c>
      <c r="P910" s="9">
        <v>1.1791</v>
      </c>
      <c r="Q910" s="9">
        <v>19.053000000000001</v>
      </c>
      <c r="R910" s="9"/>
      <c r="S910" s="11"/>
    </row>
    <row r="911" spans="1:19" ht="15.75">
      <c r="A911" s="13">
        <v>69245</v>
      </c>
      <c r="B911" s="8">
        <f>CHOOSE( CONTROL!$C$32, 32.251, 32.2486) * CHOOSE(CONTROL!$C$15, $D$11, 100%, $F$11)</f>
        <v>32.250999999999998</v>
      </c>
      <c r="C911" s="8">
        <f>CHOOSE( CONTROL!$C$32, 32.259, 32.2567) * CHOOSE(CONTROL!$C$15, $D$11, 100%, $F$11)</f>
        <v>32.259</v>
      </c>
      <c r="D911" s="8">
        <f>CHOOSE( CONTROL!$C$32, 32.2847, 32.2824) * CHOOSE( CONTROL!$C$15, $D$11, 100%, $F$11)</f>
        <v>32.284700000000001</v>
      </c>
      <c r="E911" s="12">
        <f>CHOOSE( CONTROL!$C$32, 32.2742, 32.2719) * CHOOSE( CONTROL!$C$15, $D$11, 100%, $F$11)</f>
        <v>32.2742</v>
      </c>
      <c r="F911" s="4">
        <f>CHOOSE( CONTROL!$C$32, 32.9644, 32.962) * CHOOSE(CONTROL!$C$15, $D$11, 100%, $F$11)</f>
        <v>32.964399999999998</v>
      </c>
      <c r="G911" s="8">
        <f>CHOOSE( CONTROL!$C$32, 31.4836, 31.4813) * CHOOSE( CONTROL!$C$15, $D$11, 100%, $F$11)</f>
        <v>31.483599999999999</v>
      </c>
      <c r="H911" s="4">
        <f>CHOOSE( CONTROL!$C$32, 32.4312, 32.4289) * CHOOSE(CONTROL!$C$15, $D$11, 100%, $F$11)</f>
        <v>32.431199999999997</v>
      </c>
      <c r="I911" s="8">
        <f>CHOOSE( CONTROL!$C$32, 31.0623, 31.0601) * CHOOSE(CONTROL!$C$15, $D$11, 100%, $F$11)</f>
        <v>31.0623</v>
      </c>
      <c r="J911" s="4">
        <f>CHOOSE( CONTROL!$C$32, 30.9349, 30.9327) * CHOOSE(CONTROL!$C$15, $D$11, 100%, $F$11)</f>
        <v>30.934899999999999</v>
      </c>
      <c r="K911" s="4"/>
      <c r="L911" s="9">
        <v>30.7165</v>
      </c>
      <c r="M911" s="9">
        <v>12.063700000000001</v>
      </c>
      <c r="N911" s="9">
        <v>4.9444999999999997</v>
      </c>
      <c r="O911" s="9">
        <v>0.37409999999999999</v>
      </c>
      <c r="P911" s="9">
        <v>1.2183999999999999</v>
      </c>
      <c r="Q911" s="9">
        <v>19.688099999999999</v>
      </c>
      <c r="R911" s="9"/>
      <c r="S911" s="11"/>
    </row>
    <row r="912" spans="1:19" ht="15.75">
      <c r="A912" s="13">
        <v>69276</v>
      </c>
      <c r="B912" s="8">
        <f>CHOOSE( CONTROL!$C$32, 29.764, 29.7616) * CHOOSE(CONTROL!$C$15, $D$11, 100%, $F$11)</f>
        <v>29.763999999999999</v>
      </c>
      <c r="C912" s="8">
        <f>CHOOSE( CONTROL!$C$32, 29.772, 29.7697) * CHOOSE(CONTROL!$C$15, $D$11, 100%, $F$11)</f>
        <v>29.771999999999998</v>
      </c>
      <c r="D912" s="8">
        <f>CHOOSE( CONTROL!$C$32, 29.7978, 29.7954) * CHOOSE( CONTROL!$C$15, $D$11, 100%, $F$11)</f>
        <v>29.797799999999999</v>
      </c>
      <c r="E912" s="12">
        <f>CHOOSE( CONTROL!$C$32, 29.7872, 29.7849) * CHOOSE( CONTROL!$C$15, $D$11, 100%, $F$11)</f>
        <v>29.787199999999999</v>
      </c>
      <c r="F912" s="4">
        <f>CHOOSE( CONTROL!$C$32, 30.4774, 30.475) * CHOOSE(CONTROL!$C$15, $D$11, 100%, $F$11)</f>
        <v>30.477399999999999</v>
      </c>
      <c r="G912" s="8">
        <f>CHOOSE( CONTROL!$C$32, 29.0546, 29.0523) * CHOOSE( CONTROL!$C$15, $D$11, 100%, $F$11)</f>
        <v>29.054600000000001</v>
      </c>
      <c r="H912" s="4">
        <f>CHOOSE( CONTROL!$C$32, 30.0021, 29.9999) * CHOOSE(CONTROL!$C$15, $D$11, 100%, $F$11)</f>
        <v>30.002099999999999</v>
      </c>
      <c r="I912" s="8">
        <f>CHOOSE( CONTROL!$C$32, 28.6737, 28.6715) * CHOOSE(CONTROL!$C$15, $D$11, 100%, $F$11)</f>
        <v>28.6737</v>
      </c>
      <c r="J912" s="4">
        <f>CHOOSE( CONTROL!$C$32, 28.5471, 28.5449) * CHOOSE(CONTROL!$C$15, $D$11, 100%, $F$11)</f>
        <v>28.5471</v>
      </c>
      <c r="K912" s="4"/>
      <c r="L912" s="9">
        <v>30.7165</v>
      </c>
      <c r="M912" s="9">
        <v>12.063700000000001</v>
      </c>
      <c r="N912" s="9">
        <v>4.9444999999999997</v>
      </c>
      <c r="O912" s="9">
        <v>0.37409999999999999</v>
      </c>
      <c r="P912" s="9">
        <v>1.2183999999999999</v>
      </c>
      <c r="Q912" s="9">
        <v>19.688099999999999</v>
      </c>
      <c r="R912" s="9"/>
      <c r="S912" s="11"/>
    </row>
    <row r="913" spans="1:19" ht="15.75">
      <c r="A913" s="13">
        <v>69306</v>
      </c>
      <c r="B913" s="8">
        <f>CHOOSE( CONTROL!$C$32, 29.1412, 29.1388) * CHOOSE(CONTROL!$C$15, $D$11, 100%, $F$11)</f>
        <v>29.141200000000001</v>
      </c>
      <c r="C913" s="8">
        <f>CHOOSE( CONTROL!$C$32, 29.1493, 29.1469) * CHOOSE(CONTROL!$C$15, $D$11, 100%, $F$11)</f>
        <v>29.1493</v>
      </c>
      <c r="D913" s="8">
        <f>CHOOSE( CONTROL!$C$32, 29.175, 29.1726) * CHOOSE( CONTROL!$C$15, $D$11, 100%, $F$11)</f>
        <v>29.175000000000001</v>
      </c>
      <c r="E913" s="12">
        <f>CHOOSE( CONTROL!$C$32, 29.1645, 29.1621) * CHOOSE( CONTROL!$C$15, $D$11, 100%, $F$11)</f>
        <v>29.1645</v>
      </c>
      <c r="F913" s="4">
        <f>CHOOSE( CONTROL!$C$32, 29.8546, 29.8523) * CHOOSE(CONTROL!$C$15, $D$11, 100%, $F$11)</f>
        <v>29.854600000000001</v>
      </c>
      <c r="G913" s="8">
        <f>CHOOSE( CONTROL!$C$32, 28.4463, 28.444) * CHOOSE( CONTROL!$C$15, $D$11, 100%, $F$11)</f>
        <v>28.446300000000001</v>
      </c>
      <c r="H913" s="4">
        <f>CHOOSE( CONTROL!$C$32, 29.3939, 29.3916) * CHOOSE(CONTROL!$C$15, $D$11, 100%, $F$11)</f>
        <v>29.393899999999999</v>
      </c>
      <c r="I913" s="8">
        <f>CHOOSE( CONTROL!$C$32, 28.0754, 28.0731) * CHOOSE(CONTROL!$C$15, $D$11, 100%, $F$11)</f>
        <v>28.075399999999998</v>
      </c>
      <c r="J913" s="4">
        <f>CHOOSE( CONTROL!$C$32, 27.9492, 27.947) * CHOOSE(CONTROL!$C$15, $D$11, 100%, $F$11)</f>
        <v>27.949200000000001</v>
      </c>
      <c r="K913" s="4"/>
      <c r="L913" s="9">
        <v>29.7257</v>
      </c>
      <c r="M913" s="9">
        <v>11.6745</v>
      </c>
      <c r="N913" s="9">
        <v>4.7850000000000001</v>
      </c>
      <c r="O913" s="9">
        <v>0.36199999999999999</v>
      </c>
      <c r="P913" s="9">
        <v>1.1791</v>
      </c>
      <c r="Q913" s="9">
        <v>19.053000000000001</v>
      </c>
      <c r="R913" s="9"/>
      <c r="S913" s="11"/>
    </row>
    <row r="914" spans="1:19" ht="15.75">
      <c r="A914" s="13">
        <v>69337</v>
      </c>
      <c r="B914" s="8">
        <f>30.4302 * CHOOSE(CONTROL!$C$15, $D$11, 100%, $F$11)</f>
        <v>30.430199999999999</v>
      </c>
      <c r="C914" s="8">
        <f>30.4356 * CHOOSE(CONTROL!$C$15, $D$11, 100%, $F$11)</f>
        <v>30.435600000000001</v>
      </c>
      <c r="D914" s="8">
        <f>30.4664 * CHOOSE( CONTROL!$C$15, $D$11, 100%, $F$11)</f>
        <v>30.4664</v>
      </c>
      <c r="E914" s="12">
        <f>30.4557 * CHOOSE( CONTROL!$C$15, $D$11, 100%, $F$11)</f>
        <v>30.4557</v>
      </c>
      <c r="F914" s="4">
        <f>31.1454 * CHOOSE(CONTROL!$C$15, $D$11, 100%, $F$11)</f>
        <v>31.145399999999999</v>
      </c>
      <c r="G914" s="8">
        <f>29.7068 * CHOOSE( CONTROL!$C$15, $D$11, 100%, $F$11)</f>
        <v>29.706800000000001</v>
      </c>
      <c r="H914" s="4">
        <f>30.6546 * CHOOSE(CONTROL!$C$15, $D$11, 100%, $F$11)</f>
        <v>30.654599999999999</v>
      </c>
      <c r="I914" s="8">
        <f>29.3161 * CHOOSE(CONTROL!$C$15, $D$11, 100%, $F$11)</f>
        <v>29.316099999999999</v>
      </c>
      <c r="J914" s="4">
        <f>29.1885 * CHOOSE(CONTROL!$C$15, $D$11, 100%, $F$11)</f>
        <v>29.188500000000001</v>
      </c>
      <c r="K914" s="4"/>
      <c r="L914" s="9">
        <v>31.095300000000002</v>
      </c>
      <c r="M914" s="9">
        <v>12.063700000000001</v>
      </c>
      <c r="N914" s="9">
        <v>4.9444999999999997</v>
      </c>
      <c r="O914" s="9">
        <v>0.37409999999999999</v>
      </c>
      <c r="P914" s="9">
        <v>1.2183999999999999</v>
      </c>
      <c r="Q914" s="9">
        <v>19.688099999999999</v>
      </c>
      <c r="R914" s="9"/>
      <c r="S914" s="11"/>
    </row>
    <row r="915" spans="1:19" ht="15.75">
      <c r="A915" s="13">
        <v>69367</v>
      </c>
      <c r="B915" s="8">
        <f>32.8166 * CHOOSE(CONTROL!$C$15, $D$11, 100%, $F$11)</f>
        <v>32.816600000000001</v>
      </c>
      <c r="C915" s="8">
        <f>32.8218 * CHOOSE(CONTROL!$C$15, $D$11, 100%, $F$11)</f>
        <v>32.821800000000003</v>
      </c>
      <c r="D915" s="8">
        <f>32.8048 * CHOOSE( CONTROL!$C$15, $D$11, 100%, $F$11)</f>
        <v>32.8048</v>
      </c>
      <c r="E915" s="12">
        <f>32.8105 * CHOOSE( CONTROL!$C$15, $D$11, 100%, $F$11)</f>
        <v>32.810499999999998</v>
      </c>
      <c r="F915" s="4">
        <f>33.4671 * CHOOSE(CONTROL!$C$15, $D$11, 100%, $F$11)</f>
        <v>33.467100000000002</v>
      </c>
      <c r="G915" s="8">
        <f>32.0442 * CHOOSE( CONTROL!$C$15, $D$11, 100%, $F$11)</f>
        <v>32.044199999999996</v>
      </c>
      <c r="H915" s="4">
        <f>32.9222 * CHOOSE(CONTROL!$C$15, $D$11, 100%, $F$11)</f>
        <v>32.922199999999997</v>
      </c>
      <c r="I915" s="8">
        <f>31.6506 * CHOOSE(CONTROL!$C$15, $D$11, 100%, $F$11)</f>
        <v>31.650600000000001</v>
      </c>
      <c r="J915" s="4">
        <f>31.48 * CHOOSE(CONTROL!$C$15, $D$11, 100%, $F$11)</f>
        <v>31.48</v>
      </c>
      <c r="K915" s="4"/>
      <c r="L915" s="9">
        <v>28.360600000000002</v>
      </c>
      <c r="M915" s="9">
        <v>11.6745</v>
      </c>
      <c r="N915" s="9">
        <v>4.7850000000000001</v>
      </c>
      <c r="O915" s="9">
        <v>0.36199999999999999</v>
      </c>
      <c r="P915" s="9">
        <v>1.2509999999999999</v>
      </c>
      <c r="Q915" s="9">
        <v>19.053000000000001</v>
      </c>
      <c r="R915" s="9"/>
      <c r="S915" s="11"/>
    </row>
    <row r="916" spans="1:19" ht="15.75">
      <c r="A916" s="13">
        <v>69398</v>
      </c>
      <c r="B916" s="8">
        <f>32.757 * CHOOSE(CONTROL!$C$15, $D$11, 100%, $F$11)</f>
        <v>32.756999999999998</v>
      </c>
      <c r="C916" s="8">
        <f>32.7621 * CHOOSE(CONTROL!$C$15, $D$11, 100%, $F$11)</f>
        <v>32.762099999999997</v>
      </c>
      <c r="D916" s="8">
        <f>32.7467 * CHOOSE( CONTROL!$C$15, $D$11, 100%, $F$11)</f>
        <v>32.746699999999997</v>
      </c>
      <c r="E916" s="12">
        <f>32.7518 * CHOOSE( CONTROL!$C$15, $D$11, 100%, $F$11)</f>
        <v>32.751800000000003</v>
      </c>
      <c r="F916" s="4">
        <f>33.4074 * CHOOSE(CONTROL!$C$15, $D$11, 100%, $F$11)</f>
        <v>33.407400000000003</v>
      </c>
      <c r="G916" s="8">
        <f>31.987 * CHOOSE( CONTROL!$C$15, $D$11, 100%, $F$11)</f>
        <v>31.986999999999998</v>
      </c>
      <c r="H916" s="4">
        <f>32.8639 * CHOOSE(CONTROL!$C$15, $D$11, 100%, $F$11)</f>
        <v>32.863900000000001</v>
      </c>
      <c r="I916" s="8">
        <f>31.5981 * CHOOSE(CONTROL!$C$15, $D$11, 100%, $F$11)</f>
        <v>31.598099999999999</v>
      </c>
      <c r="J916" s="4">
        <f>31.4228 * CHOOSE(CONTROL!$C$15, $D$11, 100%, $F$11)</f>
        <v>31.422799999999999</v>
      </c>
      <c r="K916" s="4"/>
      <c r="L916" s="9">
        <v>29.306000000000001</v>
      </c>
      <c r="M916" s="9">
        <v>12.063700000000001</v>
      </c>
      <c r="N916" s="9">
        <v>4.9444999999999997</v>
      </c>
      <c r="O916" s="9">
        <v>0.37409999999999999</v>
      </c>
      <c r="P916" s="9">
        <v>1.2927</v>
      </c>
      <c r="Q916" s="9">
        <v>19.688099999999999</v>
      </c>
      <c r="R916" s="9"/>
      <c r="S916" s="11"/>
    </row>
    <row r="917" spans="1:19" ht="15.75">
      <c r="A917" s="13">
        <v>69429</v>
      </c>
      <c r="B917" s="8">
        <f>33.7223 * CHOOSE(CONTROL!$C$15, $D$11, 100%, $F$11)</f>
        <v>33.722299999999997</v>
      </c>
      <c r="C917" s="8">
        <f>33.7275 * CHOOSE(CONTROL!$C$15, $D$11, 100%, $F$11)</f>
        <v>33.727499999999999</v>
      </c>
      <c r="D917" s="8">
        <f>33.7077 * CHOOSE( CONTROL!$C$15, $D$11, 100%, $F$11)</f>
        <v>33.707700000000003</v>
      </c>
      <c r="E917" s="12">
        <f>33.7144 * CHOOSE( CONTROL!$C$15, $D$11, 100%, $F$11)</f>
        <v>33.714399999999998</v>
      </c>
      <c r="F917" s="4">
        <f>34.3728 * CHOOSE(CONTROL!$C$15, $D$11, 100%, $F$11)</f>
        <v>34.372799999999998</v>
      </c>
      <c r="G917" s="8">
        <f>32.9206 * CHOOSE( CONTROL!$C$15, $D$11, 100%, $F$11)</f>
        <v>32.9206</v>
      </c>
      <c r="H917" s="4">
        <f>33.8068 * CHOOSE(CONTROL!$C$15, $D$11, 100%, $F$11)</f>
        <v>33.806800000000003</v>
      </c>
      <c r="I917" s="8">
        <f>32.4845 * CHOOSE(CONTROL!$C$15, $D$11, 100%, $F$11)</f>
        <v>32.484499999999997</v>
      </c>
      <c r="J917" s="4">
        <f>32.3496 * CHOOSE(CONTROL!$C$15, $D$11, 100%, $F$11)</f>
        <v>32.349600000000002</v>
      </c>
      <c r="K917" s="4"/>
      <c r="L917" s="9">
        <v>29.306000000000001</v>
      </c>
      <c r="M917" s="9">
        <v>12.063700000000001</v>
      </c>
      <c r="N917" s="9">
        <v>4.9444999999999997</v>
      </c>
      <c r="O917" s="9">
        <v>0.37409999999999999</v>
      </c>
      <c r="P917" s="9">
        <v>1.2927</v>
      </c>
      <c r="Q917" s="9">
        <v>19.688099999999999</v>
      </c>
      <c r="R917" s="9"/>
      <c r="S917" s="11"/>
    </row>
    <row r="918" spans="1:19" ht="15.75">
      <c r="A918" s="13">
        <v>69457</v>
      </c>
      <c r="B918" s="8">
        <f>31.5441 * CHOOSE(CONTROL!$C$15, $D$11, 100%, $F$11)</f>
        <v>31.5441</v>
      </c>
      <c r="C918" s="8">
        <f>31.5493 * CHOOSE(CONTROL!$C$15, $D$11, 100%, $F$11)</f>
        <v>31.549299999999999</v>
      </c>
      <c r="D918" s="8">
        <f>31.5294 * CHOOSE( CONTROL!$C$15, $D$11, 100%, $F$11)</f>
        <v>31.529399999999999</v>
      </c>
      <c r="E918" s="12">
        <f>31.5361 * CHOOSE( CONTROL!$C$15, $D$11, 100%, $F$11)</f>
        <v>31.536100000000001</v>
      </c>
      <c r="F918" s="4">
        <f>32.1945 * CHOOSE(CONTROL!$C$15, $D$11, 100%, $F$11)</f>
        <v>32.194499999999998</v>
      </c>
      <c r="G918" s="8">
        <f>30.7931 * CHOOSE( CONTROL!$C$15, $D$11, 100%, $F$11)</f>
        <v>30.793099999999999</v>
      </c>
      <c r="H918" s="4">
        <f>31.6793 * CHOOSE(CONTROL!$C$15, $D$11, 100%, $F$11)</f>
        <v>31.679300000000001</v>
      </c>
      <c r="I918" s="8">
        <f>30.392 * CHOOSE(CONTROL!$C$15, $D$11, 100%, $F$11)</f>
        <v>30.391999999999999</v>
      </c>
      <c r="J918" s="4">
        <f>30.2583 * CHOOSE(CONTROL!$C$15, $D$11, 100%, $F$11)</f>
        <v>30.258299999999998</v>
      </c>
      <c r="K918" s="4"/>
      <c r="L918" s="9">
        <v>26.469899999999999</v>
      </c>
      <c r="M918" s="9">
        <v>10.8962</v>
      </c>
      <c r="N918" s="9">
        <v>4.4660000000000002</v>
      </c>
      <c r="O918" s="9">
        <v>0.33789999999999998</v>
      </c>
      <c r="P918" s="9">
        <v>1.1676</v>
      </c>
      <c r="Q918" s="9">
        <v>17.782800000000002</v>
      </c>
      <c r="R918" s="9"/>
      <c r="S918" s="11"/>
    </row>
    <row r="919" spans="1:19" ht="15.75">
      <c r="A919" s="13">
        <v>69488</v>
      </c>
      <c r="B919" s="8">
        <f>30.8732 * CHOOSE(CONTROL!$C$15, $D$11, 100%, $F$11)</f>
        <v>30.873200000000001</v>
      </c>
      <c r="C919" s="8">
        <f>30.8784 * CHOOSE(CONTROL!$C$15, $D$11, 100%, $F$11)</f>
        <v>30.878399999999999</v>
      </c>
      <c r="D919" s="8">
        <f>30.8581 * CHOOSE( CONTROL!$C$15, $D$11, 100%, $F$11)</f>
        <v>30.8581</v>
      </c>
      <c r="E919" s="12">
        <f>30.865 * CHOOSE( CONTROL!$C$15, $D$11, 100%, $F$11)</f>
        <v>30.864999999999998</v>
      </c>
      <c r="F919" s="4">
        <f>31.5237 * CHOOSE(CONTROL!$C$15, $D$11, 100%, $F$11)</f>
        <v>31.523700000000002</v>
      </c>
      <c r="G919" s="8">
        <f>30.1376 * CHOOSE( CONTROL!$C$15, $D$11, 100%, $F$11)</f>
        <v>30.137599999999999</v>
      </c>
      <c r="H919" s="4">
        <f>31.024 * CHOOSE(CONTROL!$C$15, $D$11, 100%, $F$11)</f>
        <v>31.024000000000001</v>
      </c>
      <c r="I919" s="8">
        <f>29.7465 * CHOOSE(CONTROL!$C$15, $D$11, 100%, $F$11)</f>
        <v>29.746500000000001</v>
      </c>
      <c r="J919" s="4">
        <f>29.6142 * CHOOSE(CONTROL!$C$15, $D$11, 100%, $F$11)</f>
        <v>29.6142</v>
      </c>
      <c r="K919" s="4"/>
      <c r="L919" s="9">
        <v>29.306000000000001</v>
      </c>
      <c r="M919" s="9">
        <v>12.063700000000001</v>
      </c>
      <c r="N919" s="9">
        <v>4.9444999999999997</v>
      </c>
      <c r="O919" s="9">
        <v>0.37409999999999999</v>
      </c>
      <c r="P919" s="9">
        <v>1.2927</v>
      </c>
      <c r="Q919" s="9">
        <v>19.688099999999999</v>
      </c>
      <c r="R919" s="9"/>
      <c r="S919" s="11"/>
    </row>
    <row r="920" spans="1:19" ht="15.75">
      <c r="A920" s="13">
        <v>69518</v>
      </c>
      <c r="B920" s="8">
        <f>31.3428 * CHOOSE(CONTROL!$C$15, $D$11, 100%, $F$11)</f>
        <v>31.3428</v>
      </c>
      <c r="C920" s="8">
        <f>31.3474 * CHOOSE(CONTROL!$C$15, $D$11, 100%, $F$11)</f>
        <v>31.3474</v>
      </c>
      <c r="D920" s="8">
        <f>31.3779 * CHOOSE( CONTROL!$C$15, $D$11, 100%, $F$11)</f>
        <v>31.3779</v>
      </c>
      <c r="E920" s="12">
        <f>31.3673 * CHOOSE( CONTROL!$C$15, $D$11, 100%, $F$11)</f>
        <v>31.3673</v>
      </c>
      <c r="F920" s="4">
        <f>32.0576 * CHOOSE(CONTROL!$C$15, $D$11, 100%, $F$11)</f>
        <v>32.057600000000001</v>
      </c>
      <c r="G920" s="8">
        <f>30.5966 * CHOOSE( CONTROL!$C$15, $D$11, 100%, $F$11)</f>
        <v>30.596599999999999</v>
      </c>
      <c r="H920" s="4">
        <f>31.5455 * CHOOSE(CONTROL!$C$15, $D$11, 100%, $F$11)</f>
        <v>31.545500000000001</v>
      </c>
      <c r="I920" s="8">
        <f>30.1888 * CHOOSE(CONTROL!$C$15, $D$11, 100%, $F$11)</f>
        <v>30.188800000000001</v>
      </c>
      <c r="J920" s="4">
        <f>30.0643 * CHOOSE(CONTROL!$C$15, $D$11, 100%, $F$11)</f>
        <v>30.064299999999999</v>
      </c>
      <c r="K920" s="4"/>
      <c r="L920" s="9">
        <v>30.092199999999998</v>
      </c>
      <c r="M920" s="9">
        <v>11.6745</v>
      </c>
      <c r="N920" s="9">
        <v>4.7850000000000001</v>
      </c>
      <c r="O920" s="9">
        <v>0.36199999999999999</v>
      </c>
      <c r="P920" s="9">
        <v>1.1791</v>
      </c>
      <c r="Q920" s="9">
        <v>19.053000000000001</v>
      </c>
      <c r="R920" s="9"/>
      <c r="S920" s="11"/>
    </row>
    <row r="921" spans="1:19" ht="15.75">
      <c r="A921" s="13">
        <v>69549</v>
      </c>
      <c r="B921" s="8">
        <f>CHOOSE( CONTROL!$C$32, 32.1808, 32.1785) * CHOOSE(CONTROL!$C$15, $D$11, 100%, $F$11)</f>
        <v>32.180799999999998</v>
      </c>
      <c r="C921" s="8">
        <f>CHOOSE( CONTROL!$C$32, 32.1889, 32.1866) * CHOOSE(CONTROL!$C$15, $D$11, 100%, $F$11)</f>
        <v>32.188899999999997</v>
      </c>
      <c r="D921" s="8">
        <f>CHOOSE( CONTROL!$C$32, 32.2141, 32.2118) * CHOOSE( CONTROL!$C$15, $D$11, 100%, $F$11)</f>
        <v>32.214100000000002</v>
      </c>
      <c r="E921" s="12">
        <f>CHOOSE( CONTROL!$C$32, 32.2037, 32.2014) * CHOOSE( CONTROL!$C$15, $D$11, 100%, $F$11)</f>
        <v>32.203699999999998</v>
      </c>
      <c r="F921" s="4">
        <f>CHOOSE( CONTROL!$C$32, 32.8943, 32.8919) * CHOOSE(CONTROL!$C$15, $D$11, 100%, $F$11)</f>
        <v>32.894300000000001</v>
      </c>
      <c r="G921" s="8">
        <f>CHOOSE( CONTROL!$C$32, 31.4144, 31.4121) * CHOOSE( CONTROL!$C$15, $D$11, 100%, $F$11)</f>
        <v>31.414400000000001</v>
      </c>
      <c r="H921" s="4">
        <f>CHOOSE( CONTROL!$C$32, 32.3627, 32.3604) * CHOOSE(CONTROL!$C$15, $D$11, 100%, $F$11)</f>
        <v>32.362699999999997</v>
      </c>
      <c r="I921" s="8">
        <f>CHOOSE( CONTROL!$C$32, 30.9928, 30.9905) * CHOOSE(CONTROL!$C$15, $D$11, 100%, $F$11)</f>
        <v>30.992799999999999</v>
      </c>
      <c r="J921" s="4">
        <f>CHOOSE( CONTROL!$C$32, 30.8676, 30.8654) * CHOOSE(CONTROL!$C$15, $D$11, 100%, $F$11)</f>
        <v>30.867599999999999</v>
      </c>
      <c r="K921" s="4"/>
      <c r="L921" s="9">
        <v>30.7165</v>
      </c>
      <c r="M921" s="9">
        <v>12.063700000000001</v>
      </c>
      <c r="N921" s="9">
        <v>4.9444999999999997</v>
      </c>
      <c r="O921" s="9">
        <v>0.37409999999999999</v>
      </c>
      <c r="P921" s="9">
        <v>1.2183999999999999</v>
      </c>
      <c r="Q921" s="9">
        <v>19.688099999999999</v>
      </c>
      <c r="R921" s="9"/>
      <c r="S921" s="11"/>
    </row>
    <row r="922" spans="1:19" ht="15.75">
      <c r="A922" s="13">
        <v>69579</v>
      </c>
      <c r="B922" s="8">
        <f>CHOOSE( CONTROL!$C$32, 31.664, 31.6616) * CHOOSE(CONTROL!$C$15, $D$11, 100%, $F$11)</f>
        <v>31.664000000000001</v>
      </c>
      <c r="C922" s="8">
        <f>CHOOSE( CONTROL!$C$32, 31.6721, 31.6697) * CHOOSE(CONTROL!$C$15, $D$11, 100%, $F$11)</f>
        <v>31.6721</v>
      </c>
      <c r="D922" s="8">
        <f>CHOOSE( CONTROL!$C$32, 31.6975, 31.6951) * CHOOSE( CONTROL!$C$15, $D$11, 100%, $F$11)</f>
        <v>31.697500000000002</v>
      </c>
      <c r="E922" s="12">
        <f>CHOOSE( CONTROL!$C$32, 31.6871, 31.6847) * CHOOSE( CONTROL!$C$15, $D$11, 100%, $F$11)</f>
        <v>31.687100000000001</v>
      </c>
      <c r="F922" s="4">
        <f>CHOOSE( CONTROL!$C$32, 32.3774, 32.3751) * CHOOSE(CONTROL!$C$15, $D$11, 100%, $F$11)</f>
        <v>32.377400000000002</v>
      </c>
      <c r="G922" s="8">
        <f>CHOOSE( CONTROL!$C$32, 30.9099, 30.9076) * CHOOSE( CONTROL!$C$15, $D$11, 100%, $F$11)</f>
        <v>30.9099</v>
      </c>
      <c r="H922" s="4">
        <f>CHOOSE( CONTROL!$C$32, 31.8579, 31.8556) * CHOOSE(CONTROL!$C$15, $D$11, 100%, $F$11)</f>
        <v>31.857900000000001</v>
      </c>
      <c r="I922" s="8">
        <f>CHOOSE( CONTROL!$C$32, 30.4973, 30.495) * CHOOSE(CONTROL!$C$15, $D$11, 100%, $F$11)</f>
        <v>30.497299999999999</v>
      </c>
      <c r="J922" s="4">
        <f>CHOOSE( CONTROL!$C$32, 30.3714, 30.3691) * CHOOSE(CONTROL!$C$15, $D$11, 100%, $F$11)</f>
        <v>30.371400000000001</v>
      </c>
      <c r="K922" s="4"/>
      <c r="L922" s="9">
        <v>29.7257</v>
      </c>
      <c r="M922" s="9">
        <v>11.6745</v>
      </c>
      <c r="N922" s="9">
        <v>4.7850000000000001</v>
      </c>
      <c r="O922" s="9">
        <v>0.36199999999999999</v>
      </c>
      <c r="P922" s="9">
        <v>1.1791</v>
      </c>
      <c r="Q922" s="9">
        <v>19.053000000000001</v>
      </c>
      <c r="R922" s="9"/>
      <c r="S922" s="11"/>
    </row>
    <row r="923" spans="1:19" ht="15.75">
      <c r="A923" s="13">
        <v>69610</v>
      </c>
      <c r="B923" s="8">
        <f>CHOOSE( CONTROL!$C$32, 33.0251, 33.0227) * CHOOSE(CONTROL!$C$15, $D$11, 100%, $F$11)</f>
        <v>33.025100000000002</v>
      </c>
      <c r="C923" s="8">
        <f>CHOOSE( CONTROL!$C$32, 33.0332, 33.0308) * CHOOSE(CONTROL!$C$15, $D$11, 100%, $F$11)</f>
        <v>33.033200000000001</v>
      </c>
      <c r="D923" s="8">
        <f>CHOOSE( CONTROL!$C$32, 33.0588, 33.0565) * CHOOSE( CONTROL!$C$15, $D$11, 100%, $F$11)</f>
        <v>33.058799999999998</v>
      </c>
      <c r="E923" s="12">
        <f>CHOOSE( CONTROL!$C$32, 33.0483, 33.046) * CHOOSE( CONTROL!$C$15, $D$11, 100%, $F$11)</f>
        <v>33.048299999999998</v>
      </c>
      <c r="F923" s="4">
        <f>CHOOSE( CONTROL!$C$32, 33.7385, 33.7362) * CHOOSE(CONTROL!$C$15, $D$11, 100%, $F$11)</f>
        <v>33.738500000000002</v>
      </c>
      <c r="G923" s="8">
        <f>CHOOSE( CONTROL!$C$32, 32.2397, 32.2374) * CHOOSE( CONTROL!$C$15, $D$11, 100%, $F$11)</f>
        <v>32.239699999999999</v>
      </c>
      <c r="H923" s="4">
        <f>CHOOSE( CONTROL!$C$32, 33.1873, 33.185) * CHOOSE(CONTROL!$C$15, $D$11, 100%, $F$11)</f>
        <v>33.1873</v>
      </c>
      <c r="I923" s="8">
        <f>CHOOSE( CONTROL!$C$32, 31.8059, 31.8037) * CHOOSE(CONTROL!$C$15, $D$11, 100%, $F$11)</f>
        <v>31.805900000000001</v>
      </c>
      <c r="J923" s="4">
        <f>CHOOSE( CONTROL!$C$32, 31.6782, 31.6759) * CHOOSE(CONTROL!$C$15, $D$11, 100%, $F$11)</f>
        <v>31.6782</v>
      </c>
      <c r="K923" s="4"/>
      <c r="L923" s="9">
        <v>30.7165</v>
      </c>
      <c r="M923" s="9">
        <v>12.063700000000001</v>
      </c>
      <c r="N923" s="9">
        <v>4.9444999999999997</v>
      </c>
      <c r="O923" s="9">
        <v>0.37409999999999999</v>
      </c>
      <c r="P923" s="9">
        <v>1.2183999999999999</v>
      </c>
      <c r="Q923" s="9">
        <v>19.688099999999999</v>
      </c>
      <c r="R923" s="9"/>
      <c r="S923" s="11"/>
    </row>
    <row r="924" spans="1:19" ht="15.75">
      <c r="A924" s="13">
        <v>69641</v>
      </c>
      <c r="B924" s="8">
        <f>CHOOSE( CONTROL!$C$32, 30.4783, 30.476) * CHOOSE(CONTROL!$C$15, $D$11, 100%, $F$11)</f>
        <v>30.478300000000001</v>
      </c>
      <c r="C924" s="8">
        <f>CHOOSE( CONTROL!$C$32, 30.4864, 30.4841) * CHOOSE(CONTROL!$C$15, $D$11, 100%, $F$11)</f>
        <v>30.4864</v>
      </c>
      <c r="D924" s="8">
        <f>CHOOSE( CONTROL!$C$32, 30.5121, 30.5098) * CHOOSE( CONTROL!$C$15, $D$11, 100%, $F$11)</f>
        <v>30.5121</v>
      </c>
      <c r="E924" s="12">
        <f>CHOOSE( CONTROL!$C$32, 30.5016, 30.4993) * CHOOSE( CONTROL!$C$15, $D$11, 100%, $F$11)</f>
        <v>30.5016</v>
      </c>
      <c r="F924" s="4">
        <f>CHOOSE( CONTROL!$C$32, 31.1917, 31.1894) * CHOOSE(CONTROL!$C$15, $D$11, 100%, $F$11)</f>
        <v>31.191700000000001</v>
      </c>
      <c r="G924" s="8">
        <f>CHOOSE( CONTROL!$C$32, 29.7523, 29.7501) * CHOOSE( CONTROL!$C$15, $D$11, 100%, $F$11)</f>
        <v>29.752300000000002</v>
      </c>
      <c r="H924" s="4">
        <f>CHOOSE( CONTROL!$C$32, 30.6999, 30.6976) * CHOOSE(CONTROL!$C$15, $D$11, 100%, $F$11)</f>
        <v>30.6999</v>
      </c>
      <c r="I924" s="8">
        <f>CHOOSE( CONTROL!$C$32, 29.3599, 29.3577) * CHOOSE(CONTROL!$C$15, $D$11, 100%, $F$11)</f>
        <v>29.3599</v>
      </c>
      <c r="J924" s="4">
        <f>CHOOSE( CONTROL!$C$32, 29.233, 29.2308) * CHOOSE(CONTROL!$C$15, $D$11, 100%, $F$11)</f>
        <v>29.233000000000001</v>
      </c>
      <c r="K924" s="4"/>
      <c r="L924" s="9">
        <v>30.7165</v>
      </c>
      <c r="M924" s="9">
        <v>12.063700000000001</v>
      </c>
      <c r="N924" s="9">
        <v>4.9444999999999997</v>
      </c>
      <c r="O924" s="9">
        <v>0.37409999999999999</v>
      </c>
      <c r="P924" s="9">
        <v>1.2183999999999999</v>
      </c>
      <c r="Q924" s="9">
        <v>19.688099999999999</v>
      </c>
      <c r="R924" s="9"/>
      <c r="S924" s="11"/>
    </row>
    <row r="925" spans="1:19" ht="15.75">
      <c r="A925" s="13">
        <v>69671</v>
      </c>
      <c r="B925" s="8">
        <f>CHOOSE( CONTROL!$C$32, 29.8406, 29.8382) * CHOOSE(CONTROL!$C$15, $D$11, 100%, $F$11)</f>
        <v>29.840599999999998</v>
      </c>
      <c r="C925" s="8">
        <f>CHOOSE( CONTROL!$C$32, 29.8487, 29.8463) * CHOOSE(CONTROL!$C$15, $D$11, 100%, $F$11)</f>
        <v>29.848700000000001</v>
      </c>
      <c r="D925" s="8">
        <f>CHOOSE( CONTROL!$C$32, 29.8744, 29.872) * CHOOSE( CONTROL!$C$15, $D$11, 100%, $F$11)</f>
        <v>29.874400000000001</v>
      </c>
      <c r="E925" s="12">
        <f>CHOOSE( CONTROL!$C$32, 29.8639, 29.8615) * CHOOSE( CONTROL!$C$15, $D$11, 100%, $F$11)</f>
        <v>29.863900000000001</v>
      </c>
      <c r="F925" s="4">
        <f>CHOOSE( CONTROL!$C$32, 30.554, 30.5517) * CHOOSE(CONTROL!$C$15, $D$11, 100%, $F$11)</f>
        <v>30.553999999999998</v>
      </c>
      <c r="G925" s="8">
        <f>CHOOSE( CONTROL!$C$32, 29.1294, 29.1271) * CHOOSE( CONTROL!$C$15, $D$11, 100%, $F$11)</f>
        <v>29.1294</v>
      </c>
      <c r="H925" s="4">
        <f>CHOOSE( CONTROL!$C$32, 30.077, 30.0747) * CHOOSE(CONTROL!$C$15, $D$11, 100%, $F$11)</f>
        <v>30.077000000000002</v>
      </c>
      <c r="I925" s="8">
        <f>CHOOSE( CONTROL!$C$32, 28.7472, 28.745) * CHOOSE(CONTROL!$C$15, $D$11, 100%, $F$11)</f>
        <v>28.747199999999999</v>
      </c>
      <c r="J925" s="4">
        <f>CHOOSE( CONTROL!$C$32, 28.6207, 28.6185) * CHOOSE(CONTROL!$C$15, $D$11, 100%, $F$11)</f>
        <v>28.620699999999999</v>
      </c>
      <c r="K925" s="4"/>
      <c r="L925" s="9">
        <v>29.7257</v>
      </c>
      <c r="M925" s="9">
        <v>11.6745</v>
      </c>
      <c r="N925" s="9">
        <v>4.7850000000000001</v>
      </c>
      <c r="O925" s="9">
        <v>0.36199999999999999</v>
      </c>
      <c r="P925" s="9">
        <v>1.1791</v>
      </c>
      <c r="Q925" s="9">
        <v>19.053000000000001</v>
      </c>
      <c r="R925" s="9"/>
      <c r="S925" s="11"/>
    </row>
    <row r="926" spans="1:19" ht="15.75">
      <c r="A926" s="13">
        <v>69702</v>
      </c>
      <c r="B926" s="8">
        <f>31.1607 * CHOOSE(CONTROL!$C$15, $D$11, 100%, $F$11)</f>
        <v>31.160699999999999</v>
      </c>
      <c r="C926" s="8">
        <f>31.1661 * CHOOSE(CONTROL!$C$15, $D$11, 100%, $F$11)</f>
        <v>31.1661</v>
      </c>
      <c r="D926" s="8">
        <f>31.1969 * CHOOSE( CONTROL!$C$15, $D$11, 100%, $F$11)</f>
        <v>31.196899999999999</v>
      </c>
      <c r="E926" s="12">
        <f>31.1862 * CHOOSE( CONTROL!$C$15, $D$11, 100%, $F$11)</f>
        <v>31.186199999999999</v>
      </c>
      <c r="F926" s="4">
        <f>31.8758 * CHOOSE(CONTROL!$C$15, $D$11, 100%, $F$11)</f>
        <v>31.875800000000002</v>
      </c>
      <c r="G926" s="8">
        <f>30.4202 * CHOOSE( CONTROL!$C$15, $D$11, 100%, $F$11)</f>
        <v>30.420200000000001</v>
      </c>
      <c r="H926" s="4">
        <f>31.368 * CHOOSE(CONTROL!$C$15, $D$11, 100%, $F$11)</f>
        <v>31.367999999999999</v>
      </c>
      <c r="I926" s="8">
        <f>30.0178 * CHOOSE(CONTROL!$C$15, $D$11, 100%, $F$11)</f>
        <v>30.017800000000001</v>
      </c>
      <c r="J926" s="4">
        <f>29.8898 * CHOOSE(CONTROL!$C$15, $D$11, 100%, $F$11)</f>
        <v>29.889800000000001</v>
      </c>
      <c r="K926" s="4"/>
      <c r="L926" s="9">
        <v>31.095300000000002</v>
      </c>
      <c r="M926" s="9">
        <v>12.063700000000001</v>
      </c>
      <c r="N926" s="9">
        <v>4.9444999999999997</v>
      </c>
      <c r="O926" s="9">
        <v>0.37409999999999999</v>
      </c>
      <c r="P926" s="9">
        <v>1.2183999999999999</v>
      </c>
      <c r="Q926" s="9">
        <v>19.688099999999999</v>
      </c>
      <c r="R926" s="9"/>
      <c r="S926" s="11"/>
    </row>
    <row r="927" spans="1:19" ht="15.75">
      <c r="A927" s="13">
        <v>69732</v>
      </c>
      <c r="B927" s="8">
        <f>33.6044 * CHOOSE(CONTROL!$C$15, $D$11, 100%, $F$11)</f>
        <v>33.604399999999998</v>
      </c>
      <c r="C927" s="8">
        <f>33.6096 * CHOOSE(CONTROL!$C$15, $D$11, 100%, $F$11)</f>
        <v>33.6096</v>
      </c>
      <c r="D927" s="8">
        <f>33.5926 * CHOOSE( CONTROL!$C$15, $D$11, 100%, $F$11)</f>
        <v>33.592599999999997</v>
      </c>
      <c r="E927" s="12">
        <f>33.5983 * CHOOSE( CONTROL!$C$15, $D$11, 100%, $F$11)</f>
        <v>33.598300000000002</v>
      </c>
      <c r="F927" s="4">
        <f>34.2549 * CHOOSE(CONTROL!$C$15, $D$11, 100%, $F$11)</f>
        <v>34.254899999999999</v>
      </c>
      <c r="G927" s="8">
        <f>32.8136 * CHOOSE( CONTROL!$C$15, $D$11, 100%, $F$11)</f>
        <v>32.813600000000001</v>
      </c>
      <c r="H927" s="4">
        <f>33.6916 * CHOOSE(CONTROL!$C$15, $D$11, 100%, $F$11)</f>
        <v>33.691600000000001</v>
      </c>
      <c r="I927" s="8">
        <f>32.4074 * CHOOSE(CONTROL!$C$15, $D$11, 100%, $F$11)</f>
        <v>32.407400000000003</v>
      </c>
      <c r="J927" s="4">
        <f>32.2364 * CHOOSE(CONTROL!$C$15, $D$11, 100%, $F$11)</f>
        <v>32.236400000000003</v>
      </c>
      <c r="K927" s="4"/>
      <c r="L927" s="9">
        <v>28.360600000000002</v>
      </c>
      <c r="M927" s="9">
        <v>11.6745</v>
      </c>
      <c r="N927" s="9">
        <v>4.7850000000000001</v>
      </c>
      <c r="O927" s="9">
        <v>0.36199999999999999</v>
      </c>
      <c r="P927" s="9">
        <v>1.2509999999999999</v>
      </c>
      <c r="Q927" s="9">
        <v>19.053000000000001</v>
      </c>
      <c r="R927" s="9"/>
      <c r="S927" s="11"/>
    </row>
    <row r="928" spans="1:19" ht="15.75">
      <c r="A928" s="13">
        <v>69763</v>
      </c>
      <c r="B928" s="8">
        <f>33.5433 * CHOOSE(CONTROL!$C$15, $D$11, 100%, $F$11)</f>
        <v>33.543300000000002</v>
      </c>
      <c r="C928" s="8">
        <f>33.5485 * CHOOSE(CONTROL!$C$15, $D$11, 100%, $F$11)</f>
        <v>33.548499999999997</v>
      </c>
      <c r="D928" s="8">
        <f>33.533 * CHOOSE( CONTROL!$C$15, $D$11, 100%, $F$11)</f>
        <v>33.533000000000001</v>
      </c>
      <c r="E928" s="12">
        <f>33.5381 * CHOOSE( CONTROL!$C$15, $D$11, 100%, $F$11)</f>
        <v>33.5381</v>
      </c>
      <c r="F928" s="4">
        <f>34.1938 * CHOOSE(CONTROL!$C$15, $D$11, 100%, $F$11)</f>
        <v>34.193800000000003</v>
      </c>
      <c r="G928" s="8">
        <f>32.7551 * CHOOSE( CONTROL!$C$15, $D$11, 100%, $F$11)</f>
        <v>32.755099999999999</v>
      </c>
      <c r="H928" s="4">
        <f>33.632 * CHOOSE(CONTROL!$C$15, $D$11, 100%, $F$11)</f>
        <v>33.631999999999998</v>
      </c>
      <c r="I928" s="8">
        <f>32.3535 * CHOOSE(CONTROL!$C$15, $D$11, 100%, $F$11)</f>
        <v>32.353499999999997</v>
      </c>
      <c r="J928" s="4">
        <f>32.1778 * CHOOSE(CONTROL!$C$15, $D$11, 100%, $F$11)</f>
        <v>32.177799999999998</v>
      </c>
      <c r="K928" s="4"/>
      <c r="L928" s="9">
        <v>29.306000000000001</v>
      </c>
      <c r="M928" s="9">
        <v>12.063700000000001</v>
      </c>
      <c r="N928" s="9">
        <v>4.9444999999999997</v>
      </c>
      <c r="O928" s="9">
        <v>0.37409999999999999</v>
      </c>
      <c r="P928" s="9">
        <v>1.2927</v>
      </c>
      <c r="Q928" s="9">
        <v>19.688099999999999</v>
      </c>
      <c r="R928" s="9"/>
      <c r="S928" s="11"/>
    </row>
    <row r="929" spans="1:19" ht="15.75">
      <c r="A929" s="13">
        <v>69794</v>
      </c>
      <c r="B929" s="8">
        <f>34.5319 * CHOOSE(CONTROL!$C$15, $D$11, 100%, $F$11)</f>
        <v>34.5319</v>
      </c>
      <c r="C929" s="8">
        <f>34.5371 * CHOOSE(CONTROL!$C$15, $D$11, 100%, $F$11)</f>
        <v>34.537100000000002</v>
      </c>
      <c r="D929" s="8">
        <f>34.5173 * CHOOSE( CONTROL!$C$15, $D$11, 100%, $F$11)</f>
        <v>34.517299999999999</v>
      </c>
      <c r="E929" s="12">
        <f>34.524 * CHOOSE( CONTROL!$C$15, $D$11, 100%, $F$11)</f>
        <v>34.524000000000001</v>
      </c>
      <c r="F929" s="4">
        <f>35.1824 * CHOOSE(CONTROL!$C$15, $D$11, 100%, $F$11)</f>
        <v>35.182400000000001</v>
      </c>
      <c r="G929" s="8">
        <f>33.7113 * CHOOSE( CONTROL!$C$15, $D$11, 100%, $F$11)</f>
        <v>33.711300000000001</v>
      </c>
      <c r="H929" s="4">
        <f>34.5975 * CHOOSE(CONTROL!$C$15, $D$11, 100%, $F$11)</f>
        <v>34.597499999999997</v>
      </c>
      <c r="I929" s="8">
        <f>33.2622 * CHOOSE(CONTROL!$C$15, $D$11, 100%, $F$11)</f>
        <v>33.2622</v>
      </c>
      <c r="J929" s="4">
        <f>33.1269 * CHOOSE(CONTROL!$C$15, $D$11, 100%, $F$11)</f>
        <v>33.126899999999999</v>
      </c>
      <c r="K929" s="4"/>
      <c r="L929" s="9">
        <v>29.306000000000001</v>
      </c>
      <c r="M929" s="9">
        <v>12.063700000000001</v>
      </c>
      <c r="N929" s="9">
        <v>4.9444999999999997</v>
      </c>
      <c r="O929" s="9">
        <v>0.37409999999999999</v>
      </c>
      <c r="P929" s="9">
        <v>1.2927</v>
      </c>
      <c r="Q929" s="9">
        <v>19.688099999999999</v>
      </c>
      <c r="R929" s="9"/>
      <c r="S929" s="11"/>
    </row>
    <row r="930" spans="1:19" ht="15.75">
      <c r="A930" s="13">
        <v>69822</v>
      </c>
      <c r="B930" s="8">
        <f>32.3013 * CHOOSE(CONTROL!$C$15, $D$11, 100%, $F$11)</f>
        <v>32.301299999999998</v>
      </c>
      <c r="C930" s="8">
        <f>32.3065 * CHOOSE(CONTROL!$C$15, $D$11, 100%, $F$11)</f>
        <v>32.3065</v>
      </c>
      <c r="D930" s="8">
        <f>32.2866 * CHOOSE( CONTROL!$C$15, $D$11, 100%, $F$11)</f>
        <v>32.2866</v>
      </c>
      <c r="E930" s="12">
        <f>32.2933 * CHOOSE( CONTROL!$C$15, $D$11, 100%, $F$11)</f>
        <v>32.293300000000002</v>
      </c>
      <c r="F930" s="4">
        <f>32.9518 * CHOOSE(CONTROL!$C$15, $D$11, 100%, $F$11)</f>
        <v>32.951799999999999</v>
      </c>
      <c r="G930" s="8">
        <f>31.5327 * CHOOSE( CONTROL!$C$15, $D$11, 100%, $F$11)</f>
        <v>31.532699999999998</v>
      </c>
      <c r="H930" s="4">
        <f>32.4189 * CHOOSE(CONTROL!$C$15, $D$11, 100%, $F$11)</f>
        <v>32.418900000000001</v>
      </c>
      <c r="I930" s="8">
        <f>31.1194 * CHOOSE(CONTROL!$C$15, $D$11, 100%, $F$11)</f>
        <v>31.119399999999999</v>
      </c>
      <c r="J930" s="4">
        <f>30.9853 * CHOOSE(CONTROL!$C$15, $D$11, 100%, $F$11)</f>
        <v>30.985299999999999</v>
      </c>
      <c r="K930" s="4"/>
      <c r="L930" s="9">
        <v>26.469899999999999</v>
      </c>
      <c r="M930" s="9">
        <v>10.8962</v>
      </c>
      <c r="N930" s="9">
        <v>4.4660000000000002</v>
      </c>
      <c r="O930" s="9">
        <v>0.33789999999999998</v>
      </c>
      <c r="P930" s="9">
        <v>1.1676</v>
      </c>
      <c r="Q930" s="9">
        <v>17.782800000000002</v>
      </c>
      <c r="R930" s="9"/>
      <c r="S930" s="11"/>
    </row>
    <row r="931" spans="1:19" ht="15.75">
      <c r="A931" s="13">
        <v>69853</v>
      </c>
      <c r="B931" s="8">
        <f>31.6143 * CHOOSE(CONTROL!$C$15, $D$11, 100%, $F$11)</f>
        <v>31.6143</v>
      </c>
      <c r="C931" s="8">
        <f>31.6195 * CHOOSE(CONTROL!$C$15, $D$11, 100%, $F$11)</f>
        <v>31.619499999999999</v>
      </c>
      <c r="D931" s="8">
        <f>31.5993 * CHOOSE( CONTROL!$C$15, $D$11, 100%, $F$11)</f>
        <v>31.599299999999999</v>
      </c>
      <c r="E931" s="12">
        <f>31.6061 * CHOOSE( CONTROL!$C$15, $D$11, 100%, $F$11)</f>
        <v>31.606100000000001</v>
      </c>
      <c r="F931" s="4">
        <f>32.2648 * CHOOSE(CONTROL!$C$15, $D$11, 100%, $F$11)</f>
        <v>32.264800000000001</v>
      </c>
      <c r="G931" s="8">
        <f>30.8614 * CHOOSE( CONTROL!$C$15, $D$11, 100%, $F$11)</f>
        <v>30.8614</v>
      </c>
      <c r="H931" s="4">
        <f>31.7479 * CHOOSE(CONTROL!$C$15, $D$11, 100%, $F$11)</f>
        <v>31.747900000000001</v>
      </c>
      <c r="I931" s="8">
        <f>30.4584 * CHOOSE(CONTROL!$C$15, $D$11, 100%, $F$11)</f>
        <v>30.458400000000001</v>
      </c>
      <c r="J931" s="4">
        <f>30.3257 * CHOOSE(CONTROL!$C$15, $D$11, 100%, $F$11)</f>
        <v>30.325700000000001</v>
      </c>
      <c r="K931" s="4"/>
      <c r="L931" s="9">
        <v>29.306000000000001</v>
      </c>
      <c r="M931" s="9">
        <v>12.063700000000001</v>
      </c>
      <c r="N931" s="9">
        <v>4.9444999999999997</v>
      </c>
      <c r="O931" s="9">
        <v>0.37409999999999999</v>
      </c>
      <c r="P931" s="9">
        <v>1.2927</v>
      </c>
      <c r="Q931" s="9">
        <v>19.688099999999999</v>
      </c>
      <c r="R931" s="9"/>
      <c r="S931" s="11"/>
    </row>
    <row r="932" spans="1:19" ht="15.75">
      <c r="A932" s="13">
        <v>69883</v>
      </c>
      <c r="B932" s="8">
        <f>32.0951 * CHOOSE(CONTROL!$C$15, $D$11, 100%, $F$11)</f>
        <v>32.095100000000002</v>
      </c>
      <c r="C932" s="8">
        <f>32.0998 * CHOOSE(CONTROL!$C$15, $D$11, 100%, $F$11)</f>
        <v>32.099800000000002</v>
      </c>
      <c r="D932" s="8">
        <f>32.1303 * CHOOSE( CONTROL!$C$15, $D$11, 100%, $F$11)</f>
        <v>32.130299999999998</v>
      </c>
      <c r="E932" s="12">
        <f>32.1197 * CHOOSE( CONTROL!$C$15, $D$11, 100%, $F$11)</f>
        <v>32.119700000000002</v>
      </c>
      <c r="F932" s="4">
        <f>32.8099 * CHOOSE(CONTROL!$C$15, $D$11, 100%, $F$11)</f>
        <v>32.809899999999999</v>
      </c>
      <c r="G932" s="8">
        <f>31.3315 * CHOOSE( CONTROL!$C$15, $D$11, 100%, $F$11)</f>
        <v>31.331499999999998</v>
      </c>
      <c r="H932" s="4">
        <f>32.2804 * CHOOSE(CONTROL!$C$15, $D$11, 100%, $F$11)</f>
        <v>32.2804</v>
      </c>
      <c r="I932" s="8">
        <f>30.9115 * CHOOSE(CONTROL!$C$15, $D$11, 100%, $F$11)</f>
        <v>30.9115</v>
      </c>
      <c r="J932" s="4">
        <f>30.7866 * CHOOSE(CONTROL!$C$15, $D$11, 100%, $F$11)</f>
        <v>30.7866</v>
      </c>
      <c r="K932" s="4"/>
      <c r="L932" s="9">
        <v>30.092199999999998</v>
      </c>
      <c r="M932" s="9">
        <v>11.6745</v>
      </c>
      <c r="N932" s="9">
        <v>4.7850000000000001</v>
      </c>
      <c r="O932" s="9">
        <v>0.36199999999999999</v>
      </c>
      <c r="P932" s="9">
        <v>1.1791</v>
      </c>
      <c r="Q932" s="9">
        <v>19.053000000000001</v>
      </c>
      <c r="R932" s="9"/>
      <c r="S932" s="11"/>
    </row>
    <row r="933" spans="1:19" ht="15.75">
      <c r="A933" s="13">
        <v>69914</v>
      </c>
      <c r="B933" s="8">
        <f>CHOOSE( CONTROL!$C$32, 32.9533, 32.9509) * CHOOSE(CONTROL!$C$15, $D$11, 100%, $F$11)</f>
        <v>32.953299999999999</v>
      </c>
      <c r="C933" s="8">
        <f>CHOOSE( CONTROL!$C$32, 32.9614, 32.959) * CHOOSE(CONTROL!$C$15, $D$11, 100%, $F$11)</f>
        <v>32.961399999999998</v>
      </c>
      <c r="D933" s="8">
        <f>CHOOSE( CONTROL!$C$32, 32.9866, 32.9842) * CHOOSE( CONTROL!$C$15, $D$11, 100%, $F$11)</f>
        <v>32.986600000000003</v>
      </c>
      <c r="E933" s="12">
        <f>CHOOSE( CONTROL!$C$32, 32.9762, 32.9738) * CHOOSE( CONTROL!$C$15, $D$11, 100%, $F$11)</f>
        <v>32.976199999999999</v>
      </c>
      <c r="F933" s="4">
        <f>CHOOSE( CONTROL!$C$32, 33.6667, 33.6644) * CHOOSE(CONTROL!$C$15, $D$11, 100%, $F$11)</f>
        <v>33.666699999999999</v>
      </c>
      <c r="G933" s="8">
        <f>CHOOSE( CONTROL!$C$32, 32.1689, 32.1666) * CHOOSE( CONTROL!$C$15, $D$11, 100%, $F$11)</f>
        <v>32.168900000000001</v>
      </c>
      <c r="H933" s="4">
        <f>CHOOSE( CONTROL!$C$32, 33.1172, 33.1149) * CHOOSE(CONTROL!$C$15, $D$11, 100%, $F$11)</f>
        <v>33.117199999999997</v>
      </c>
      <c r="I933" s="8">
        <f>CHOOSE( CONTROL!$C$32, 31.7348, 31.7325) * CHOOSE(CONTROL!$C$15, $D$11, 100%, $F$11)</f>
        <v>31.7348</v>
      </c>
      <c r="J933" s="4">
        <f>CHOOSE( CONTROL!$C$32, 31.6092, 31.607) * CHOOSE(CONTROL!$C$15, $D$11, 100%, $F$11)</f>
        <v>31.609200000000001</v>
      </c>
      <c r="K933" s="4"/>
      <c r="L933" s="9">
        <v>30.7165</v>
      </c>
      <c r="M933" s="9">
        <v>12.063700000000001</v>
      </c>
      <c r="N933" s="9">
        <v>4.9444999999999997</v>
      </c>
      <c r="O933" s="9">
        <v>0.37409999999999999</v>
      </c>
      <c r="P933" s="9">
        <v>1.2183999999999999</v>
      </c>
      <c r="Q933" s="9">
        <v>19.688099999999999</v>
      </c>
      <c r="R933" s="9"/>
      <c r="S933" s="11"/>
    </row>
    <row r="934" spans="1:19" ht="15.75">
      <c r="A934" s="13">
        <v>69944</v>
      </c>
      <c r="B934" s="8">
        <f>CHOOSE( CONTROL!$C$32, 32.424, 32.4216) * CHOOSE(CONTROL!$C$15, $D$11, 100%, $F$11)</f>
        <v>32.423999999999999</v>
      </c>
      <c r="C934" s="8">
        <f>CHOOSE( CONTROL!$C$32, 32.4321, 32.4297) * CHOOSE(CONTROL!$C$15, $D$11, 100%, $F$11)</f>
        <v>32.432099999999998</v>
      </c>
      <c r="D934" s="8">
        <f>CHOOSE( CONTROL!$C$32, 32.4575, 32.4551) * CHOOSE( CONTROL!$C$15, $D$11, 100%, $F$11)</f>
        <v>32.457500000000003</v>
      </c>
      <c r="E934" s="12">
        <f>CHOOSE( CONTROL!$C$32, 32.4471, 32.4447) * CHOOSE( CONTROL!$C$15, $D$11, 100%, $F$11)</f>
        <v>32.447099999999999</v>
      </c>
      <c r="F934" s="4">
        <f>CHOOSE( CONTROL!$C$32, 33.1374, 33.1351) * CHOOSE(CONTROL!$C$15, $D$11, 100%, $F$11)</f>
        <v>33.1374</v>
      </c>
      <c r="G934" s="8">
        <f>CHOOSE( CONTROL!$C$32, 31.6522, 31.6499) * CHOOSE( CONTROL!$C$15, $D$11, 100%, $F$11)</f>
        <v>31.652200000000001</v>
      </c>
      <c r="H934" s="4">
        <f>CHOOSE( CONTROL!$C$32, 32.6002, 32.5979) * CHOOSE(CONTROL!$C$15, $D$11, 100%, $F$11)</f>
        <v>32.600200000000001</v>
      </c>
      <c r="I934" s="8">
        <f>CHOOSE( CONTROL!$C$32, 31.2273, 31.2251) * CHOOSE(CONTROL!$C$15, $D$11, 100%, $F$11)</f>
        <v>31.2273</v>
      </c>
      <c r="J934" s="4">
        <f>CHOOSE( CONTROL!$C$32, 31.1011, 31.0988) * CHOOSE(CONTROL!$C$15, $D$11, 100%, $F$11)</f>
        <v>31.101099999999999</v>
      </c>
      <c r="K934" s="4"/>
      <c r="L934" s="9">
        <v>29.7257</v>
      </c>
      <c r="M934" s="9">
        <v>11.6745</v>
      </c>
      <c r="N934" s="9">
        <v>4.7850000000000001</v>
      </c>
      <c r="O934" s="9">
        <v>0.36199999999999999</v>
      </c>
      <c r="P934" s="9">
        <v>1.1791</v>
      </c>
      <c r="Q934" s="9">
        <v>19.053000000000001</v>
      </c>
      <c r="R934" s="9"/>
      <c r="S934" s="11"/>
    </row>
    <row r="935" spans="1:19" ht="15.75">
      <c r="A935" s="13">
        <v>69975</v>
      </c>
      <c r="B935" s="8">
        <f>CHOOSE( CONTROL!$C$32, 33.8178, 33.8155) * CHOOSE(CONTROL!$C$15, $D$11, 100%, $F$11)</f>
        <v>33.817799999999998</v>
      </c>
      <c r="C935" s="8">
        <f>CHOOSE( CONTROL!$C$32, 33.8259, 33.8235) * CHOOSE(CONTROL!$C$15, $D$11, 100%, $F$11)</f>
        <v>33.825899999999997</v>
      </c>
      <c r="D935" s="8">
        <f>CHOOSE( CONTROL!$C$32, 33.8515, 33.8492) * CHOOSE( CONTROL!$C$15, $D$11, 100%, $F$11)</f>
        <v>33.851500000000001</v>
      </c>
      <c r="E935" s="12">
        <f>CHOOSE( CONTROL!$C$32, 33.841, 33.8387) * CHOOSE( CONTROL!$C$15, $D$11, 100%, $F$11)</f>
        <v>33.841000000000001</v>
      </c>
      <c r="F935" s="4">
        <f>CHOOSE( CONTROL!$C$32, 34.5312, 34.5289) * CHOOSE(CONTROL!$C$15, $D$11, 100%, $F$11)</f>
        <v>34.531199999999998</v>
      </c>
      <c r="G935" s="8">
        <f>CHOOSE( CONTROL!$C$32, 33.0139, 33.0116) * CHOOSE( CONTROL!$C$15, $D$11, 100%, $F$11)</f>
        <v>33.0139</v>
      </c>
      <c r="H935" s="4">
        <f>CHOOSE( CONTROL!$C$32, 33.9616, 33.9593) * CHOOSE(CONTROL!$C$15, $D$11, 100%, $F$11)</f>
        <v>33.961599999999997</v>
      </c>
      <c r="I935" s="8">
        <f>CHOOSE( CONTROL!$C$32, 32.5674, 32.5652) * CHOOSE(CONTROL!$C$15, $D$11, 100%, $F$11)</f>
        <v>32.567399999999999</v>
      </c>
      <c r="J935" s="4">
        <f>CHOOSE( CONTROL!$C$32, 32.4392, 32.437) * CHOOSE(CONTROL!$C$15, $D$11, 100%, $F$11)</f>
        <v>32.4392</v>
      </c>
      <c r="K935" s="4"/>
      <c r="L935" s="9">
        <v>30.7165</v>
      </c>
      <c r="M935" s="9">
        <v>12.063700000000001</v>
      </c>
      <c r="N935" s="9">
        <v>4.9444999999999997</v>
      </c>
      <c r="O935" s="9">
        <v>0.37409999999999999</v>
      </c>
      <c r="P935" s="9">
        <v>1.2183999999999999</v>
      </c>
      <c r="Q935" s="9">
        <v>19.688099999999999</v>
      </c>
      <c r="R935" s="9"/>
      <c r="S935" s="11"/>
    </row>
    <row r="936" spans="1:19" ht="15.75">
      <c r="A936" s="13">
        <v>70006</v>
      </c>
      <c r="B936" s="8">
        <f>CHOOSE( CONTROL!$C$32, 31.2098, 31.2075) * CHOOSE(CONTROL!$C$15, $D$11, 100%, $F$11)</f>
        <v>31.209800000000001</v>
      </c>
      <c r="C936" s="8">
        <f>CHOOSE( CONTROL!$C$32, 31.2179, 31.2156) * CHOOSE(CONTROL!$C$15, $D$11, 100%, $F$11)</f>
        <v>31.2179</v>
      </c>
      <c r="D936" s="8">
        <f>CHOOSE( CONTROL!$C$32, 31.2437, 31.2413) * CHOOSE( CONTROL!$C$15, $D$11, 100%, $F$11)</f>
        <v>31.2437</v>
      </c>
      <c r="E936" s="12">
        <f>CHOOSE( CONTROL!$C$32, 31.2331, 31.2308) * CHOOSE( CONTROL!$C$15, $D$11, 100%, $F$11)</f>
        <v>31.2331</v>
      </c>
      <c r="F936" s="4">
        <f>CHOOSE( CONTROL!$C$32, 31.9233, 31.9209) * CHOOSE(CONTROL!$C$15, $D$11, 100%, $F$11)</f>
        <v>31.923300000000001</v>
      </c>
      <c r="G936" s="8">
        <f>CHOOSE( CONTROL!$C$32, 30.4668, 30.4645) * CHOOSE( CONTROL!$C$15, $D$11, 100%, $F$11)</f>
        <v>30.466799999999999</v>
      </c>
      <c r="H936" s="4">
        <f>CHOOSE( CONTROL!$C$32, 31.4144, 31.4121) * CHOOSE(CONTROL!$C$15, $D$11, 100%, $F$11)</f>
        <v>31.414400000000001</v>
      </c>
      <c r="I936" s="8">
        <f>CHOOSE( CONTROL!$C$32, 30.0626, 30.0604) * CHOOSE(CONTROL!$C$15, $D$11, 100%, $F$11)</f>
        <v>30.0626</v>
      </c>
      <c r="J936" s="4">
        <f>CHOOSE( CONTROL!$C$32, 29.9353, 29.9331) * CHOOSE(CONTROL!$C$15, $D$11, 100%, $F$11)</f>
        <v>29.935300000000002</v>
      </c>
      <c r="K936" s="4"/>
      <c r="L936" s="9">
        <v>30.7165</v>
      </c>
      <c r="M936" s="9">
        <v>12.063700000000001</v>
      </c>
      <c r="N936" s="9">
        <v>4.9444999999999997</v>
      </c>
      <c r="O936" s="9">
        <v>0.37409999999999999</v>
      </c>
      <c r="P936" s="9">
        <v>1.2183999999999999</v>
      </c>
      <c r="Q936" s="9">
        <v>19.688099999999999</v>
      </c>
      <c r="R936" s="9"/>
      <c r="S936" s="11"/>
    </row>
    <row r="937" spans="1:19" ht="15.75">
      <c r="A937" s="13">
        <v>70036</v>
      </c>
      <c r="B937" s="8">
        <f>CHOOSE( CONTROL!$C$32, 30.5568, 30.5544) * CHOOSE(CONTROL!$C$15, $D$11, 100%, $F$11)</f>
        <v>30.556799999999999</v>
      </c>
      <c r="C937" s="8">
        <f>CHOOSE( CONTROL!$C$32, 30.5649, 30.5625) * CHOOSE(CONTROL!$C$15, $D$11, 100%, $F$11)</f>
        <v>30.564900000000002</v>
      </c>
      <c r="D937" s="8">
        <f>CHOOSE( CONTROL!$C$32, 30.5906, 30.5882) * CHOOSE( CONTROL!$C$15, $D$11, 100%, $F$11)</f>
        <v>30.590599999999998</v>
      </c>
      <c r="E937" s="12">
        <f>CHOOSE( CONTROL!$C$32, 30.5801, 30.5777) * CHOOSE( CONTROL!$C$15, $D$11, 100%, $F$11)</f>
        <v>30.580100000000002</v>
      </c>
      <c r="F937" s="4">
        <f>CHOOSE( CONTROL!$C$32, 31.2702, 31.2679) * CHOOSE(CONTROL!$C$15, $D$11, 100%, $F$11)</f>
        <v>31.270199999999999</v>
      </c>
      <c r="G937" s="8">
        <f>CHOOSE( CONTROL!$C$32, 29.8289, 29.8267) * CHOOSE( CONTROL!$C$15, $D$11, 100%, $F$11)</f>
        <v>29.828900000000001</v>
      </c>
      <c r="H937" s="4">
        <f>CHOOSE( CONTROL!$C$32, 30.7765, 30.7742) * CHOOSE(CONTROL!$C$15, $D$11, 100%, $F$11)</f>
        <v>30.776499999999999</v>
      </c>
      <c r="I937" s="8">
        <f>CHOOSE( CONTROL!$C$32, 29.4352, 29.4329) * CHOOSE(CONTROL!$C$15, $D$11, 100%, $F$11)</f>
        <v>29.435199999999998</v>
      </c>
      <c r="J937" s="4">
        <f>CHOOSE( CONTROL!$C$32, 29.3083, 29.3061) * CHOOSE(CONTROL!$C$15, $D$11, 100%, $F$11)</f>
        <v>29.308299999999999</v>
      </c>
      <c r="K937" s="4"/>
      <c r="L937" s="9">
        <v>29.7257</v>
      </c>
      <c r="M937" s="9">
        <v>11.6745</v>
      </c>
      <c r="N937" s="9">
        <v>4.7850000000000001</v>
      </c>
      <c r="O937" s="9">
        <v>0.36199999999999999</v>
      </c>
      <c r="P937" s="9">
        <v>1.1791</v>
      </c>
      <c r="Q937" s="9">
        <v>19.053000000000001</v>
      </c>
      <c r="R937" s="9"/>
      <c r="S937" s="11"/>
    </row>
    <row r="938" spans="1:19" ht="15.75">
      <c r="A938" s="13">
        <v>70067</v>
      </c>
      <c r="B938" s="8">
        <f>31.9087 * CHOOSE(CONTROL!$C$15, $D$11, 100%, $F$11)</f>
        <v>31.9087</v>
      </c>
      <c r="C938" s="8">
        <f>31.9141 * CHOOSE(CONTROL!$C$15, $D$11, 100%, $F$11)</f>
        <v>31.914100000000001</v>
      </c>
      <c r="D938" s="8">
        <f>31.9449 * CHOOSE( CONTROL!$C$15, $D$11, 100%, $F$11)</f>
        <v>31.944900000000001</v>
      </c>
      <c r="E938" s="12">
        <f>31.9342 * CHOOSE( CONTROL!$C$15, $D$11, 100%, $F$11)</f>
        <v>31.934200000000001</v>
      </c>
      <c r="F938" s="4">
        <f>32.6238 * CHOOSE(CONTROL!$C$15, $D$11, 100%, $F$11)</f>
        <v>32.623800000000003</v>
      </c>
      <c r="G938" s="8">
        <f>31.1508 * CHOOSE( CONTROL!$C$15, $D$11, 100%, $F$11)</f>
        <v>31.1508</v>
      </c>
      <c r="H938" s="4">
        <f>32.0986 * CHOOSE(CONTROL!$C$15, $D$11, 100%, $F$11)</f>
        <v>32.098599999999998</v>
      </c>
      <c r="I938" s="8">
        <f>30.7363 * CHOOSE(CONTROL!$C$15, $D$11, 100%, $F$11)</f>
        <v>30.7363</v>
      </c>
      <c r="J938" s="4">
        <f>30.608 * CHOOSE(CONTROL!$C$15, $D$11, 100%, $F$11)</f>
        <v>30.608000000000001</v>
      </c>
      <c r="K938" s="4"/>
      <c r="L938" s="9">
        <v>31.095300000000002</v>
      </c>
      <c r="M938" s="9">
        <v>12.063700000000001</v>
      </c>
      <c r="N938" s="9">
        <v>4.9444999999999997</v>
      </c>
      <c r="O938" s="9">
        <v>0.37409999999999999</v>
      </c>
      <c r="P938" s="9">
        <v>1.2183999999999999</v>
      </c>
      <c r="Q938" s="9">
        <v>19.688099999999999</v>
      </c>
      <c r="R938" s="9"/>
      <c r="S938" s="11"/>
    </row>
    <row r="939" spans="1:19" ht="15.75">
      <c r="A939" s="13">
        <v>70097</v>
      </c>
      <c r="B939" s="8">
        <f>34.4112 * CHOOSE(CONTROL!$C$15, $D$11, 100%, $F$11)</f>
        <v>34.411200000000001</v>
      </c>
      <c r="C939" s="8">
        <f>34.4163 * CHOOSE(CONTROL!$C$15, $D$11, 100%, $F$11)</f>
        <v>34.4163</v>
      </c>
      <c r="D939" s="8">
        <f>34.3994 * CHOOSE( CONTROL!$C$15, $D$11, 100%, $F$11)</f>
        <v>34.3994</v>
      </c>
      <c r="E939" s="12">
        <f>34.405 * CHOOSE( CONTROL!$C$15, $D$11, 100%, $F$11)</f>
        <v>34.405000000000001</v>
      </c>
      <c r="F939" s="4">
        <f>35.0616 * CHOOSE(CONTROL!$C$15, $D$11, 100%, $F$11)</f>
        <v>35.061599999999999</v>
      </c>
      <c r="G939" s="8">
        <f>33.6016 * CHOOSE( CONTROL!$C$15, $D$11, 100%, $F$11)</f>
        <v>33.601599999999998</v>
      </c>
      <c r="H939" s="4">
        <f>34.4796 * CHOOSE(CONTROL!$C$15, $D$11, 100%, $F$11)</f>
        <v>34.479599999999998</v>
      </c>
      <c r="I939" s="8">
        <f>33.1823 * CHOOSE(CONTROL!$C$15, $D$11, 100%, $F$11)</f>
        <v>33.182299999999998</v>
      </c>
      <c r="J939" s="4">
        <f>33.011 * CHOOSE(CONTROL!$C$15, $D$11, 100%, $F$11)</f>
        <v>33.011000000000003</v>
      </c>
      <c r="K939" s="4"/>
      <c r="L939" s="9">
        <v>28.360600000000002</v>
      </c>
      <c r="M939" s="9">
        <v>11.6745</v>
      </c>
      <c r="N939" s="9">
        <v>4.7850000000000001</v>
      </c>
      <c r="O939" s="9">
        <v>0.36199999999999999</v>
      </c>
      <c r="P939" s="9">
        <v>1.2509999999999999</v>
      </c>
      <c r="Q939" s="9">
        <v>19.053000000000001</v>
      </c>
      <c r="R939" s="9"/>
      <c r="S939" s="11"/>
    </row>
    <row r="940" spans="1:19" ht="15.75">
      <c r="A940" s="13">
        <v>70128</v>
      </c>
      <c r="B940" s="8">
        <f>34.3486 * CHOOSE(CONTROL!$C$15, $D$11, 100%, $F$11)</f>
        <v>34.348599999999998</v>
      </c>
      <c r="C940" s="8">
        <f>34.3538 * CHOOSE(CONTROL!$C$15, $D$11, 100%, $F$11)</f>
        <v>34.3538</v>
      </c>
      <c r="D940" s="8">
        <f>34.3383 * CHOOSE( CONTROL!$C$15, $D$11, 100%, $F$11)</f>
        <v>34.338299999999997</v>
      </c>
      <c r="E940" s="12">
        <f>34.3434 * CHOOSE( CONTROL!$C$15, $D$11, 100%, $F$11)</f>
        <v>34.343400000000003</v>
      </c>
      <c r="F940" s="4">
        <f>34.9991 * CHOOSE(CONTROL!$C$15, $D$11, 100%, $F$11)</f>
        <v>34.999099999999999</v>
      </c>
      <c r="G940" s="8">
        <f>33.5416 * CHOOSE( CONTROL!$C$15, $D$11, 100%, $F$11)</f>
        <v>33.541600000000003</v>
      </c>
      <c r="H940" s="4">
        <f>34.4185 * CHOOSE(CONTROL!$C$15, $D$11, 100%, $F$11)</f>
        <v>34.418500000000002</v>
      </c>
      <c r="I940" s="8">
        <f>33.127 * CHOOSE(CONTROL!$C$15, $D$11, 100%, $F$11)</f>
        <v>33.127000000000002</v>
      </c>
      <c r="J940" s="4">
        <f>32.9509 * CHOOSE(CONTROL!$C$15, $D$11, 100%, $F$11)</f>
        <v>32.950899999999997</v>
      </c>
      <c r="K940" s="4"/>
      <c r="L940" s="9">
        <v>29.306000000000001</v>
      </c>
      <c r="M940" s="9">
        <v>12.063700000000001</v>
      </c>
      <c r="N940" s="9">
        <v>4.9444999999999997</v>
      </c>
      <c r="O940" s="9">
        <v>0.37409999999999999</v>
      </c>
      <c r="P940" s="9">
        <v>1.2927</v>
      </c>
      <c r="Q940" s="9">
        <v>19.688099999999999</v>
      </c>
      <c r="R940" s="9"/>
      <c r="S940" s="11"/>
    </row>
    <row r="941" spans="1:19" ht="15.75">
      <c r="A941" s="13">
        <v>70159</v>
      </c>
      <c r="B941" s="8">
        <f>35.361 * CHOOSE(CONTROL!$C$15, $D$11, 100%, $F$11)</f>
        <v>35.360999999999997</v>
      </c>
      <c r="C941" s="8">
        <f>35.3661 * CHOOSE(CONTROL!$C$15, $D$11, 100%, $F$11)</f>
        <v>35.366100000000003</v>
      </c>
      <c r="D941" s="8">
        <f>35.3463 * CHOOSE( CONTROL!$C$15, $D$11, 100%, $F$11)</f>
        <v>35.346299999999999</v>
      </c>
      <c r="E941" s="12">
        <f>35.353 * CHOOSE( CONTROL!$C$15, $D$11, 100%, $F$11)</f>
        <v>35.353000000000002</v>
      </c>
      <c r="F941" s="4">
        <f>36.0114 * CHOOSE(CONTROL!$C$15, $D$11, 100%, $F$11)</f>
        <v>36.011400000000002</v>
      </c>
      <c r="G941" s="8">
        <f>34.5211 * CHOOSE( CONTROL!$C$15, $D$11, 100%, $F$11)</f>
        <v>34.521099999999997</v>
      </c>
      <c r="H941" s="4">
        <f>35.4073 * CHOOSE(CONTROL!$C$15, $D$11, 100%, $F$11)</f>
        <v>35.407299999999999</v>
      </c>
      <c r="I941" s="8">
        <f>34.0585 * CHOOSE(CONTROL!$C$15, $D$11, 100%, $F$11)</f>
        <v>34.058500000000002</v>
      </c>
      <c r="J941" s="4">
        <f>33.9229 * CHOOSE(CONTROL!$C$15, $D$11, 100%, $F$11)</f>
        <v>33.922899999999998</v>
      </c>
      <c r="K941" s="4"/>
      <c r="L941" s="9">
        <v>29.306000000000001</v>
      </c>
      <c r="M941" s="9">
        <v>12.063700000000001</v>
      </c>
      <c r="N941" s="9">
        <v>4.9444999999999997</v>
      </c>
      <c r="O941" s="9">
        <v>0.37409999999999999</v>
      </c>
      <c r="P941" s="9">
        <v>1.2927</v>
      </c>
      <c r="Q941" s="9">
        <v>19.688099999999999</v>
      </c>
      <c r="R941" s="9"/>
      <c r="S941" s="11"/>
    </row>
    <row r="942" spans="1:19" ht="15.75">
      <c r="A942" s="13">
        <v>70188</v>
      </c>
      <c r="B942" s="8">
        <f>33.0768 * CHOOSE(CONTROL!$C$15, $D$11, 100%, $F$11)</f>
        <v>33.076799999999999</v>
      </c>
      <c r="C942" s="8">
        <f>33.082 * CHOOSE(CONTROL!$C$15, $D$11, 100%, $F$11)</f>
        <v>33.082000000000001</v>
      </c>
      <c r="D942" s="8">
        <f>33.0621 * CHOOSE( CONTROL!$C$15, $D$11, 100%, $F$11)</f>
        <v>33.062100000000001</v>
      </c>
      <c r="E942" s="12">
        <f>33.0688 * CHOOSE( CONTROL!$C$15, $D$11, 100%, $F$11)</f>
        <v>33.068800000000003</v>
      </c>
      <c r="F942" s="4">
        <f>33.7272 * CHOOSE(CONTROL!$C$15, $D$11, 100%, $F$11)</f>
        <v>33.727200000000003</v>
      </c>
      <c r="G942" s="8">
        <f>32.2901 * CHOOSE( CONTROL!$C$15, $D$11, 100%, $F$11)</f>
        <v>32.290100000000002</v>
      </c>
      <c r="H942" s="4">
        <f>33.1763 * CHOOSE(CONTROL!$C$15, $D$11, 100%, $F$11)</f>
        <v>33.176299999999998</v>
      </c>
      <c r="I942" s="8">
        <f>31.8643 * CHOOSE(CONTROL!$C$15, $D$11, 100%, $F$11)</f>
        <v>31.8643</v>
      </c>
      <c r="J942" s="4">
        <f>31.7298 * CHOOSE(CONTROL!$C$15, $D$11, 100%, $F$11)</f>
        <v>31.729800000000001</v>
      </c>
      <c r="K942" s="4"/>
      <c r="L942" s="9">
        <v>27.415299999999998</v>
      </c>
      <c r="M942" s="9">
        <v>11.285299999999999</v>
      </c>
      <c r="N942" s="9">
        <v>4.6254999999999997</v>
      </c>
      <c r="O942" s="9">
        <v>0.34989999999999999</v>
      </c>
      <c r="P942" s="9">
        <v>1.2093</v>
      </c>
      <c r="Q942" s="9">
        <v>18.417899999999999</v>
      </c>
      <c r="R942" s="9"/>
      <c r="S942" s="11"/>
    </row>
    <row r="943" spans="1:19" ht="15.75">
      <c r="A943" s="13">
        <v>70219</v>
      </c>
      <c r="B943" s="8">
        <f>32.3732 * CHOOSE(CONTROL!$C$15, $D$11, 100%, $F$11)</f>
        <v>32.373199999999997</v>
      </c>
      <c r="C943" s="8">
        <f>32.3784 * CHOOSE(CONTROL!$C$15, $D$11, 100%, $F$11)</f>
        <v>32.378399999999999</v>
      </c>
      <c r="D943" s="8">
        <f>32.3582 * CHOOSE( CONTROL!$C$15, $D$11, 100%, $F$11)</f>
        <v>32.358199999999997</v>
      </c>
      <c r="E943" s="12">
        <f>32.365 * CHOOSE( CONTROL!$C$15, $D$11, 100%, $F$11)</f>
        <v>32.365000000000002</v>
      </c>
      <c r="F943" s="4">
        <f>33.0237 * CHOOSE(CONTROL!$C$15, $D$11, 100%, $F$11)</f>
        <v>33.023699999999998</v>
      </c>
      <c r="G943" s="8">
        <f>31.6027 * CHOOSE( CONTROL!$C$15, $D$11, 100%, $F$11)</f>
        <v>31.602699999999999</v>
      </c>
      <c r="H943" s="4">
        <f>32.4891 * CHOOSE(CONTROL!$C$15, $D$11, 100%, $F$11)</f>
        <v>32.489100000000001</v>
      </c>
      <c r="I943" s="8">
        <f>31.1874 * CHOOSE(CONTROL!$C$15, $D$11, 100%, $F$11)</f>
        <v>31.1874</v>
      </c>
      <c r="J943" s="4">
        <f>31.0544 * CHOOSE(CONTROL!$C$15, $D$11, 100%, $F$11)</f>
        <v>31.054400000000001</v>
      </c>
      <c r="K943" s="4"/>
      <c r="L943" s="9">
        <v>29.306000000000001</v>
      </c>
      <c r="M943" s="9">
        <v>12.063700000000001</v>
      </c>
      <c r="N943" s="9">
        <v>4.9444999999999997</v>
      </c>
      <c r="O943" s="9">
        <v>0.37409999999999999</v>
      </c>
      <c r="P943" s="9">
        <v>1.2927</v>
      </c>
      <c r="Q943" s="9">
        <v>19.688099999999999</v>
      </c>
      <c r="R943" s="9"/>
      <c r="S943" s="11"/>
    </row>
    <row r="944" spans="1:19" ht="15.75">
      <c r="A944" s="13">
        <v>70249</v>
      </c>
      <c r="B944" s="8">
        <f>32.8656 * CHOOSE(CONTROL!$C$15, $D$11, 100%, $F$11)</f>
        <v>32.865600000000001</v>
      </c>
      <c r="C944" s="8">
        <f>32.8702 * CHOOSE(CONTROL!$C$15, $D$11, 100%, $F$11)</f>
        <v>32.870199999999997</v>
      </c>
      <c r="D944" s="8">
        <f>32.9008 * CHOOSE( CONTROL!$C$15, $D$11, 100%, $F$11)</f>
        <v>32.900799999999997</v>
      </c>
      <c r="E944" s="12">
        <f>32.8902 * CHOOSE( CONTROL!$C$15, $D$11, 100%, $F$11)</f>
        <v>32.8902</v>
      </c>
      <c r="F944" s="4">
        <f>33.5804 * CHOOSE(CONTROL!$C$15, $D$11, 100%, $F$11)</f>
        <v>33.580399999999997</v>
      </c>
      <c r="G944" s="8">
        <f>32.084 * CHOOSE( CONTROL!$C$15, $D$11, 100%, $F$11)</f>
        <v>32.084000000000003</v>
      </c>
      <c r="H944" s="4">
        <f>33.0329 * CHOOSE(CONTROL!$C$15, $D$11, 100%, $F$11)</f>
        <v>33.032899999999998</v>
      </c>
      <c r="I944" s="8">
        <f>31.6516 * CHOOSE(CONTROL!$C$15, $D$11, 100%, $F$11)</f>
        <v>31.651599999999998</v>
      </c>
      <c r="J944" s="4">
        <f>31.5264 * CHOOSE(CONTROL!$C$15, $D$11, 100%, $F$11)</f>
        <v>31.526399999999999</v>
      </c>
      <c r="K944" s="4"/>
      <c r="L944" s="9">
        <v>30.092199999999998</v>
      </c>
      <c r="M944" s="9">
        <v>11.6745</v>
      </c>
      <c r="N944" s="9">
        <v>4.7850000000000001</v>
      </c>
      <c r="O944" s="9">
        <v>0.36199999999999999</v>
      </c>
      <c r="P944" s="9">
        <v>1.1791</v>
      </c>
      <c r="Q944" s="9">
        <v>19.053000000000001</v>
      </c>
      <c r="R944" s="9"/>
      <c r="S944" s="11"/>
    </row>
    <row r="945" spans="1:19" ht="15.75">
      <c r="A945" s="13">
        <v>70280</v>
      </c>
      <c r="B945" s="8">
        <f>CHOOSE( CONTROL!$C$32, 33.7443, 33.7419) * CHOOSE(CONTROL!$C$15, $D$11, 100%, $F$11)</f>
        <v>33.744300000000003</v>
      </c>
      <c r="C945" s="8">
        <f>CHOOSE( CONTROL!$C$32, 33.7524, 33.75) * CHOOSE(CONTROL!$C$15, $D$11, 100%, $F$11)</f>
        <v>33.752400000000002</v>
      </c>
      <c r="D945" s="8">
        <f>CHOOSE( CONTROL!$C$32, 33.7776, 33.7752) * CHOOSE( CONTROL!$C$15, $D$11, 100%, $F$11)</f>
        <v>33.7776</v>
      </c>
      <c r="E945" s="12">
        <f>CHOOSE( CONTROL!$C$32, 33.7672, 33.7648) * CHOOSE( CONTROL!$C$15, $D$11, 100%, $F$11)</f>
        <v>33.767200000000003</v>
      </c>
      <c r="F945" s="4">
        <f>CHOOSE( CONTROL!$C$32, 34.4577, 34.4554) * CHOOSE(CONTROL!$C$15, $D$11, 100%, $F$11)</f>
        <v>34.457700000000003</v>
      </c>
      <c r="G945" s="8">
        <f>CHOOSE( CONTROL!$C$32, 32.9414, 32.9391) * CHOOSE( CONTROL!$C$15, $D$11, 100%, $F$11)</f>
        <v>32.941400000000002</v>
      </c>
      <c r="H945" s="4">
        <f>CHOOSE( CONTROL!$C$32, 33.8897, 33.8874) * CHOOSE(CONTROL!$C$15, $D$11, 100%, $F$11)</f>
        <v>33.889699999999998</v>
      </c>
      <c r="I945" s="8">
        <f>CHOOSE( CONTROL!$C$32, 32.4946, 32.4923) * CHOOSE(CONTROL!$C$15, $D$11, 100%, $F$11)</f>
        <v>32.494599999999998</v>
      </c>
      <c r="J945" s="4">
        <f>CHOOSE( CONTROL!$C$32, 32.3687, 32.3664) * CHOOSE(CONTROL!$C$15, $D$11, 100%, $F$11)</f>
        <v>32.368699999999997</v>
      </c>
      <c r="K945" s="4"/>
      <c r="L945" s="9">
        <v>30.7165</v>
      </c>
      <c r="M945" s="9">
        <v>12.063700000000001</v>
      </c>
      <c r="N945" s="9">
        <v>4.9444999999999997</v>
      </c>
      <c r="O945" s="9">
        <v>0.37409999999999999</v>
      </c>
      <c r="P945" s="9">
        <v>1.2183999999999999</v>
      </c>
      <c r="Q945" s="9">
        <v>19.688099999999999</v>
      </c>
      <c r="R945" s="9"/>
      <c r="S945" s="11"/>
    </row>
    <row r="946" spans="1:19" ht="15.75">
      <c r="A946" s="13">
        <v>70310</v>
      </c>
      <c r="B946" s="8">
        <f>CHOOSE( CONTROL!$C$32, 33.2023, 33.1999) * CHOOSE(CONTROL!$C$15, $D$11, 100%, $F$11)</f>
        <v>33.202300000000001</v>
      </c>
      <c r="C946" s="8">
        <f>CHOOSE( CONTROL!$C$32, 33.2104, 33.208) * CHOOSE(CONTROL!$C$15, $D$11, 100%, $F$11)</f>
        <v>33.2104</v>
      </c>
      <c r="D946" s="8">
        <f>CHOOSE( CONTROL!$C$32, 33.2358, 33.2334) * CHOOSE( CONTROL!$C$15, $D$11, 100%, $F$11)</f>
        <v>33.235799999999998</v>
      </c>
      <c r="E946" s="12">
        <f>CHOOSE( CONTROL!$C$32, 33.2254, 33.223) * CHOOSE( CONTROL!$C$15, $D$11, 100%, $F$11)</f>
        <v>33.2254</v>
      </c>
      <c r="F946" s="4">
        <f>CHOOSE( CONTROL!$C$32, 33.9157, 33.9134) * CHOOSE(CONTROL!$C$15, $D$11, 100%, $F$11)</f>
        <v>33.915700000000001</v>
      </c>
      <c r="G946" s="8">
        <f>CHOOSE( CONTROL!$C$32, 32.4124, 32.4101) * CHOOSE( CONTROL!$C$15, $D$11, 100%, $F$11)</f>
        <v>32.412399999999998</v>
      </c>
      <c r="H946" s="4">
        <f>CHOOSE( CONTROL!$C$32, 33.3604, 33.3581) * CHOOSE(CONTROL!$C$15, $D$11, 100%, $F$11)</f>
        <v>33.360399999999998</v>
      </c>
      <c r="I946" s="8">
        <f>CHOOSE( CONTROL!$C$32, 31.9749, 31.9727) * CHOOSE(CONTROL!$C$15, $D$11, 100%, $F$11)</f>
        <v>31.974900000000002</v>
      </c>
      <c r="J946" s="4">
        <f>CHOOSE( CONTROL!$C$32, 31.8483, 31.846) * CHOOSE(CONTROL!$C$15, $D$11, 100%, $F$11)</f>
        <v>31.848299999999998</v>
      </c>
      <c r="K946" s="4"/>
      <c r="L946" s="9">
        <v>29.7257</v>
      </c>
      <c r="M946" s="9">
        <v>11.6745</v>
      </c>
      <c r="N946" s="9">
        <v>4.7850000000000001</v>
      </c>
      <c r="O946" s="9">
        <v>0.36199999999999999</v>
      </c>
      <c r="P946" s="9">
        <v>1.1791</v>
      </c>
      <c r="Q946" s="9">
        <v>19.053000000000001</v>
      </c>
      <c r="R946" s="9"/>
      <c r="S946" s="11"/>
    </row>
    <row r="947" spans="1:19" ht="15.75">
      <c r="A947" s="13">
        <v>70341</v>
      </c>
      <c r="B947" s="8">
        <f>CHOOSE( CONTROL!$C$32, 34.6296, 34.6272) * CHOOSE(CONTROL!$C$15, $D$11, 100%, $F$11)</f>
        <v>34.629600000000003</v>
      </c>
      <c r="C947" s="8">
        <f>CHOOSE( CONTROL!$C$32, 34.6377, 34.6353) * CHOOSE(CONTROL!$C$15, $D$11, 100%, $F$11)</f>
        <v>34.637700000000002</v>
      </c>
      <c r="D947" s="8">
        <f>CHOOSE( CONTROL!$C$32, 34.6633, 34.661) * CHOOSE( CONTROL!$C$15, $D$11, 100%, $F$11)</f>
        <v>34.6633</v>
      </c>
      <c r="E947" s="12">
        <f>CHOOSE( CONTROL!$C$32, 34.6528, 34.6505) * CHOOSE( CONTROL!$C$15, $D$11, 100%, $F$11)</f>
        <v>34.652799999999999</v>
      </c>
      <c r="F947" s="4">
        <f>CHOOSE( CONTROL!$C$32, 35.343, 35.3407) * CHOOSE(CONTROL!$C$15, $D$11, 100%, $F$11)</f>
        <v>35.343000000000004</v>
      </c>
      <c r="G947" s="8">
        <f>CHOOSE( CONTROL!$C$32, 33.8068, 33.8045) * CHOOSE( CONTROL!$C$15, $D$11, 100%, $F$11)</f>
        <v>33.806800000000003</v>
      </c>
      <c r="H947" s="4">
        <f>CHOOSE( CONTROL!$C$32, 34.7544, 34.7521) * CHOOSE(CONTROL!$C$15, $D$11, 100%, $F$11)</f>
        <v>34.754399999999997</v>
      </c>
      <c r="I947" s="8">
        <f>CHOOSE( CONTROL!$C$32, 33.3472, 33.3449) * CHOOSE(CONTROL!$C$15, $D$11, 100%, $F$11)</f>
        <v>33.347200000000001</v>
      </c>
      <c r="J947" s="4">
        <f>CHOOSE( CONTROL!$C$32, 33.2186, 33.2164) * CHOOSE(CONTROL!$C$15, $D$11, 100%, $F$11)</f>
        <v>33.218600000000002</v>
      </c>
      <c r="K947" s="4"/>
      <c r="L947" s="9">
        <v>30.7165</v>
      </c>
      <c r="M947" s="9">
        <v>12.063700000000001</v>
      </c>
      <c r="N947" s="9">
        <v>4.9444999999999997</v>
      </c>
      <c r="O947" s="9">
        <v>0.37409999999999999</v>
      </c>
      <c r="P947" s="9">
        <v>1.2183999999999999</v>
      </c>
      <c r="Q947" s="9">
        <v>19.688099999999999</v>
      </c>
      <c r="R947" s="9"/>
      <c r="S947" s="11"/>
    </row>
    <row r="948" spans="1:19" ht="15.75">
      <c r="A948" s="13">
        <v>70372</v>
      </c>
      <c r="B948" s="8">
        <f>CHOOSE( CONTROL!$C$32, 31.9589, 31.9566) * CHOOSE(CONTROL!$C$15, $D$11, 100%, $F$11)</f>
        <v>31.9589</v>
      </c>
      <c r="C948" s="8">
        <f>CHOOSE( CONTROL!$C$32, 31.967, 31.9647) * CHOOSE(CONTROL!$C$15, $D$11, 100%, $F$11)</f>
        <v>31.966999999999999</v>
      </c>
      <c r="D948" s="8">
        <f>CHOOSE( CONTROL!$C$32, 31.9928, 31.9904) * CHOOSE( CONTROL!$C$15, $D$11, 100%, $F$11)</f>
        <v>31.992799999999999</v>
      </c>
      <c r="E948" s="12">
        <f>CHOOSE( CONTROL!$C$32, 31.9822, 31.9799) * CHOOSE( CONTROL!$C$15, $D$11, 100%, $F$11)</f>
        <v>31.982199999999999</v>
      </c>
      <c r="F948" s="4">
        <f>CHOOSE( CONTROL!$C$32, 32.6724, 32.67) * CHOOSE(CONTROL!$C$15, $D$11, 100%, $F$11)</f>
        <v>32.672400000000003</v>
      </c>
      <c r="G948" s="8">
        <f>CHOOSE( CONTROL!$C$32, 31.1985, 31.1962) * CHOOSE( CONTROL!$C$15, $D$11, 100%, $F$11)</f>
        <v>31.198499999999999</v>
      </c>
      <c r="H948" s="4">
        <f>CHOOSE( CONTROL!$C$32, 32.146, 32.1437) * CHOOSE(CONTROL!$C$15, $D$11, 100%, $F$11)</f>
        <v>32.146000000000001</v>
      </c>
      <c r="I948" s="8">
        <f>CHOOSE( CONTROL!$C$32, 30.7822, 30.78) * CHOOSE(CONTROL!$C$15, $D$11, 100%, $F$11)</f>
        <v>30.7822</v>
      </c>
      <c r="J948" s="4">
        <f>CHOOSE( CONTROL!$C$32, 30.6546, 30.6523) * CHOOSE(CONTROL!$C$15, $D$11, 100%, $F$11)</f>
        <v>30.654599999999999</v>
      </c>
      <c r="K948" s="4"/>
      <c r="L948" s="9">
        <v>30.7165</v>
      </c>
      <c r="M948" s="9">
        <v>12.063700000000001</v>
      </c>
      <c r="N948" s="9">
        <v>4.9444999999999997</v>
      </c>
      <c r="O948" s="9">
        <v>0.37409999999999999</v>
      </c>
      <c r="P948" s="9">
        <v>1.2183999999999999</v>
      </c>
      <c r="Q948" s="9">
        <v>19.688099999999999</v>
      </c>
      <c r="R948" s="9"/>
      <c r="S948" s="11"/>
    </row>
    <row r="949" spans="1:19" ht="15.75">
      <c r="A949" s="13">
        <v>70402</v>
      </c>
      <c r="B949" s="8">
        <f>CHOOSE( CONTROL!$C$32, 31.2902, 31.2878) * CHOOSE(CONTROL!$C$15, $D$11, 100%, $F$11)</f>
        <v>31.290199999999999</v>
      </c>
      <c r="C949" s="8">
        <f>CHOOSE( CONTROL!$C$32, 31.2983, 31.2959) * CHOOSE(CONTROL!$C$15, $D$11, 100%, $F$11)</f>
        <v>31.298300000000001</v>
      </c>
      <c r="D949" s="8">
        <f>CHOOSE( CONTROL!$C$32, 31.324, 31.3216) * CHOOSE( CONTROL!$C$15, $D$11, 100%, $F$11)</f>
        <v>31.324000000000002</v>
      </c>
      <c r="E949" s="12">
        <f>CHOOSE( CONTROL!$C$32, 31.3135, 31.3111) * CHOOSE( CONTROL!$C$15, $D$11, 100%, $F$11)</f>
        <v>31.313500000000001</v>
      </c>
      <c r="F949" s="4">
        <f>CHOOSE( CONTROL!$C$32, 32.0036, 32.0013) * CHOOSE(CONTROL!$C$15, $D$11, 100%, $F$11)</f>
        <v>32.003599999999999</v>
      </c>
      <c r="G949" s="8">
        <f>CHOOSE( CONTROL!$C$32, 30.5453, 30.543) * CHOOSE( CONTROL!$C$15, $D$11, 100%, $F$11)</f>
        <v>30.545300000000001</v>
      </c>
      <c r="H949" s="4">
        <f>CHOOSE( CONTROL!$C$32, 31.4928, 31.4905) * CHOOSE(CONTROL!$C$15, $D$11, 100%, $F$11)</f>
        <v>31.492799999999999</v>
      </c>
      <c r="I949" s="8">
        <f>CHOOSE( CONTROL!$C$32, 30.1397, 30.1375) * CHOOSE(CONTROL!$C$15, $D$11, 100%, $F$11)</f>
        <v>30.139700000000001</v>
      </c>
      <c r="J949" s="4">
        <f>CHOOSE( CONTROL!$C$32, 30.0125, 30.0102) * CHOOSE(CONTROL!$C$15, $D$11, 100%, $F$11)</f>
        <v>30.012499999999999</v>
      </c>
      <c r="K949" s="4"/>
      <c r="L949" s="9">
        <v>29.7257</v>
      </c>
      <c r="M949" s="9">
        <v>11.6745</v>
      </c>
      <c r="N949" s="9">
        <v>4.7850000000000001</v>
      </c>
      <c r="O949" s="9">
        <v>0.36199999999999999</v>
      </c>
      <c r="P949" s="9">
        <v>1.1791</v>
      </c>
      <c r="Q949" s="9">
        <v>19.053000000000001</v>
      </c>
      <c r="R949" s="9"/>
      <c r="S949" s="11"/>
    </row>
    <row r="950" spans="1:19" ht="15.75">
      <c r="A950" s="13">
        <v>70433</v>
      </c>
      <c r="B950" s="8">
        <f>32.6747 * CHOOSE(CONTROL!$C$15, $D$11, 100%, $F$11)</f>
        <v>32.674700000000001</v>
      </c>
      <c r="C950" s="8">
        <f>32.6801 * CHOOSE(CONTROL!$C$15, $D$11, 100%, $F$11)</f>
        <v>32.680100000000003</v>
      </c>
      <c r="D950" s="8">
        <f>32.7109 * CHOOSE( CONTROL!$C$15, $D$11, 100%, $F$11)</f>
        <v>32.710900000000002</v>
      </c>
      <c r="E950" s="12">
        <f>32.7002 * CHOOSE( CONTROL!$C$15, $D$11, 100%, $F$11)</f>
        <v>32.700200000000002</v>
      </c>
      <c r="F950" s="4">
        <f>33.3898 * CHOOSE(CONTROL!$C$15, $D$11, 100%, $F$11)</f>
        <v>33.389800000000001</v>
      </c>
      <c r="G950" s="8">
        <f>31.899 * CHOOSE( CONTROL!$C$15, $D$11, 100%, $F$11)</f>
        <v>31.899000000000001</v>
      </c>
      <c r="H950" s="4">
        <f>32.8468 * CHOOSE(CONTROL!$C$15, $D$11, 100%, $F$11)</f>
        <v>32.846800000000002</v>
      </c>
      <c r="I950" s="8">
        <f>31.4721 * CHOOSE(CONTROL!$C$15, $D$11, 100%, $F$11)</f>
        <v>31.472100000000001</v>
      </c>
      <c r="J950" s="4">
        <f>31.3434 * CHOOSE(CONTROL!$C$15, $D$11, 100%, $F$11)</f>
        <v>31.343399999999999</v>
      </c>
      <c r="K950" s="4"/>
      <c r="L950" s="9">
        <v>31.095300000000002</v>
      </c>
      <c r="M950" s="9">
        <v>12.063700000000001</v>
      </c>
      <c r="N950" s="9">
        <v>4.9444999999999997</v>
      </c>
      <c r="O950" s="9">
        <v>0.37409999999999999</v>
      </c>
      <c r="P950" s="9">
        <v>1.2183999999999999</v>
      </c>
      <c r="Q950" s="9">
        <v>19.688099999999999</v>
      </c>
      <c r="R950" s="9"/>
      <c r="S950" s="11"/>
    </row>
    <row r="951" spans="1:19" ht="15.75">
      <c r="A951" s="13">
        <v>70463</v>
      </c>
      <c r="B951" s="8">
        <f>35.2373 * CHOOSE(CONTROL!$C$15, $D$11, 100%, $F$11)</f>
        <v>35.237299999999998</v>
      </c>
      <c r="C951" s="8">
        <f>35.2425 * CHOOSE(CONTROL!$C$15, $D$11, 100%, $F$11)</f>
        <v>35.2425</v>
      </c>
      <c r="D951" s="8">
        <f>35.2255 * CHOOSE( CONTROL!$C$15, $D$11, 100%, $F$11)</f>
        <v>35.225499999999997</v>
      </c>
      <c r="E951" s="12">
        <f>35.2312 * CHOOSE( CONTROL!$C$15, $D$11, 100%, $F$11)</f>
        <v>35.231200000000001</v>
      </c>
      <c r="F951" s="4">
        <f>35.8878 * CHOOSE(CONTROL!$C$15, $D$11, 100%, $F$11)</f>
        <v>35.887799999999999</v>
      </c>
      <c r="G951" s="8">
        <f>34.4085 * CHOOSE( CONTROL!$C$15, $D$11, 100%, $F$11)</f>
        <v>34.408499999999997</v>
      </c>
      <c r="H951" s="4">
        <f>35.2865 * CHOOSE(CONTROL!$C$15, $D$11, 100%, $F$11)</f>
        <v>35.286499999999997</v>
      </c>
      <c r="I951" s="8">
        <f>33.9759 * CHOOSE(CONTROL!$C$15, $D$11, 100%, $F$11)</f>
        <v>33.975900000000003</v>
      </c>
      <c r="J951" s="4">
        <f>33.8041 * CHOOSE(CONTROL!$C$15, $D$11, 100%, $F$11)</f>
        <v>33.804099999999998</v>
      </c>
      <c r="K951" s="4"/>
      <c r="L951" s="9">
        <v>28.360600000000002</v>
      </c>
      <c r="M951" s="9">
        <v>11.6745</v>
      </c>
      <c r="N951" s="9">
        <v>4.7850000000000001</v>
      </c>
      <c r="O951" s="9">
        <v>0.36199999999999999</v>
      </c>
      <c r="P951" s="9">
        <v>1.2509999999999999</v>
      </c>
      <c r="Q951" s="9">
        <v>19.053000000000001</v>
      </c>
      <c r="R951" s="9"/>
      <c r="S951" s="11"/>
    </row>
    <row r="952" spans="1:19" ht="15.75">
      <c r="A952" s="13">
        <v>70494</v>
      </c>
      <c r="B952" s="8">
        <f>35.1733 * CHOOSE(CONTROL!$C$15, $D$11, 100%, $F$11)</f>
        <v>35.173299999999998</v>
      </c>
      <c r="C952" s="8">
        <f>35.1784 * CHOOSE(CONTROL!$C$15, $D$11, 100%, $F$11)</f>
        <v>35.178400000000003</v>
      </c>
      <c r="D952" s="8">
        <f>35.1629 * CHOOSE( CONTROL!$C$15, $D$11, 100%, $F$11)</f>
        <v>35.1629</v>
      </c>
      <c r="E952" s="12">
        <f>35.168 * CHOOSE( CONTROL!$C$15, $D$11, 100%, $F$11)</f>
        <v>35.167999999999999</v>
      </c>
      <c r="F952" s="4">
        <f>35.8237 * CHOOSE(CONTROL!$C$15, $D$11, 100%, $F$11)</f>
        <v>35.823700000000002</v>
      </c>
      <c r="G952" s="8">
        <f>34.347 * CHOOSE( CONTROL!$C$15, $D$11, 100%, $F$11)</f>
        <v>34.347000000000001</v>
      </c>
      <c r="H952" s="4">
        <f>35.2239 * CHOOSE(CONTROL!$C$15, $D$11, 100%, $F$11)</f>
        <v>35.2239</v>
      </c>
      <c r="I952" s="8">
        <f>33.9191 * CHOOSE(CONTROL!$C$15, $D$11, 100%, $F$11)</f>
        <v>33.9191</v>
      </c>
      <c r="J952" s="4">
        <f>33.7427 * CHOOSE(CONTROL!$C$15, $D$11, 100%, $F$11)</f>
        <v>33.742699999999999</v>
      </c>
      <c r="K952" s="4"/>
      <c r="L952" s="9">
        <v>29.306000000000001</v>
      </c>
      <c r="M952" s="9">
        <v>12.063700000000001</v>
      </c>
      <c r="N952" s="9">
        <v>4.9444999999999997</v>
      </c>
      <c r="O952" s="9">
        <v>0.37409999999999999</v>
      </c>
      <c r="P952" s="9">
        <v>1.2927</v>
      </c>
      <c r="Q952" s="9">
        <v>19.688099999999999</v>
      </c>
      <c r="R952" s="9"/>
      <c r="S952" s="11"/>
    </row>
    <row r="953" spans="1:19" ht="15.75">
      <c r="A953" s="13">
        <v>70525</v>
      </c>
      <c r="B953" s="8">
        <f>36.2099 * CHOOSE(CONTROL!$C$15, $D$11, 100%, $F$11)</f>
        <v>36.209899999999998</v>
      </c>
      <c r="C953" s="8">
        <f>36.2151 * CHOOSE(CONTROL!$C$15, $D$11, 100%, $F$11)</f>
        <v>36.2151</v>
      </c>
      <c r="D953" s="8">
        <f>36.1953 * CHOOSE( CONTROL!$C$15, $D$11, 100%, $F$11)</f>
        <v>36.195300000000003</v>
      </c>
      <c r="E953" s="12">
        <f>36.202 * CHOOSE( CONTROL!$C$15, $D$11, 100%, $F$11)</f>
        <v>36.201999999999998</v>
      </c>
      <c r="F953" s="4">
        <f>36.8604 * CHOOSE(CONTROL!$C$15, $D$11, 100%, $F$11)</f>
        <v>36.860399999999998</v>
      </c>
      <c r="G953" s="8">
        <f>35.3502 * CHOOSE( CONTROL!$C$15, $D$11, 100%, $F$11)</f>
        <v>35.350200000000001</v>
      </c>
      <c r="H953" s="4">
        <f>36.2364 * CHOOSE(CONTROL!$C$15, $D$11, 100%, $F$11)</f>
        <v>36.236400000000003</v>
      </c>
      <c r="I953" s="8">
        <f>34.874 * CHOOSE(CONTROL!$C$15, $D$11, 100%, $F$11)</f>
        <v>34.874000000000002</v>
      </c>
      <c r="J953" s="4">
        <f>34.738 * CHOOSE(CONTROL!$C$15, $D$11, 100%, $F$11)</f>
        <v>34.738</v>
      </c>
      <c r="K953" s="4"/>
      <c r="L953" s="9">
        <v>29.306000000000001</v>
      </c>
      <c r="M953" s="9">
        <v>12.063700000000001</v>
      </c>
      <c r="N953" s="9">
        <v>4.9444999999999997</v>
      </c>
      <c r="O953" s="9">
        <v>0.37409999999999999</v>
      </c>
      <c r="P953" s="9">
        <v>1.2927</v>
      </c>
      <c r="Q953" s="9">
        <v>19.688099999999999</v>
      </c>
      <c r="R953" s="9"/>
      <c r="S953" s="11"/>
    </row>
    <row r="954" spans="1:19" ht="15.75">
      <c r="A954" s="13">
        <v>70553</v>
      </c>
      <c r="B954" s="8">
        <f>33.8708 * CHOOSE(CONTROL!$C$15, $D$11, 100%, $F$11)</f>
        <v>33.870800000000003</v>
      </c>
      <c r="C954" s="8">
        <f>33.876 * CHOOSE(CONTROL!$C$15, $D$11, 100%, $F$11)</f>
        <v>33.875999999999998</v>
      </c>
      <c r="D954" s="8">
        <f>33.8561 * CHOOSE( CONTROL!$C$15, $D$11, 100%, $F$11)</f>
        <v>33.856099999999998</v>
      </c>
      <c r="E954" s="12">
        <f>33.8628 * CHOOSE( CONTROL!$C$15, $D$11, 100%, $F$11)</f>
        <v>33.8628</v>
      </c>
      <c r="F954" s="4">
        <f>34.5213 * CHOOSE(CONTROL!$C$15, $D$11, 100%, $F$11)</f>
        <v>34.521299999999997</v>
      </c>
      <c r="G954" s="8">
        <f>33.0656 * CHOOSE( CONTROL!$C$15, $D$11, 100%, $F$11)</f>
        <v>33.065600000000003</v>
      </c>
      <c r="H954" s="4">
        <f>33.9519 * CHOOSE(CONTROL!$C$15, $D$11, 100%, $F$11)</f>
        <v>33.951900000000002</v>
      </c>
      <c r="I954" s="8">
        <f>32.627 * CHOOSE(CONTROL!$C$15, $D$11, 100%, $F$11)</f>
        <v>32.627000000000002</v>
      </c>
      <c r="J954" s="4">
        <f>32.4922 * CHOOSE(CONTROL!$C$15, $D$11, 100%, $F$11)</f>
        <v>32.492199999999997</v>
      </c>
      <c r="K954" s="4"/>
      <c r="L954" s="9">
        <v>26.469899999999999</v>
      </c>
      <c r="M954" s="9">
        <v>10.8962</v>
      </c>
      <c r="N954" s="9">
        <v>4.4660000000000002</v>
      </c>
      <c r="O954" s="9">
        <v>0.33789999999999998</v>
      </c>
      <c r="P954" s="9">
        <v>1.1676</v>
      </c>
      <c r="Q954" s="9">
        <v>17.782800000000002</v>
      </c>
      <c r="R954" s="9"/>
      <c r="S954" s="11"/>
    </row>
    <row r="955" spans="1:19" ht="15.75">
      <c r="A955" s="13">
        <v>70584</v>
      </c>
      <c r="B955" s="8">
        <f>33.1504 * CHOOSE(CONTROL!$C$15, $D$11, 100%, $F$11)</f>
        <v>33.150399999999998</v>
      </c>
      <c r="C955" s="8">
        <f>33.1556 * CHOOSE(CONTROL!$C$15, $D$11, 100%, $F$11)</f>
        <v>33.1556</v>
      </c>
      <c r="D955" s="8">
        <f>33.1354 * CHOOSE( CONTROL!$C$15, $D$11, 100%, $F$11)</f>
        <v>33.135399999999997</v>
      </c>
      <c r="E955" s="12">
        <f>33.1422 * CHOOSE( CONTROL!$C$15, $D$11, 100%, $F$11)</f>
        <v>33.142200000000003</v>
      </c>
      <c r="F955" s="4">
        <f>33.8009 * CHOOSE(CONTROL!$C$15, $D$11, 100%, $F$11)</f>
        <v>33.800899999999999</v>
      </c>
      <c r="G955" s="8">
        <f>32.3617 * CHOOSE( CONTROL!$C$15, $D$11, 100%, $F$11)</f>
        <v>32.361699999999999</v>
      </c>
      <c r="H955" s="4">
        <f>33.2482 * CHOOSE(CONTROL!$C$15, $D$11, 100%, $F$11)</f>
        <v>33.248199999999997</v>
      </c>
      <c r="I955" s="8">
        <f>31.9339 * CHOOSE(CONTROL!$C$15, $D$11, 100%, $F$11)</f>
        <v>31.933900000000001</v>
      </c>
      <c r="J955" s="4">
        <f>31.8005 * CHOOSE(CONTROL!$C$15, $D$11, 100%, $F$11)</f>
        <v>31.8005</v>
      </c>
      <c r="K955" s="4"/>
      <c r="L955" s="9">
        <v>29.306000000000001</v>
      </c>
      <c r="M955" s="9">
        <v>12.063700000000001</v>
      </c>
      <c r="N955" s="9">
        <v>4.9444999999999997</v>
      </c>
      <c r="O955" s="9">
        <v>0.37409999999999999</v>
      </c>
      <c r="P955" s="9">
        <v>1.2927</v>
      </c>
      <c r="Q955" s="9">
        <v>19.688099999999999</v>
      </c>
      <c r="R955" s="9"/>
      <c r="S955" s="11"/>
    </row>
    <row r="956" spans="1:19" ht="15.75">
      <c r="A956" s="13">
        <v>70614</v>
      </c>
      <c r="B956" s="8">
        <f>33.6546 * CHOOSE(CONTROL!$C$15, $D$11, 100%, $F$11)</f>
        <v>33.654600000000002</v>
      </c>
      <c r="C956" s="8">
        <f>33.6592 * CHOOSE(CONTROL!$C$15, $D$11, 100%, $F$11)</f>
        <v>33.659199999999998</v>
      </c>
      <c r="D956" s="8">
        <f>33.6897 * CHOOSE( CONTROL!$C$15, $D$11, 100%, $F$11)</f>
        <v>33.689700000000002</v>
      </c>
      <c r="E956" s="12">
        <f>33.6791 * CHOOSE( CONTROL!$C$15, $D$11, 100%, $F$11)</f>
        <v>33.679099999999998</v>
      </c>
      <c r="F956" s="4">
        <f>34.3694 * CHOOSE(CONTROL!$C$15, $D$11, 100%, $F$11)</f>
        <v>34.369399999999999</v>
      </c>
      <c r="G956" s="8">
        <f>32.8546 * CHOOSE( CONTROL!$C$15, $D$11, 100%, $F$11)</f>
        <v>32.854599999999998</v>
      </c>
      <c r="H956" s="4">
        <f>33.8035 * CHOOSE(CONTROL!$C$15, $D$11, 100%, $F$11)</f>
        <v>33.8035</v>
      </c>
      <c r="I956" s="8">
        <f>32.4095 * CHOOSE(CONTROL!$C$15, $D$11, 100%, $F$11)</f>
        <v>32.409500000000001</v>
      </c>
      <c r="J956" s="4">
        <f>32.2839 * CHOOSE(CONTROL!$C$15, $D$11, 100%, $F$11)</f>
        <v>32.283900000000003</v>
      </c>
      <c r="K956" s="4"/>
      <c r="L956" s="9">
        <v>30.092199999999998</v>
      </c>
      <c r="M956" s="9">
        <v>11.6745</v>
      </c>
      <c r="N956" s="9">
        <v>4.7850000000000001</v>
      </c>
      <c r="O956" s="9">
        <v>0.36199999999999999</v>
      </c>
      <c r="P956" s="9">
        <v>1.1791</v>
      </c>
      <c r="Q956" s="9">
        <v>19.053000000000001</v>
      </c>
      <c r="R956" s="9"/>
      <c r="S956" s="11"/>
    </row>
    <row r="957" spans="1:19" ht="15.75">
      <c r="A957" s="13">
        <v>70645</v>
      </c>
      <c r="B957" s="8">
        <f>CHOOSE( CONTROL!$C$32, 34.5543, 34.5519) * CHOOSE(CONTROL!$C$15, $D$11, 100%, $F$11)</f>
        <v>34.554299999999998</v>
      </c>
      <c r="C957" s="8">
        <f>CHOOSE( CONTROL!$C$32, 34.5624, 34.56) * CHOOSE(CONTROL!$C$15, $D$11, 100%, $F$11)</f>
        <v>34.562399999999997</v>
      </c>
      <c r="D957" s="8">
        <f>CHOOSE( CONTROL!$C$32, 34.5876, 34.5852) * CHOOSE( CONTROL!$C$15, $D$11, 100%, $F$11)</f>
        <v>34.587600000000002</v>
      </c>
      <c r="E957" s="12">
        <f>CHOOSE( CONTROL!$C$32, 34.5772, 34.5748) * CHOOSE( CONTROL!$C$15, $D$11, 100%, $F$11)</f>
        <v>34.577199999999998</v>
      </c>
      <c r="F957" s="4">
        <f>CHOOSE( CONTROL!$C$32, 35.2677, 35.2654) * CHOOSE(CONTROL!$C$15, $D$11, 100%, $F$11)</f>
        <v>35.267699999999998</v>
      </c>
      <c r="G957" s="8">
        <f>CHOOSE( CONTROL!$C$32, 33.7326, 33.7303) * CHOOSE( CONTROL!$C$15, $D$11, 100%, $F$11)</f>
        <v>33.732599999999998</v>
      </c>
      <c r="H957" s="4">
        <f>CHOOSE( CONTROL!$C$32, 34.6809, 34.6786) * CHOOSE(CONTROL!$C$15, $D$11, 100%, $F$11)</f>
        <v>34.680900000000001</v>
      </c>
      <c r="I957" s="8">
        <f>CHOOSE( CONTROL!$C$32, 33.2727, 33.2704) * CHOOSE(CONTROL!$C$15, $D$11, 100%, $F$11)</f>
        <v>33.2727</v>
      </c>
      <c r="J957" s="4">
        <f>CHOOSE( CONTROL!$C$32, 33.1463, 33.1441) * CHOOSE(CONTROL!$C$15, $D$11, 100%, $F$11)</f>
        <v>33.146299999999997</v>
      </c>
      <c r="K957" s="4"/>
      <c r="L957" s="9">
        <v>30.7165</v>
      </c>
      <c r="M957" s="9">
        <v>12.063700000000001</v>
      </c>
      <c r="N957" s="9">
        <v>4.9444999999999997</v>
      </c>
      <c r="O957" s="9">
        <v>0.37409999999999999</v>
      </c>
      <c r="P957" s="9">
        <v>1.2183999999999999</v>
      </c>
      <c r="Q957" s="9">
        <v>19.688099999999999</v>
      </c>
      <c r="R957" s="9"/>
      <c r="S957" s="11"/>
    </row>
    <row r="958" spans="1:19" ht="15.75">
      <c r="A958" s="13">
        <v>70675</v>
      </c>
      <c r="B958" s="8">
        <f>CHOOSE( CONTROL!$C$32, 33.9993, 33.9969) * CHOOSE(CONTROL!$C$15, $D$11, 100%, $F$11)</f>
        <v>33.999299999999998</v>
      </c>
      <c r="C958" s="8">
        <f>CHOOSE( CONTROL!$C$32, 34.0073, 34.005) * CHOOSE(CONTROL!$C$15, $D$11, 100%, $F$11)</f>
        <v>34.007300000000001</v>
      </c>
      <c r="D958" s="8">
        <f>CHOOSE( CONTROL!$C$32, 34.0327, 34.0304) * CHOOSE( CONTROL!$C$15, $D$11, 100%, $F$11)</f>
        <v>34.032699999999998</v>
      </c>
      <c r="E958" s="12">
        <f>CHOOSE( CONTROL!$C$32, 34.0223, 34.02) * CHOOSE( CONTROL!$C$15, $D$11, 100%, $F$11)</f>
        <v>34.022300000000001</v>
      </c>
      <c r="F958" s="4">
        <f>CHOOSE( CONTROL!$C$32, 34.7127, 34.7103) * CHOOSE(CONTROL!$C$15, $D$11, 100%, $F$11)</f>
        <v>34.712699999999998</v>
      </c>
      <c r="G958" s="8">
        <f>CHOOSE( CONTROL!$C$32, 33.1908, 33.1885) * CHOOSE( CONTROL!$C$15, $D$11, 100%, $F$11)</f>
        <v>33.190800000000003</v>
      </c>
      <c r="H958" s="4">
        <f>CHOOSE( CONTROL!$C$32, 34.1388, 34.1365) * CHOOSE(CONTROL!$C$15, $D$11, 100%, $F$11)</f>
        <v>34.138800000000003</v>
      </c>
      <c r="I958" s="8">
        <f>CHOOSE( CONTROL!$C$32, 32.7405, 32.7383) * CHOOSE(CONTROL!$C$15, $D$11, 100%, $F$11)</f>
        <v>32.740499999999997</v>
      </c>
      <c r="J958" s="4">
        <f>CHOOSE( CONTROL!$C$32, 32.6135, 32.6112) * CHOOSE(CONTROL!$C$15, $D$11, 100%, $F$11)</f>
        <v>32.613500000000002</v>
      </c>
      <c r="K958" s="4"/>
      <c r="L958" s="9">
        <v>29.7257</v>
      </c>
      <c r="M958" s="9">
        <v>11.6745</v>
      </c>
      <c r="N958" s="9">
        <v>4.7850000000000001</v>
      </c>
      <c r="O958" s="9">
        <v>0.36199999999999999</v>
      </c>
      <c r="P958" s="9">
        <v>1.1791</v>
      </c>
      <c r="Q958" s="9">
        <v>19.053000000000001</v>
      </c>
      <c r="R958" s="9"/>
      <c r="S958" s="11"/>
    </row>
    <row r="959" spans="1:19" ht="15.75">
      <c r="A959" s="13">
        <v>70706</v>
      </c>
      <c r="B959" s="8">
        <f>CHOOSE( CONTROL!$C$32, 35.4608, 35.4585) * CHOOSE(CONTROL!$C$15, $D$11, 100%, $F$11)</f>
        <v>35.460799999999999</v>
      </c>
      <c r="C959" s="8">
        <f>CHOOSE( CONTROL!$C$32, 35.4689, 35.4666) * CHOOSE(CONTROL!$C$15, $D$11, 100%, $F$11)</f>
        <v>35.468899999999998</v>
      </c>
      <c r="D959" s="8">
        <f>CHOOSE( CONTROL!$C$32, 35.4946, 35.4922) * CHOOSE( CONTROL!$C$15, $D$11, 100%, $F$11)</f>
        <v>35.494599999999998</v>
      </c>
      <c r="E959" s="12">
        <f>CHOOSE( CONTROL!$C$32, 35.4841, 35.4817) * CHOOSE( CONTROL!$C$15, $D$11, 100%, $F$11)</f>
        <v>35.484099999999998</v>
      </c>
      <c r="F959" s="4">
        <f>CHOOSE( CONTROL!$C$32, 36.1743, 36.1719) * CHOOSE(CONTROL!$C$15, $D$11, 100%, $F$11)</f>
        <v>36.174300000000002</v>
      </c>
      <c r="G959" s="8">
        <f>CHOOSE( CONTROL!$C$32, 34.6187, 34.6164) * CHOOSE( CONTROL!$C$15, $D$11, 100%, $F$11)</f>
        <v>34.618699999999997</v>
      </c>
      <c r="H959" s="4">
        <f>CHOOSE( CONTROL!$C$32, 35.5663, 35.564) * CHOOSE(CONTROL!$C$15, $D$11, 100%, $F$11)</f>
        <v>35.566299999999998</v>
      </c>
      <c r="I959" s="8">
        <f>CHOOSE( CONTROL!$C$32, 34.1457, 34.1434) * CHOOSE(CONTROL!$C$15, $D$11, 100%, $F$11)</f>
        <v>34.145699999999998</v>
      </c>
      <c r="J959" s="4">
        <f>CHOOSE( CONTROL!$C$32, 34.0167, 34.0145) * CHOOSE(CONTROL!$C$15, $D$11, 100%, $F$11)</f>
        <v>34.0167</v>
      </c>
      <c r="K959" s="4"/>
      <c r="L959" s="9">
        <v>30.7165</v>
      </c>
      <c r="M959" s="9">
        <v>12.063700000000001</v>
      </c>
      <c r="N959" s="9">
        <v>4.9444999999999997</v>
      </c>
      <c r="O959" s="9">
        <v>0.37409999999999999</v>
      </c>
      <c r="P959" s="9">
        <v>1.2183999999999999</v>
      </c>
      <c r="Q959" s="9">
        <v>19.688099999999999</v>
      </c>
      <c r="R959" s="9"/>
      <c r="S959" s="11"/>
    </row>
    <row r="960" spans="1:19" ht="15.75">
      <c r="A960" s="13">
        <v>70737</v>
      </c>
      <c r="B960" s="8">
        <f>CHOOSE( CONTROL!$C$32, 32.7261, 32.7237) * CHOOSE(CONTROL!$C$15, $D$11, 100%, $F$11)</f>
        <v>32.726100000000002</v>
      </c>
      <c r="C960" s="8">
        <f>CHOOSE( CONTROL!$C$32, 32.7341, 32.7318) * CHOOSE(CONTROL!$C$15, $D$11, 100%, $F$11)</f>
        <v>32.734099999999998</v>
      </c>
      <c r="D960" s="8">
        <f>CHOOSE( CONTROL!$C$32, 32.7599, 32.7575) * CHOOSE( CONTROL!$C$15, $D$11, 100%, $F$11)</f>
        <v>32.759900000000002</v>
      </c>
      <c r="E960" s="12">
        <f>CHOOSE( CONTROL!$C$32, 32.7493, 32.747) * CHOOSE( CONTROL!$C$15, $D$11, 100%, $F$11)</f>
        <v>32.749299999999998</v>
      </c>
      <c r="F960" s="4">
        <f>CHOOSE( CONTROL!$C$32, 33.4395, 33.4371) * CHOOSE(CONTROL!$C$15, $D$11, 100%, $F$11)</f>
        <v>33.439500000000002</v>
      </c>
      <c r="G960" s="8">
        <f>CHOOSE( CONTROL!$C$32, 31.9477, 31.9454) * CHOOSE( CONTROL!$C$15, $D$11, 100%, $F$11)</f>
        <v>31.947700000000001</v>
      </c>
      <c r="H960" s="4">
        <f>CHOOSE( CONTROL!$C$32, 32.8952, 32.8929) * CHOOSE(CONTROL!$C$15, $D$11, 100%, $F$11)</f>
        <v>32.895200000000003</v>
      </c>
      <c r="I960" s="8">
        <f>CHOOSE( CONTROL!$C$32, 31.5191, 31.5168) * CHOOSE(CONTROL!$C$15, $D$11, 100%, $F$11)</f>
        <v>31.519100000000002</v>
      </c>
      <c r="J960" s="4">
        <f>CHOOSE( CONTROL!$C$32, 31.3911, 31.3888) * CHOOSE(CONTROL!$C$15, $D$11, 100%, $F$11)</f>
        <v>31.391100000000002</v>
      </c>
      <c r="K960" s="4"/>
      <c r="L960" s="9">
        <v>30.7165</v>
      </c>
      <c r="M960" s="9">
        <v>12.063700000000001</v>
      </c>
      <c r="N960" s="9">
        <v>4.9444999999999997</v>
      </c>
      <c r="O960" s="9">
        <v>0.37409999999999999</v>
      </c>
      <c r="P960" s="9">
        <v>1.2183999999999999</v>
      </c>
      <c r="Q960" s="9">
        <v>19.688099999999999</v>
      </c>
      <c r="R960" s="9"/>
      <c r="S960" s="11"/>
    </row>
    <row r="961" spans="1:19" ht="15.75">
      <c r="A961" s="13">
        <v>70767</v>
      </c>
      <c r="B961" s="8">
        <f>CHOOSE( CONTROL!$C$32, 32.0412, 32.0389) * CHOOSE(CONTROL!$C$15, $D$11, 100%, $F$11)</f>
        <v>32.041200000000003</v>
      </c>
      <c r="C961" s="8">
        <f>CHOOSE( CONTROL!$C$32, 32.0493, 32.047) * CHOOSE(CONTROL!$C$15, $D$11, 100%, $F$11)</f>
        <v>32.049300000000002</v>
      </c>
      <c r="D961" s="8">
        <f>CHOOSE( CONTROL!$C$32, 32.075, 32.0727) * CHOOSE( CONTROL!$C$15, $D$11, 100%, $F$11)</f>
        <v>32.075000000000003</v>
      </c>
      <c r="E961" s="12">
        <f>CHOOSE( CONTROL!$C$32, 32.0645, 32.0622) * CHOOSE( CONTROL!$C$15, $D$11, 100%, $F$11)</f>
        <v>32.064500000000002</v>
      </c>
      <c r="F961" s="4">
        <f>CHOOSE( CONTROL!$C$32, 32.7547, 32.7523) * CHOOSE(CONTROL!$C$15, $D$11, 100%, $F$11)</f>
        <v>32.7547</v>
      </c>
      <c r="G961" s="8">
        <f>CHOOSE( CONTROL!$C$32, 31.2788, 31.2765) * CHOOSE( CONTROL!$C$15, $D$11, 100%, $F$11)</f>
        <v>31.2788</v>
      </c>
      <c r="H961" s="4">
        <f>CHOOSE( CONTROL!$C$32, 32.2264, 32.2241) * CHOOSE(CONTROL!$C$15, $D$11, 100%, $F$11)</f>
        <v>32.226399999999998</v>
      </c>
      <c r="I961" s="8">
        <f>CHOOSE( CONTROL!$C$32, 30.8611, 30.8589) * CHOOSE(CONTROL!$C$15, $D$11, 100%, $F$11)</f>
        <v>30.8611</v>
      </c>
      <c r="J961" s="4">
        <f>CHOOSE( CONTROL!$C$32, 30.7336, 30.7313) * CHOOSE(CONTROL!$C$15, $D$11, 100%, $F$11)</f>
        <v>30.733599999999999</v>
      </c>
      <c r="K961" s="4"/>
      <c r="L961" s="9">
        <v>29.7257</v>
      </c>
      <c r="M961" s="9">
        <v>11.6745</v>
      </c>
      <c r="N961" s="9">
        <v>4.7850000000000001</v>
      </c>
      <c r="O961" s="9">
        <v>0.36199999999999999</v>
      </c>
      <c r="P961" s="9">
        <v>1.1791</v>
      </c>
      <c r="Q961" s="9">
        <v>19.053000000000001</v>
      </c>
      <c r="R961" s="9"/>
      <c r="S961" s="11"/>
    </row>
    <row r="962" spans="1:19" ht="15.75">
      <c r="A962" s="13">
        <v>70798</v>
      </c>
      <c r="B962" s="8">
        <f>33.4591 * CHOOSE(CONTROL!$C$15, $D$11, 100%, $F$11)</f>
        <v>33.459099999999999</v>
      </c>
      <c r="C962" s="8">
        <f>33.4645 * CHOOSE(CONTROL!$C$15, $D$11, 100%, $F$11)</f>
        <v>33.464500000000001</v>
      </c>
      <c r="D962" s="8">
        <f>33.4953 * CHOOSE( CONTROL!$C$15, $D$11, 100%, $F$11)</f>
        <v>33.4953</v>
      </c>
      <c r="E962" s="12">
        <f>33.4846 * CHOOSE( CONTROL!$C$15, $D$11, 100%, $F$11)</f>
        <v>33.4846</v>
      </c>
      <c r="F962" s="4">
        <f>34.1742 * CHOOSE(CONTROL!$C$15, $D$11, 100%, $F$11)</f>
        <v>34.174199999999999</v>
      </c>
      <c r="G962" s="8">
        <f>32.6651 * CHOOSE( CONTROL!$C$15, $D$11, 100%, $F$11)</f>
        <v>32.665100000000002</v>
      </c>
      <c r="H962" s="4">
        <f>33.6129 * CHOOSE(CONTROL!$C$15, $D$11, 100%, $F$11)</f>
        <v>33.612900000000003</v>
      </c>
      <c r="I962" s="8">
        <f>32.2256 * CHOOSE(CONTROL!$C$15, $D$11, 100%, $F$11)</f>
        <v>32.2256</v>
      </c>
      <c r="J962" s="4">
        <f>32.0965 * CHOOSE(CONTROL!$C$15, $D$11, 100%, $F$11)</f>
        <v>32.096499999999999</v>
      </c>
      <c r="K962" s="4"/>
      <c r="L962" s="9">
        <v>31.095300000000002</v>
      </c>
      <c r="M962" s="9">
        <v>12.063700000000001</v>
      </c>
      <c r="N962" s="9">
        <v>4.9444999999999997</v>
      </c>
      <c r="O962" s="9">
        <v>0.37409999999999999</v>
      </c>
      <c r="P962" s="9">
        <v>1.2183999999999999</v>
      </c>
      <c r="Q962" s="9">
        <v>19.688099999999999</v>
      </c>
      <c r="R962" s="9"/>
      <c r="S962" s="11"/>
    </row>
    <row r="963" spans="1:19" ht="15.75">
      <c r="A963" s="13">
        <v>70828</v>
      </c>
      <c r="B963" s="8">
        <f>36.0833 * CHOOSE(CONTROL!$C$15, $D$11, 100%, $F$11)</f>
        <v>36.083300000000001</v>
      </c>
      <c r="C963" s="8">
        <f>36.0885 * CHOOSE(CONTROL!$C$15, $D$11, 100%, $F$11)</f>
        <v>36.088500000000003</v>
      </c>
      <c r="D963" s="8">
        <f>36.0715 * CHOOSE( CONTROL!$C$15, $D$11, 100%, $F$11)</f>
        <v>36.0715</v>
      </c>
      <c r="E963" s="12">
        <f>36.0772 * CHOOSE( CONTROL!$C$15, $D$11, 100%, $F$11)</f>
        <v>36.077199999999998</v>
      </c>
      <c r="F963" s="4">
        <f>36.7337 * CHOOSE(CONTROL!$C$15, $D$11, 100%, $F$11)</f>
        <v>36.733699999999999</v>
      </c>
      <c r="G963" s="8">
        <f>35.2347 * CHOOSE( CONTROL!$C$15, $D$11, 100%, $F$11)</f>
        <v>35.234699999999997</v>
      </c>
      <c r="H963" s="4">
        <f>36.1127 * CHOOSE(CONTROL!$C$15, $D$11, 100%, $F$11)</f>
        <v>36.112699999999997</v>
      </c>
      <c r="I963" s="8">
        <f>34.7885 * CHOOSE(CONTROL!$C$15, $D$11, 100%, $F$11)</f>
        <v>34.788499999999999</v>
      </c>
      <c r="J963" s="4">
        <f>34.6164 * CHOOSE(CONTROL!$C$15, $D$11, 100%, $F$11)</f>
        <v>34.616399999999999</v>
      </c>
      <c r="K963" s="4"/>
      <c r="L963" s="9">
        <v>28.360600000000002</v>
      </c>
      <c r="M963" s="9">
        <v>11.6745</v>
      </c>
      <c r="N963" s="9">
        <v>4.7850000000000001</v>
      </c>
      <c r="O963" s="9">
        <v>0.36199999999999999</v>
      </c>
      <c r="P963" s="9">
        <v>1.2509999999999999</v>
      </c>
      <c r="Q963" s="9">
        <v>19.053000000000001</v>
      </c>
      <c r="R963" s="9"/>
      <c r="S963" s="11"/>
    </row>
    <row r="964" spans="1:19" ht="15.75">
      <c r="A964" s="13">
        <v>70859</v>
      </c>
      <c r="B964" s="8">
        <f>36.0177 * CHOOSE(CONTROL!$C$15, $D$11, 100%, $F$11)</f>
        <v>36.017699999999998</v>
      </c>
      <c r="C964" s="8">
        <f>36.0229 * CHOOSE(CONTROL!$C$15, $D$11, 100%, $F$11)</f>
        <v>36.0229</v>
      </c>
      <c r="D964" s="8">
        <f>36.0074 * CHOOSE( CONTROL!$C$15, $D$11, 100%, $F$11)</f>
        <v>36.007399999999997</v>
      </c>
      <c r="E964" s="12">
        <f>36.0125 * CHOOSE( CONTROL!$C$15, $D$11, 100%, $F$11)</f>
        <v>36.012500000000003</v>
      </c>
      <c r="F964" s="4">
        <f>36.6682 * CHOOSE(CONTROL!$C$15, $D$11, 100%, $F$11)</f>
        <v>36.668199999999999</v>
      </c>
      <c r="G964" s="8">
        <f>35.1718 * CHOOSE( CONTROL!$C$15, $D$11, 100%, $F$11)</f>
        <v>35.171799999999998</v>
      </c>
      <c r="H964" s="4">
        <f>36.0487 * CHOOSE(CONTROL!$C$15, $D$11, 100%, $F$11)</f>
        <v>36.048699999999997</v>
      </c>
      <c r="I964" s="8">
        <f>34.7303 * CHOOSE(CONTROL!$C$15, $D$11, 100%, $F$11)</f>
        <v>34.7303</v>
      </c>
      <c r="J964" s="4">
        <f>34.5534 * CHOOSE(CONTROL!$C$15, $D$11, 100%, $F$11)</f>
        <v>34.553400000000003</v>
      </c>
      <c r="K964" s="4"/>
      <c r="L964" s="9">
        <v>29.306000000000001</v>
      </c>
      <c r="M964" s="9">
        <v>12.063700000000001</v>
      </c>
      <c r="N964" s="9">
        <v>4.9444999999999997</v>
      </c>
      <c r="O964" s="9">
        <v>0.37409999999999999</v>
      </c>
      <c r="P964" s="9">
        <v>1.2927</v>
      </c>
      <c r="Q964" s="9">
        <v>19.688099999999999</v>
      </c>
      <c r="R964" s="9"/>
      <c r="S964" s="11"/>
    </row>
    <row r="965" spans="1:19" ht="15.75">
      <c r="A965" s="13">
        <v>70890</v>
      </c>
      <c r="B965" s="8">
        <f>37.0793 * CHOOSE(CONTROL!$C$15, $D$11, 100%, $F$11)</f>
        <v>37.079300000000003</v>
      </c>
      <c r="C965" s="8">
        <f>37.0845 * CHOOSE(CONTROL!$C$15, $D$11, 100%, $F$11)</f>
        <v>37.084499999999998</v>
      </c>
      <c r="D965" s="8">
        <f>37.0646 * CHOOSE( CONTROL!$C$15, $D$11, 100%, $F$11)</f>
        <v>37.064599999999999</v>
      </c>
      <c r="E965" s="12">
        <f>37.0713 * CHOOSE( CONTROL!$C$15, $D$11, 100%, $F$11)</f>
        <v>37.071300000000001</v>
      </c>
      <c r="F965" s="4">
        <f>37.7297 * CHOOSE(CONTROL!$C$15, $D$11, 100%, $F$11)</f>
        <v>37.729700000000001</v>
      </c>
      <c r="G965" s="8">
        <f>36.1993 * CHOOSE( CONTROL!$C$15, $D$11, 100%, $F$11)</f>
        <v>36.199300000000001</v>
      </c>
      <c r="H965" s="4">
        <f>37.0855 * CHOOSE(CONTROL!$C$15, $D$11, 100%, $F$11)</f>
        <v>37.085500000000003</v>
      </c>
      <c r="I965" s="8">
        <f>35.7091 * CHOOSE(CONTROL!$C$15, $D$11, 100%, $F$11)</f>
        <v>35.709099999999999</v>
      </c>
      <c r="J965" s="4">
        <f>35.5726 * CHOOSE(CONTROL!$C$15, $D$11, 100%, $F$11)</f>
        <v>35.572600000000001</v>
      </c>
      <c r="K965" s="4"/>
      <c r="L965" s="9">
        <v>29.306000000000001</v>
      </c>
      <c r="M965" s="9">
        <v>12.063700000000001</v>
      </c>
      <c r="N965" s="9">
        <v>4.9444999999999997</v>
      </c>
      <c r="O965" s="9">
        <v>0.37409999999999999</v>
      </c>
      <c r="P965" s="9">
        <v>1.2927</v>
      </c>
      <c r="Q965" s="9">
        <v>19.688099999999999</v>
      </c>
      <c r="R965" s="9"/>
      <c r="S965" s="11"/>
    </row>
    <row r="966" spans="1:19" ht="15.75">
      <c r="A966" s="13">
        <v>70918</v>
      </c>
      <c r="B966" s="8">
        <f>34.684 * CHOOSE(CONTROL!$C$15, $D$11, 100%, $F$11)</f>
        <v>34.683999999999997</v>
      </c>
      <c r="C966" s="8">
        <f>34.6892 * CHOOSE(CONTROL!$C$15, $D$11, 100%, $F$11)</f>
        <v>34.6892</v>
      </c>
      <c r="D966" s="8">
        <f>34.6693 * CHOOSE( CONTROL!$C$15, $D$11, 100%, $F$11)</f>
        <v>34.6693</v>
      </c>
      <c r="E966" s="12">
        <f>34.676 * CHOOSE( CONTROL!$C$15, $D$11, 100%, $F$11)</f>
        <v>34.676000000000002</v>
      </c>
      <c r="F966" s="4">
        <f>35.3345 * CHOOSE(CONTROL!$C$15, $D$11, 100%, $F$11)</f>
        <v>35.334499999999998</v>
      </c>
      <c r="G966" s="8">
        <f>33.8598 * CHOOSE( CONTROL!$C$15, $D$11, 100%, $F$11)</f>
        <v>33.8598</v>
      </c>
      <c r="H966" s="4">
        <f>34.7461 * CHOOSE(CONTROL!$C$15, $D$11, 100%, $F$11)</f>
        <v>34.746099999999998</v>
      </c>
      <c r="I966" s="8">
        <f>33.4081 * CHOOSE(CONTROL!$C$15, $D$11, 100%, $F$11)</f>
        <v>33.408099999999997</v>
      </c>
      <c r="J966" s="4">
        <f>33.2729 * CHOOSE(CONTROL!$C$15, $D$11, 100%, $F$11)</f>
        <v>33.2729</v>
      </c>
      <c r="K966" s="4"/>
      <c r="L966" s="9">
        <v>26.469899999999999</v>
      </c>
      <c r="M966" s="9">
        <v>10.8962</v>
      </c>
      <c r="N966" s="9">
        <v>4.4660000000000002</v>
      </c>
      <c r="O966" s="9">
        <v>0.33789999999999998</v>
      </c>
      <c r="P966" s="9">
        <v>1.1676</v>
      </c>
      <c r="Q966" s="9">
        <v>17.782800000000002</v>
      </c>
      <c r="R966" s="9"/>
      <c r="S966" s="11"/>
    </row>
    <row r="967" spans="1:19" ht="15.75">
      <c r="A967" s="13">
        <v>70949</v>
      </c>
      <c r="B967" s="8">
        <f>33.9462 * CHOOSE(CONTROL!$C$15, $D$11, 100%, $F$11)</f>
        <v>33.946199999999997</v>
      </c>
      <c r="C967" s="8">
        <f>33.9514 * CHOOSE(CONTROL!$C$15, $D$11, 100%, $F$11)</f>
        <v>33.9514</v>
      </c>
      <c r="D967" s="8">
        <f>33.9312 * CHOOSE( CONTROL!$C$15, $D$11, 100%, $F$11)</f>
        <v>33.931199999999997</v>
      </c>
      <c r="E967" s="12">
        <f>33.938 * CHOOSE( CONTROL!$C$15, $D$11, 100%, $F$11)</f>
        <v>33.938000000000002</v>
      </c>
      <c r="F967" s="4">
        <f>34.5967 * CHOOSE(CONTROL!$C$15, $D$11, 100%, $F$11)</f>
        <v>34.596699999999998</v>
      </c>
      <c r="G967" s="8">
        <f>33.139 * CHOOSE( CONTROL!$C$15, $D$11, 100%, $F$11)</f>
        <v>33.139000000000003</v>
      </c>
      <c r="H967" s="4">
        <f>34.0255 * CHOOSE(CONTROL!$C$15, $D$11, 100%, $F$11)</f>
        <v>34.025500000000001</v>
      </c>
      <c r="I967" s="8">
        <f>32.6984 * CHOOSE(CONTROL!$C$15, $D$11, 100%, $F$11)</f>
        <v>32.698399999999999</v>
      </c>
      <c r="J967" s="4">
        <f>32.5646 * CHOOSE(CONTROL!$C$15, $D$11, 100%, $F$11)</f>
        <v>32.564599999999999</v>
      </c>
      <c r="K967" s="4"/>
      <c r="L967" s="9">
        <v>29.306000000000001</v>
      </c>
      <c r="M967" s="9">
        <v>12.063700000000001</v>
      </c>
      <c r="N967" s="9">
        <v>4.9444999999999997</v>
      </c>
      <c r="O967" s="9">
        <v>0.37409999999999999</v>
      </c>
      <c r="P967" s="9">
        <v>1.2927</v>
      </c>
      <c r="Q967" s="9">
        <v>19.688099999999999</v>
      </c>
      <c r="R967" s="9"/>
      <c r="S967" s="11"/>
    </row>
    <row r="968" spans="1:19" ht="15.75">
      <c r="A968" s="13">
        <v>70979</v>
      </c>
      <c r="B968" s="8">
        <f>34.4625 * CHOOSE(CONTROL!$C$15, $D$11, 100%, $F$11)</f>
        <v>34.462499999999999</v>
      </c>
      <c r="C968" s="8">
        <f>34.4671 * CHOOSE(CONTROL!$C$15, $D$11, 100%, $F$11)</f>
        <v>34.467100000000002</v>
      </c>
      <c r="D968" s="8">
        <f>34.4977 * CHOOSE( CONTROL!$C$15, $D$11, 100%, $F$11)</f>
        <v>34.497700000000002</v>
      </c>
      <c r="E968" s="12">
        <f>34.4871 * CHOOSE( CONTROL!$C$15, $D$11, 100%, $F$11)</f>
        <v>34.487099999999998</v>
      </c>
      <c r="F968" s="4">
        <f>35.1773 * CHOOSE(CONTROL!$C$15, $D$11, 100%, $F$11)</f>
        <v>35.177300000000002</v>
      </c>
      <c r="G968" s="8">
        <f>33.6437 * CHOOSE( CONTROL!$C$15, $D$11, 100%, $F$11)</f>
        <v>33.643700000000003</v>
      </c>
      <c r="H968" s="4">
        <f>34.5926 * CHOOSE(CONTROL!$C$15, $D$11, 100%, $F$11)</f>
        <v>34.592599999999997</v>
      </c>
      <c r="I968" s="8">
        <f>33.1856 * CHOOSE(CONTROL!$C$15, $D$11, 100%, $F$11)</f>
        <v>33.185600000000001</v>
      </c>
      <c r="J968" s="4">
        <f>33.0596 * CHOOSE(CONTROL!$C$15, $D$11, 100%, $F$11)</f>
        <v>33.059600000000003</v>
      </c>
      <c r="K968" s="4"/>
      <c r="L968" s="9">
        <v>30.092199999999998</v>
      </c>
      <c r="M968" s="9">
        <v>11.6745</v>
      </c>
      <c r="N968" s="9">
        <v>4.7850000000000001</v>
      </c>
      <c r="O968" s="9">
        <v>0.36199999999999999</v>
      </c>
      <c r="P968" s="9">
        <v>1.1791</v>
      </c>
      <c r="Q968" s="9">
        <v>19.053000000000001</v>
      </c>
      <c r="R968" s="9"/>
      <c r="S968" s="11"/>
    </row>
    <row r="969" spans="1:19" ht="15.75">
      <c r="A969" s="13">
        <v>71010</v>
      </c>
      <c r="B969" s="8">
        <f>CHOOSE( CONTROL!$C$32, 35.3837, 35.3814) * CHOOSE(CONTROL!$C$15, $D$11, 100%, $F$11)</f>
        <v>35.383699999999997</v>
      </c>
      <c r="C969" s="8">
        <f>CHOOSE( CONTROL!$C$32, 35.3918, 35.3895) * CHOOSE(CONTROL!$C$15, $D$11, 100%, $F$11)</f>
        <v>35.391800000000003</v>
      </c>
      <c r="D969" s="8">
        <f>CHOOSE( CONTROL!$C$32, 35.417, 35.4147) * CHOOSE( CONTROL!$C$15, $D$11, 100%, $F$11)</f>
        <v>35.417000000000002</v>
      </c>
      <c r="E969" s="12">
        <f>CHOOSE( CONTROL!$C$32, 35.4066, 35.4043) * CHOOSE( CONTROL!$C$15, $D$11, 100%, $F$11)</f>
        <v>35.406599999999997</v>
      </c>
      <c r="F969" s="4">
        <f>CHOOSE( CONTROL!$C$32, 36.0972, 36.0948) * CHOOSE(CONTROL!$C$15, $D$11, 100%, $F$11)</f>
        <v>36.097200000000001</v>
      </c>
      <c r="G969" s="8">
        <f>CHOOSE( CONTROL!$C$32, 34.5427, 34.5404) * CHOOSE( CONTROL!$C$15, $D$11, 100%, $F$11)</f>
        <v>34.542700000000004</v>
      </c>
      <c r="H969" s="4">
        <f>CHOOSE( CONTROL!$C$32, 35.491, 35.4887) * CHOOSE(CONTROL!$C$15, $D$11, 100%, $F$11)</f>
        <v>35.491</v>
      </c>
      <c r="I969" s="8">
        <f>CHOOSE( CONTROL!$C$32, 34.0694, 34.0672) * CHOOSE(CONTROL!$C$15, $D$11, 100%, $F$11)</f>
        <v>34.069400000000002</v>
      </c>
      <c r="J969" s="4">
        <f>CHOOSE( CONTROL!$C$32, 33.9427, 33.9405) * CHOOSE(CONTROL!$C$15, $D$11, 100%, $F$11)</f>
        <v>33.942700000000002</v>
      </c>
      <c r="K969" s="4"/>
      <c r="L969" s="9">
        <v>30.7165</v>
      </c>
      <c r="M969" s="9">
        <v>12.063700000000001</v>
      </c>
      <c r="N969" s="9">
        <v>4.9444999999999997</v>
      </c>
      <c r="O969" s="9">
        <v>0.37409999999999999</v>
      </c>
      <c r="P969" s="9">
        <v>1.2183999999999999</v>
      </c>
      <c r="Q969" s="9">
        <v>19.688099999999999</v>
      </c>
      <c r="R969" s="9"/>
      <c r="S969" s="11"/>
    </row>
    <row r="970" spans="1:19" ht="15.75">
      <c r="A970" s="13">
        <v>71040</v>
      </c>
      <c r="B970" s="8">
        <f>CHOOSE( CONTROL!$C$32, 34.8154, 34.813) * CHOOSE(CONTROL!$C$15, $D$11, 100%, $F$11)</f>
        <v>34.815399999999997</v>
      </c>
      <c r="C970" s="8">
        <f>CHOOSE( CONTROL!$C$32, 34.8235, 34.8211) * CHOOSE(CONTROL!$C$15, $D$11, 100%, $F$11)</f>
        <v>34.823500000000003</v>
      </c>
      <c r="D970" s="8">
        <f>CHOOSE( CONTROL!$C$32, 34.8489, 34.8465) * CHOOSE( CONTROL!$C$15, $D$11, 100%, $F$11)</f>
        <v>34.8489</v>
      </c>
      <c r="E970" s="12">
        <f>CHOOSE( CONTROL!$C$32, 34.8385, 34.8361) * CHOOSE( CONTROL!$C$15, $D$11, 100%, $F$11)</f>
        <v>34.838500000000003</v>
      </c>
      <c r="F970" s="4">
        <f>CHOOSE( CONTROL!$C$32, 35.5288, 35.5265) * CHOOSE(CONTROL!$C$15, $D$11, 100%, $F$11)</f>
        <v>35.528799999999997</v>
      </c>
      <c r="G970" s="8">
        <f>CHOOSE( CONTROL!$C$32, 33.9879, 33.9856) * CHOOSE( CONTROL!$C$15, $D$11, 100%, $F$11)</f>
        <v>33.987900000000003</v>
      </c>
      <c r="H970" s="4">
        <f>CHOOSE( CONTROL!$C$32, 34.9359, 34.9336) * CHOOSE(CONTROL!$C$15, $D$11, 100%, $F$11)</f>
        <v>34.935899999999997</v>
      </c>
      <c r="I970" s="8">
        <f>CHOOSE( CONTROL!$C$32, 33.5245, 33.5222) * CHOOSE(CONTROL!$C$15, $D$11, 100%, $F$11)</f>
        <v>33.524500000000003</v>
      </c>
      <c r="J970" s="4">
        <f>CHOOSE( CONTROL!$C$32, 33.397, 33.3948) * CHOOSE(CONTROL!$C$15, $D$11, 100%, $F$11)</f>
        <v>33.396999999999998</v>
      </c>
      <c r="K970" s="4"/>
      <c r="L970" s="9">
        <v>29.7257</v>
      </c>
      <c r="M970" s="9">
        <v>11.6745</v>
      </c>
      <c r="N970" s="9">
        <v>4.7850000000000001</v>
      </c>
      <c r="O970" s="9">
        <v>0.36199999999999999</v>
      </c>
      <c r="P970" s="9">
        <v>1.1791</v>
      </c>
      <c r="Q970" s="9">
        <v>19.053000000000001</v>
      </c>
      <c r="R970" s="9"/>
      <c r="S970" s="11"/>
    </row>
    <row r="971" spans="1:19" ht="15.75">
      <c r="A971" s="13">
        <v>71071</v>
      </c>
      <c r="B971" s="8">
        <f>CHOOSE( CONTROL!$C$32, 36.3121, 36.3097) * CHOOSE(CONTROL!$C$15, $D$11, 100%, $F$11)</f>
        <v>36.312100000000001</v>
      </c>
      <c r="C971" s="8">
        <f>CHOOSE( CONTROL!$C$32, 36.3202, 36.3178) * CHOOSE(CONTROL!$C$15, $D$11, 100%, $F$11)</f>
        <v>36.3202</v>
      </c>
      <c r="D971" s="8">
        <f>CHOOSE( CONTROL!$C$32, 36.3458, 36.3435) * CHOOSE( CONTROL!$C$15, $D$11, 100%, $F$11)</f>
        <v>36.345799999999997</v>
      </c>
      <c r="E971" s="12">
        <f>CHOOSE( CONTROL!$C$32, 36.3353, 36.333) * CHOOSE( CONTROL!$C$15, $D$11, 100%, $F$11)</f>
        <v>36.335299999999997</v>
      </c>
      <c r="F971" s="4">
        <f>CHOOSE( CONTROL!$C$32, 37.0255, 37.0232) * CHOOSE(CONTROL!$C$15, $D$11, 100%, $F$11)</f>
        <v>37.025500000000001</v>
      </c>
      <c r="G971" s="8">
        <f>CHOOSE( CONTROL!$C$32, 35.4501, 35.4478) * CHOOSE( CONTROL!$C$15, $D$11, 100%, $F$11)</f>
        <v>35.450099999999999</v>
      </c>
      <c r="H971" s="4">
        <f>CHOOSE( CONTROL!$C$32, 36.3977, 36.3954) * CHOOSE(CONTROL!$C$15, $D$11, 100%, $F$11)</f>
        <v>36.3977</v>
      </c>
      <c r="I971" s="8">
        <f>CHOOSE( CONTROL!$C$32, 34.9634, 34.9611) * CHOOSE(CONTROL!$C$15, $D$11, 100%, $F$11)</f>
        <v>34.9634</v>
      </c>
      <c r="J971" s="4">
        <f>CHOOSE( CONTROL!$C$32, 34.834, 34.8318) * CHOOSE(CONTROL!$C$15, $D$11, 100%, $F$11)</f>
        <v>34.834000000000003</v>
      </c>
      <c r="K971" s="4"/>
      <c r="L971" s="9">
        <v>30.7165</v>
      </c>
      <c r="M971" s="9">
        <v>12.063700000000001</v>
      </c>
      <c r="N971" s="9">
        <v>4.9444999999999997</v>
      </c>
      <c r="O971" s="9">
        <v>0.37409999999999999</v>
      </c>
      <c r="P971" s="9">
        <v>1.2183999999999999</v>
      </c>
      <c r="Q971" s="9">
        <v>19.688099999999999</v>
      </c>
      <c r="R971" s="9"/>
      <c r="S971" s="11"/>
    </row>
    <row r="972" spans="1:19" ht="15.75">
      <c r="A972" s="13">
        <v>71102</v>
      </c>
      <c r="B972" s="8">
        <f>CHOOSE( CONTROL!$C$32, 33.5116, 33.5092) * CHOOSE(CONTROL!$C$15, $D$11, 100%, $F$11)</f>
        <v>33.511600000000001</v>
      </c>
      <c r="C972" s="8">
        <f>CHOOSE( CONTROL!$C$32, 33.5197, 33.5173) * CHOOSE(CONTROL!$C$15, $D$11, 100%, $F$11)</f>
        <v>33.5197</v>
      </c>
      <c r="D972" s="8">
        <f>CHOOSE( CONTROL!$C$32, 33.5454, 33.5431) * CHOOSE( CONTROL!$C$15, $D$11, 100%, $F$11)</f>
        <v>33.545400000000001</v>
      </c>
      <c r="E972" s="12">
        <f>CHOOSE( CONTROL!$C$32, 33.5349, 33.5325) * CHOOSE( CONTROL!$C$15, $D$11, 100%, $F$11)</f>
        <v>33.5349</v>
      </c>
      <c r="F972" s="4">
        <f>CHOOSE( CONTROL!$C$32, 34.225, 34.2227) * CHOOSE(CONTROL!$C$15, $D$11, 100%, $F$11)</f>
        <v>34.225000000000001</v>
      </c>
      <c r="G972" s="8">
        <f>CHOOSE( CONTROL!$C$32, 32.715, 32.7127) * CHOOSE( CONTROL!$C$15, $D$11, 100%, $F$11)</f>
        <v>32.715000000000003</v>
      </c>
      <c r="H972" s="4">
        <f>CHOOSE( CONTROL!$C$32, 33.6625, 33.6602) * CHOOSE(CONTROL!$C$15, $D$11, 100%, $F$11)</f>
        <v>33.662500000000001</v>
      </c>
      <c r="I972" s="8">
        <f>CHOOSE( CONTROL!$C$32, 32.2737, 32.2714) * CHOOSE(CONTROL!$C$15, $D$11, 100%, $F$11)</f>
        <v>32.273699999999998</v>
      </c>
      <c r="J972" s="4">
        <f>CHOOSE( CONTROL!$C$32, 32.1453, 32.143) * CHOOSE(CONTROL!$C$15, $D$11, 100%, $F$11)</f>
        <v>32.145299999999999</v>
      </c>
      <c r="K972" s="4"/>
      <c r="L972" s="9">
        <v>30.7165</v>
      </c>
      <c r="M972" s="9">
        <v>12.063700000000001</v>
      </c>
      <c r="N972" s="9">
        <v>4.9444999999999997</v>
      </c>
      <c r="O972" s="9">
        <v>0.37409999999999999</v>
      </c>
      <c r="P972" s="9">
        <v>1.2183999999999999</v>
      </c>
      <c r="Q972" s="9">
        <v>19.688099999999999</v>
      </c>
      <c r="R972" s="9"/>
      <c r="S972" s="11"/>
    </row>
    <row r="973" spans="1:19" ht="15.75">
      <c r="A973" s="13">
        <v>71132</v>
      </c>
      <c r="B973" s="8">
        <f>CHOOSE( CONTROL!$C$32, 32.8103, 32.808) * CHOOSE(CONTROL!$C$15, $D$11, 100%, $F$11)</f>
        <v>32.810299999999998</v>
      </c>
      <c r="C973" s="8">
        <f>CHOOSE( CONTROL!$C$32, 32.8184, 32.8161) * CHOOSE(CONTROL!$C$15, $D$11, 100%, $F$11)</f>
        <v>32.818399999999997</v>
      </c>
      <c r="D973" s="8">
        <f>CHOOSE( CONTROL!$C$32, 32.8441, 32.8418) * CHOOSE( CONTROL!$C$15, $D$11, 100%, $F$11)</f>
        <v>32.844099999999997</v>
      </c>
      <c r="E973" s="12">
        <f>CHOOSE( CONTROL!$C$32, 32.8336, 32.8313) * CHOOSE( CONTROL!$C$15, $D$11, 100%, $F$11)</f>
        <v>32.833599999999997</v>
      </c>
      <c r="F973" s="4">
        <f>CHOOSE( CONTROL!$C$32, 33.5237, 33.5214) * CHOOSE(CONTROL!$C$15, $D$11, 100%, $F$11)</f>
        <v>33.523699999999998</v>
      </c>
      <c r="G973" s="8">
        <f>CHOOSE( CONTROL!$C$32, 32.03, 32.0277) * CHOOSE( CONTROL!$C$15, $D$11, 100%, $F$11)</f>
        <v>32.03</v>
      </c>
      <c r="H973" s="4">
        <f>CHOOSE( CONTROL!$C$32, 32.9775, 32.9752) * CHOOSE(CONTROL!$C$15, $D$11, 100%, $F$11)</f>
        <v>32.977499999999999</v>
      </c>
      <c r="I973" s="8">
        <f>CHOOSE( CONTROL!$C$32, 31.5999, 31.5976) * CHOOSE(CONTROL!$C$15, $D$11, 100%, $F$11)</f>
        <v>31.599900000000002</v>
      </c>
      <c r="J973" s="4">
        <f>CHOOSE( CONTROL!$C$32, 31.472, 31.4697) * CHOOSE(CONTROL!$C$15, $D$11, 100%, $F$11)</f>
        <v>31.472000000000001</v>
      </c>
      <c r="K973" s="4"/>
      <c r="L973" s="9">
        <v>29.7257</v>
      </c>
      <c r="M973" s="9">
        <v>11.6745</v>
      </c>
      <c r="N973" s="9">
        <v>4.7850000000000001</v>
      </c>
      <c r="O973" s="9">
        <v>0.36199999999999999</v>
      </c>
      <c r="P973" s="9">
        <v>1.1791</v>
      </c>
      <c r="Q973" s="9">
        <v>19.053000000000001</v>
      </c>
      <c r="R973" s="9"/>
      <c r="S973" s="11"/>
    </row>
    <row r="974" spans="1:19" ht="15.75">
      <c r="A974" s="13">
        <v>71163</v>
      </c>
      <c r="B974" s="8">
        <f>34.2623 * CHOOSE(CONTROL!$C$15, $D$11, 100%, $F$11)</f>
        <v>34.262300000000003</v>
      </c>
      <c r="C974" s="8">
        <f>34.2678 * CHOOSE(CONTROL!$C$15, $D$11, 100%, $F$11)</f>
        <v>34.267800000000001</v>
      </c>
      <c r="D974" s="8">
        <f>34.2986 * CHOOSE( CONTROL!$C$15, $D$11, 100%, $F$11)</f>
        <v>34.2986</v>
      </c>
      <c r="E974" s="12">
        <f>34.2878 * CHOOSE( CONTROL!$C$15, $D$11, 100%, $F$11)</f>
        <v>34.287799999999997</v>
      </c>
      <c r="F974" s="4">
        <f>34.9775 * CHOOSE(CONTROL!$C$15, $D$11, 100%, $F$11)</f>
        <v>34.977499999999999</v>
      </c>
      <c r="G974" s="8">
        <f>33.4496 * CHOOSE( CONTROL!$C$15, $D$11, 100%, $F$11)</f>
        <v>33.449599999999997</v>
      </c>
      <c r="H974" s="4">
        <f>34.3974 * CHOOSE(CONTROL!$C$15, $D$11, 100%, $F$11)</f>
        <v>34.397399999999998</v>
      </c>
      <c r="I974" s="8">
        <f>32.9972 * CHOOSE(CONTROL!$C$15, $D$11, 100%, $F$11)</f>
        <v>32.997199999999999</v>
      </c>
      <c r="J974" s="4">
        <f>32.8677 * CHOOSE(CONTROL!$C$15, $D$11, 100%, $F$11)</f>
        <v>32.867699999999999</v>
      </c>
      <c r="K974" s="4"/>
      <c r="L974" s="9">
        <v>31.095300000000002</v>
      </c>
      <c r="M974" s="9">
        <v>12.063700000000001</v>
      </c>
      <c r="N974" s="9">
        <v>4.9444999999999997</v>
      </c>
      <c r="O974" s="9">
        <v>0.37409999999999999</v>
      </c>
      <c r="P974" s="9">
        <v>1.2183999999999999</v>
      </c>
      <c r="Q974" s="9">
        <v>19.688099999999999</v>
      </c>
      <c r="R974" s="9"/>
      <c r="S974" s="11"/>
    </row>
    <row r="975" spans="1:19" ht="15.75">
      <c r="A975" s="13">
        <v>71193</v>
      </c>
      <c r="B975" s="8">
        <f>36.9496 * CHOOSE(CONTROL!$C$15, $D$11, 100%, $F$11)</f>
        <v>36.949599999999997</v>
      </c>
      <c r="C975" s="8">
        <f>36.9548 * CHOOSE(CONTROL!$C$15, $D$11, 100%, $F$11)</f>
        <v>36.954799999999999</v>
      </c>
      <c r="D975" s="8">
        <f>36.9378 * CHOOSE( CONTROL!$C$15, $D$11, 100%, $F$11)</f>
        <v>36.937800000000003</v>
      </c>
      <c r="E975" s="12">
        <f>36.9435 * CHOOSE( CONTROL!$C$15, $D$11, 100%, $F$11)</f>
        <v>36.9435</v>
      </c>
      <c r="F975" s="4">
        <f>37.6 * CHOOSE(CONTROL!$C$15, $D$11, 100%, $F$11)</f>
        <v>37.6</v>
      </c>
      <c r="G975" s="8">
        <f>36.0809 * CHOOSE( CONTROL!$C$15, $D$11, 100%, $F$11)</f>
        <v>36.0809</v>
      </c>
      <c r="H975" s="4">
        <f>36.9589 * CHOOSE(CONTROL!$C$15, $D$11, 100%, $F$11)</f>
        <v>36.9589</v>
      </c>
      <c r="I975" s="8">
        <f>35.6207 * CHOOSE(CONTROL!$C$15, $D$11, 100%, $F$11)</f>
        <v>35.620699999999999</v>
      </c>
      <c r="J975" s="4">
        <f>35.4481 * CHOOSE(CONTROL!$C$15, $D$11, 100%, $F$11)</f>
        <v>35.448099999999997</v>
      </c>
      <c r="K975" s="4"/>
      <c r="L975" s="9">
        <v>28.360600000000002</v>
      </c>
      <c r="M975" s="9">
        <v>11.6745</v>
      </c>
      <c r="N975" s="9">
        <v>4.7850000000000001</v>
      </c>
      <c r="O975" s="9">
        <v>0.36199999999999999</v>
      </c>
      <c r="P975" s="9">
        <v>1.2509999999999999</v>
      </c>
      <c r="Q975" s="9">
        <v>19.053000000000001</v>
      </c>
      <c r="R975" s="9"/>
      <c r="S975" s="11"/>
    </row>
    <row r="976" spans="1:19" ht="15.75">
      <c r="A976" s="13">
        <v>71224</v>
      </c>
      <c r="B976" s="8">
        <f>36.8824 * CHOOSE(CONTROL!$C$15, $D$11, 100%, $F$11)</f>
        <v>36.882399999999997</v>
      </c>
      <c r="C976" s="8">
        <f>36.8876 * CHOOSE(CONTROL!$C$15, $D$11, 100%, $F$11)</f>
        <v>36.887599999999999</v>
      </c>
      <c r="D976" s="8">
        <f>36.8721 * CHOOSE( CONTROL!$C$15, $D$11, 100%, $F$11)</f>
        <v>36.872100000000003</v>
      </c>
      <c r="E976" s="12">
        <f>36.8772 * CHOOSE( CONTROL!$C$15, $D$11, 100%, $F$11)</f>
        <v>36.877200000000002</v>
      </c>
      <c r="F976" s="4">
        <f>37.5329 * CHOOSE(CONTROL!$C$15, $D$11, 100%, $F$11)</f>
        <v>37.532899999999998</v>
      </c>
      <c r="G976" s="8">
        <f>36.0164 * CHOOSE( CONTROL!$C$15, $D$11, 100%, $F$11)</f>
        <v>36.016399999999997</v>
      </c>
      <c r="H976" s="4">
        <f>36.8933 * CHOOSE(CONTROL!$C$15, $D$11, 100%, $F$11)</f>
        <v>36.893300000000004</v>
      </c>
      <c r="I976" s="8">
        <f>35.5609 * CHOOSE(CONTROL!$C$15, $D$11, 100%, $F$11)</f>
        <v>35.560899999999997</v>
      </c>
      <c r="J976" s="4">
        <f>35.3836 * CHOOSE(CONTROL!$C$15, $D$11, 100%, $F$11)</f>
        <v>35.383600000000001</v>
      </c>
      <c r="K976" s="4"/>
      <c r="L976" s="9">
        <v>29.306000000000001</v>
      </c>
      <c r="M976" s="9">
        <v>12.063700000000001</v>
      </c>
      <c r="N976" s="9">
        <v>4.9444999999999997</v>
      </c>
      <c r="O976" s="9">
        <v>0.37409999999999999</v>
      </c>
      <c r="P976" s="9">
        <v>1.2927</v>
      </c>
      <c r="Q976" s="9">
        <v>19.688099999999999</v>
      </c>
      <c r="R976" s="9"/>
      <c r="S976" s="11"/>
    </row>
    <row r="977" spans="1:19" ht="15.75">
      <c r="A977" s="13">
        <v>71255</v>
      </c>
      <c r="B977" s="8">
        <f>37.9695 * CHOOSE(CONTROL!$C$15, $D$11, 100%, $F$11)</f>
        <v>37.969499999999996</v>
      </c>
      <c r="C977" s="8">
        <f>37.9747 * CHOOSE(CONTROL!$C$15, $D$11, 100%, $F$11)</f>
        <v>37.974699999999999</v>
      </c>
      <c r="D977" s="8">
        <f>37.9549 * CHOOSE( CONTROL!$C$15, $D$11, 100%, $F$11)</f>
        <v>37.954900000000002</v>
      </c>
      <c r="E977" s="12">
        <f>37.9616 * CHOOSE( CONTROL!$C$15, $D$11, 100%, $F$11)</f>
        <v>37.961599999999997</v>
      </c>
      <c r="F977" s="4">
        <f>38.62 * CHOOSE(CONTROL!$C$15, $D$11, 100%, $F$11)</f>
        <v>38.619999999999997</v>
      </c>
      <c r="G977" s="8">
        <f>37.0688 * CHOOSE( CONTROL!$C$15, $D$11, 100%, $F$11)</f>
        <v>37.068800000000003</v>
      </c>
      <c r="H977" s="4">
        <f>37.955 * CHOOSE(CONTROL!$C$15, $D$11, 100%, $F$11)</f>
        <v>37.954999999999998</v>
      </c>
      <c r="I977" s="8">
        <f>36.5643 * CHOOSE(CONTROL!$C$15, $D$11, 100%, $F$11)</f>
        <v>36.564300000000003</v>
      </c>
      <c r="J977" s="4">
        <f>36.4273 * CHOOSE(CONTROL!$C$15, $D$11, 100%, $F$11)</f>
        <v>36.427300000000002</v>
      </c>
      <c r="K977" s="4"/>
      <c r="L977" s="9">
        <v>29.306000000000001</v>
      </c>
      <c r="M977" s="9">
        <v>12.063700000000001</v>
      </c>
      <c r="N977" s="9">
        <v>4.9444999999999997</v>
      </c>
      <c r="O977" s="9">
        <v>0.37409999999999999</v>
      </c>
      <c r="P977" s="9">
        <v>1.2927</v>
      </c>
      <c r="Q977" s="9">
        <v>19.688099999999999</v>
      </c>
      <c r="R977" s="9"/>
      <c r="S977" s="11"/>
    </row>
    <row r="978" spans="1:19" ht="15.75">
      <c r="A978" s="13">
        <v>71283</v>
      </c>
      <c r="B978" s="8">
        <f>35.5167 * CHOOSE(CONTROL!$C$15, $D$11, 100%, $F$11)</f>
        <v>35.5167</v>
      </c>
      <c r="C978" s="8">
        <f>35.5219 * CHOOSE(CONTROL!$C$15, $D$11, 100%, $F$11)</f>
        <v>35.521900000000002</v>
      </c>
      <c r="D978" s="8">
        <f>35.502 * CHOOSE( CONTROL!$C$15, $D$11, 100%, $F$11)</f>
        <v>35.502000000000002</v>
      </c>
      <c r="E978" s="12">
        <f>35.5087 * CHOOSE( CONTROL!$C$15, $D$11, 100%, $F$11)</f>
        <v>35.508699999999997</v>
      </c>
      <c r="F978" s="4">
        <f>36.1671 * CHOOSE(CONTROL!$C$15, $D$11, 100%, $F$11)</f>
        <v>36.167099999999998</v>
      </c>
      <c r="G978" s="8">
        <f>34.6731 * CHOOSE( CONTROL!$C$15, $D$11, 100%, $F$11)</f>
        <v>34.673099999999998</v>
      </c>
      <c r="H978" s="4">
        <f>35.5593 * CHOOSE(CONTROL!$C$15, $D$11, 100%, $F$11)</f>
        <v>35.5593</v>
      </c>
      <c r="I978" s="8">
        <f>34.208 * CHOOSE(CONTROL!$C$15, $D$11, 100%, $F$11)</f>
        <v>34.207999999999998</v>
      </c>
      <c r="J978" s="4">
        <f>34.0724 * CHOOSE(CONTROL!$C$15, $D$11, 100%, $F$11)</f>
        <v>34.072400000000002</v>
      </c>
      <c r="K978" s="4"/>
      <c r="L978" s="9">
        <v>26.469899999999999</v>
      </c>
      <c r="M978" s="9">
        <v>10.8962</v>
      </c>
      <c r="N978" s="9">
        <v>4.4660000000000002</v>
      </c>
      <c r="O978" s="9">
        <v>0.33789999999999998</v>
      </c>
      <c r="P978" s="9">
        <v>1.1676</v>
      </c>
      <c r="Q978" s="9">
        <v>17.782800000000002</v>
      </c>
      <c r="R978" s="9"/>
      <c r="S978" s="11"/>
    </row>
    <row r="979" spans="1:19" ht="15.75">
      <c r="A979" s="13">
        <v>71314</v>
      </c>
      <c r="B979" s="8">
        <f>34.7612 * CHOOSE(CONTROL!$C$15, $D$11, 100%, $F$11)</f>
        <v>34.761200000000002</v>
      </c>
      <c r="C979" s="8">
        <f>34.7664 * CHOOSE(CONTROL!$C$15, $D$11, 100%, $F$11)</f>
        <v>34.766399999999997</v>
      </c>
      <c r="D979" s="8">
        <f>34.7462 * CHOOSE( CONTROL!$C$15, $D$11, 100%, $F$11)</f>
        <v>34.746200000000002</v>
      </c>
      <c r="E979" s="12">
        <f>34.753 * CHOOSE( CONTROL!$C$15, $D$11, 100%, $F$11)</f>
        <v>34.753</v>
      </c>
      <c r="F979" s="4">
        <f>35.4117 * CHOOSE(CONTROL!$C$15, $D$11, 100%, $F$11)</f>
        <v>35.411700000000003</v>
      </c>
      <c r="G979" s="8">
        <f>33.935 * CHOOSE( CONTROL!$C$15, $D$11, 100%, $F$11)</f>
        <v>33.935000000000002</v>
      </c>
      <c r="H979" s="4">
        <f>34.8215 * CHOOSE(CONTROL!$C$15, $D$11, 100%, $F$11)</f>
        <v>34.8215</v>
      </c>
      <c r="I979" s="8">
        <f>33.4812 * CHOOSE(CONTROL!$C$15, $D$11, 100%, $F$11)</f>
        <v>33.481200000000001</v>
      </c>
      <c r="J979" s="4">
        <f>33.3471 * CHOOSE(CONTROL!$C$15, $D$11, 100%, $F$11)</f>
        <v>33.347099999999998</v>
      </c>
      <c r="K979" s="4"/>
      <c r="L979" s="9">
        <v>29.306000000000001</v>
      </c>
      <c r="M979" s="9">
        <v>12.063700000000001</v>
      </c>
      <c r="N979" s="9">
        <v>4.9444999999999997</v>
      </c>
      <c r="O979" s="9">
        <v>0.37409999999999999</v>
      </c>
      <c r="P979" s="9">
        <v>1.2927</v>
      </c>
      <c r="Q979" s="9">
        <v>19.688099999999999</v>
      </c>
      <c r="R979" s="9"/>
      <c r="S979" s="11"/>
    </row>
    <row r="980" spans="1:19" ht="15.75">
      <c r="A980" s="13">
        <v>71344</v>
      </c>
      <c r="B980" s="8">
        <f>35.2899 * CHOOSE(CONTROL!$C$15, $D$11, 100%, $F$11)</f>
        <v>35.289900000000003</v>
      </c>
      <c r="C980" s="8">
        <f>35.2945 * CHOOSE(CONTROL!$C$15, $D$11, 100%, $F$11)</f>
        <v>35.294499999999999</v>
      </c>
      <c r="D980" s="8">
        <f>35.325 * CHOOSE( CONTROL!$C$15, $D$11, 100%, $F$11)</f>
        <v>35.325000000000003</v>
      </c>
      <c r="E980" s="12">
        <f>35.3144 * CHOOSE( CONTROL!$C$15, $D$11, 100%, $F$11)</f>
        <v>35.314399999999999</v>
      </c>
      <c r="F980" s="4">
        <f>36.0047 * CHOOSE(CONTROL!$C$15, $D$11, 100%, $F$11)</f>
        <v>36.0047</v>
      </c>
      <c r="G980" s="8">
        <f>34.4518 * CHOOSE( CONTROL!$C$15, $D$11, 100%, $F$11)</f>
        <v>34.451799999999999</v>
      </c>
      <c r="H980" s="4">
        <f>35.4007 * CHOOSE(CONTROL!$C$15, $D$11, 100%, $F$11)</f>
        <v>35.400700000000001</v>
      </c>
      <c r="I980" s="8">
        <f>33.9803 * CHOOSE(CONTROL!$C$15, $D$11, 100%, $F$11)</f>
        <v>33.9803</v>
      </c>
      <c r="J980" s="4">
        <f>33.8539 * CHOOSE(CONTROL!$C$15, $D$11, 100%, $F$11)</f>
        <v>33.853900000000003</v>
      </c>
      <c r="K980" s="4"/>
      <c r="L980" s="9">
        <v>30.092199999999998</v>
      </c>
      <c r="M980" s="9">
        <v>11.6745</v>
      </c>
      <c r="N980" s="9">
        <v>4.7850000000000001</v>
      </c>
      <c r="O980" s="9">
        <v>0.36199999999999999</v>
      </c>
      <c r="P980" s="9">
        <v>1.1791</v>
      </c>
      <c r="Q980" s="9">
        <v>19.053000000000001</v>
      </c>
      <c r="R980" s="9"/>
      <c r="S980" s="11"/>
    </row>
    <row r="981" spans="1:19" ht="15.75">
      <c r="A981" s="13">
        <v>71375</v>
      </c>
      <c r="B981" s="8">
        <f>CHOOSE( CONTROL!$C$32, 36.2331, 36.2308) * CHOOSE(CONTROL!$C$15, $D$11, 100%, $F$11)</f>
        <v>36.2331</v>
      </c>
      <c r="C981" s="8">
        <f>CHOOSE( CONTROL!$C$32, 36.2412, 36.2389) * CHOOSE(CONTROL!$C$15, $D$11, 100%, $F$11)</f>
        <v>36.241199999999999</v>
      </c>
      <c r="D981" s="8">
        <f>CHOOSE( CONTROL!$C$32, 36.2664, 36.2641) * CHOOSE( CONTROL!$C$15, $D$11, 100%, $F$11)</f>
        <v>36.266399999999997</v>
      </c>
      <c r="E981" s="12">
        <f>CHOOSE( CONTROL!$C$32, 36.256, 36.2537) * CHOOSE( CONTROL!$C$15, $D$11, 100%, $F$11)</f>
        <v>36.256</v>
      </c>
      <c r="F981" s="4">
        <f>CHOOSE( CONTROL!$C$32, 36.9466, 36.9442) * CHOOSE(CONTROL!$C$15, $D$11, 100%, $F$11)</f>
        <v>36.946599999999997</v>
      </c>
      <c r="G981" s="8">
        <f>CHOOSE( CONTROL!$C$32, 35.3723, 35.37) * CHOOSE( CONTROL!$C$15, $D$11, 100%, $F$11)</f>
        <v>35.372300000000003</v>
      </c>
      <c r="H981" s="4">
        <f>CHOOSE( CONTROL!$C$32, 36.3206, 36.3183) * CHOOSE(CONTROL!$C$15, $D$11, 100%, $F$11)</f>
        <v>36.320599999999999</v>
      </c>
      <c r="I981" s="8">
        <f>CHOOSE( CONTROL!$C$32, 34.8853, 34.8831) * CHOOSE(CONTROL!$C$15, $D$11, 100%, $F$11)</f>
        <v>34.885300000000001</v>
      </c>
      <c r="J981" s="4">
        <f>CHOOSE( CONTROL!$C$32, 34.7582, 34.756) * CHOOSE(CONTROL!$C$15, $D$11, 100%, $F$11)</f>
        <v>34.758200000000002</v>
      </c>
      <c r="K981" s="4"/>
      <c r="L981" s="9">
        <v>30.7165</v>
      </c>
      <c r="M981" s="9">
        <v>12.063700000000001</v>
      </c>
      <c r="N981" s="9">
        <v>4.9444999999999997</v>
      </c>
      <c r="O981" s="9">
        <v>0.37409999999999999</v>
      </c>
      <c r="P981" s="9">
        <v>1.2183999999999999</v>
      </c>
      <c r="Q981" s="9">
        <v>19.688099999999999</v>
      </c>
      <c r="R981" s="9"/>
      <c r="S981" s="11"/>
    </row>
    <row r="982" spans="1:19" ht="15.75">
      <c r="A982" s="13">
        <v>71405</v>
      </c>
      <c r="B982" s="8">
        <f>CHOOSE( CONTROL!$C$32, 35.6511, 35.6488) * CHOOSE(CONTROL!$C$15, $D$11, 100%, $F$11)</f>
        <v>35.6511</v>
      </c>
      <c r="C982" s="8">
        <f>CHOOSE( CONTROL!$C$32, 35.6592, 35.6569) * CHOOSE(CONTROL!$C$15, $D$11, 100%, $F$11)</f>
        <v>35.659199999999998</v>
      </c>
      <c r="D982" s="8">
        <f>CHOOSE( CONTROL!$C$32, 35.6846, 35.6823) * CHOOSE( CONTROL!$C$15, $D$11, 100%, $F$11)</f>
        <v>35.684600000000003</v>
      </c>
      <c r="E982" s="12">
        <f>CHOOSE( CONTROL!$C$32, 35.6742, 35.6719) * CHOOSE( CONTROL!$C$15, $D$11, 100%, $F$11)</f>
        <v>35.674199999999999</v>
      </c>
      <c r="F982" s="4">
        <f>CHOOSE( CONTROL!$C$32, 36.3646, 36.3622) * CHOOSE(CONTROL!$C$15, $D$11, 100%, $F$11)</f>
        <v>36.364600000000003</v>
      </c>
      <c r="G982" s="8">
        <f>CHOOSE( CONTROL!$C$32, 34.8041, 34.8019) * CHOOSE( CONTROL!$C$15, $D$11, 100%, $F$11)</f>
        <v>34.804099999999998</v>
      </c>
      <c r="H982" s="4">
        <f>CHOOSE( CONTROL!$C$32, 35.7522, 35.7499) * CHOOSE(CONTROL!$C$15, $D$11, 100%, $F$11)</f>
        <v>35.752200000000002</v>
      </c>
      <c r="I982" s="8">
        <f>CHOOSE( CONTROL!$C$32, 34.3273, 34.325) * CHOOSE(CONTROL!$C$15, $D$11, 100%, $F$11)</f>
        <v>34.327300000000001</v>
      </c>
      <c r="J982" s="4">
        <f>CHOOSE( CONTROL!$C$32, 34.1994, 34.1972) * CHOOSE(CONTROL!$C$15, $D$11, 100%, $F$11)</f>
        <v>34.199399999999997</v>
      </c>
      <c r="K982" s="4"/>
      <c r="L982" s="9">
        <v>29.7257</v>
      </c>
      <c r="M982" s="9">
        <v>11.6745</v>
      </c>
      <c r="N982" s="9">
        <v>4.7850000000000001</v>
      </c>
      <c r="O982" s="9">
        <v>0.36199999999999999</v>
      </c>
      <c r="P982" s="9">
        <v>1.1791</v>
      </c>
      <c r="Q982" s="9">
        <v>19.053000000000001</v>
      </c>
      <c r="R982" s="9"/>
      <c r="S982" s="11"/>
    </row>
    <row r="983" spans="1:19" ht="15.75">
      <c r="A983" s="13">
        <v>71436</v>
      </c>
      <c r="B983" s="8">
        <f>CHOOSE( CONTROL!$C$32, 37.1838, 37.1814) * CHOOSE(CONTROL!$C$15, $D$11, 100%, $F$11)</f>
        <v>37.183799999999998</v>
      </c>
      <c r="C983" s="8">
        <f>CHOOSE( CONTROL!$C$32, 37.1919, 37.1895) * CHOOSE(CONTROL!$C$15, $D$11, 100%, $F$11)</f>
        <v>37.191899999999997</v>
      </c>
      <c r="D983" s="8">
        <f>CHOOSE( CONTROL!$C$32, 37.2175, 37.2152) * CHOOSE( CONTROL!$C$15, $D$11, 100%, $F$11)</f>
        <v>37.217500000000001</v>
      </c>
      <c r="E983" s="12">
        <f>CHOOSE( CONTROL!$C$32, 37.207, 37.2047) * CHOOSE( CONTROL!$C$15, $D$11, 100%, $F$11)</f>
        <v>37.207000000000001</v>
      </c>
      <c r="F983" s="4">
        <f>CHOOSE( CONTROL!$C$32, 37.8972, 37.8949) * CHOOSE(CONTROL!$C$15, $D$11, 100%, $F$11)</f>
        <v>37.897199999999998</v>
      </c>
      <c r="G983" s="8">
        <f>CHOOSE( CONTROL!$C$32, 36.3015, 36.2992) * CHOOSE( CONTROL!$C$15, $D$11, 100%, $F$11)</f>
        <v>36.301499999999997</v>
      </c>
      <c r="H983" s="4">
        <f>CHOOSE( CONTROL!$C$32, 37.2491, 37.2468) * CHOOSE(CONTROL!$C$15, $D$11, 100%, $F$11)</f>
        <v>37.249099999999999</v>
      </c>
      <c r="I983" s="8">
        <f>CHOOSE( CONTROL!$C$32, 35.8007, 35.7985) * CHOOSE(CONTROL!$C$15, $D$11, 100%, $F$11)</f>
        <v>35.800699999999999</v>
      </c>
      <c r="J983" s="4">
        <f>CHOOSE( CONTROL!$C$32, 35.6709, 35.6687) * CHOOSE(CONTROL!$C$15, $D$11, 100%, $F$11)</f>
        <v>35.670900000000003</v>
      </c>
      <c r="K983" s="4"/>
      <c r="L983" s="9">
        <v>30.7165</v>
      </c>
      <c r="M983" s="9">
        <v>12.063700000000001</v>
      </c>
      <c r="N983" s="9">
        <v>4.9444999999999997</v>
      </c>
      <c r="O983" s="9">
        <v>0.37409999999999999</v>
      </c>
      <c r="P983" s="9">
        <v>1.2183999999999999</v>
      </c>
      <c r="Q983" s="9">
        <v>19.688099999999999</v>
      </c>
      <c r="R983" s="9"/>
      <c r="S983" s="11"/>
    </row>
    <row r="984" spans="1:19" ht="15.75">
      <c r="A984" s="13">
        <v>71467</v>
      </c>
      <c r="B984" s="8">
        <f>CHOOSE( CONTROL!$C$32, 34.316, 34.3137) * CHOOSE(CONTROL!$C$15, $D$11, 100%, $F$11)</f>
        <v>34.316000000000003</v>
      </c>
      <c r="C984" s="8">
        <f>CHOOSE( CONTROL!$C$32, 34.3241, 34.3217) * CHOOSE(CONTROL!$C$15, $D$11, 100%, $F$11)</f>
        <v>34.324100000000001</v>
      </c>
      <c r="D984" s="8">
        <f>CHOOSE( CONTROL!$C$32, 34.3498, 34.3475) * CHOOSE( CONTROL!$C$15, $D$11, 100%, $F$11)</f>
        <v>34.349800000000002</v>
      </c>
      <c r="E984" s="12">
        <f>CHOOSE( CONTROL!$C$32, 34.3393, 34.3369) * CHOOSE( CONTROL!$C$15, $D$11, 100%, $F$11)</f>
        <v>34.339300000000001</v>
      </c>
      <c r="F984" s="4">
        <f>CHOOSE( CONTROL!$C$32, 35.0294, 35.0271) * CHOOSE(CONTROL!$C$15, $D$11, 100%, $F$11)</f>
        <v>35.029400000000003</v>
      </c>
      <c r="G984" s="8">
        <f>CHOOSE( CONTROL!$C$32, 33.5006, 33.4983) * CHOOSE( CONTROL!$C$15, $D$11, 100%, $F$11)</f>
        <v>33.500599999999999</v>
      </c>
      <c r="H984" s="4">
        <f>CHOOSE( CONTROL!$C$32, 34.4481, 34.4459) * CHOOSE(CONTROL!$C$15, $D$11, 100%, $F$11)</f>
        <v>34.448099999999997</v>
      </c>
      <c r="I984" s="8">
        <f>CHOOSE( CONTROL!$C$32, 33.0464, 33.0441) * CHOOSE(CONTROL!$C$15, $D$11, 100%, $F$11)</f>
        <v>33.046399999999998</v>
      </c>
      <c r="J984" s="4">
        <f>CHOOSE( CONTROL!$C$32, 32.9176, 32.9153) * CHOOSE(CONTROL!$C$15, $D$11, 100%, $F$11)</f>
        <v>32.9176</v>
      </c>
      <c r="K984" s="4"/>
      <c r="L984" s="9">
        <v>30.7165</v>
      </c>
      <c r="M984" s="9">
        <v>12.063700000000001</v>
      </c>
      <c r="N984" s="9">
        <v>4.9444999999999997</v>
      </c>
      <c r="O984" s="9">
        <v>0.37409999999999999</v>
      </c>
      <c r="P984" s="9">
        <v>1.2183999999999999</v>
      </c>
      <c r="Q984" s="9">
        <v>19.688099999999999</v>
      </c>
      <c r="R984" s="9"/>
      <c r="S984" s="11"/>
    </row>
    <row r="985" spans="1:19" ht="15.75">
      <c r="A985" s="13">
        <v>71497</v>
      </c>
      <c r="B985" s="8">
        <f>CHOOSE( CONTROL!$C$32, 33.5979, 33.5955) * CHOOSE(CONTROL!$C$15, $D$11, 100%, $F$11)</f>
        <v>33.597900000000003</v>
      </c>
      <c r="C985" s="8">
        <f>CHOOSE( CONTROL!$C$32, 33.606, 33.6036) * CHOOSE(CONTROL!$C$15, $D$11, 100%, $F$11)</f>
        <v>33.606000000000002</v>
      </c>
      <c r="D985" s="8">
        <f>CHOOSE( CONTROL!$C$32, 33.6317, 33.6293) * CHOOSE( CONTROL!$C$15, $D$11, 100%, $F$11)</f>
        <v>33.631700000000002</v>
      </c>
      <c r="E985" s="12">
        <f>CHOOSE( CONTROL!$C$32, 33.6212, 33.6188) * CHOOSE( CONTROL!$C$15, $D$11, 100%, $F$11)</f>
        <v>33.621200000000002</v>
      </c>
      <c r="F985" s="4">
        <f>CHOOSE( CONTROL!$C$32, 34.3113, 34.309) * CHOOSE(CONTROL!$C$15, $D$11, 100%, $F$11)</f>
        <v>34.311300000000003</v>
      </c>
      <c r="G985" s="8">
        <f>CHOOSE( CONTROL!$C$32, 32.7992, 32.7969) * CHOOSE( CONTROL!$C$15, $D$11, 100%, $F$11)</f>
        <v>32.799199999999999</v>
      </c>
      <c r="H985" s="4">
        <f>CHOOSE( CONTROL!$C$32, 33.7467, 33.7445) * CHOOSE(CONTROL!$C$15, $D$11, 100%, $F$11)</f>
        <v>33.746699999999997</v>
      </c>
      <c r="I985" s="8">
        <f>CHOOSE( CONTROL!$C$32, 32.3564, 32.3542) * CHOOSE(CONTROL!$C$15, $D$11, 100%, $F$11)</f>
        <v>32.356400000000001</v>
      </c>
      <c r="J985" s="4">
        <f>CHOOSE( CONTROL!$C$32, 32.2281, 32.2258) * CHOOSE(CONTROL!$C$15, $D$11, 100%, $F$11)</f>
        <v>32.228099999999998</v>
      </c>
      <c r="K985" s="4"/>
      <c r="L985" s="9">
        <v>29.7257</v>
      </c>
      <c r="M985" s="9">
        <v>11.6745</v>
      </c>
      <c r="N985" s="9">
        <v>4.7850000000000001</v>
      </c>
      <c r="O985" s="9">
        <v>0.36199999999999999</v>
      </c>
      <c r="P985" s="9">
        <v>1.1791</v>
      </c>
      <c r="Q985" s="9">
        <v>19.053000000000001</v>
      </c>
      <c r="R985" s="9"/>
      <c r="S985" s="11"/>
    </row>
    <row r="986" spans="1:19" ht="15.75">
      <c r="A986" s="13">
        <v>71528</v>
      </c>
      <c r="B986" s="8">
        <f>35.0849 * CHOOSE(CONTROL!$C$15, $D$11, 100%, $F$11)</f>
        <v>35.084899999999998</v>
      </c>
      <c r="C986" s="8">
        <f>35.0903 * CHOOSE(CONTROL!$C$15, $D$11, 100%, $F$11)</f>
        <v>35.090299999999999</v>
      </c>
      <c r="D986" s="8">
        <f>35.1211 * CHOOSE( CONTROL!$C$15, $D$11, 100%, $F$11)</f>
        <v>35.121099999999998</v>
      </c>
      <c r="E986" s="12">
        <f>35.1104 * CHOOSE( CONTROL!$C$15, $D$11, 100%, $F$11)</f>
        <v>35.110399999999998</v>
      </c>
      <c r="F986" s="4">
        <f>35.8 * CHOOSE(CONTROL!$C$15, $D$11, 100%, $F$11)</f>
        <v>35.799999999999997</v>
      </c>
      <c r="G986" s="8">
        <f>34.253 * CHOOSE( CONTROL!$C$15, $D$11, 100%, $F$11)</f>
        <v>34.253</v>
      </c>
      <c r="H986" s="4">
        <f>35.2008 * CHOOSE(CONTROL!$C$15, $D$11, 100%, $F$11)</f>
        <v>35.200800000000001</v>
      </c>
      <c r="I986" s="8">
        <f>33.7873 * CHOOSE(CONTROL!$C$15, $D$11, 100%, $F$11)</f>
        <v>33.787300000000002</v>
      </c>
      <c r="J986" s="4">
        <f>33.6574 * CHOOSE(CONTROL!$C$15, $D$11, 100%, $F$11)</f>
        <v>33.657400000000003</v>
      </c>
      <c r="K986" s="4"/>
      <c r="L986" s="9">
        <v>31.095300000000002</v>
      </c>
      <c r="M986" s="9">
        <v>12.063700000000001</v>
      </c>
      <c r="N986" s="9">
        <v>4.9444999999999997</v>
      </c>
      <c r="O986" s="9">
        <v>0.37409999999999999</v>
      </c>
      <c r="P986" s="9">
        <v>1.2183999999999999</v>
      </c>
      <c r="Q986" s="9">
        <v>19.688099999999999</v>
      </c>
      <c r="R986" s="9"/>
      <c r="S986" s="11"/>
    </row>
    <row r="987" spans="1:19" ht="15.75">
      <c r="A987" s="13">
        <v>71558</v>
      </c>
      <c r="B987" s="8">
        <f>37.8367 * CHOOSE(CONTROL!$C$15, $D$11, 100%, $F$11)</f>
        <v>37.8367</v>
      </c>
      <c r="C987" s="8">
        <f>37.8419 * CHOOSE(CONTROL!$C$15, $D$11, 100%, $F$11)</f>
        <v>37.841900000000003</v>
      </c>
      <c r="D987" s="8">
        <f>37.8249 * CHOOSE( CONTROL!$C$15, $D$11, 100%, $F$11)</f>
        <v>37.8249</v>
      </c>
      <c r="E987" s="12">
        <f>37.8306 * CHOOSE( CONTROL!$C$15, $D$11, 100%, $F$11)</f>
        <v>37.830599999999997</v>
      </c>
      <c r="F987" s="4">
        <f>38.4872 * CHOOSE(CONTROL!$C$15, $D$11, 100%, $F$11)</f>
        <v>38.487200000000001</v>
      </c>
      <c r="G987" s="8">
        <f>36.9473 * CHOOSE( CONTROL!$C$15, $D$11, 100%, $F$11)</f>
        <v>36.947299999999998</v>
      </c>
      <c r="H987" s="4">
        <f>37.8253 * CHOOSE(CONTROL!$C$15, $D$11, 100%, $F$11)</f>
        <v>37.825299999999999</v>
      </c>
      <c r="I987" s="8">
        <f>36.4729 * CHOOSE(CONTROL!$C$15, $D$11, 100%, $F$11)</f>
        <v>36.472900000000003</v>
      </c>
      <c r="J987" s="4">
        <f>36.2998 * CHOOSE(CONTROL!$C$15, $D$11, 100%, $F$11)</f>
        <v>36.299799999999998</v>
      </c>
      <c r="K987" s="4"/>
      <c r="L987" s="9">
        <v>28.360600000000002</v>
      </c>
      <c r="M987" s="9">
        <v>11.6745</v>
      </c>
      <c r="N987" s="9">
        <v>4.7850000000000001</v>
      </c>
      <c r="O987" s="9">
        <v>0.36199999999999999</v>
      </c>
      <c r="P987" s="9">
        <v>1.2509999999999999</v>
      </c>
      <c r="Q987" s="9">
        <v>19.053000000000001</v>
      </c>
      <c r="R987" s="9"/>
      <c r="S987" s="11"/>
    </row>
    <row r="988" spans="1:19" ht="15.75">
      <c r="A988" s="13">
        <v>71589</v>
      </c>
      <c r="B988" s="8">
        <f>37.7679 * CHOOSE(CONTROL!$C$15, $D$11, 100%, $F$11)</f>
        <v>37.767899999999997</v>
      </c>
      <c r="C988" s="8">
        <f>37.7731 * CHOOSE(CONTROL!$C$15, $D$11, 100%, $F$11)</f>
        <v>37.773099999999999</v>
      </c>
      <c r="D988" s="8">
        <f>37.7576 * CHOOSE( CONTROL!$C$15, $D$11, 100%, $F$11)</f>
        <v>37.757599999999996</v>
      </c>
      <c r="E988" s="12">
        <f>37.7627 * CHOOSE( CONTROL!$C$15, $D$11, 100%, $F$11)</f>
        <v>37.762700000000002</v>
      </c>
      <c r="F988" s="4">
        <f>38.4184 * CHOOSE(CONTROL!$C$15, $D$11, 100%, $F$11)</f>
        <v>38.418399999999998</v>
      </c>
      <c r="G988" s="8">
        <f>36.8813 * CHOOSE( CONTROL!$C$15, $D$11, 100%, $F$11)</f>
        <v>36.881300000000003</v>
      </c>
      <c r="H988" s="4">
        <f>37.7582 * CHOOSE(CONTROL!$C$15, $D$11, 100%, $F$11)</f>
        <v>37.758200000000002</v>
      </c>
      <c r="I988" s="8">
        <f>36.4115 * CHOOSE(CONTROL!$C$15, $D$11, 100%, $F$11)</f>
        <v>36.411499999999997</v>
      </c>
      <c r="J988" s="4">
        <f>36.2338 * CHOOSE(CONTROL!$C$15, $D$11, 100%, $F$11)</f>
        <v>36.233800000000002</v>
      </c>
      <c r="K988" s="4"/>
      <c r="L988" s="9">
        <v>29.306000000000001</v>
      </c>
      <c r="M988" s="9">
        <v>12.063700000000001</v>
      </c>
      <c r="N988" s="9">
        <v>4.9444999999999997</v>
      </c>
      <c r="O988" s="9">
        <v>0.37409999999999999</v>
      </c>
      <c r="P988" s="9">
        <v>1.2927</v>
      </c>
      <c r="Q988" s="9">
        <v>19.688099999999999</v>
      </c>
      <c r="R988" s="9"/>
      <c r="S988" s="11"/>
    </row>
    <row r="989" spans="1:19" ht="15.75">
      <c r="A989" s="13">
        <v>71620</v>
      </c>
      <c r="B989" s="8">
        <f>38.8811 * CHOOSE(CONTROL!$C$15, $D$11, 100%, $F$11)</f>
        <v>38.881100000000004</v>
      </c>
      <c r="C989" s="8">
        <f>38.8863 * CHOOSE(CONTROL!$C$15, $D$11, 100%, $F$11)</f>
        <v>38.886299999999999</v>
      </c>
      <c r="D989" s="8">
        <f>38.8665 * CHOOSE( CONTROL!$C$15, $D$11, 100%, $F$11)</f>
        <v>38.866500000000002</v>
      </c>
      <c r="E989" s="12">
        <f>38.8732 * CHOOSE( CONTROL!$C$15, $D$11, 100%, $F$11)</f>
        <v>38.873199999999997</v>
      </c>
      <c r="F989" s="4">
        <f>39.5316 * CHOOSE(CONTROL!$C$15, $D$11, 100%, $F$11)</f>
        <v>39.531599999999997</v>
      </c>
      <c r="G989" s="8">
        <f>37.9592 * CHOOSE( CONTROL!$C$15, $D$11, 100%, $F$11)</f>
        <v>37.959200000000003</v>
      </c>
      <c r="H989" s="4">
        <f>38.8454 * CHOOSE(CONTROL!$C$15, $D$11, 100%, $F$11)</f>
        <v>38.845399999999998</v>
      </c>
      <c r="I989" s="8">
        <f>37.4399 * CHOOSE(CONTROL!$C$15, $D$11, 100%, $F$11)</f>
        <v>37.439900000000002</v>
      </c>
      <c r="J989" s="4">
        <f>37.3026 * CHOOSE(CONTROL!$C$15, $D$11, 100%, $F$11)</f>
        <v>37.302599999999998</v>
      </c>
      <c r="K989" s="4"/>
      <c r="L989" s="9">
        <v>29.306000000000001</v>
      </c>
      <c r="M989" s="9">
        <v>12.063700000000001</v>
      </c>
      <c r="N989" s="9">
        <v>4.9444999999999997</v>
      </c>
      <c r="O989" s="9">
        <v>0.37409999999999999</v>
      </c>
      <c r="P989" s="9">
        <v>1.2927</v>
      </c>
      <c r="Q989" s="9">
        <v>19.688099999999999</v>
      </c>
      <c r="R989" s="9"/>
      <c r="S989" s="11"/>
    </row>
    <row r="990" spans="1:19" ht="15.75">
      <c r="A990" s="13">
        <v>71649</v>
      </c>
      <c r="B990" s="8">
        <f>36.3694 * CHOOSE(CONTROL!$C$15, $D$11, 100%, $F$11)</f>
        <v>36.369399999999999</v>
      </c>
      <c r="C990" s="8">
        <f>36.3746 * CHOOSE(CONTROL!$C$15, $D$11, 100%, $F$11)</f>
        <v>36.374600000000001</v>
      </c>
      <c r="D990" s="8">
        <f>36.3547 * CHOOSE( CONTROL!$C$15, $D$11, 100%, $F$11)</f>
        <v>36.354700000000001</v>
      </c>
      <c r="E990" s="12">
        <f>36.3614 * CHOOSE( CONTROL!$C$15, $D$11, 100%, $F$11)</f>
        <v>36.361400000000003</v>
      </c>
      <c r="F990" s="4">
        <f>37.0198 * CHOOSE(CONTROL!$C$15, $D$11, 100%, $F$11)</f>
        <v>37.019799999999996</v>
      </c>
      <c r="G990" s="8">
        <f>35.506 * CHOOSE( CONTROL!$C$15, $D$11, 100%, $F$11)</f>
        <v>35.506</v>
      </c>
      <c r="H990" s="4">
        <f>36.3922 * CHOOSE(CONTROL!$C$15, $D$11, 100%, $F$11)</f>
        <v>36.392200000000003</v>
      </c>
      <c r="I990" s="8">
        <f>35.0271 * CHOOSE(CONTROL!$C$15, $D$11, 100%, $F$11)</f>
        <v>35.027099999999997</v>
      </c>
      <c r="J990" s="4">
        <f>34.8911 * CHOOSE(CONTROL!$C$15, $D$11, 100%, $F$11)</f>
        <v>34.891100000000002</v>
      </c>
      <c r="K990" s="4"/>
      <c r="L990" s="9">
        <v>27.415299999999998</v>
      </c>
      <c r="M990" s="9">
        <v>11.285299999999999</v>
      </c>
      <c r="N990" s="9">
        <v>4.6254999999999997</v>
      </c>
      <c r="O990" s="9">
        <v>0.34989999999999999</v>
      </c>
      <c r="P990" s="9">
        <v>1.2093</v>
      </c>
      <c r="Q990" s="9">
        <v>18.417899999999999</v>
      </c>
      <c r="R990" s="9"/>
      <c r="S990" s="11"/>
    </row>
    <row r="991" spans="1:19" ht="15.75">
      <c r="A991" s="13">
        <v>71680</v>
      </c>
      <c r="B991" s="8">
        <f>35.5958 * CHOOSE(CONTROL!$C$15, $D$11, 100%, $F$11)</f>
        <v>35.595799999999997</v>
      </c>
      <c r="C991" s="8">
        <f>35.6009 * CHOOSE(CONTROL!$C$15, $D$11, 100%, $F$11)</f>
        <v>35.600900000000003</v>
      </c>
      <c r="D991" s="8">
        <f>35.5807 * CHOOSE( CONTROL!$C$15, $D$11, 100%, $F$11)</f>
        <v>35.5807</v>
      </c>
      <c r="E991" s="12">
        <f>35.5875 * CHOOSE( CONTROL!$C$15, $D$11, 100%, $F$11)</f>
        <v>35.587499999999999</v>
      </c>
      <c r="F991" s="4">
        <f>36.2462 * CHOOSE(CONTROL!$C$15, $D$11, 100%, $F$11)</f>
        <v>36.246200000000002</v>
      </c>
      <c r="G991" s="8">
        <f>34.7501 * CHOOSE( CONTROL!$C$15, $D$11, 100%, $F$11)</f>
        <v>34.750100000000003</v>
      </c>
      <c r="H991" s="4">
        <f>35.6366 * CHOOSE(CONTROL!$C$15, $D$11, 100%, $F$11)</f>
        <v>35.636600000000001</v>
      </c>
      <c r="I991" s="8">
        <f>34.2829 * CHOOSE(CONTROL!$C$15, $D$11, 100%, $F$11)</f>
        <v>34.282899999999998</v>
      </c>
      <c r="J991" s="4">
        <f>34.1483 * CHOOSE(CONTROL!$C$15, $D$11, 100%, $F$11)</f>
        <v>34.148299999999999</v>
      </c>
      <c r="K991" s="4"/>
      <c r="L991" s="9">
        <v>29.306000000000001</v>
      </c>
      <c r="M991" s="9">
        <v>12.063700000000001</v>
      </c>
      <c r="N991" s="9">
        <v>4.9444999999999997</v>
      </c>
      <c r="O991" s="9">
        <v>0.37409999999999999</v>
      </c>
      <c r="P991" s="9">
        <v>1.2927</v>
      </c>
      <c r="Q991" s="9">
        <v>19.688099999999999</v>
      </c>
      <c r="R991" s="9"/>
      <c r="S991" s="11"/>
    </row>
    <row r="992" spans="1:19" ht="15.75">
      <c r="A992" s="13">
        <v>71710</v>
      </c>
      <c r="B992" s="8">
        <f>36.1371 * CHOOSE(CONTROL!$C$15, $D$11, 100%, $F$11)</f>
        <v>36.137099999999997</v>
      </c>
      <c r="C992" s="8">
        <f>36.1417 * CHOOSE(CONTROL!$C$15, $D$11, 100%, $F$11)</f>
        <v>36.1417</v>
      </c>
      <c r="D992" s="8">
        <f>36.1723 * CHOOSE( CONTROL!$C$15, $D$11, 100%, $F$11)</f>
        <v>36.1723</v>
      </c>
      <c r="E992" s="12">
        <f>36.1617 * CHOOSE( CONTROL!$C$15, $D$11, 100%, $F$11)</f>
        <v>36.161700000000003</v>
      </c>
      <c r="F992" s="4">
        <f>36.8519 * CHOOSE(CONTROL!$C$15, $D$11, 100%, $F$11)</f>
        <v>36.851900000000001</v>
      </c>
      <c r="G992" s="8">
        <f>35.2793 * CHOOSE( CONTROL!$C$15, $D$11, 100%, $F$11)</f>
        <v>35.279299999999999</v>
      </c>
      <c r="H992" s="4">
        <f>36.2282 * CHOOSE(CONTROL!$C$15, $D$11, 100%, $F$11)</f>
        <v>36.228200000000001</v>
      </c>
      <c r="I992" s="8">
        <f>34.7941 * CHOOSE(CONTROL!$C$15, $D$11, 100%, $F$11)</f>
        <v>34.7941</v>
      </c>
      <c r="J992" s="4">
        <f>34.6673 * CHOOSE(CONTROL!$C$15, $D$11, 100%, $F$11)</f>
        <v>34.667299999999997</v>
      </c>
      <c r="K992" s="4"/>
      <c r="L992" s="9">
        <v>30.092199999999998</v>
      </c>
      <c r="M992" s="9">
        <v>11.6745</v>
      </c>
      <c r="N992" s="9">
        <v>4.7850000000000001</v>
      </c>
      <c r="O992" s="9">
        <v>0.36199999999999999</v>
      </c>
      <c r="P992" s="9">
        <v>1.1791</v>
      </c>
      <c r="Q992" s="9">
        <v>19.053000000000001</v>
      </c>
      <c r="R992" s="9"/>
      <c r="S992" s="11"/>
    </row>
    <row r="993" spans="1:19" ht="15.75">
      <c r="A993" s="13">
        <v>71741</v>
      </c>
      <c r="B993" s="8">
        <f>CHOOSE( CONTROL!$C$32, 37.1029, 37.1006) * CHOOSE(CONTROL!$C$15, $D$11, 100%, $F$11)</f>
        <v>37.102899999999998</v>
      </c>
      <c r="C993" s="8">
        <f>CHOOSE( CONTROL!$C$32, 37.111, 37.1087) * CHOOSE(CONTROL!$C$15, $D$11, 100%, $F$11)</f>
        <v>37.110999999999997</v>
      </c>
      <c r="D993" s="8">
        <f>CHOOSE( CONTROL!$C$32, 37.1362, 37.1339) * CHOOSE( CONTROL!$C$15, $D$11, 100%, $F$11)</f>
        <v>37.136200000000002</v>
      </c>
      <c r="E993" s="12">
        <f>CHOOSE( CONTROL!$C$32, 37.1258, 37.1235) * CHOOSE( CONTROL!$C$15, $D$11, 100%, $F$11)</f>
        <v>37.125799999999998</v>
      </c>
      <c r="F993" s="4">
        <f>CHOOSE( CONTROL!$C$32, 37.8164, 37.814) * CHOOSE(CONTROL!$C$15, $D$11, 100%, $F$11)</f>
        <v>37.816400000000002</v>
      </c>
      <c r="G993" s="8">
        <f>CHOOSE( CONTROL!$C$32, 36.2218, 36.2195) * CHOOSE( CONTROL!$C$15, $D$11, 100%, $F$11)</f>
        <v>36.221800000000002</v>
      </c>
      <c r="H993" s="4">
        <f>CHOOSE( CONTROL!$C$32, 37.1702, 37.1679) * CHOOSE(CONTROL!$C$15, $D$11, 100%, $F$11)</f>
        <v>37.170200000000001</v>
      </c>
      <c r="I993" s="8">
        <f>CHOOSE( CONTROL!$C$32, 35.7209, 35.7186) * CHOOSE(CONTROL!$C$15, $D$11, 100%, $F$11)</f>
        <v>35.7209</v>
      </c>
      <c r="J993" s="4">
        <f>CHOOSE( CONTROL!$C$32, 35.5933, 35.5911) * CHOOSE(CONTROL!$C$15, $D$11, 100%, $F$11)</f>
        <v>35.593299999999999</v>
      </c>
      <c r="K993" s="4"/>
      <c r="L993" s="9">
        <v>30.7165</v>
      </c>
      <c r="M993" s="9">
        <v>12.063700000000001</v>
      </c>
      <c r="N993" s="9">
        <v>4.9444999999999997</v>
      </c>
      <c r="O993" s="9">
        <v>0.37409999999999999</v>
      </c>
      <c r="P993" s="9">
        <v>1.2183999999999999</v>
      </c>
      <c r="Q993" s="9">
        <v>19.688099999999999</v>
      </c>
      <c r="R993" s="9"/>
      <c r="S993" s="11"/>
    </row>
    <row r="994" spans="1:19" ht="15.75">
      <c r="A994" s="13">
        <v>71771</v>
      </c>
      <c r="B994" s="8">
        <f>CHOOSE( CONTROL!$C$32, 36.5069, 36.5046) * CHOOSE(CONTROL!$C$15, $D$11, 100%, $F$11)</f>
        <v>36.506900000000002</v>
      </c>
      <c r="C994" s="8">
        <f>CHOOSE( CONTROL!$C$32, 36.515, 36.5127) * CHOOSE(CONTROL!$C$15, $D$11, 100%, $F$11)</f>
        <v>36.515000000000001</v>
      </c>
      <c r="D994" s="8">
        <f>CHOOSE( CONTROL!$C$32, 36.5404, 36.5381) * CHOOSE( CONTROL!$C$15, $D$11, 100%, $F$11)</f>
        <v>36.540399999999998</v>
      </c>
      <c r="E994" s="12">
        <f>CHOOSE( CONTROL!$C$32, 36.53, 36.5277) * CHOOSE( CONTROL!$C$15, $D$11, 100%, $F$11)</f>
        <v>36.53</v>
      </c>
      <c r="F994" s="4">
        <f>CHOOSE( CONTROL!$C$32, 37.2204, 37.218) * CHOOSE(CONTROL!$C$15, $D$11, 100%, $F$11)</f>
        <v>37.220399999999998</v>
      </c>
      <c r="G994" s="8">
        <f>CHOOSE( CONTROL!$C$32, 35.64, 35.6377) * CHOOSE( CONTROL!$C$15, $D$11, 100%, $F$11)</f>
        <v>35.64</v>
      </c>
      <c r="H994" s="4">
        <f>CHOOSE( CONTROL!$C$32, 36.588, 36.5858) * CHOOSE(CONTROL!$C$15, $D$11, 100%, $F$11)</f>
        <v>36.588000000000001</v>
      </c>
      <c r="I994" s="8">
        <f>CHOOSE( CONTROL!$C$32, 35.1493, 35.1471) * CHOOSE(CONTROL!$C$15, $D$11, 100%, $F$11)</f>
        <v>35.149299999999997</v>
      </c>
      <c r="J994" s="4">
        <f>CHOOSE( CONTROL!$C$32, 35.0211, 35.0188) * CHOOSE(CONTROL!$C$15, $D$11, 100%, $F$11)</f>
        <v>35.021099999999997</v>
      </c>
      <c r="K994" s="4"/>
      <c r="L994" s="9">
        <v>29.7257</v>
      </c>
      <c r="M994" s="9">
        <v>11.6745</v>
      </c>
      <c r="N994" s="9">
        <v>4.7850000000000001</v>
      </c>
      <c r="O994" s="9">
        <v>0.36199999999999999</v>
      </c>
      <c r="P994" s="9">
        <v>1.1791</v>
      </c>
      <c r="Q994" s="9">
        <v>19.053000000000001</v>
      </c>
      <c r="R994" s="9"/>
      <c r="S994" s="11"/>
    </row>
    <row r="995" spans="1:19" ht="15.75">
      <c r="A995" s="13">
        <v>71802</v>
      </c>
      <c r="B995" s="8">
        <f>CHOOSE( CONTROL!$C$32, 38.0764, 38.0741) * CHOOSE(CONTROL!$C$15, $D$11, 100%, $F$11)</f>
        <v>38.0764</v>
      </c>
      <c r="C995" s="8">
        <f>CHOOSE( CONTROL!$C$32, 38.0845, 38.0822) * CHOOSE(CONTROL!$C$15, $D$11, 100%, $F$11)</f>
        <v>38.084499999999998</v>
      </c>
      <c r="D995" s="8">
        <f>CHOOSE( CONTROL!$C$32, 38.1102, 38.1078) * CHOOSE( CONTROL!$C$15, $D$11, 100%, $F$11)</f>
        <v>38.110199999999999</v>
      </c>
      <c r="E995" s="12">
        <f>CHOOSE( CONTROL!$C$32, 38.0997, 38.0973) * CHOOSE( CONTROL!$C$15, $D$11, 100%, $F$11)</f>
        <v>38.099699999999999</v>
      </c>
      <c r="F995" s="4">
        <f>CHOOSE( CONTROL!$C$32, 38.7899, 38.7875) * CHOOSE(CONTROL!$C$15, $D$11, 100%, $F$11)</f>
        <v>38.789900000000003</v>
      </c>
      <c r="G995" s="8">
        <f>CHOOSE( CONTROL!$C$32, 37.1733, 37.171) * CHOOSE( CONTROL!$C$15, $D$11, 100%, $F$11)</f>
        <v>37.173299999999998</v>
      </c>
      <c r="H995" s="4">
        <f>CHOOSE( CONTROL!$C$32, 38.121, 38.1187) * CHOOSE(CONTROL!$C$15, $D$11, 100%, $F$11)</f>
        <v>38.121000000000002</v>
      </c>
      <c r="I995" s="8">
        <f>CHOOSE( CONTROL!$C$32, 36.6582, 36.6559) * CHOOSE(CONTROL!$C$15, $D$11, 100%, $F$11)</f>
        <v>36.658200000000001</v>
      </c>
      <c r="J995" s="4">
        <f>CHOOSE( CONTROL!$C$32, 36.528, 36.5257) * CHOOSE(CONTROL!$C$15, $D$11, 100%, $F$11)</f>
        <v>36.527999999999999</v>
      </c>
      <c r="K995" s="4"/>
      <c r="L995" s="9">
        <v>30.7165</v>
      </c>
      <c r="M995" s="9">
        <v>12.063700000000001</v>
      </c>
      <c r="N995" s="9">
        <v>4.9444999999999997</v>
      </c>
      <c r="O995" s="9">
        <v>0.37409999999999999</v>
      </c>
      <c r="P995" s="9">
        <v>1.2183999999999999</v>
      </c>
      <c r="Q995" s="9">
        <v>19.688099999999999</v>
      </c>
      <c r="R995" s="9"/>
      <c r="S995" s="11"/>
    </row>
    <row r="996" spans="1:19" ht="15.75">
      <c r="A996" s="13">
        <v>71833</v>
      </c>
      <c r="B996" s="8">
        <f>CHOOSE( CONTROL!$C$32, 35.1397, 35.1374) * CHOOSE(CONTROL!$C$15, $D$11, 100%, $F$11)</f>
        <v>35.139699999999998</v>
      </c>
      <c r="C996" s="8">
        <f>CHOOSE( CONTROL!$C$32, 35.1478, 35.1455) * CHOOSE(CONTROL!$C$15, $D$11, 100%, $F$11)</f>
        <v>35.147799999999997</v>
      </c>
      <c r="D996" s="8">
        <f>CHOOSE( CONTROL!$C$32, 35.1736, 35.1712) * CHOOSE( CONTROL!$C$15, $D$11, 100%, $F$11)</f>
        <v>35.1736</v>
      </c>
      <c r="E996" s="12">
        <f>CHOOSE( CONTROL!$C$32, 35.163, 35.1607) * CHOOSE( CONTROL!$C$15, $D$11, 100%, $F$11)</f>
        <v>35.162999999999997</v>
      </c>
      <c r="F996" s="4">
        <f>CHOOSE( CONTROL!$C$32, 35.8532, 35.8508) * CHOOSE(CONTROL!$C$15, $D$11, 100%, $F$11)</f>
        <v>35.853200000000001</v>
      </c>
      <c r="G996" s="8">
        <f>CHOOSE( CONTROL!$C$32, 34.3052, 34.3029) * CHOOSE( CONTROL!$C$15, $D$11, 100%, $F$11)</f>
        <v>34.305199999999999</v>
      </c>
      <c r="H996" s="4">
        <f>CHOOSE( CONTROL!$C$32, 35.2527, 35.2504) * CHOOSE(CONTROL!$C$15, $D$11, 100%, $F$11)</f>
        <v>35.252699999999997</v>
      </c>
      <c r="I996" s="8">
        <f>CHOOSE( CONTROL!$C$32, 33.8376, 33.8354) * CHOOSE(CONTROL!$C$15, $D$11, 100%, $F$11)</f>
        <v>33.837600000000002</v>
      </c>
      <c r="J996" s="4">
        <f>CHOOSE( CONTROL!$C$32, 33.7084, 33.7062) * CHOOSE(CONTROL!$C$15, $D$11, 100%, $F$11)</f>
        <v>33.708399999999997</v>
      </c>
      <c r="K996" s="4"/>
      <c r="L996" s="9">
        <v>30.7165</v>
      </c>
      <c r="M996" s="9">
        <v>12.063700000000001</v>
      </c>
      <c r="N996" s="9">
        <v>4.9444999999999997</v>
      </c>
      <c r="O996" s="9">
        <v>0.37409999999999999</v>
      </c>
      <c r="P996" s="9">
        <v>1.2183999999999999</v>
      </c>
      <c r="Q996" s="9">
        <v>19.688099999999999</v>
      </c>
      <c r="R996" s="9"/>
      <c r="S996" s="11"/>
    </row>
    <row r="997" spans="1:19" ht="15.75">
      <c r="A997" s="13">
        <v>71863</v>
      </c>
      <c r="B997" s="8">
        <f>CHOOSE( CONTROL!$C$32, 34.4044, 34.402) * CHOOSE(CONTROL!$C$15, $D$11, 100%, $F$11)</f>
        <v>34.404400000000003</v>
      </c>
      <c r="C997" s="8">
        <f>CHOOSE( CONTROL!$C$32, 34.4124, 34.4101) * CHOOSE(CONTROL!$C$15, $D$11, 100%, $F$11)</f>
        <v>34.412399999999998</v>
      </c>
      <c r="D997" s="8">
        <f>CHOOSE( CONTROL!$C$32, 34.4382, 34.4358) * CHOOSE( CONTROL!$C$15, $D$11, 100%, $F$11)</f>
        <v>34.438200000000002</v>
      </c>
      <c r="E997" s="12">
        <f>CHOOSE( CONTROL!$C$32, 34.4276, 34.4253) * CHOOSE( CONTROL!$C$15, $D$11, 100%, $F$11)</f>
        <v>34.427599999999998</v>
      </c>
      <c r="F997" s="4">
        <f>CHOOSE( CONTROL!$C$32, 35.1178, 35.1154) * CHOOSE(CONTROL!$C$15, $D$11, 100%, $F$11)</f>
        <v>35.117800000000003</v>
      </c>
      <c r="G997" s="8">
        <f>CHOOSE( CONTROL!$C$32, 33.5869, 33.5846) * CHOOSE( CONTROL!$C$15, $D$11, 100%, $F$11)</f>
        <v>33.5869</v>
      </c>
      <c r="H997" s="4">
        <f>CHOOSE( CONTROL!$C$32, 34.5344, 34.5322) * CHOOSE(CONTROL!$C$15, $D$11, 100%, $F$11)</f>
        <v>34.534399999999998</v>
      </c>
      <c r="I997" s="8">
        <f>CHOOSE( CONTROL!$C$32, 33.1311, 33.1289) * CHOOSE(CONTROL!$C$15, $D$11, 100%, $F$11)</f>
        <v>33.131100000000004</v>
      </c>
      <c r="J997" s="4">
        <f>CHOOSE( CONTROL!$C$32, 33.0024, 33.0001) * CHOOSE(CONTROL!$C$15, $D$11, 100%, $F$11)</f>
        <v>33.002400000000002</v>
      </c>
      <c r="K997" s="4"/>
      <c r="L997" s="9">
        <v>29.7257</v>
      </c>
      <c r="M997" s="9">
        <v>11.6745</v>
      </c>
      <c r="N997" s="9">
        <v>4.7850000000000001</v>
      </c>
      <c r="O997" s="9">
        <v>0.36199999999999999</v>
      </c>
      <c r="P997" s="9">
        <v>1.1791</v>
      </c>
      <c r="Q997" s="9">
        <v>19.053000000000001</v>
      </c>
      <c r="R997" s="9"/>
      <c r="S997" s="11"/>
    </row>
    <row r="998" spans="1:19" ht="15.75">
      <c r="A998" s="13">
        <v>71894</v>
      </c>
      <c r="B998" s="8">
        <f>35.9272 * CHOOSE(CONTROL!$C$15, $D$11, 100%, $F$11)</f>
        <v>35.927199999999999</v>
      </c>
      <c r="C998" s="8">
        <f>35.9326 * CHOOSE(CONTROL!$C$15, $D$11, 100%, $F$11)</f>
        <v>35.932600000000001</v>
      </c>
      <c r="D998" s="8">
        <f>35.9634 * CHOOSE( CONTROL!$C$15, $D$11, 100%, $F$11)</f>
        <v>35.9634</v>
      </c>
      <c r="E998" s="12">
        <f>35.9527 * CHOOSE( CONTROL!$C$15, $D$11, 100%, $F$11)</f>
        <v>35.9527</v>
      </c>
      <c r="F998" s="4">
        <f>36.6423 * CHOOSE(CONTROL!$C$15, $D$11, 100%, $F$11)</f>
        <v>36.642299999999999</v>
      </c>
      <c r="G998" s="8">
        <f>35.0757 * CHOOSE( CONTROL!$C$15, $D$11, 100%, $F$11)</f>
        <v>35.075699999999998</v>
      </c>
      <c r="H998" s="4">
        <f>36.0235 * CHOOSE(CONTROL!$C$15, $D$11, 100%, $F$11)</f>
        <v>36.023499999999999</v>
      </c>
      <c r="I998" s="8">
        <f>34.5964 * CHOOSE(CONTROL!$C$15, $D$11, 100%, $F$11)</f>
        <v>34.596400000000003</v>
      </c>
      <c r="J998" s="4">
        <f>34.4661 * CHOOSE(CONTROL!$C$15, $D$11, 100%, $F$11)</f>
        <v>34.466099999999997</v>
      </c>
      <c r="K998" s="4"/>
      <c r="L998" s="9">
        <v>31.095300000000002</v>
      </c>
      <c r="M998" s="9">
        <v>12.063700000000001</v>
      </c>
      <c r="N998" s="9">
        <v>4.9444999999999997</v>
      </c>
      <c r="O998" s="9">
        <v>0.37409999999999999</v>
      </c>
      <c r="P998" s="9">
        <v>1.2183999999999999</v>
      </c>
      <c r="Q998" s="9">
        <v>19.688099999999999</v>
      </c>
      <c r="R998" s="9"/>
      <c r="S998" s="11"/>
    </row>
    <row r="999" spans="1:19" ht="15.75">
      <c r="A999" s="13">
        <v>71924</v>
      </c>
      <c r="B999" s="8">
        <f>38.7451 * CHOOSE(CONTROL!$C$15, $D$11, 100%, $F$11)</f>
        <v>38.745100000000001</v>
      </c>
      <c r="C999" s="8">
        <f>38.7503 * CHOOSE(CONTROL!$C$15, $D$11, 100%, $F$11)</f>
        <v>38.750300000000003</v>
      </c>
      <c r="D999" s="8">
        <f>38.7334 * CHOOSE( CONTROL!$C$15, $D$11, 100%, $F$11)</f>
        <v>38.733400000000003</v>
      </c>
      <c r="E999" s="12">
        <f>38.739 * CHOOSE( CONTROL!$C$15, $D$11, 100%, $F$11)</f>
        <v>38.738999999999997</v>
      </c>
      <c r="F999" s="4">
        <f>39.3956 * CHOOSE(CONTROL!$C$15, $D$11, 100%, $F$11)</f>
        <v>39.395600000000002</v>
      </c>
      <c r="G999" s="8">
        <f>37.8346 * CHOOSE( CONTROL!$C$15, $D$11, 100%, $F$11)</f>
        <v>37.834600000000002</v>
      </c>
      <c r="H999" s="4">
        <f>38.7126 * CHOOSE(CONTROL!$C$15, $D$11, 100%, $F$11)</f>
        <v>38.712600000000002</v>
      </c>
      <c r="I999" s="8">
        <f>37.3455 * CHOOSE(CONTROL!$C$15, $D$11, 100%, $F$11)</f>
        <v>37.345500000000001</v>
      </c>
      <c r="J999" s="4">
        <f>37.172 * CHOOSE(CONTROL!$C$15, $D$11, 100%, $F$11)</f>
        <v>37.171999999999997</v>
      </c>
      <c r="K999" s="4"/>
      <c r="L999" s="9">
        <v>28.360600000000002</v>
      </c>
      <c r="M999" s="9">
        <v>11.6745</v>
      </c>
      <c r="N999" s="9">
        <v>4.7850000000000001</v>
      </c>
      <c r="O999" s="9">
        <v>0.36199999999999999</v>
      </c>
      <c r="P999" s="9">
        <v>1.2509999999999999</v>
      </c>
      <c r="Q999" s="9">
        <v>19.053000000000001</v>
      </c>
      <c r="R999" s="9"/>
      <c r="S999" s="11"/>
    </row>
    <row r="1000" spans="1:19" ht="15.75">
      <c r="A1000" s="13">
        <v>71955</v>
      </c>
      <c r="B1000" s="8">
        <f>38.6747 * CHOOSE(CONTROL!$C$15, $D$11, 100%, $F$11)</f>
        <v>38.674700000000001</v>
      </c>
      <c r="C1000" s="8">
        <f>38.6799 * CHOOSE(CONTROL!$C$15, $D$11, 100%, $F$11)</f>
        <v>38.679900000000004</v>
      </c>
      <c r="D1000" s="8">
        <f>38.6644 * CHOOSE( CONTROL!$C$15, $D$11, 100%, $F$11)</f>
        <v>38.664400000000001</v>
      </c>
      <c r="E1000" s="12">
        <f>38.6695 * CHOOSE( CONTROL!$C$15, $D$11, 100%, $F$11)</f>
        <v>38.669499999999999</v>
      </c>
      <c r="F1000" s="4">
        <f>39.3252 * CHOOSE(CONTROL!$C$15, $D$11, 100%, $F$11)</f>
        <v>39.325200000000002</v>
      </c>
      <c r="G1000" s="8">
        <f>37.7669 * CHOOSE( CONTROL!$C$15, $D$11, 100%, $F$11)</f>
        <v>37.7669</v>
      </c>
      <c r="H1000" s="4">
        <f>38.6438 * CHOOSE(CONTROL!$C$15, $D$11, 100%, $F$11)</f>
        <v>38.643799999999999</v>
      </c>
      <c r="I1000" s="8">
        <f>37.2826 * CHOOSE(CONTROL!$C$15, $D$11, 100%, $F$11)</f>
        <v>37.282600000000002</v>
      </c>
      <c r="J1000" s="4">
        <f>37.1044 * CHOOSE(CONTROL!$C$15, $D$11, 100%, $F$11)</f>
        <v>37.104399999999998</v>
      </c>
      <c r="K1000" s="4"/>
      <c r="L1000" s="9">
        <v>29.306000000000001</v>
      </c>
      <c r="M1000" s="9">
        <v>12.063700000000001</v>
      </c>
      <c r="N1000" s="9">
        <v>4.9444999999999997</v>
      </c>
      <c r="O1000" s="9">
        <v>0.37409999999999999</v>
      </c>
      <c r="P1000" s="9">
        <v>1.2927</v>
      </c>
      <c r="Q1000" s="9">
        <v>19.688099999999999</v>
      </c>
      <c r="R1000" s="9"/>
      <c r="S1000" s="11"/>
    </row>
    <row r="1001" spans="1:19" ht="15.75">
      <c r="A1001" s="13">
        <v>71986</v>
      </c>
      <c r="B1001" s="8">
        <f>39.8147 * CHOOSE(CONTROL!$C$15, $D$11, 100%, $F$11)</f>
        <v>39.814700000000002</v>
      </c>
      <c r="C1001" s="8">
        <f>39.8199 * CHOOSE(CONTROL!$C$15, $D$11, 100%, $F$11)</f>
        <v>39.819899999999997</v>
      </c>
      <c r="D1001" s="8">
        <f>39.8 * CHOOSE( CONTROL!$C$15, $D$11, 100%, $F$11)</f>
        <v>39.799999999999997</v>
      </c>
      <c r="E1001" s="12">
        <f>39.8067 * CHOOSE( CONTROL!$C$15, $D$11, 100%, $F$11)</f>
        <v>39.806699999999999</v>
      </c>
      <c r="F1001" s="4">
        <f>40.4651 * CHOOSE(CONTROL!$C$15, $D$11, 100%, $F$11)</f>
        <v>40.4651</v>
      </c>
      <c r="G1001" s="8">
        <f>38.871 * CHOOSE( CONTROL!$C$15, $D$11, 100%, $F$11)</f>
        <v>38.871000000000002</v>
      </c>
      <c r="H1001" s="4">
        <f>39.7572 * CHOOSE(CONTROL!$C$15, $D$11, 100%, $F$11)</f>
        <v>39.757199999999997</v>
      </c>
      <c r="I1001" s="8">
        <f>38.3367 * CHOOSE(CONTROL!$C$15, $D$11, 100%, $F$11)</f>
        <v>38.3367</v>
      </c>
      <c r="J1001" s="4">
        <f>38.1989 * CHOOSE(CONTROL!$C$15, $D$11, 100%, $F$11)</f>
        <v>38.198900000000002</v>
      </c>
      <c r="K1001" s="4"/>
      <c r="L1001" s="9">
        <v>29.306000000000001</v>
      </c>
      <c r="M1001" s="9">
        <v>12.063700000000001</v>
      </c>
      <c r="N1001" s="9">
        <v>4.9444999999999997</v>
      </c>
      <c r="O1001" s="9">
        <v>0.37409999999999999</v>
      </c>
      <c r="P1001" s="9">
        <v>1.2927</v>
      </c>
      <c r="Q1001" s="9">
        <v>19.688099999999999</v>
      </c>
      <c r="R1001" s="9"/>
      <c r="S1001" s="11"/>
    </row>
    <row r="1002" spans="1:19" ht="15.75">
      <c r="A1002" s="13">
        <v>72014</v>
      </c>
      <c r="B1002" s="8">
        <f>37.2426 * CHOOSE(CONTROL!$C$15, $D$11, 100%, $F$11)</f>
        <v>37.242600000000003</v>
      </c>
      <c r="C1002" s="8">
        <f>37.2477 * CHOOSE(CONTROL!$C$15, $D$11, 100%, $F$11)</f>
        <v>37.247700000000002</v>
      </c>
      <c r="D1002" s="8">
        <f>37.2279 * CHOOSE( CONTROL!$C$15, $D$11, 100%, $F$11)</f>
        <v>37.227899999999998</v>
      </c>
      <c r="E1002" s="12">
        <f>37.2346 * CHOOSE( CONTROL!$C$15, $D$11, 100%, $F$11)</f>
        <v>37.2346</v>
      </c>
      <c r="F1002" s="4">
        <f>37.893 * CHOOSE(CONTROL!$C$15, $D$11, 100%, $F$11)</f>
        <v>37.893000000000001</v>
      </c>
      <c r="G1002" s="8">
        <f>36.3588 * CHOOSE( CONTROL!$C$15, $D$11, 100%, $F$11)</f>
        <v>36.358800000000002</v>
      </c>
      <c r="H1002" s="4">
        <f>37.245 * CHOOSE(CONTROL!$C$15, $D$11, 100%, $F$11)</f>
        <v>37.244999999999997</v>
      </c>
      <c r="I1002" s="8">
        <f>35.8658 * CHOOSE(CONTROL!$C$15, $D$11, 100%, $F$11)</f>
        <v>35.8658</v>
      </c>
      <c r="J1002" s="4">
        <f>35.7294 * CHOOSE(CONTROL!$C$15, $D$11, 100%, $F$11)</f>
        <v>35.729399999999998</v>
      </c>
      <c r="K1002" s="4"/>
      <c r="L1002" s="9">
        <v>26.469899999999999</v>
      </c>
      <c r="M1002" s="9">
        <v>10.8962</v>
      </c>
      <c r="N1002" s="9">
        <v>4.4660000000000002</v>
      </c>
      <c r="O1002" s="9">
        <v>0.33789999999999998</v>
      </c>
      <c r="P1002" s="9">
        <v>1.1676</v>
      </c>
      <c r="Q1002" s="9">
        <v>17.782800000000002</v>
      </c>
      <c r="R1002" s="9"/>
      <c r="S1002" s="11"/>
    </row>
    <row r="1003" spans="1:19" ht="15.75">
      <c r="A1003" s="13">
        <v>72045</v>
      </c>
      <c r="B1003" s="8">
        <f>36.4503 * CHOOSE(CONTROL!$C$15, $D$11, 100%, $F$11)</f>
        <v>36.450299999999999</v>
      </c>
      <c r="C1003" s="8">
        <f>36.4555 * CHOOSE(CONTROL!$C$15, $D$11, 100%, $F$11)</f>
        <v>36.455500000000001</v>
      </c>
      <c r="D1003" s="8">
        <f>36.4353 * CHOOSE( CONTROL!$C$15, $D$11, 100%, $F$11)</f>
        <v>36.435299999999998</v>
      </c>
      <c r="E1003" s="12">
        <f>36.4421 * CHOOSE( CONTROL!$C$15, $D$11, 100%, $F$11)</f>
        <v>36.442100000000003</v>
      </c>
      <c r="F1003" s="4">
        <f>37.1008 * CHOOSE(CONTROL!$C$15, $D$11, 100%, $F$11)</f>
        <v>37.1008</v>
      </c>
      <c r="G1003" s="8">
        <f>35.5848 * CHOOSE( CONTROL!$C$15, $D$11, 100%, $F$11)</f>
        <v>35.584800000000001</v>
      </c>
      <c r="H1003" s="4">
        <f>36.4713 * CHOOSE(CONTROL!$C$15, $D$11, 100%, $F$11)</f>
        <v>36.471299999999999</v>
      </c>
      <c r="I1003" s="8">
        <f>35.1038 * CHOOSE(CONTROL!$C$15, $D$11, 100%, $F$11)</f>
        <v>35.1038</v>
      </c>
      <c r="J1003" s="4">
        <f>34.9688 * CHOOSE(CONTROL!$C$15, $D$11, 100%, $F$11)</f>
        <v>34.968800000000002</v>
      </c>
      <c r="K1003" s="4"/>
      <c r="L1003" s="9">
        <v>29.306000000000001</v>
      </c>
      <c r="M1003" s="9">
        <v>12.063700000000001</v>
      </c>
      <c r="N1003" s="9">
        <v>4.9444999999999997</v>
      </c>
      <c r="O1003" s="9">
        <v>0.37409999999999999</v>
      </c>
      <c r="P1003" s="9">
        <v>1.2927</v>
      </c>
      <c r="Q1003" s="9">
        <v>19.688099999999999</v>
      </c>
      <c r="R1003" s="9"/>
      <c r="S1003" s="11"/>
    </row>
    <row r="1004" spans="1:19" ht="15.75">
      <c r="A1004" s="13">
        <v>72075</v>
      </c>
      <c r="B1004" s="8">
        <f>37.0047 * CHOOSE(CONTROL!$C$15, $D$11, 100%, $F$11)</f>
        <v>37.0047</v>
      </c>
      <c r="C1004" s="8">
        <f>37.0093 * CHOOSE(CONTROL!$C$15, $D$11, 100%, $F$11)</f>
        <v>37.009300000000003</v>
      </c>
      <c r="D1004" s="8">
        <f>37.0398 * CHOOSE( CONTROL!$C$15, $D$11, 100%, $F$11)</f>
        <v>37.0398</v>
      </c>
      <c r="E1004" s="12">
        <f>37.0292 * CHOOSE( CONTROL!$C$15, $D$11, 100%, $F$11)</f>
        <v>37.029200000000003</v>
      </c>
      <c r="F1004" s="4">
        <f>37.7195 * CHOOSE(CONTROL!$C$15, $D$11, 100%, $F$11)</f>
        <v>37.719499999999996</v>
      </c>
      <c r="G1004" s="8">
        <f>36.1266 * CHOOSE( CONTROL!$C$15, $D$11, 100%, $F$11)</f>
        <v>36.126600000000003</v>
      </c>
      <c r="H1004" s="4">
        <f>37.0755 * CHOOSE(CONTROL!$C$15, $D$11, 100%, $F$11)</f>
        <v>37.075499999999998</v>
      </c>
      <c r="I1004" s="8">
        <f>35.6275 * CHOOSE(CONTROL!$C$15, $D$11, 100%, $F$11)</f>
        <v>35.627499999999998</v>
      </c>
      <c r="J1004" s="4">
        <f>35.5003 * CHOOSE(CONTROL!$C$15, $D$11, 100%, $F$11)</f>
        <v>35.500300000000003</v>
      </c>
      <c r="K1004" s="4"/>
      <c r="L1004" s="9">
        <v>30.092199999999998</v>
      </c>
      <c r="M1004" s="9">
        <v>11.6745</v>
      </c>
      <c r="N1004" s="9">
        <v>4.7850000000000001</v>
      </c>
      <c r="O1004" s="9">
        <v>0.36199999999999999</v>
      </c>
      <c r="P1004" s="9">
        <v>1.1791</v>
      </c>
      <c r="Q1004" s="9">
        <v>19.053000000000001</v>
      </c>
      <c r="R1004" s="9"/>
      <c r="S1004" s="11"/>
    </row>
    <row r="1005" spans="1:19" ht="15.75">
      <c r="A1005" s="13">
        <v>72106</v>
      </c>
      <c r="B1005" s="8">
        <f>CHOOSE( CONTROL!$C$32, 37.9936, 37.9913) * CHOOSE(CONTROL!$C$15, $D$11, 100%, $F$11)</f>
        <v>37.993600000000001</v>
      </c>
      <c r="C1005" s="8">
        <f>CHOOSE( CONTROL!$C$32, 38.0017, 37.9994) * CHOOSE(CONTROL!$C$15, $D$11, 100%, $F$11)</f>
        <v>38.0017</v>
      </c>
      <c r="D1005" s="8">
        <f>CHOOSE( CONTROL!$C$32, 38.0269, 38.0246) * CHOOSE( CONTROL!$C$15, $D$11, 100%, $F$11)</f>
        <v>38.026899999999998</v>
      </c>
      <c r="E1005" s="12">
        <f>CHOOSE( CONTROL!$C$32, 38.0165, 38.0142) * CHOOSE( CONTROL!$C$15, $D$11, 100%, $F$11)</f>
        <v>38.016500000000001</v>
      </c>
      <c r="F1005" s="4">
        <f>CHOOSE( CONTROL!$C$32, 38.7071, 38.7047) * CHOOSE(CONTROL!$C$15, $D$11, 100%, $F$11)</f>
        <v>38.707099999999997</v>
      </c>
      <c r="G1005" s="8">
        <f>CHOOSE( CONTROL!$C$32, 37.0918, 37.0895) * CHOOSE( CONTROL!$C$15, $D$11, 100%, $F$11)</f>
        <v>37.091799999999999</v>
      </c>
      <c r="H1005" s="4">
        <f>CHOOSE( CONTROL!$C$32, 38.0401, 38.0378) * CHOOSE(CONTROL!$C$15, $D$11, 100%, $F$11)</f>
        <v>38.040100000000002</v>
      </c>
      <c r="I1005" s="8">
        <f>CHOOSE( CONTROL!$C$32, 36.5765, 36.5742) * CHOOSE(CONTROL!$C$15, $D$11, 100%, $F$11)</f>
        <v>36.576500000000003</v>
      </c>
      <c r="J1005" s="4">
        <f>CHOOSE( CONTROL!$C$32, 36.4485, 36.4462) * CHOOSE(CONTROL!$C$15, $D$11, 100%, $F$11)</f>
        <v>36.448500000000003</v>
      </c>
      <c r="K1005" s="4"/>
      <c r="L1005" s="9">
        <v>30.7165</v>
      </c>
      <c r="M1005" s="9">
        <v>12.063700000000001</v>
      </c>
      <c r="N1005" s="9">
        <v>4.9444999999999997</v>
      </c>
      <c r="O1005" s="9">
        <v>0.37409999999999999</v>
      </c>
      <c r="P1005" s="9">
        <v>1.2183999999999999</v>
      </c>
      <c r="Q1005" s="9">
        <v>19.688099999999999</v>
      </c>
      <c r="R1005" s="9"/>
      <c r="S1005" s="11"/>
    </row>
    <row r="1006" spans="1:19" ht="15.75">
      <c r="A1006" s="13">
        <v>72136</v>
      </c>
      <c r="B1006" s="8">
        <f>CHOOSE( CONTROL!$C$32, 37.3833, 37.381) * CHOOSE(CONTROL!$C$15, $D$11, 100%, $F$11)</f>
        <v>37.383299999999998</v>
      </c>
      <c r="C1006" s="8">
        <f>CHOOSE( CONTROL!$C$32, 37.3914, 37.3891) * CHOOSE(CONTROL!$C$15, $D$11, 100%, $F$11)</f>
        <v>37.391399999999997</v>
      </c>
      <c r="D1006" s="8">
        <f>CHOOSE( CONTROL!$C$32, 37.4168, 37.4145) * CHOOSE( CONTROL!$C$15, $D$11, 100%, $F$11)</f>
        <v>37.416800000000002</v>
      </c>
      <c r="E1006" s="12">
        <f>CHOOSE( CONTROL!$C$32, 37.4064, 37.4041) * CHOOSE( CONTROL!$C$15, $D$11, 100%, $F$11)</f>
        <v>37.406399999999998</v>
      </c>
      <c r="F1006" s="4">
        <f>CHOOSE( CONTROL!$C$32, 38.0968, 38.0944) * CHOOSE(CONTROL!$C$15, $D$11, 100%, $F$11)</f>
        <v>38.096800000000002</v>
      </c>
      <c r="G1006" s="8">
        <f>CHOOSE( CONTROL!$C$32, 36.496, 36.4937) * CHOOSE( CONTROL!$C$15, $D$11, 100%, $F$11)</f>
        <v>36.496000000000002</v>
      </c>
      <c r="H1006" s="4">
        <f>CHOOSE( CONTROL!$C$32, 37.444, 37.4417) * CHOOSE(CONTROL!$C$15, $D$11, 100%, $F$11)</f>
        <v>37.444000000000003</v>
      </c>
      <c r="I1006" s="8">
        <f>CHOOSE( CONTROL!$C$32, 35.9912, 35.9889) * CHOOSE(CONTROL!$C$15, $D$11, 100%, $F$11)</f>
        <v>35.991199999999999</v>
      </c>
      <c r="J1006" s="4">
        <f>CHOOSE( CONTROL!$C$32, 35.8625, 35.8602) * CHOOSE(CONTROL!$C$15, $D$11, 100%, $F$11)</f>
        <v>35.862499999999997</v>
      </c>
      <c r="K1006" s="4"/>
      <c r="L1006" s="9">
        <v>29.7257</v>
      </c>
      <c r="M1006" s="9">
        <v>11.6745</v>
      </c>
      <c r="N1006" s="9">
        <v>4.7850000000000001</v>
      </c>
      <c r="O1006" s="9">
        <v>0.36199999999999999</v>
      </c>
      <c r="P1006" s="9">
        <v>1.1791</v>
      </c>
      <c r="Q1006" s="9">
        <v>19.053000000000001</v>
      </c>
      <c r="R1006" s="9"/>
      <c r="S1006" s="11"/>
    </row>
    <row r="1007" spans="1:19" ht="15.75">
      <c r="A1007" s="13">
        <v>72167</v>
      </c>
      <c r="B1007" s="8">
        <f>CHOOSE( CONTROL!$C$32, 38.9905, 38.9882) * CHOOSE(CONTROL!$C$15, $D$11, 100%, $F$11)</f>
        <v>38.990499999999997</v>
      </c>
      <c r="C1007" s="8">
        <f>CHOOSE( CONTROL!$C$32, 38.9986, 38.9963) * CHOOSE(CONTROL!$C$15, $D$11, 100%, $F$11)</f>
        <v>38.998600000000003</v>
      </c>
      <c r="D1007" s="8">
        <f>CHOOSE( CONTROL!$C$32, 39.0243, 39.0219) * CHOOSE( CONTROL!$C$15, $D$11, 100%, $F$11)</f>
        <v>39.024299999999997</v>
      </c>
      <c r="E1007" s="12">
        <f>CHOOSE( CONTROL!$C$32, 39.0138, 39.0114) * CHOOSE( CONTROL!$C$15, $D$11, 100%, $F$11)</f>
        <v>39.013800000000003</v>
      </c>
      <c r="F1007" s="4">
        <f>CHOOSE( CONTROL!$C$32, 39.704, 39.7016) * CHOOSE(CONTROL!$C$15, $D$11, 100%, $F$11)</f>
        <v>39.704000000000001</v>
      </c>
      <c r="G1007" s="8">
        <f>CHOOSE( CONTROL!$C$32, 38.0661, 38.0638) * CHOOSE( CONTROL!$C$15, $D$11, 100%, $F$11)</f>
        <v>38.066099999999999</v>
      </c>
      <c r="H1007" s="4">
        <f>CHOOSE( CONTROL!$C$32, 39.0138, 39.0115) * CHOOSE(CONTROL!$C$15, $D$11, 100%, $F$11)</f>
        <v>39.013800000000003</v>
      </c>
      <c r="I1007" s="8">
        <f>CHOOSE( CONTROL!$C$32, 37.5362, 37.534) * CHOOSE(CONTROL!$C$15, $D$11, 100%, $F$11)</f>
        <v>37.536200000000001</v>
      </c>
      <c r="J1007" s="4">
        <f>CHOOSE( CONTROL!$C$32, 37.4056, 37.4033) * CHOOSE(CONTROL!$C$15, $D$11, 100%, $F$11)</f>
        <v>37.4056</v>
      </c>
      <c r="K1007" s="4"/>
      <c r="L1007" s="9">
        <v>30.7165</v>
      </c>
      <c r="M1007" s="9">
        <v>12.063700000000001</v>
      </c>
      <c r="N1007" s="9">
        <v>4.9444999999999997</v>
      </c>
      <c r="O1007" s="9">
        <v>0.37409999999999999</v>
      </c>
      <c r="P1007" s="9">
        <v>1.2183999999999999</v>
      </c>
      <c r="Q1007" s="9">
        <v>19.688099999999999</v>
      </c>
      <c r="R1007" s="9"/>
      <c r="S1007" s="11"/>
    </row>
    <row r="1008" spans="1:19" ht="15.75">
      <c r="A1008" s="13">
        <v>72198</v>
      </c>
      <c r="B1008" s="8">
        <f>CHOOSE( CONTROL!$C$32, 35.9833, 35.9809) * CHOOSE(CONTROL!$C$15, $D$11, 100%, $F$11)</f>
        <v>35.9833</v>
      </c>
      <c r="C1008" s="8">
        <f>CHOOSE( CONTROL!$C$32, 35.9914, 35.989) * CHOOSE(CONTROL!$C$15, $D$11, 100%, $F$11)</f>
        <v>35.991399999999999</v>
      </c>
      <c r="D1008" s="8">
        <f>CHOOSE( CONTROL!$C$32, 36.0171, 36.0147) * CHOOSE( CONTROL!$C$15, $D$11, 100%, $F$11)</f>
        <v>36.017099999999999</v>
      </c>
      <c r="E1008" s="12">
        <f>CHOOSE( CONTROL!$C$32, 36.0066, 36.0042) * CHOOSE( CONTROL!$C$15, $D$11, 100%, $F$11)</f>
        <v>36.006599999999999</v>
      </c>
      <c r="F1008" s="4">
        <f>CHOOSE( CONTROL!$C$32, 36.6967, 36.6944) * CHOOSE(CONTROL!$C$15, $D$11, 100%, $F$11)</f>
        <v>36.6967</v>
      </c>
      <c r="G1008" s="8">
        <f>CHOOSE( CONTROL!$C$32, 35.1291, 35.1268) * CHOOSE( CONTROL!$C$15, $D$11, 100%, $F$11)</f>
        <v>35.129100000000001</v>
      </c>
      <c r="H1008" s="4">
        <f>CHOOSE( CONTROL!$C$32, 36.0766, 36.0743) * CHOOSE(CONTROL!$C$15, $D$11, 100%, $F$11)</f>
        <v>36.076599999999999</v>
      </c>
      <c r="I1008" s="8">
        <f>CHOOSE( CONTROL!$C$32, 34.6479, 34.6456) * CHOOSE(CONTROL!$C$15, $D$11, 100%, $F$11)</f>
        <v>34.6479</v>
      </c>
      <c r="J1008" s="4">
        <f>CHOOSE( CONTROL!$C$32, 34.5183, 34.5161) * CHOOSE(CONTROL!$C$15, $D$11, 100%, $F$11)</f>
        <v>34.518300000000004</v>
      </c>
      <c r="K1008" s="4"/>
      <c r="L1008" s="9">
        <v>30.7165</v>
      </c>
      <c r="M1008" s="9">
        <v>12.063700000000001</v>
      </c>
      <c r="N1008" s="9">
        <v>4.9444999999999997</v>
      </c>
      <c r="O1008" s="9">
        <v>0.37409999999999999</v>
      </c>
      <c r="P1008" s="9">
        <v>1.2183999999999999</v>
      </c>
      <c r="Q1008" s="9">
        <v>19.688099999999999</v>
      </c>
      <c r="R1008" s="9"/>
      <c r="S1008" s="11"/>
    </row>
    <row r="1009" spans="1:19" ht="15.75">
      <c r="A1009" s="13">
        <v>72228</v>
      </c>
      <c r="B1009" s="8">
        <f>CHOOSE( CONTROL!$C$32, 35.2302, 35.2279) * CHOOSE(CONTROL!$C$15, $D$11, 100%, $F$11)</f>
        <v>35.230200000000004</v>
      </c>
      <c r="C1009" s="8">
        <f>CHOOSE( CONTROL!$C$32, 35.2383, 35.236) * CHOOSE(CONTROL!$C$15, $D$11, 100%, $F$11)</f>
        <v>35.238300000000002</v>
      </c>
      <c r="D1009" s="8">
        <f>CHOOSE( CONTROL!$C$32, 35.264, 35.2617) * CHOOSE( CONTROL!$C$15, $D$11, 100%, $F$11)</f>
        <v>35.264000000000003</v>
      </c>
      <c r="E1009" s="12">
        <f>CHOOSE( CONTROL!$C$32, 35.2535, 35.2512) * CHOOSE( CONTROL!$C$15, $D$11, 100%, $F$11)</f>
        <v>35.253500000000003</v>
      </c>
      <c r="F1009" s="4">
        <f>CHOOSE( CONTROL!$C$32, 35.9437, 35.9413) * CHOOSE(CONTROL!$C$15, $D$11, 100%, $F$11)</f>
        <v>35.9437</v>
      </c>
      <c r="G1009" s="8">
        <f>CHOOSE( CONTROL!$C$32, 34.3935, 34.3912) * CHOOSE( CONTROL!$C$15, $D$11, 100%, $F$11)</f>
        <v>34.393500000000003</v>
      </c>
      <c r="H1009" s="4">
        <f>CHOOSE( CONTROL!$C$32, 35.3411, 35.3388) * CHOOSE(CONTROL!$C$15, $D$11, 100%, $F$11)</f>
        <v>35.341099999999997</v>
      </c>
      <c r="I1009" s="8">
        <f>CHOOSE( CONTROL!$C$32, 33.9244, 33.9222) * CHOOSE(CONTROL!$C$15, $D$11, 100%, $F$11)</f>
        <v>33.924399999999999</v>
      </c>
      <c r="J1009" s="4">
        <f>CHOOSE( CONTROL!$C$32, 33.7953, 33.7931) * CHOOSE(CONTROL!$C$15, $D$11, 100%, $F$11)</f>
        <v>33.795299999999997</v>
      </c>
      <c r="K1009" s="4"/>
      <c r="L1009" s="9">
        <v>29.7257</v>
      </c>
      <c r="M1009" s="9">
        <v>11.6745</v>
      </c>
      <c r="N1009" s="9">
        <v>4.7850000000000001</v>
      </c>
      <c r="O1009" s="9">
        <v>0.36199999999999999</v>
      </c>
      <c r="P1009" s="9">
        <v>1.1791</v>
      </c>
      <c r="Q1009" s="9">
        <v>19.053000000000001</v>
      </c>
      <c r="R1009" s="9"/>
      <c r="S1009" s="11"/>
    </row>
    <row r="1010" spans="1:19" ht="15.75">
      <c r="A1010" s="13">
        <v>72259</v>
      </c>
      <c r="B1010" s="8">
        <f>36.7897 * CHOOSE(CONTROL!$C$15, $D$11, 100%, $F$11)</f>
        <v>36.789700000000003</v>
      </c>
      <c r="C1010" s="8">
        <f>36.7952 * CHOOSE(CONTROL!$C$15, $D$11, 100%, $F$11)</f>
        <v>36.795200000000001</v>
      </c>
      <c r="D1010" s="8">
        <f>36.826 * CHOOSE( CONTROL!$C$15, $D$11, 100%, $F$11)</f>
        <v>36.826000000000001</v>
      </c>
      <c r="E1010" s="12">
        <f>36.8152 * CHOOSE( CONTROL!$C$15, $D$11, 100%, $F$11)</f>
        <v>36.815199999999997</v>
      </c>
      <c r="F1010" s="4">
        <f>37.5049 * CHOOSE(CONTROL!$C$15, $D$11, 100%, $F$11)</f>
        <v>37.504899999999999</v>
      </c>
      <c r="G1010" s="8">
        <f>35.9182 * CHOOSE( CONTROL!$C$15, $D$11, 100%, $F$11)</f>
        <v>35.918199999999999</v>
      </c>
      <c r="H1010" s="4">
        <f>36.8659 * CHOOSE(CONTROL!$C$15, $D$11, 100%, $F$11)</f>
        <v>36.865900000000003</v>
      </c>
      <c r="I1010" s="8">
        <f>35.425 * CHOOSE(CONTROL!$C$15, $D$11, 100%, $F$11)</f>
        <v>35.424999999999997</v>
      </c>
      <c r="J1010" s="4">
        <f>35.2943 * CHOOSE(CONTROL!$C$15, $D$11, 100%, $F$11)</f>
        <v>35.2943</v>
      </c>
      <c r="K1010" s="4"/>
      <c r="L1010" s="9">
        <v>31.095300000000002</v>
      </c>
      <c r="M1010" s="9">
        <v>12.063700000000001</v>
      </c>
      <c r="N1010" s="9">
        <v>4.9444999999999997</v>
      </c>
      <c r="O1010" s="9">
        <v>0.37409999999999999</v>
      </c>
      <c r="P1010" s="9">
        <v>1.2183999999999999</v>
      </c>
      <c r="Q1010" s="9">
        <v>19.688099999999999</v>
      </c>
      <c r="R1010" s="9"/>
      <c r="S1010" s="11"/>
    </row>
    <row r="1011" spans="1:19" ht="15.75">
      <c r="A1011" s="13">
        <v>72289</v>
      </c>
      <c r="B1011" s="8">
        <f>39.6754 * CHOOSE(CONTROL!$C$15, $D$11, 100%, $F$11)</f>
        <v>39.675400000000003</v>
      </c>
      <c r="C1011" s="8">
        <f>39.6806 * CHOOSE(CONTROL!$C$15, $D$11, 100%, $F$11)</f>
        <v>39.680599999999998</v>
      </c>
      <c r="D1011" s="8">
        <f>39.6636 * CHOOSE( CONTROL!$C$15, $D$11, 100%, $F$11)</f>
        <v>39.663600000000002</v>
      </c>
      <c r="E1011" s="12">
        <f>39.6693 * CHOOSE( CONTROL!$C$15, $D$11, 100%, $F$11)</f>
        <v>39.6693</v>
      </c>
      <c r="F1011" s="4">
        <f>40.3259 * CHOOSE(CONTROL!$C$15, $D$11, 100%, $F$11)</f>
        <v>40.325899999999997</v>
      </c>
      <c r="G1011" s="8">
        <f>38.7432 * CHOOSE( CONTROL!$C$15, $D$11, 100%, $F$11)</f>
        <v>38.743200000000002</v>
      </c>
      <c r="H1011" s="4">
        <f>39.6212 * CHOOSE(CONTROL!$C$15, $D$11, 100%, $F$11)</f>
        <v>39.621200000000002</v>
      </c>
      <c r="I1011" s="8">
        <f>38.2391 * CHOOSE(CONTROL!$C$15, $D$11, 100%, $F$11)</f>
        <v>38.239100000000001</v>
      </c>
      <c r="J1011" s="4">
        <f>38.0652 * CHOOSE(CONTROL!$C$15, $D$11, 100%, $F$11)</f>
        <v>38.065199999999997</v>
      </c>
      <c r="K1011" s="4"/>
      <c r="L1011" s="9">
        <v>28.360600000000002</v>
      </c>
      <c r="M1011" s="9">
        <v>11.6745</v>
      </c>
      <c r="N1011" s="9">
        <v>4.7850000000000001</v>
      </c>
      <c r="O1011" s="9">
        <v>0.36199999999999999</v>
      </c>
      <c r="P1011" s="9">
        <v>1.2509999999999999</v>
      </c>
      <c r="Q1011" s="9">
        <v>19.053000000000001</v>
      </c>
      <c r="R1011" s="9"/>
      <c r="S1011" s="11"/>
    </row>
    <row r="1012" spans="1:19" ht="15.75">
      <c r="A1012" s="13">
        <v>72320</v>
      </c>
      <c r="B1012" s="8">
        <f>39.6033 * CHOOSE(CONTROL!$C$15, $D$11, 100%, $F$11)</f>
        <v>39.603299999999997</v>
      </c>
      <c r="C1012" s="8">
        <f>39.6085 * CHOOSE(CONTROL!$C$15, $D$11, 100%, $F$11)</f>
        <v>39.608499999999999</v>
      </c>
      <c r="D1012" s="8">
        <f>39.593 * CHOOSE( CONTROL!$C$15, $D$11, 100%, $F$11)</f>
        <v>39.593000000000004</v>
      </c>
      <c r="E1012" s="12">
        <f>39.5981 * CHOOSE( CONTROL!$C$15, $D$11, 100%, $F$11)</f>
        <v>39.598100000000002</v>
      </c>
      <c r="F1012" s="4">
        <f>40.2538 * CHOOSE(CONTROL!$C$15, $D$11, 100%, $F$11)</f>
        <v>40.253799999999998</v>
      </c>
      <c r="G1012" s="8">
        <f>38.6739 * CHOOSE( CONTROL!$C$15, $D$11, 100%, $F$11)</f>
        <v>38.673900000000003</v>
      </c>
      <c r="H1012" s="4">
        <f>39.5508 * CHOOSE(CONTROL!$C$15, $D$11, 100%, $F$11)</f>
        <v>39.550800000000002</v>
      </c>
      <c r="I1012" s="8">
        <f>38.1745 * CHOOSE(CONTROL!$C$15, $D$11, 100%, $F$11)</f>
        <v>38.174500000000002</v>
      </c>
      <c r="J1012" s="4">
        <f>37.996 * CHOOSE(CONTROL!$C$15, $D$11, 100%, $F$11)</f>
        <v>37.996000000000002</v>
      </c>
      <c r="K1012" s="4"/>
      <c r="L1012" s="9">
        <v>29.306000000000001</v>
      </c>
      <c r="M1012" s="9">
        <v>12.063700000000001</v>
      </c>
      <c r="N1012" s="9">
        <v>4.9444999999999997</v>
      </c>
      <c r="O1012" s="9">
        <v>0.37409999999999999</v>
      </c>
      <c r="P1012" s="9">
        <v>1.2927</v>
      </c>
      <c r="Q1012" s="9">
        <v>19.688099999999999</v>
      </c>
      <c r="R1012" s="9"/>
      <c r="S1012" s="11"/>
    </row>
    <row r="1013" spans="1:19" ht="15.75">
      <c r="A1013" s="13">
        <v>72351</v>
      </c>
      <c r="B1013" s="8">
        <f>40.7706 * CHOOSE(CONTROL!$C$15, $D$11, 100%, $F$11)</f>
        <v>40.770600000000002</v>
      </c>
      <c r="C1013" s="8">
        <f>40.7758 * CHOOSE(CONTROL!$C$15, $D$11, 100%, $F$11)</f>
        <v>40.775799999999997</v>
      </c>
      <c r="D1013" s="8">
        <f>40.756 * CHOOSE( CONTROL!$C$15, $D$11, 100%, $F$11)</f>
        <v>40.756</v>
      </c>
      <c r="E1013" s="12">
        <f>40.7627 * CHOOSE( CONTROL!$C$15, $D$11, 100%, $F$11)</f>
        <v>40.762700000000002</v>
      </c>
      <c r="F1013" s="4">
        <f>41.4211 * CHOOSE(CONTROL!$C$15, $D$11, 100%, $F$11)</f>
        <v>41.421100000000003</v>
      </c>
      <c r="G1013" s="8">
        <f>39.8047 * CHOOSE( CONTROL!$C$15, $D$11, 100%, $F$11)</f>
        <v>39.804699999999997</v>
      </c>
      <c r="H1013" s="4">
        <f>40.6909 * CHOOSE(CONTROL!$C$15, $D$11, 100%, $F$11)</f>
        <v>40.690899999999999</v>
      </c>
      <c r="I1013" s="8">
        <f>39.255 * CHOOSE(CONTROL!$C$15, $D$11, 100%, $F$11)</f>
        <v>39.255000000000003</v>
      </c>
      <c r="J1013" s="4">
        <f>39.1167 * CHOOSE(CONTROL!$C$15, $D$11, 100%, $F$11)</f>
        <v>39.116700000000002</v>
      </c>
      <c r="K1013" s="4"/>
      <c r="L1013" s="9">
        <v>29.306000000000001</v>
      </c>
      <c r="M1013" s="9">
        <v>12.063700000000001</v>
      </c>
      <c r="N1013" s="9">
        <v>4.9444999999999997</v>
      </c>
      <c r="O1013" s="9">
        <v>0.37409999999999999</v>
      </c>
      <c r="P1013" s="9">
        <v>1.2927</v>
      </c>
      <c r="Q1013" s="9">
        <v>19.688099999999999</v>
      </c>
      <c r="R1013" s="9"/>
      <c r="S1013" s="11"/>
    </row>
    <row r="1014" spans="1:19" ht="15.75">
      <c r="A1014" s="13">
        <v>72379</v>
      </c>
      <c r="B1014" s="8">
        <f>38.1367 * CHOOSE(CONTROL!$C$15, $D$11, 100%, $F$11)</f>
        <v>38.136699999999998</v>
      </c>
      <c r="C1014" s="8">
        <f>38.1419 * CHOOSE(CONTROL!$C$15, $D$11, 100%, $F$11)</f>
        <v>38.1419</v>
      </c>
      <c r="D1014" s="8">
        <f>38.122 * CHOOSE( CONTROL!$C$15, $D$11, 100%, $F$11)</f>
        <v>38.122</v>
      </c>
      <c r="E1014" s="12">
        <f>38.1287 * CHOOSE( CONTROL!$C$15, $D$11, 100%, $F$11)</f>
        <v>38.128700000000002</v>
      </c>
      <c r="F1014" s="4">
        <f>38.7872 * CHOOSE(CONTROL!$C$15, $D$11, 100%, $F$11)</f>
        <v>38.787199999999999</v>
      </c>
      <c r="G1014" s="8">
        <f>37.2321 * CHOOSE( CONTROL!$C$15, $D$11, 100%, $F$11)</f>
        <v>37.232100000000003</v>
      </c>
      <c r="H1014" s="4">
        <f>38.1184 * CHOOSE(CONTROL!$C$15, $D$11, 100%, $F$11)</f>
        <v>38.118400000000001</v>
      </c>
      <c r="I1014" s="8">
        <f>36.7248 * CHOOSE(CONTROL!$C$15, $D$11, 100%, $F$11)</f>
        <v>36.724800000000002</v>
      </c>
      <c r="J1014" s="4">
        <f>36.5879 * CHOOSE(CONTROL!$C$15, $D$11, 100%, $F$11)</f>
        <v>36.587899999999998</v>
      </c>
      <c r="K1014" s="4"/>
      <c r="L1014" s="9">
        <v>26.469899999999999</v>
      </c>
      <c r="M1014" s="9">
        <v>10.8962</v>
      </c>
      <c r="N1014" s="9">
        <v>4.4660000000000002</v>
      </c>
      <c r="O1014" s="9">
        <v>0.33789999999999998</v>
      </c>
      <c r="P1014" s="9">
        <v>1.1676</v>
      </c>
      <c r="Q1014" s="9">
        <v>17.782800000000002</v>
      </c>
      <c r="R1014" s="9"/>
      <c r="S1014" s="11"/>
    </row>
    <row r="1015" spans="1:19" ht="15.75">
      <c r="A1015" s="13">
        <v>72410</v>
      </c>
      <c r="B1015" s="8">
        <f>37.3255 * CHOOSE(CONTROL!$C$15, $D$11, 100%, $F$11)</f>
        <v>37.325499999999998</v>
      </c>
      <c r="C1015" s="8">
        <f>37.3307 * CHOOSE(CONTROL!$C$15, $D$11, 100%, $F$11)</f>
        <v>37.3307</v>
      </c>
      <c r="D1015" s="8">
        <f>37.3104 * CHOOSE( CONTROL!$C$15, $D$11, 100%, $F$11)</f>
        <v>37.310400000000001</v>
      </c>
      <c r="E1015" s="12">
        <f>37.3173 * CHOOSE( CONTROL!$C$15, $D$11, 100%, $F$11)</f>
        <v>37.317300000000003</v>
      </c>
      <c r="F1015" s="4">
        <f>37.9759 * CHOOSE(CONTROL!$C$15, $D$11, 100%, $F$11)</f>
        <v>37.975900000000003</v>
      </c>
      <c r="G1015" s="8">
        <f>36.4395 * CHOOSE( CONTROL!$C$15, $D$11, 100%, $F$11)</f>
        <v>36.439500000000002</v>
      </c>
      <c r="H1015" s="4">
        <f>37.326 * CHOOSE(CONTROL!$C$15, $D$11, 100%, $F$11)</f>
        <v>37.326000000000001</v>
      </c>
      <c r="I1015" s="8">
        <f>35.9444 * CHOOSE(CONTROL!$C$15, $D$11, 100%, $F$11)</f>
        <v>35.944400000000002</v>
      </c>
      <c r="J1015" s="4">
        <f>35.809 * CHOOSE(CONTROL!$C$15, $D$11, 100%, $F$11)</f>
        <v>35.808999999999997</v>
      </c>
      <c r="K1015" s="4"/>
      <c r="L1015" s="9">
        <v>29.306000000000001</v>
      </c>
      <c r="M1015" s="9">
        <v>12.063700000000001</v>
      </c>
      <c r="N1015" s="9">
        <v>4.9444999999999997</v>
      </c>
      <c r="O1015" s="9">
        <v>0.37409999999999999</v>
      </c>
      <c r="P1015" s="9">
        <v>1.2927</v>
      </c>
      <c r="Q1015" s="9">
        <v>19.688099999999999</v>
      </c>
      <c r="R1015" s="9"/>
      <c r="S1015" s="11"/>
    </row>
    <row r="1016" spans="1:19" ht="15.75">
      <c r="A1016" s="13">
        <v>72440</v>
      </c>
      <c r="B1016" s="8">
        <f>37.8931 * CHOOSE(CONTROL!$C$15, $D$11, 100%, $F$11)</f>
        <v>37.893099999999997</v>
      </c>
      <c r="C1016" s="8">
        <f>37.8977 * CHOOSE(CONTROL!$C$15, $D$11, 100%, $F$11)</f>
        <v>37.8977</v>
      </c>
      <c r="D1016" s="8">
        <f>37.9283 * CHOOSE( CONTROL!$C$15, $D$11, 100%, $F$11)</f>
        <v>37.9283</v>
      </c>
      <c r="E1016" s="12">
        <f>37.9177 * CHOOSE( CONTROL!$C$15, $D$11, 100%, $F$11)</f>
        <v>37.917700000000004</v>
      </c>
      <c r="F1016" s="4">
        <f>38.6079 * CHOOSE(CONTROL!$C$15, $D$11, 100%, $F$11)</f>
        <v>38.607900000000001</v>
      </c>
      <c r="G1016" s="8">
        <f>36.9944 * CHOOSE( CONTROL!$C$15, $D$11, 100%, $F$11)</f>
        <v>36.994399999999999</v>
      </c>
      <c r="H1016" s="4">
        <f>37.9433 * CHOOSE(CONTROL!$C$15, $D$11, 100%, $F$11)</f>
        <v>37.943300000000001</v>
      </c>
      <c r="I1016" s="8">
        <f>36.4809 * CHOOSE(CONTROL!$C$15, $D$11, 100%, $F$11)</f>
        <v>36.480899999999998</v>
      </c>
      <c r="J1016" s="4">
        <f>36.3533 * CHOOSE(CONTROL!$C$15, $D$11, 100%, $F$11)</f>
        <v>36.353299999999997</v>
      </c>
      <c r="K1016" s="4"/>
      <c r="L1016" s="9">
        <v>30.092199999999998</v>
      </c>
      <c r="M1016" s="9">
        <v>11.6745</v>
      </c>
      <c r="N1016" s="9">
        <v>4.7850000000000001</v>
      </c>
      <c r="O1016" s="9">
        <v>0.36199999999999999</v>
      </c>
      <c r="P1016" s="9">
        <v>1.1791</v>
      </c>
      <c r="Q1016" s="9">
        <v>19.053000000000001</v>
      </c>
      <c r="R1016" s="9"/>
      <c r="S1016" s="11"/>
    </row>
    <row r="1017" spans="1:19" ht="15.75">
      <c r="A1017" s="13">
        <v>72471</v>
      </c>
      <c r="B1017" s="8">
        <f>CHOOSE( CONTROL!$C$32, 38.9057, 38.9034) * CHOOSE(CONTROL!$C$15, $D$11, 100%, $F$11)</f>
        <v>38.905700000000003</v>
      </c>
      <c r="C1017" s="8">
        <f>CHOOSE( CONTROL!$C$32, 38.9138, 38.9115) * CHOOSE(CONTROL!$C$15, $D$11, 100%, $F$11)</f>
        <v>38.913800000000002</v>
      </c>
      <c r="D1017" s="8">
        <f>CHOOSE( CONTROL!$C$32, 38.939, 38.9367) * CHOOSE( CONTROL!$C$15, $D$11, 100%, $F$11)</f>
        <v>38.939</v>
      </c>
      <c r="E1017" s="12">
        <f>CHOOSE( CONTROL!$C$32, 38.9286, 38.9263) * CHOOSE( CONTROL!$C$15, $D$11, 100%, $F$11)</f>
        <v>38.928600000000003</v>
      </c>
      <c r="F1017" s="4">
        <f>CHOOSE( CONTROL!$C$32, 39.6192, 39.6168) * CHOOSE(CONTROL!$C$15, $D$11, 100%, $F$11)</f>
        <v>39.619199999999999</v>
      </c>
      <c r="G1017" s="8">
        <f>CHOOSE( CONTROL!$C$32, 37.9826, 37.9804) * CHOOSE( CONTROL!$C$15, $D$11, 100%, $F$11)</f>
        <v>37.982599999999998</v>
      </c>
      <c r="H1017" s="4">
        <f>CHOOSE( CONTROL!$C$32, 38.931, 38.9287) * CHOOSE(CONTROL!$C$15, $D$11, 100%, $F$11)</f>
        <v>38.930999999999997</v>
      </c>
      <c r="I1017" s="8">
        <f>CHOOSE( CONTROL!$C$32, 37.4526, 37.4503) * CHOOSE(CONTROL!$C$15, $D$11, 100%, $F$11)</f>
        <v>37.452599999999997</v>
      </c>
      <c r="J1017" s="4">
        <f>CHOOSE( CONTROL!$C$32, 37.3242, 37.3219) * CHOOSE(CONTROL!$C$15, $D$11, 100%, $F$11)</f>
        <v>37.324199999999998</v>
      </c>
      <c r="K1017" s="4"/>
      <c r="L1017" s="9">
        <v>30.7165</v>
      </c>
      <c r="M1017" s="9">
        <v>12.063700000000001</v>
      </c>
      <c r="N1017" s="9">
        <v>4.9444999999999997</v>
      </c>
      <c r="O1017" s="9">
        <v>0.37409999999999999</v>
      </c>
      <c r="P1017" s="9">
        <v>1.2183999999999999</v>
      </c>
      <c r="Q1017" s="9">
        <v>19.688099999999999</v>
      </c>
      <c r="R1017" s="9"/>
      <c r="S1017" s="11"/>
    </row>
    <row r="1018" spans="1:19" ht="15.75">
      <c r="A1018" s="13">
        <v>72501</v>
      </c>
      <c r="B1018" s="8">
        <f>CHOOSE( CONTROL!$C$32, 38.2808, 38.2784) * CHOOSE(CONTROL!$C$15, $D$11, 100%, $F$11)</f>
        <v>38.280799999999999</v>
      </c>
      <c r="C1018" s="8">
        <f>CHOOSE( CONTROL!$C$32, 38.2888, 38.2865) * CHOOSE(CONTROL!$C$15, $D$11, 100%, $F$11)</f>
        <v>38.288800000000002</v>
      </c>
      <c r="D1018" s="8">
        <f>CHOOSE( CONTROL!$C$32, 38.3142, 38.3119) * CHOOSE( CONTROL!$C$15, $D$11, 100%, $F$11)</f>
        <v>38.3142</v>
      </c>
      <c r="E1018" s="12">
        <f>CHOOSE( CONTROL!$C$32, 38.3038, 38.3015) * CHOOSE( CONTROL!$C$15, $D$11, 100%, $F$11)</f>
        <v>38.303800000000003</v>
      </c>
      <c r="F1018" s="4">
        <f>CHOOSE( CONTROL!$C$32, 38.9942, 38.9918) * CHOOSE(CONTROL!$C$15, $D$11, 100%, $F$11)</f>
        <v>38.994199999999999</v>
      </c>
      <c r="G1018" s="8">
        <f>CHOOSE( CONTROL!$C$32, 37.3725, 37.3702) * CHOOSE( CONTROL!$C$15, $D$11, 100%, $F$11)</f>
        <v>37.372500000000002</v>
      </c>
      <c r="H1018" s="4">
        <f>CHOOSE( CONTROL!$C$32, 38.3205, 38.3182) * CHOOSE(CONTROL!$C$15, $D$11, 100%, $F$11)</f>
        <v>38.320500000000003</v>
      </c>
      <c r="I1018" s="8">
        <f>CHOOSE( CONTROL!$C$32, 36.8532, 36.851) * CHOOSE(CONTROL!$C$15, $D$11, 100%, $F$11)</f>
        <v>36.853200000000001</v>
      </c>
      <c r="J1018" s="4">
        <f>CHOOSE( CONTROL!$C$32, 36.7241, 36.7219) * CHOOSE(CONTROL!$C$15, $D$11, 100%, $F$11)</f>
        <v>36.7241</v>
      </c>
      <c r="K1018" s="4"/>
      <c r="L1018" s="9">
        <v>29.7257</v>
      </c>
      <c r="M1018" s="9">
        <v>11.6745</v>
      </c>
      <c r="N1018" s="9">
        <v>4.7850000000000001</v>
      </c>
      <c r="O1018" s="9">
        <v>0.36199999999999999</v>
      </c>
      <c r="P1018" s="9">
        <v>1.1791</v>
      </c>
      <c r="Q1018" s="9">
        <v>19.053000000000001</v>
      </c>
      <c r="R1018" s="9"/>
      <c r="S1018" s="11"/>
    </row>
    <row r="1019" spans="1:19" ht="15.75">
      <c r="A1019" s="13">
        <v>72532</v>
      </c>
      <c r="B1019" s="8">
        <f>CHOOSE( CONTROL!$C$32, 39.9266, 39.9242) * CHOOSE(CONTROL!$C$15, $D$11, 100%, $F$11)</f>
        <v>39.926600000000001</v>
      </c>
      <c r="C1019" s="8">
        <f>CHOOSE( CONTROL!$C$32, 39.9347, 39.9323) * CHOOSE(CONTROL!$C$15, $D$11, 100%, $F$11)</f>
        <v>39.934699999999999</v>
      </c>
      <c r="D1019" s="8">
        <f>CHOOSE( CONTROL!$C$32, 39.9603, 39.958) * CHOOSE( CONTROL!$C$15, $D$11, 100%, $F$11)</f>
        <v>39.960299999999997</v>
      </c>
      <c r="E1019" s="12">
        <f>CHOOSE( CONTROL!$C$32, 39.9498, 39.9475) * CHOOSE( CONTROL!$C$15, $D$11, 100%, $F$11)</f>
        <v>39.949800000000003</v>
      </c>
      <c r="F1019" s="4">
        <f>CHOOSE( CONTROL!$C$32, 40.64, 40.6377) * CHOOSE(CONTROL!$C$15, $D$11, 100%, $F$11)</f>
        <v>40.64</v>
      </c>
      <c r="G1019" s="8">
        <f>CHOOSE( CONTROL!$C$32, 38.9804, 38.9781) * CHOOSE( CONTROL!$C$15, $D$11, 100%, $F$11)</f>
        <v>38.980400000000003</v>
      </c>
      <c r="H1019" s="4">
        <f>CHOOSE( CONTROL!$C$32, 39.928, 39.9257) * CHOOSE(CONTROL!$C$15, $D$11, 100%, $F$11)</f>
        <v>39.927999999999997</v>
      </c>
      <c r="I1019" s="8">
        <f>CHOOSE( CONTROL!$C$32, 38.4354, 38.4331) * CHOOSE(CONTROL!$C$15, $D$11, 100%, $F$11)</f>
        <v>38.435400000000001</v>
      </c>
      <c r="J1019" s="4">
        <f>CHOOSE( CONTROL!$C$32, 38.3043, 38.302) * CHOOSE(CONTROL!$C$15, $D$11, 100%, $F$11)</f>
        <v>38.304299999999998</v>
      </c>
      <c r="K1019" s="4"/>
      <c r="L1019" s="9">
        <v>30.7165</v>
      </c>
      <c r="M1019" s="9">
        <v>12.063700000000001</v>
      </c>
      <c r="N1019" s="9">
        <v>4.9444999999999997</v>
      </c>
      <c r="O1019" s="9">
        <v>0.37409999999999999</v>
      </c>
      <c r="P1019" s="9">
        <v>1.2183999999999999</v>
      </c>
      <c r="Q1019" s="9">
        <v>19.688099999999999</v>
      </c>
      <c r="R1019" s="9"/>
      <c r="S1019" s="11"/>
    </row>
    <row r="1020" spans="1:19" ht="15.75">
      <c r="A1020" s="13">
        <v>72563</v>
      </c>
      <c r="B1020" s="8">
        <f>CHOOSE( CONTROL!$C$32, 36.8471, 36.8447) * CHOOSE(CONTROL!$C$15, $D$11, 100%, $F$11)</f>
        <v>36.847099999999998</v>
      </c>
      <c r="C1020" s="8">
        <f>CHOOSE( CONTROL!$C$32, 36.8552, 36.8528) * CHOOSE(CONTROL!$C$15, $D$11, 100%, $F$11)</f>
        <v>36.855200000000004</v>
      </c>
      <c r="D1020" s="8">
        <f>CHOOSE( CONTROL!$C$32, 36.8809, 36.8785) * CHOOSE( CONTROL!$C$15, $D$11, 100%, $F$11)</f>
        <v>36.880899999999997</v>
      </c>
      <c r="E1020" s="12">
        <f>CHOOSE( CONTROL!$C$32, 36.8704, 36.868) * CHOOSE( CONTROL!$C$15, $D$11, 100%, $F$11)</f>
        <v>36.870399999999997</v>
      </c>
      <c r="F1020" s="4">
        <f>CHOOSE( CONTROL!$C$32, 37.5605, 37.5582) * CHOOSE(CONTROL!$C$15, $D$11, 100%, $F$11)</f>
        <v>37.560499999999998</v>
      </c>
      <c r="G1020" s="8">
        <f>CHOOSE( CONTROL!$C$32, 35.9727, 35.9704) * CHOOSE( CONTROL!$C$15, $D$11, 100%, $F$11)</f>
        <v>35.972700000000003</v>
      </c>
      <c r="H1020" s="4">
        <f>CHOOSE( CONTROL!$C$32, 36.9203, 36.918) * CHOOSE(CONTROL!$C$15, $D$11, 100%, $F$11)</f>
        <v>36.920299999999997</v>
      </c>
      <c r="I1020" s="8">
        <f>CHOOSE( CONTROL!$C$32, 35.4776, 35.4754) * CHOOSE(CONTROL!$C$15, $D$11, 100%, $F$11)</f>
        <v>35.477600000000002</v>
      </c>
      <c r="J1020" s="4">
        <f>CHOOSE( CONTROL!$C$32, 35.3476, 35.3454) * CHOOSE(CONTROL!$C$15, $D$11, 100%, $F$11)</f>
        <v>35.3476</v>
      </c>
      <c r="K1020" s="4"/>
      <c r="L1020" s="9">
        <v>30.7165</v>
      </c>
      <c r="M1020" s="9">
        <v>12.063700000000001</v>
      </c>
      <c r="N1020" s="9">
        <v>4.9444999999999997</v>
      </c>
      <c r="O1020" s="9">
        <v>0.37409999999999999</v>
      </c>
      <c r="P1020" s="9">
        <v>1.2183999999999999</v>
      </c>
      <c r="Q1020" s="9">
        <v>19.688099999999999</v>
      </c>
      <c r="R1020" s="9"/>
      <c r="S1020" s="11"/>
    </row>
    <row r="1021" spans="1:19" ht="15.75">
      <c r="A1021" s="13">
        <v>72593</v>
      </c>
      <c r="B1021" s="8">
        <f>CHOOSE( CONTROL!$C$32, 36.0759, 36.0736) * CHOOSE(CONTROL!$C$15, $D$11, 100%, $F$11)</f>
        <v>36.075899999999997</v>
      </c>
      <c r="C1021" s="8">
        <f>CHOOSE( CONTROL!$C$32, 36.084, 36.0817) * CHOOSE(CONTROL!$C$15, $D$11, 100%, $F$11)</f>
        <v>36.084000000000003</v>
      </c>
      <c r="D1021" s="8">
        <f>CHOOSE( CONTROL!$C$32, 36.1097, 36.1074) * CHOOSE( CONTROL!$C$15, $D$11, 100%, $F$11)</f>
        <v>36.109699999999997</v>
      </c>
      <c r="E1021" s="12">
        <f>CHOOSE( CONTROL!$C$32, 36.0992, 36.0969) * CHOOSE( CONTROL!$C$15, $D$11, 100%, $F$11)</f>
        <v>36.099200000000003</v>
      </c>
      <c r="F1021" s="4">
        <f>CHOOSE( CONTROL!$C$32, 36.7894, 36.787) * CHOOSE(CONTROL!$C$15, $D$11, 100%, $F$11)</f>
        <v>36.789400000000001</v>
      </c>
      <c r="G1021" s="8">
        <f>CHOOSE( CONTROL!$C$32, 35.2195, 35.2172) * CHOOSE( CONTROL!$C$15, $D$11, 100%, $F$11)</f>
        <v>35.219499999999996</v>
      </c>
      <c r="H1021" s="4">
        <f>CHOOSE( CONTROL!$C$32, 36.1671, 36.1648) * CHOOSE(CONTROL!$C$15, $D$11, 100%, $F$11)</f>
        <v>36.167099999999998</v>
      </c>
      <c r="I1021" s="8">
        <f>CHOOSE( CONTROL!$C$32, 34.7368, 34.7345) * CHOOSE(CONTROL!$C$15, $D$11, 100%, $F$11)</f>
        <v>34.736800000000002</v>
      </c>
      <c r="J1021" s="4">
        <f>CHOOSE( CONTROL!$C$32, 34.6073, 34.605) * CHOOSE(CONTROL!$C$15, $D$11, 100%, $F$11)</f>
        <v>34.607300000000002</v>
      </c>
      <c r="K1021" s="4"/>
      <c r="L1021" s="9">
        <v>29.7257</v>
      </c>
      <c r="M1021" s="9">
        <v>11.6745</v>
      </c>
      <c r="N1021" s="9">
        <v>4.7850000000000001</v>
      </c>
      <c r="O1021" s="9">
        <v>0.36199999999999999</v>
      </c>
      <c r="P1021" s="9">
        <v>1.1791</v>
      </c>
      <c r="Q1021" s="9">
        <v>19.053000000000001</v>
      </c>
      <c r="R1021" s="9"/>
      <c r="S1021" s="11"/>
    </row>
    <row r="1022" spans="1:19" ht="15.75">
      <c r="A1022" s="13">
        <v>72624</v>
      </c>
      <c r="B1022" s="8">
        <f>37.673 * CHOOSE(CONTROL!$C$15, $D$11, 100%, $F$11)</f>
        <v>37.673000000000002</v>
      </c>
      <c r="C1022" s="8">
        <f>37.6785 * CHOOSE(CONTROL!$C$15, $D$11, 100%, $F$11)</f>
        <v>37.6785</v>
      </c>
      <c r="D1022" s="8">
        <f>37.7092 * CHOOSE( CONTROL!$C$15, $D$11, 100%, $F$11)</f>
        <v>37.709200000000003</v>
      </c>
      <c r="E1022" s="12">
        <f>37.6985 * CHOOSE( CONTROL!$C$15, $D$11, 100%, $F$11)</f>
        <v>37.698500000000003</v>
      </c>
      <c r="F1022" s="4">
        <f>38.3882 * CHOOSE(CONTROL!$C$15, $D$11, 100%, $F$11)</f>
        <v>38.388199999999998</v>
      </c>
      <c r="G1022" s="8">
        <f>36.7809 * CHOOSE( CONTROL!$C$15, $D$11, 100%, $F$11)</f>
        <v>36.780900000000003</v>
      </c>
      <c r="H1022" s="4">
        <f>37.7286 * CHOOSE(CONTROL!$C$15, $D$11, 100%, $F$11)</f>
        <v>37.7286</v>
      </c>
      <c r="I1022" s="8">
        <f>36.2734 * CHOOSE(CONTROL!$C$15, $D$11, 100%, $F$11)</f>
        <v>36.273400000000002</v>
      </c>
      <c r="J1022" s="4">
        <f>36.1423 * CHOOSE(CONTROL!$C$15, $D$11, 100%, $F$11)</f>
        <v>36.142299999999999</v>
      </c>
      <c r="K1022" s="4"/>
      <c r="L1022" s="9">
        <v>31.095300000000002</v>
      </c>
      <c r="M1022" s="9">
        <v>12.063700000000001</v>
      </c>
      <c r="N1022" s="9">
        <v>4.9444999999999997</v>
      </c>
      <c r="O1022" s="9">
        <v>0.37409999999999999</v>
      </c>
      <c r="P1022" s="9">
        <v>1.2183999999999999</v>
      </c>
      <c r="Q1022" s="9">
        <v>19.688099999999999</v>
      </c>
      <c r="R1022" s="9"/>
      <c r="S1022" s="11"/>
    </row>
    <row r="1023" spans="1:19" ht="15.75">
      <c r="A1023" s="13">
        <v>72654</v>
      </c>
      <c r="B1023" s="8">
        <f>40.628 * CHOOSE(CONTROL!$C$15, $D$11, 100%, $F$11)</f>
        <v>40.628</v>
      </c>
      <c r="C1023" s="8">
        <f>40.6332 * CHOOSE(CONTROL!$C$15, $D$11, 100%, $F$11)</f>
        <v>40.633200000000002</v>
      </c>
      <c r="D1023" s="8">
        <f>40.6162 * CHOOSE( CONTROL!$C$15, $D$11, 100%, $F$11)</f>
        <v>40.616199999999999</v>
      </c>
      <c r="E1023" s="12">
        <f>40.6219 * CHOOSE( CONTROL!$C$15, $D$11, 100%, $F$11)</f>
        <v>40.621899999999997</v>
      </c>
      <c r="F1023" s="4">
        <f>41.2785 * CHOOSE(CONTROL!$C$15, $D$11, 100%, $F$11)</f>
        <v>41.278500000000001</v>
      </c>
      <c r="G1023" s="8">
        <f>39.6736 * CHOOSE( CONTROL!$C$15, $D$11, 100%, $F$11)</f>
        <v>39.6736</v>
      </c>
      <c r="H1023" s="4">
        <f>40.5516 * CHOOSE(CONTROL!$C$15, $D$11, 100%, $F$11)</f>
        <v>40.551600000000001</v>
      </c>
      <c r="I1023" s="8">
        <f>39.1542 * CHOOSE(CONTROL!$C$15, $D$11, 100%, $F$11)</f>
        <v>39.154200000000003</v>
      </c>
      <c r="J1023" s="4">
        <f>38.9798 * CHOOSE(CONTROL!$C$15, $D$11, 100%, $F$11)</f>
        <v>38.979799999999997</v>
      </c>
      <c r="K1023" s="4"/>
      <c r="L1023" s="9">
        <v>28.360600000000002</v>
      </c>
      <c r="M1023" s="9">
        <v>11.6745</v>
      </c>
      <c r="N1023" s="9">
        <v>4.7850000000000001</v>
      </c>
      <c r="O1023" s="9">
        <v>0.36199999999999999</v>
      </c>
      <c r="P1023" s="9">
        <v>1.2509999999999999</v>
      </c>
      <c r="Q1023" s="9">
        <v>19.053000000000001</v>
      </c>
      <c r="R1023" s="9"/>
      <c r="S1023" s="11"/>
    </row>
    <row r="1024" spans="1:19" ht="15.75">
      <c r="A1024" s="13">
        <v>72685</v>
      </c>
      <c r="B1024" s="8">
        <f>40.5542 * CHOOSE(CONTROL!$C$15, $D$11, 100%, $F$11)</f>
        <v>40.554200000000002</v>
      </c>
      <c r="C1024" s="8">
        <f>40.5594 * CHOOSE(CONTROL!$C$15, $D$11, 100%, $F$11)</f>
        <v>40.559399999999997</v>
      </c>
      <c r="D1024" s="8">
        <f>40.5439 * CHOOSE( CONTROL!$C$15, $D$11, 100%, $F$11)</f>
        <v>40.543900000000001</v>
      </c>
      <c r="E1024" s="12">
        <f>40.549 * CHOOSE( CONTROL!$C$15, $D$11, 100%, $F$11)</f>
        <v>40.548999999999999</v>
      </c>
      <c r="F1024" s="4">
        <f>41.2047 * CHOOSE(CONTROL!$C$15, $D$11, 100%, $F$11)</f>
        <v>41.204700000000003</v>
      </c>
      <c r="G1024" s="8">
        <f>39.6026 * CHOOSE( CONTROL!$C$15, $D$11, 100%, $F$11)</f>
        <v>39.602600000000002</v>
      </c>
      <c r="H1024" s="4">
        <f>40.4795 * CHOOSE(CONTROL!$C$15, $D$11, 100%, $F$11)</f>
        <v>40.479500000000002</v>
      </c>
      <c r="I1024" s="8">
        <f>39.0879 * CHOOSE(CONTROL!$C$15, $D$11, 100%, $F$11)</f>
        <v>39.087899999999998</v>
      </c>
      <c r="J1024" s="4">
        <f>38.9089 * CHOOSE(CONTROL!$C$15, $D$11, 100%, $F$11)</f>
        <v>38.908900000000003</v>
      </c>
      <c r="K1024" s="4"/>
      <c r="L1024" s="9">
        <v>29.306000000000001</v>
      </c>
      <c r="M1024" s="9">
        <v>12.063700000000001</v>
      </c>
      <c r="N1024" s="9">
        <v>4.9444999999999997</v>
      </c>
      <c r="O1024" s="9">
        <v>0.37409999999999999</v>
      </c>
      <c r="P1024" s="9">
        <v>1.2927</v>
      </c>
      <c r="Q1024" s="9">
        <v>19.688099999999999</v>
      </c>
      <c r="R1024" s="9"/>
      <c r="S1024" s="11"/>
    </row>
    <row r="1025" spans="1:19" ht="15.75">
      <c r="A1025" s="13">
        <v>72716</v>
      </c>
      <c r="B1025" s="8">
        <f>41.7496 * CHOOSE(CONTROL!$C$15, $D$11, 100%, $F$11)</f>
        <v>41.749600000000001</v>
      </c>
      <c r="C1025" s="8">
        <f>41.7548 * CHOOSE(CONTROL!$C$15, $D$11, 100%, $F$11)</f>
        <v>41.754800000000003</v>
      </c>
      <c r="D1025" s="8">
        <f>41.7349 * CHOOSE( CONTROL!$C$15, $D$11, 100%, $F$11)</f>
        <v>41.734900000000003</v>
      </c>
      <c r="E1025" s="12">
        <f>41.7416 * CHOOSE( CONTROL!$C$15, $D$11, 100%, $F$11)</f>
        <v>41.741599999999998</v>
      </c>
      <c r="F1025" s="4">
        <f>42.4 * CHOOSE(CONTROL!$C$15, $D$11, 100%, $F$11)</f>
        <v>42.4</v>
      </c>
      <c r="G1025" s="8">
        <f>40.7608 * CHOOSE( CONTROL!$C$15, $D$11, 100%, $F$11)</f>
        <v>40.760800000000003</v>
      </c>
      <c r="H1025" s="4">
        <f>41.647 * CHOOSE(CONTROL!$C$15, $D$11, 100%, $F$11)</f>
        <v>41.646999999999998</v>
      </c>
      <c r="I1025" s="8">
        <f>40.1953 * CHOOSE(CONTROL!$C$15, $D$11, 100%, $F$11)</f>
        <v>40.195300000000003</v>
      </c>
      <c r="J1025" s="4">
        <f>40.0566 * CHOOSE(CONTROL!$C$15, $D$11, 100%, $F$11)</f>
        <v>40.056600000000003</v>
      </c>
      <c r="K1025" s="4"/>
      <c r="L1025" s="9">
        <v>29.306000000000001</v>
      </c>
      <c r="M1025" s="9">
        <v>12.063700000000001</v>
      </c>
      <c r="N1025" s="9">
        <v>4.9444999999999997</v>
      </c>
      <c r="O1025" s="9">
        <v>0.37409999999999999</v>
      </c>
      <c r="P1025" s="9">
        <v>1.2927</v>
      </c>
      <c r="Q1025" s="9">
        <v>19.688099999999999</v>
      </c>
      <c r="R1025" s="9"/>
      <c r="S1025" s="11"/>
    </row>
    <row r="1026" spans="1:19" ht="15.75">
      <c r="A1026" s="13">
        <v>72744</v>
      </c>
      <c r="B1026" s="8">
        <f>39.0524 * CHOOSE(CONTROL!$C$15, $D$11, 100%, $F$11)</f>
        <v>39.052399999999999</v>
      </c>
      <c r="C1026" s="8">
        <f>39.0576 * CHOOSE(CONTROL!$C$15, $D$11, 100%, $F$11)</f>
        <v>39.057600000000001</v>
      </c>
      <c r="D1026" s="8">
        <f>39.0377 * CHOOSE( CONTROL!$C$15, $D$11, 100%, $F$11)</f>
        <v>39.037700000000001</v>
      </c>
      <c r="E1026" s="12">
        <f>39.0444 * CHOOSE( CONTROL!$C$15, $D$11, 100%, $F$11)</f>
        <v>39.044400000000003</v>
      </c>
      <c r="F1026" s="4">
        <f>39.7028 * CHOOSE(CONTROL!$C$15, $D$11, 100%, $F$11)</f>
        <v>39.702800000000003</v>
      </c>
      <c r="G1026" s="8">
        <f>38.1264 * CHOOSE( CONTROL!$C$15, $D$11, 100%, $F$11)</f>
        <v>38.126399999999997</v>
      </c>
      <c r="H1026" s="4">
        <f>39.0127 * CHOOSE(CONTROL!$C$15, $D$11, 100%, $F$11)</f>
        <v>39.012700000000002</v>
      </c>
      <c r="I1026" s="8">
        <f>37.6043 * CHOOSE(CONTROL!$C$15, $D$11, 100%, $F$11)</f>
        <v>37.604300000000002</v>
      </c>
      <c r="J1026" s="4">
        <f>37.467 * CHOOSE(CONTROL!$C$15, $D$11, 100%, $F$11)</f>
        <v>37.466999999999999</v>
      </c>
      <c r="K1026" s="4"/>
      <c r="L1026" s="9">
        <v>26.469899999999999</v>
      </c>
      <c r="M1026" s="9">
        <v>10.8962</v>
      </c>
      <c r="N1026" s="9">
        <v>4.4660000000000002</v>
      </c>
      <c r="O1026" s="9">
        <v>0.33789999999999998</v>
      </c>
      <c r="P1026" s="9">
        <v>1.1676</v>
      </c>
      <c r="Q1026" s="9">
        <v>17.782800000000002</v>
      </c>
      <c r="R1026" s="9"/>
      <c r="S1026" s="11"/>
    </row>
    <row r="1027" spans="1:19" ht="15.75">
      <c r="A1027" s="13">
        <v>72775</v>
      </c>
      <c r="B1027" s="8">
        <f>38.2216 * CHOOSE(CONTROL!$C$15, $D$11, 100%, $F$11)</f>
        <v>38.221600000000002</v>
      </c>
      <c r="C1027" s="8">
        <f>38.2268 * CHOOSE(CONTROL!$C$15, $D$11, 100%, $F$11)</f>
        <v>38.226799999999997</v>
      </c>
      <c r="D1027" s="8">
        <f>38.2066 * CHOOSE( CONTROL!$C$15, $D$11, 100%, $F$11)</f>
        <v>38.206600000000002</v>
      </c>
      <c r="E1027" s="12">
        <f>38.2134 * CHOOSE( CONTROL!$C$15, $D$11, 100%, $F$11)</f>
        <v>38.2134</v>
      </c>
      <c r="F1027" s="4">
        <f>38.8721 * CHOOSE(CONTROL!$C$15, $D$11, 100%, $F$11)</f>
        <v>38.872100000000003</v>
      </c>
      <c r="G1027" s="8">
        <f>37.3148 * CHOOSE( CONTROL!$C$15, $D$11, 100%, $F$11)</f>
        <v>37.314799999999998</v>
      </c>
      <c r="H1027" s="4">
        <f>38.2013 * CHOOSE(CONTROL!$C$15, $D$11, 100%, $F$11)</f>
        <v>38.201300000000003</v>
      </c>
      <c r="I1027" s="8">
        <f>36.8052 * CHOOSE(CONTROL!$C$15, $D$11, 100%, $F$11)</f>
        <v>36.805199999999999</v>
      </c>
      <c r="J1027" s="4">
        <f>36.6694 * CHOOSE(CONTROL!$C$15, $D$11, 100%, $F$11)</f>
        <v>36.669400000000003</v>
      </c>
      <c r="K1027" s="4"/>
      <c r="L1027" s="9">
        <v>29.306000000000001</v>
      </c>
      <c r="M1027" s="9">
        <v>12.063700000000001</v>
      </c>
      <c r="N1027" s="9">
        <v>4.9444999999999997</v>
      </c>
      <c r="O1027" s="9">
        <v>0.37409999999999999</v>
      </c>
      <c r="P1027" s="9">
        <v>1.2927</v>
      </c>
      <c r="Q1027" s="9">
        <v>19.688099999999999</v>
      </c>
      <c r="R1027" s="9"/>
      <c r="S1027" s="11"/>
    </row>
    <row r="1028" spans="1:19" ht="15.75">
      <c r="A1028" s="13">
        <v>72805</v>
      </c>
      <c r="B1028" s="8">
        <f>38.8029 * CHOOSE(CONTROL!$C$15, $D$11, 100%, $F$11)</f>
        <v>38.802900000000001</v>
      </c>
      <c r="C1028" s="8">
        <f>38.8075 * CHOOSE(CONTROL!$C$15, $D$11, 100%, $F$11)</f>
        <v>38.807499999999997</v>
      </c>
      <c r="D1028" s="8">
        <f>38.838 * CHOOSE( CONTROL!$C$15, $D$11, 100%, $F$11)</f>
        <v>38.838000000000001</v>
      </c>
      <c r="E1028" s="12">
        <f>38.8274 * CHOOSE( CONTROL!$C$15, $D$11, 100%, $F$11)</f>
        <v>38.827399999999997</v>
      </c>
      <c r="F1028" s="4">
        <f>39.5177 * CHOOSE(CONTROL!$C$15, $D$11, 100%, $F$11)</f>
        <v>39.517699999999998</v>
      </c>
      <c r="G1028" s="8">
        <f>37.883 * CHOOSE( CONTROL!$C$15, $D$11, 100%, $F$11)</f>
        <v>37.883000000000003</v>
      </c>
      <c r="H1028" s="4">
        <f>38.8318 * CHOOSE(CONTROL!$C$15, $D$11, 100%, $F$11)</f>
        <v>38.831800000000001</v>
      </c>
      <c r="I1028" s="8">
        <f>37.3548 * CHOOSE(CONTROL!$C$15, $D$11, 100%, $F$11)</f>
        <v>37.354799999999997</v>
      </c>
      <c r="J1028" s="4">
        <f>37.2267 * CHOOSE(CONTROL!$C$15, $D$11, 100%, $F$11)</f>
        <v>37.226700000000001</v>
      </c>
      <c r="K1028" s="4"/>
      <c r="L1028" s="9">
        <v>30.092199999999998</v>
      </c>
      <c r="M1028" s="9">
        <v>11.6745</v>
      </c>
      <c r="N1028" s="9">
        <v>4.7850000000000001</v>
      </c>
      <c r="O1028" s="9">
        <v>0.36199999999999999</v>
      </c>
      <c r="P1028" s="9">
        <v>1.1791</v>
      </c>
      <c r="Q1028" s="9">
        <v>19.053000000000001</v>
      </c>
      <c r="R1028" s="9"/>
      <c r="S1028" s="11"/>
    </row>
    <row r="1029" spans="1:19" ht="15.75">
      <c r="A1029" s="13">
        <v>72836</v>
      </c>
      <c r="B1029" s="8">
        <f>CHOOSE( CONTROL!$C$32, 39.8398, 39.8374) * CHOOSE(CONTROL!$C$15, $D$11, 100%, $F$11)</f>
        <v>39.839799999999997</v>
      </c>
      <c r="C1029" s="8">
        <f>CHOOSE( CONTROL!$C$32, 39.8478, 39.8455) * CHOOSE(CONTROL!$C$15, $D$11, 100%, $F$11)</f>
        <v>39.847799999999999</v>
      </c>
      <c r="D1029" s="8">
        <f>CHOOSE( CONTROL!$C$32, 39.873, 39.8707) * CHOOSE( CONTROL!$C$15, $D$11, 100%, $F$11)</f>
        <v>39.872999999999998</v>
      </c>
      <c r="E1029" s="12">
        <f>CHOOSE( CONTROL!$C$32, 39.8626, 39.8603) * CHOOSE( CONTROL!$C$15, $D$11, 100%, $F$11)</f>
        <v>39.8626</v>
      </c>
      <c r="F1029" s="4">
        <f>CHOOSE( CONTROL!$C$32, 40.5532, 40.5508) * CHOOSE(CONTROL!$C$15, $D$11, 100%, $F$11)</f>
        <v>40.553199999999997</v>
      </c>
      <c r="G1029" s="8">
        <f>CHOOSE( CONTROL!$C$32, 38.8949, 38.8926) * CHOOSE( CONTROL!$C$15, $D$11, 100%, $F$11)</f>
        <v>38.8949</v>
      </c>
      <c r="H1029" s="4">
        <f>CHOOSE( CONTROL!$C$32, 39.8432, 39.8409) * CHOOSE(CONTROL!$C$15, $D$11, 100%, $F$11)</f>
        <v>39.843200000000003</v>
      </c>
      <c r="I1029" s="8">
        <f>CHOOSE( CONTROL!$C$32, 38.3498, 38.3475) * CHOOSE(CONTROL!$C$15, $D$11, 100%, $F$11)</f>
        <v>38.349800000000002</v>
      </c>
      <c r="J1029" s="4">
        <f>CHOOSE( CONTROL!$C$32, 38.2209, 38.2187) * CHOOSE(CONTROL!$C$15, $D$11, 100%, $F$11)</f>
        <v>38.2209</v>
      </c>
      <c r="K1029" s="4"/>
      <c r="L1029" s="9">
        <v>30.7165</v>
      </c>
      <c r="M1029" s="9">
        <v>12.063700000000001</v>
      </c>
      <c r="N1029" s="9">
        <v>4.9444999999999997</v>
      </c>
      <c r="O1029" s="9">
        <v>0.37409999999999999</v>
      </c>
      <c r="P1029" s="9">
        <v>1.2183999999999999</v>
      </c>
      <c r="Q1029" s="9">
        <v>19.688099999999999</v>
      </c>
      <c r="R1029" s="9"/>
      <c r="S1029" s="11"/>
    </row>
    <row r="1030" spans="1:19" ht="15.75">
      <c r="A1030" s="13">
        <v>72866</v>
      </c>
      <c r="B1030" s="8">
        <f>CHOOSE( CONTROL!$C$32, 39.1998, 39.1974) * CHOOSE(CONTROL!$C$15, $D$11, 100%, $F$11)</f>
        <v>39.199800000000003</v>
      </c>
      <c r="C1030" s="8">
        <f>CHOOSE( CONTROL!$C$32, 39.2078, 39.2055) * CHOOSE(CONTROL!$C$15, $D$11, 100%, $F$11)</f>
        <v>39.207799999999999</v>
      </c>
      <c r="D1030" s="8">
        <f>CHOOSE( CONTROL!$C$32, 39.2332, 39.2309) * CHOOSE( CONTROL!$C$15, $D$11, 100%, $F$11)</f>
        <v>39.233199999999997</v>
      </c>
      <c r="E1030" s="12">
        <f>CHOOSE( CONTROL!$C$32, 39.2228, 39.2205) * CHOOSE( CONTROL!$C$15, $D$11, 100%, $F$11)</f>
        <v>39.222799999999999</v>
      </c>
      <c r="F1030" s="4">
        <f>CHOOSE( CONTROL!$C$32, 39.9132, 39.9108) * CHOOSE(CONTROL!$C$15, $D$11, 100%, $F$11)</f>
        <v>39.913200000000003</v>
      </c>
      <c r="G1030" s="8">
        <f>CHOOSE( CONTROL!$C$32, 38.2701, 38.2678) * CHOOSE( CONTROL!$C$15, $D$11, 100%, $F$11)</f>
        <v>38.270099999999999</v>
      </c>
      <c r="H1030" s="4">
        <f>CHOOSE( CONTROL!$C$32, 39.2181, 39.2158) * CHOOSE(CONTROL!$C$15, $D$11, 100%, $F$11)</f>
        <v>39.2181</v>
      </c>
      <c r="I1030" s="8">
        <f>CHOOSE( CONTROL!$C$32, 37.736, 37.7338) * CHOOSE(CONTROL!$C$15, $D$11, 100%, $F$11)</f>
        <v>37.735999999999997</v>
      </c>
      <c r="J1030" s="4">
        <f>CHOOSE( CONTROL!$C$32, 37.6065, 37.6042) * CHOOSE(CONTROL!$C$15, $D$11, 100%, $F$11)</f>
        <v>37.606499999999997</v>
      </c>
      <c r="K1030" s="4"/>
      <c r="L1030" s="9">
        <v>29.7257</v>
      </c>
      <c r="M1030" s="9">
        <v>11.6745</v>
      </c>
      <c r="N1030" s="9">
        <v>4.7850000000000001</v>
      </c>
      <c r="O1030" s="9">
        <v>0.36199999999999999</v>
      </c>
      <c r="P1030" s="9">
        <v>1.1791</v>
      </c>
      <c r="Q1030" s="9">
        <v>19.053000000000001</v>
      </c>
      <c r="R1030" s="9"/>
      <c r="S1030" s="11"/>
    </row>
    <row r="1031" spans="1:19" ht="15.75">
      <c r="A1031" s="13">
        <v>72897</v>
      </c>
      <c r="B1031" s="8">
        <f>CHOOSE( CONTROL!$C$32, 40.8851, 40.8828) * CHOOSE(CONTROL!$C$15, $D$11, 100%, $F$11)</f>
        <v>40.885100000000001</v>
      </c>
      <c r="C1031" s="8">
        <f>CHOOSE( CONTROL!$C$32, 40.8932, 40.8909) * CHOOSE(CONTROL!$C$15, $D$11, 100%, $F$11)</f>
        <v>40.8932</v>
      </c>
      <c r="D1031" s="8">
        <f>CHOOSE( CONTROL!$C$32, 40.9189, 40.9165) * CHOOSE( CONTROL!$C$15, $D$11, 100%, $F$11)</f>
        <v>40.918900000000001</v>
      </c>
      <c r="E1031" s="12">
        <f>CHOOSE( CONTROL!$C$32, 40.9084, 40.906) * CHOOSE( CONTROL!$C$15, $D$11, 100%, $F$11)</f>
        <v>40.9084</v>
      </c>
      <c r="F1031" s="4">
        <f>CHOOSE( CONTROL!$C$32, 41.5986, 41.5962) * CHOOSE(CONTROL!$C$15, $D$11, 100%, $F$11)</f>
        <v>41.598599999999998</v>
      </c>
      <c r="G1031" s="8">
        <f>CHOOSE( CONTROL!$C$32, 39.9166, 39.9143) * CHOOSE( CONTROL!$C$15, $D$11, 100%, $F$11)</f>
        <v>39.916600000000003</v>
      </c>
      <c r="H1031" s="4">
        <f>CHOOSE( CONTROL!$C$32, 40.8642, 40.8619) * CHOOSE(CONTROL!$C$15, $D$11, 100%, $F$11)</f>
        <v>40.864199999999997</v>
      </c>
      <c r="I1031" s="8">
        <f>CHOOSE( CONTROL!$C$32, 39.3561, 39.3539) * CHOOSE(CONTROL!$C$15, $D$11, 100%, $F$11)</f>
        <v>39.356099999999998</v>
      </c>
      <c r="J1031" s="4">
        <f>CHOOSE( CONTROL!$C$32, 39.2246, 39.2223) * CHOOSE(CONTROL!$C$15, $D$11, 100%, $F$11)</f>
        <v>39.224600000000002</v>
      </c>
      <c r="K1031" s="4"/>
      <c r="L1031" s="9">
        <v>30.7165</v>
      </c>
      <c r="M1031" s="9">
        <v>12.063700000000001</v>
      </c>
      <c r="N1031" s="9">
        <v>4.9444999999999997</v>
      </c>
      <c r="O1031" s="9">
        <v>0.37409999999999999</v>
      </c>
      <c r="P1031" s="9">
        <v>1.2183999999999999</v>
      </c>
      <c r="Q1031" s="9">
        <v>19.688099999999999</v>
      </c>
      <c r="R1031" s="9"/>
      <c r="S1031" s="11"/>
    </row>
    <row r="1032" spans="1:19" ht="15.75">
      <c r="A1032" s="13">
        <v>72928</v>
      </c>
      <c r="B1032" s="8">
        <f>CHOOSE( CONTROL!$C$32, 37.7316, 37.7293) * CHOOSE(CONTROL!$C$15, $D$11, 100%, $F$11)</f>
        <v>37.7316</v>
      </c>
      <c r="C1032" s="8">
        <f>CHOOSE( CONTROL!$C$32, 37.7397, 37.7374) * CHOOSE(CONTROL!$C$15, $D$11, 100%, $F$11)</f>
        <v>37.739699999999999</v>
      </c>
      <c r="D1032" s="8">
        <f>CHOOSE( CONTROL!$C$32, 37.7654, 37.7631) * CHOOSE( CONTROL!$C$15, $D$11, 100%, $F$11)</f>
        <v>37.7654</v>
      </c>
      <c r="E1032" s="12">
        <f>CHOOSE( CONTROL!$C$32, 37.7549, 37.7526) * CHOOSE( CONTROL!$C$15, $D$11, 100%, $F$11)</f>
        <v>37.754899999999999</v>
      </c>
      <c r="F1032" s="4">
        <f>CHOOSE( CONTROL!$C$32, 38.4451, 38.4427) * CHOOSE(CONTROL!$C$15, $D$11, 100%, $F$11)</f>
        <v>38.445099999999996</v>
      </c>
      <c r="G1032" s="8">
        <f>CHOOSE( CONTROL!$C$32, 36.8367, 36.8344) * CHOOSE( CONTROL!$C$15, $D$11, 100%, $F$11)</f>
        <v>36.8367</v>
      </c>
      <c r="H1032" s="4">
        <f>CHOOSE( CONTROL!$C$32, 37.7842, 37.7819) * CHOOSE(CONTROL!$C$15, $D$11, 100%, $F$11)</f>
        <v>37.784199999999998</v>
      </c>
      <c r="I1032" s="8">
        <f>CHOOSE( CONTROL!$C$32, 36.3273, 36.3251) * CHOOSE(CONTROL!$C$15, $D$11, 100%, $F$11)</f>
        <v>36.327300000000001</v>
      </c>
      <c r="J1032" s="4">
        <f>CHOOSE( CONTROL!$C$32, 36.1969, 36.1947) * CHOOSE(CONTROL!$C$15, $D$11, 100%, $F$11)</f>
        <v>36.196899999999999</v>
      </c>
      <c r="K1032" s="4"/>
      <c r="L1032" s="9">
        <v>30.7165</v>
      </c>
      <c r="M1032" s="9">
        <v>12.063700000000001</v>
      </c>
      <c r="N1032" s="9">
        <v>4.9444999999999997</v>
      </c>
      <c r="O1032" s="9">
        <v>0.37409999999999999</v>
      </c>
      <c r="P1032" s="9">
        <v>1.2183999999999999</v>
      </c>
      <c r="Q1032" s="9">
        <v>19.688099999999999</v>
      </c>
      <c r="R1032" s="9"/>
      <c r="S1032" s="11"/>
    </row>
    <row r="1033" spans="1:19" ht="15.75">
      <c r="A1033" s="13">
        <v>72958</v>
      </c>
      <c r="B1033" s="8">
        <f>CHOOSE( CONTROL!$C$32, 36.9419, 36.9396) * CHOOSE(CONTROL!$C$15, $D$11, 100%, $F$11)</f>
        <v>36.941899999999997</v>
      </c>
      <c r="C1033" s="8">
        <f>CHOOSE( CONTROL!$C$32, 36.95, 36.9477) * CHOOSE(CONTROL!$C$15, $D$11, 100%, $F$11)</f>
        <v>36.950000000000003</v>
      </c>
      <c r="D1033" s="8">
        <f>CHOOSE( CONTROL!$C$32, 36.9757, 36.9734) * CHOOSE( CONTROL!$C$15, $D$11, 100%, $F$11)</f>
        <v>36.975700000000003</v>
      </c>
      <c r="E1033" s="12">
        <f>CHOOSE( CONTROL!$C$32, 36.9652, 36.9629) * CHOOSE( CONTROL!$C$15, $D$11, 100%, $F$11)</f>
        <v>36.965200000000003</v>
      </c>
      <c r="F1033" s="4">
        <f>CHOOSE( CONTROL!$C$32, 37.6554, 37.653) * CHOOSE(CONTROL!$C$15, $D$11, 100%, $F$11)</f>
        <v>37.6554</v>
      </c>
      <c r="G1033" s="8">
        <f>CHOOSE( CONTROL!$C$32, 36.0654, 36.0631) * CHOOSE( CONTROL!$C$15, $D$11, 100%, $F$11)</f>
        <v>36.065399999999997</v>
      </c>
      <c r="H1033" s="4">
        <f>CHOOSE( CONTROL!$C$32, 37.0129, 37.0106) * CHOOSE(CONTROL!$C$15, $D$11, 100%, $F$11)</f>
        <v>37.012900000000002</v>
      </c>
      <c r="I1033" s="8">
        <f>CHOOSE( CONTROL!$C$32, 35.5687, 35.5664) * CHOOSE(CONTROL!$C$15, $D$11, 100%, $F$11)</f>
        <v>35.5687</v>
      </c>
      <c r="J1033" s="4">
        <f>CHOOSE( CONTROL!$C$32, 35.4387, 35.4365) * CHOOSE(CONTROL!$C$15, $D$11, 100%, $F$11)</f>
        <v>35.438699999999997</v>
      </c>
      <c r="K1033" s="4"/>
      <c r="L1033" s="9">
        <v>29.7257</v>
      </c>
      <c r="M1033" s="9">
        <v>11.6745</v>
      </c>
      <c r="N1033" s="9">
        <v>4.7850000000000001</v>
      </c>
      <c r="O1033" s="9">
        <v>0.36199999999999999</v>
      </c>
      <c r="P1033" s="9">
        <v>1.1791</v>
      </c>
      <c r="Q1033" s="9">
        <v>19.053000000000001</v>
      </c>
      <c r="R1033" s="9"/>
      <c r="S1033" s="11"/>
    </row>
    <row r="1034" spans="1:19" ht="15.75">
      <c r="A1034" s="13">
        <v>72989</v>
      </c>
      <c r="B1034" s="8">
        <f>38.5775 * CHOOSE(CONTROL!$C$15, $D$11, 100%, $F$11)</f>
        <v>38.577500000000001</v>
      </c>
      <c r="C1034" s="8">
        <f>38.583 * CHOOSE(CONTROL!$C$15, $D$11, 100%, $F$11)</f>
        <v>38.582999999999998</v>
      </c>
      <c r="D1034" s="8">
        <f>38.6137 * CHOOSE( CONTROL!$C$15, $D$11, 100%, $F$11)</f>
        <v>38.613700000000001</v>
      </c>
      <c r="E1034" s="12">
        <f>38.603 * CHOOSE( CONTROL!$C$15, $D$11, 100%, $F$11)</f>
        <v>38.603000000000002</v>
      </c>
      <c r="F1034" s="4">
        <f>39.2927 * CHOOSE(CONTROL!$C$15, $D$11, 100%, $F$11)</f>
        <v>39.292700000000004</v>
      </c>
      <c r="G1034" s="8">
        <f>37.6643 * CHOOSE( CONTROL!$C$15, $D$11, 100%, $F$11)</f>
        <v>37.664299999999997</v>
      </c>
      <c r="H1034" s="4">
        <f>38.6121 * CHOOSE(CONTROL!$C$15, $D$11, 100%, $F$11)</f>
        <v>38.612099999999998</v>
      </c>
      <c r="I1034" s="8">
        <f>37.1422 * CHOOSE(CONTROL!$C$15, $D$11, 100%, $F$11)</f>
        <v>37.142200000000003</v>
      </c>
      <c r="J1034" s="4">
        <f>37.0107 * CHOOSE(CONTROL!$C$15, $D$11, 100%, $F$11)</f>
        <v>37.0107</v>
      </c>
      <c r="K1034" s="4"/>
      <c r="L1034" s="9">
        <v>31.095300000000002</v>
      </c>
      <c r="M1034" s="9">
        <v>12.063700000000001</v>
      </c>
      <c r="N1034" s="9">
        <v>4.9444999999999997</v>
      </c>
      <c r="O1034" s="9">
        <v>0.37409999999999999</v>
      </c>
      <c r="P1034" s="9">
        <v>1.2183999999999999</v>
      </c>
      <c r="Q1034" s="9">
        <v>19.688099999999999</v>
      </c>
      <c r="R1034" s="9"/>
      <c r="S1034" s="11"/>
    </row>
    <row r="1035" spans="1:19" ht="15.75">
      <c r="A1035" s="13">
        <v>73019</v>
      </c>
      <c r="B1035" s="8">
        <f>41.6035 * CHOOSE(CONTROL!$C$15, $D$11, 100%, $F$11)</f>
        <v>41.603499999999997</v>
      </c>
      <c r="C1035" s="8">
        <f>41.6087 * CHOOSE(CONTROL!$C$15, $D$11, 100%, $F$11)</f>
        <v>41.608699999999999</v>
      </c>
      <c r="D1035" s="8">
        <f>41.5918 * CHOOSE( CONTROL!$C$15, $D$11, 100%, $F$11)</f>
        <v>41.591799999999999</v>
      </c>
      <c r="E1035" s="12">
        <f>41.5974 * CHOOSE( CONTROL!$C$15, $D$11, 100%, $F$11)</f>
        <v>41.5974</v>
      </c>
      <c r="F1035" s="4">
        <f>42.254 * CHOOSE(CONTROL!$C$15, $D$11, 100%, $F$11)</f>
        <v>42.253999999999998</v>
      </c>
      <c r="G1035" s="8">
        <f>40.6264 * CHOOSE( CONTROL!$C$15, $D$11, 100%, $F$11)</f>
        <v>40.626399999999997</v>
      </c>
      <c r="H1035" s="4">
        <f>41.5044 * CHOOSE(CONTROL!$C$15, $D$11, 100%, $F$11)</f>
        <v>41.504399999999997</v>
      </c>
      <c r="I1035" s="8">
        <f>40.0912 * CHOOSE(CONTROL!$C$15, $D$11, 100%, $F$11)</f>
        <v>40.091200000000001</v>
      </c>
      <c r="J1035" s="4">
        <f>39.9164 * CHOOSE(CONTROL!$C$15, $D$11, 100%, $F$11)</f>
        <v>39.916400000000003</v>
      </c>
      <c r="K1035" s="4"/>
      <c r="L1035" s="9">
        <v>28.360600000000002</v>
      </c>
      <c r="M1035" s="9">
        <v>11.6745</v>
      </c>
      <c r="N1035" s="9">
        <v>4.7850000000000001</v>
      </c>
      <c r="O1035" s="9">
        <v>0.36199999999999999</v>
      </c>
      <c r="P1035" s="9">
        <v>1.2509999999999999</v>
      </c>
      <c r="Q1035" s="9">
        <v>19.053000000000001</v>
      </c>
      <c r="R1035" s="9"/>
      <c r="S1035" s="11"/>
    </row>
    <row r="1036" spans="1:19" ht="15.75">
      <c r="A1036" s="13">
        <v>73050</v>
      </c>
      <c r="B1036" s="8">
        <f>41.5279 * CHOOSE(CONTROL!$C$15, $D$11, 100%, $F$11)</f>
        <v>41.527900000000002</v>
      </c>
      <c r="C1036" s="8">
        <f>41.5331 * CHOOSE(CONTROL!$C$15, $D$11, 100%, $F$11)</f>
        <v>41.533099999999997</v>
      </c>
      <c r="D1036" s="8">
        <f>41.5176 * CHOOSE( CONTROL!$C$15, $D$11, 100%, $F$11)</f>
        <v>41.517600000000002</v>
      </c>
      <c r="E1036" s="12">
        <f>41.5227 * CHOOSE( CONTROL!$C$15, $D$11, 100%, $F$11)</f>
        <v>41.5227</v>
      </c>
      <c r="F1036" s="4">
        <f>42.1784 * CHOOSE(CONTROL!$C$15, $D$11, 100%, $F$11)</f>
        <v>42.178400000000003</v>
      </c>
      <c r="G1036" s="8">
        <f>40.5536 * CHOOSE( CONTROL!$C$15, $D$11, 100%, $F$11)</f>
        <v>40.553600000000003</v>
      </c>
      <c r="H1036" s="4">
        <f>41.4306 * CHOOSE(CONTROL!$C$15, $D$11, 100%, $F$11)</f>
        <v>41.430599999999998</v>
      </c>
      <c r="I1036" s="8">
        <f>40.0233 * CHOOSE(CONTROL!$C$15, $D$11, 100%, $F$11)</f>
        <v>40.023299999999999</v>
      </c>
      <c r="J1036" s="4">
        <f>39.8438 * CHOOSE(CONTROL!$C$15, $D$11, 100%, $F$11)</f>
        <v>39.843800000000002</v>
      </c>
      <c r="K1036" s="4"/>
      <c r="L1036" s="9">
        <v>29.306000000000001</v>
      </c>
      <c r="M1036" s="9">
        <v>12.063700000000001</v>
      </c>
      <c r="N1036" s="9">
        <v>4.9444999999999997</v>
      </c>
      <c r="O1036" s="9">
        <v>0.37409999999999999</v>
      </c>
      <c r="P1036" s="9">
        <v>1.2927</v>
      </c>
      <c r="Q1036" s="9">
        <v>19.688099999999999</v>
      </c>
      <c r="R1036" s="9"/>
      <c r="S1036" s="11"/>
    </row>
    <row r="1037" spans="1:19" ht="15.75">
      <c r="A1037" s="13">
        <v>73081</v>
      </c>
      <c r="B1037" s="8">
        <f>42.752 * CHOOSE(CONTROL!$C$15, $D$11, 100%, $F$11)</f>
        <v>42.752000000000002</v>
      </c>
      <c r="C1037" s="8">
        <f>42.7572 * CHOOSE(CONTROL!$C$15, $D$11, 100%, $F$11)</f>
        <v>42.757199999999997</v>
      </c>
      <c r="D1037" s="8">
        <f>42.7374 * CHOOSE( CONTROL!$C$15, $D$11, 100%, $F$11)</f>
        <v>42.737400000000001</v>
      </c>
      <c r="E1037" s="12">
        <f>42.7441 * CHOOSE( CONTROL!$C$15, $D$11, 100%, $F$11)</f>
        <v>42.744100000000003</v>
      </c>
      <c r="F1037" s="4">
        <f>43.4025 * CHOOSE(CONTROL!$C$15, $D$11, 100%, $F$11)</f>
        <v>43.402500000000003</v>
      </c>
      <c r="G1037" s="8">
        <f>41.7399 * CHOOSE( CONTROL!$C$15, $D$11, 100%, $F$11)</f>
        <v>41.739899999999999</v>
      </c>
      <c r="H1037" s="4">
        <f>42.6262 * CHOOSE(CONTROL!$C$15, $D$11, 100%, $F$11)</f>
        <v>42.626199999999997</v>
      </c>
      <c r="I1037" s="8">
        <f>41.1582 * CHOOSE(CONTROL!$C$15, $D$11, 100%, $F$11)</f>
        <v>41.158200000000001</v>
      </c>
      <c r="J1037" s="4">
        <f>41.019 * CHOOSE(CONTROL!$C$15, $D$11, 100%, $F$11)</f>
        <v>41.018999999999998</v>
      </c>
      <c r="K1037" s="4"/>
      <c r="L1037" s="9">
        <v>29.306000000000001</v>
      </c>
      <c r="M1037" s="9">
        <v>12.063700000000001</v>
      </c>
      <c r="N1037" s="9">
        <v>4.9444999999999997</v>
      </c>
      <c r="O1037" s="9">
        <v>0.37409999999999999</v>
      </c>
      <c r="P1037" s="9">
        <v>1.2927</v>
      </c>
      <c r="Q1037" s="9">
        <v>19.688099999999999</v>
      </c>
      <c r="R1037" s="9"/>
      <c r="S1037" s="11"/>
    </row>
    <row r="1038" spans="1:19" ht="15.75">
      <c r="A1038" s="13">
        <v>73109</v>
      </c>
      <c r="B1038" s="8">
        <f>39.99 * CHOOSE(CONTROL!$C$15, $D$11, 100%, $F$11)</f>
        <v>39.99</v>
      </c>
      <c r="C1038" s="8">
        <f>39.9952 * CHOOSE(CONTROL!$C$15, $D$11, 100%, $F$11)</f>
        <v>39.995199999999997</v>
      </c>
      <c r="D1038" s="8">
        <f>39.9753 * CHOOSE( CONTROL!$C$15, $D$11, 100%, $F$11)</f>
        <v>39.975299999999997</v>
      </c>
      <c r="E1038" s="12">
        <f>39.982 * CHOOSE( CONTROL!$C$15, $D$11, 100%, $F$11)</f>
        <v>39.981999999999999</v>
      </c>
      <c r="F1038" s="4">
        <f>40.6405 * CHOOSE(CONTROL!$C$15, $D$11, 100%, $F$11)</f>
        <v>40.640500000000003</v>
      </c>
      <c r="G1038" s="8">
        <f>39.0422 * CHOOSE( CONTROL!$C$15, $D$11, 100%, $F$11)</f>
        <v>39.042200000000001</v>
      </c>
      <c r="H1038" s="4">
        <f>39.9285 * CHOOSE(CONTROL!$C$15, $D$11, 100%, $F$11)</f>
        <v>39.9285</v>
      </c>
      <c r="I1038" s="8">
        <f>38.505 * CHOOSE(CONTROL!$C$15, $D$11, 100%, $F$11)</f>
        <v>38.505000000000003</v>
      </c>
      <c r="J1038" s="4">
        <f>38.3672 * CHOOSE(CONTROL!$C$15, $D$11, 100%, $F$11)</f>
        <v>38.367199999999997</v>
      </c>
      <c r="K1038" s="4"/>
      <c r="L1038" s="9">
        <v>26.469899999999999</v>
      </c>
      <c r="M1038" s="9">
        <v>10.8962</v>
      </c>
      <c r="N1038" s="9">
        <v>4.4660000000000002</v>
      </c>
      <c r="O1038" s="9">
        <v>0.33789999999999998</v>
      </c>
      <c r="P1038" s="9">
        <v>1.1676</v>
      </c>
      <c r="Q1038" s="9">
        <v>17.782800000000002</v>
      </c>
      <c r="R1038" s="9"/>
      <c r="S1038" s="11"/>
    </row>
    <row r="1039" spans="1:19" ht="15.75">
      <c r="A1039" s="13">
        <v>73140</v>
      </c>
      <c r="B1039" s="8">
        <f>39.1393 * CHOOSE(CONTROL!$C$15, $D$11, 100%, $F$11)</f>
        <v>39.139299999999999</v>
      </c>
      <c r="C1039" s="8">
        <f>39.1445 * CHOOSE(CONTROL!$C$15, $D$11, 100%, $F$11)</f>
        <v>39.144500000000001</v>
      </c>
      <c r="D1039" s="8">
        <f>39.1243 * CHOOSE( CONTROL!$C$15, $D$11, 100%, $F$11)</f>
        <v>39.124299999999998</v>
      </c>
      <c r="E1039" s="12">
        <f>39.1311 * CHOOSE( CONTROL!$C$15, $D$11, 100%, $F$11)</f>
        <v>39.131100000000004</v>
      </c>
      <c r="F1039" s="4">
        <f>39.7898 * CHOOSE(CONTROL!$C$15, $D$11, 100%, $F$11)</f>
        <v>39.7898</v>
      </c>
      <c r="G1039" s="8">
        <f>38.2111 * CHOOSE( CONTROL!$C$15, $D$11, 100%, $F$11)</f>
        <v>38.211100000000002</v>
      </c>
      <c r="H1039" s="4">
        <f>39.0976 * CHOOSE(CONTROL!$C$15, $D$11, 100%, $F$11)</f>
        <v>39.0976</v>
      </c>
      <c r="I1039" s="8">
        <f>37.6867 * CHOOSE(CONTROL!$C$15, $D$11, 100%, $F$11)</f>
        <v>37.686700000000002</v>
      </c>
      <c r="J1039" s="4">
        <f>37.5505 * CHOOSE(CONTROL!$C$15, $D$11, 100%, $F$11)</f>
        <v>37.5505</v>
      </c>
      <c r="K1039" s="4"/>
      <c r="L1039" s="9">
        <v>29.306000000000001</v>
      </c>
      <c r="M1039" s="9">
        <v>12.063700000000001</v>
      </c>
      <c r="N1039" s="9">
        <v>4.9444999999999997</v>
      </c>
      <c r="O1039" s="9">
        <v>0.37409999999999999</v>
      </c>
      <c r="P1039" s="9">
        <v>1.2927</v>
      </c>
      <c r="Q1039" s="9">
        <v>19.688099999999999</v>
      </c>
      <c r="R1039" s="9"/>
      <c r="S1039" s="11"/>
    </row>
    <row r="1040" spans="1:19" ht="15.75">
      <c r="A1040" s="13">
        <v>73170</v>
      </c>
      <c r="B1040" s="8">
        <f>39.7345 * CHOOSE(CONTROL!$C$15, $D$11, 100%, $F$11)</f>
        <v>39.734499999999997</v>
      </c>
      <c r="C1040" s="8">
        <f>39.7392 * CHOOSE(CONTROL!$C$15, $D$11, 100%, $F$11)</f>
        <v>39.739199999999997</v>
      </c>
      <c r="D1040" s="8">
        <f>39.7697 * CHOOSE( CONTROL!$C$15, $D$11, 100%, $F$11)</f>
        <v>39.7697</v>
      </c>
      <c r="E1040" s="12">
        <f>39.7591 * CHOOSE( CONTROL!$C$15, $D$11, 100%, $F$11)</f>
        <v>39.759099999999997</v>
      </c>
      <c r="F1040" s="4">
        <f>40.4493 * CHOOSE(CONTROL!$C$15, $D$11, 100%, $F$11)</f>
        <v>40.449300000000001</v>
      </c>
      <c r="G1040" s="8">
        <f>38.7929 * CHOOSE( CONTROL!$C$15, $D$11, 100%, $F$11)</f>
        <v>38.792900000000003</v>
      </c>
      <c r="H1040" s="4">
        <f>39.7418 * CHOOSE(CONTROL!$C$15, $D$11, 100%, $F$11)</f>
        <v>39.741799999999998</v>
      </c>
      <c r="I1040" s="8">
        <f>38.2497 * CHOOSE(CONTROL!$C$15, $D$11, 100%, $F$11)</f>
        <v>38.249699999999997</v>
      </c>
      <c r="J1040" s="4">
        <f>38.1212 * CHOOSE(CONTROL!$C$15, $D$11, 100%, $F$11)</f>
        <v>38.121200000000002</v>
      </c>
      <c r="K1040" s="4"/>
      <c r="L1040" s="9">
        <v>30.092199999999998</v>
      </c>
      <c r="M1040" s="9">
        <v>11.6745</v>
      </c>
      <c r="N1040" s="9">
        <v>4.7850000000000001</v>
      </c>
      <c r="O1040" s="9">
        <v>0.36199999999999999</v>
      </c>
      <c r="P1040" s="9">
        <v>1.1791</v>
      </c>
      <c r="Q1040" s="9">
        <v>19.053000000000001</v>
      </c>
      <c r="R1040" s="9"/>
      <c r="S1040" s="11"/>
    </row>
    <row r="1041" spans="1:19" ht="15.75">
      <c r="A1041" s="13">
        <v>73201</v>
      </c>
      <c r="B1041" s="8">
        <f>CHOOSE( CONTROL!$C$32, 40.7962, 40.7939) * CHOOSE(CONTROL!$C$15, $D$11, 100%, $F$11)</f>
        <v>40.796199999999999</v>
      </c>
      <c r="C1041" s="8">
        <f>CHOOSE( CONTROL!$C$32, 40.8043, 40.802) * CHOOSE(CONTROL!$C$15, $D$11, 100%, $F$11)</f>
        <v>40.804299999999998</v>
      </c>
      <c r="D1041" s="8">
        <f>CHOOSE( CONTROL!$C$32, 40.8295, 40.8272) * CHOOSE( CONTROL!$C$15, $D$11, 100%, $F$11)</f>
        <v>40.829500000000003</v>
      </c>
      <c r="E1041" s="12">
        <f>CHOOSE( CONTROL!$C$32, 40.8191, 40.8168) * CHOOSE( CONTROL!$C$15, $D$11, 100%, $F$11)</f>
        <v>40.819099999999999</v>
      </c>
      <c r="F1041" s="4">
        <f>CHOOSE( CONTROL!$C$32, 41.5097, 41.5073) * CHOOSE(CONTROL!$C$15, $D$11, 100%, $F$11)</f>
        <v>41.509700000000002</v>
      </c>
      <c r="G1041" s="8">
        <f>CHOOSE( CONTROL!$C$32, 39.8291, 39.8268) * CHOOSE( CONTROL!$C$15, $D$11, 100%, $F$11)</f>
        <v>39.829099999999997</v>
      </c>
      <c r="H1041" s="4">
        <f>CHOOSE( CONTROL!$C$32, 40.7774, 40.7751) * CHOOSE(CONTROL!$C$15, $D$11, 100%, $F$11)</f>
        <v>40.7774</v>
      </c>
      <c r="I1041" s="8">
        <f>CHOOSE( CONTROL!$C$32, 39.2686, 39.2663) * CHOOSE(CONTROL!$C$15, $D$11, 100%, $F$11)</f>
        <v>39.268599999999999</v>
      </c>
      <c r="J1041" s="4">
        <f>CHOOSE( CONTROL!$C$32, 39.1392, 39.137) * CHOOSE(CONTROL!$C$15, $D$11, 100%, $F$11)</f>
        <v>39.139200000000002</v>
      </c>
      <c r="K1041" s="4"/>
      <c r="L1041" s="9">
        <v>30.7165</v>
      </c>
      <c r="M1041" s="9">
        <v>12.063700000000001</v>
      </c>
      <c r="N1041" s="9">
        <v>4.9444999999999997</v>
      </c>
      <c r="O1041" s="9">
        <v>0.37409999999999999</v>
      </c>
      <c r="P1041" s="9">
        <v>1.2183999999999999</v>
      </c>
      <c r="Q1041" s="9">
        <v>19.688099999999999</v>
      </c>
      <c r="R1041" s="9"/>
      <c r="S1041" s="11"/>
    </row>
    <row r="1042" spans="1:19" ht="15.75">
      <c r="A1042" s="13">
        <v>73231</v>
      </c>
      <c r="B1042" s="8">
        <f>CHOOSE( CONTROL!$C$32, 40.1408, 40.1385) * CHOOSE(CONTROL!$C$15, $D$11, 100%, $F$11)</f>
        <v>40.140799999999999</v>
      </c>
      <c r="C1042" s="8">
        <f>CHOOSE( CONTROL!$C$32, 40.1489, 40.1466) * CHOOSE(CONTROL!$C$15, $D$11, 100%, $F$11)</f>
        <v>40.148899999999998</v>
      </c>
      <c r="D1042" s="8">
        <f>CHOOSE( CONTROL!$C$32, 40.1743, 40.172) * CHOOSE( CONTROL!$C$15, $D$11, 100%, $F$11)</f>
        <v>40.174300000000002</v>
      </c>
      <c r="E1042" s="12">
        <f>CHOOSE( CONTROL!$C$32, 40.1639, 40.1616) * CHOOSE( CONTROL!$C$15, $D$11, 100%, $F$11)</f>
        <v>40.163899999999998</v>
      </c>
      <c r="F1042" s="4">
        <f>CHOOSE( CONTROL!$C$32, 40.8543, 40.8519) * CHOOSE(CONTROL!$C$15, $D$11, 100%, $F$11)</f>
        <v>40.854300000000002</v>
      </c>
      <c r="G1042" s="8">
        <f>CHOOSE( CONTROL!$C$32, 39.1893, 39.187) * CHOOSE( CONTROL!$C$15, $D$11, 100%, $F$11)</f>
        <v>39.189300000000003</v>
      </c>
      <c r="H1042" s="4">
        <f>CHOOSE( CONTROL!$C$32, 40.1373, 40.135) * CHOOSE(CONTROL!$C$15, $D$11, 100%, $F$11)</f>
        <v>40.137300000000003</v>
      </c>
      <c r="I1042" s="8">
        <f>CHOOSE( CONTROL!$C$32, 38.64, 38.6377) * CHOOSE(CONTROL!$C$15, $D$11, 100%, $F$11)</f>
        <v>38.64</v>
      </c>
      <c r="J1042" s="4">
        <f>CHOOSE( CONTROL!$C$32, 38.51, 38.5077) * CHOOSE(CONTROL!$C$15, $D$11, 100%, $F$11)</f>
        <v>38.51</v>
      </c>
      <c r="K1042" s="4"/>
      <c r="L1042" s="9">
        <v>29.7257</v>
      </c>
      <c r="M1042" s="9">
        <v>11.6745</v>
      </c>
      <c r="N1042" s="9">
        <v>4.7850000000000001</v>
      </c>
      <c r="O1042" s="9">
        <v>0.36199999999999999</v>
      </c>
      <c r="P1042" s="9">
        <v>1.1791</v>
      </c>
      <c r="Q1042" s="9">
        <v>19.053000000000001</v>
      </c>
      <c r="R1042" s="9"/>
      <c r="S1042" s="11"/>
    </row>
    <row r="1043" spans="1:19" ht="15.75">
      <c r="A1043" s="13">
        <v>73262</v>
      </c>
      <c r="B1043" s="8">
        <f>CHOOSE( CONTROL!$C$32, 41.8667, 41.8644) * CHOOSE(CONTROL!$C$15, $D$11, 100%, $F$11)</f>
        <v>41.866700000000002</v>
      </c>
      <c r="C1043" s="8">
        <f>CHOOSE( CONTROL!$C$32, 41.8748, 41.8724) * CHOOSE(CONTROL!$C$15, $D$11, 100%, $F$11)</f>
        <v>41.8748</v>
      </c>
      <c r="D1043" s="8">
        <f>CHOOSE( CONTROL!$C$32, 41.9004, 41.8981) * CHOOSE( CONTROL!$C$15, $D$11, 100%, $F$11)</f>
        <v>41.900399999999998</v>
      </c>
      <c r="E1043" s="12">
        <f>CHOOSE( CONTROL!$C$32, 41.8899, 41.8876) * CHOOSE( CONTROL!$C$15, $D$11, 100%, $F$11)</f>
        <v>41.889899999999997</v>
      </c>
      <c r="F1043" s="4">
        <f>CHOOSE( CONTROL!$C$32, 42.5801, 42.5778) * CHOOSE(CONTROL!$C$15, $D$11, 100%, $F$11)</f>
        <v>42.580100000000002</v>
      </c>
      <c r="G1043" s="8">
        <f>CHOOSE( CONTROL!$C$32, 40.8753, 40.873) * CHOOSE( CONTROL!$C$15, $D$11, 100%, $F$11)</f>
        <v>40.875300000000003</v>
      </c>
      <c r="H1043" s="4">
        <f>CHOOSE( CONTROL!$C$32, 41.8229, 41.8207) * CHOOSE(CONTROL!$C$15, $D$11, 100%, $F$11)</f>
        <v>41.822899999999997</v>
      </c>
      <c r="I1043" s="8">
        <f>CHOOSE( CONTROL!$C$32, 40.299, 40.2968) * CHOOSE(CONTROL!$C$15, $D$11, 100%, $F$11)</f>
        <v>40.298999999999999</v>
      </c>
      <c r="J1043" s="4">
        <f>CHOOSE( CONTROL!$C$32, 40.167, 40.1647) * CHOOSE(CONTROL!$C$15, $D$11, 100%, $F$11)</f>
        <v>40.167000000000002</v>
      </c>
      <c r="K1043" s="4"/>
      <c r="L1043" s="9">
        <v>30.7165</v>
      </c>
      <c r="M1043" s="9">
        <v>12.063700000000001</v>
      </c>
      <c r="N1043" s="9">
        <v>4.9444999999999997</v>
      </c>
      <c r="O1043" s="9">
        <v>0.37409999999999999</v>
      </c>
      <c r="P1043" s="9">
        <v>1.2183999999999999</v>
      </c>
      <c r="Q1043" s="9">
        <v>19.688099999999999</v>
      </c>
      <c r="R1043" s="9"/>
      <c r="S1043" s="11"/>
    </row>
    <row r="1044" spans="1:19" ht="15.75">
      <c r="A1044" s="13">
        <v>73293</v>
      </c>
      <c r="B1044" s="8">
        <f>CHOOSE( CONTROL!$C$32, 38.6374, 38.6351) * CHOOSE(CONTROL!$C$15, $D$11, 100%, $F$11)</f>
        <v>38.6374</v>
      </c>
      <c r="C1044" s="8">
        <f>CHOOSE( CONTROL!$C$32, 38.6455, 38.6432) * CHOOSE(CONTROL!$C$15, $D$11, 100%, $F$11)</f>
        <v>38.645499999999998</v>
      </c>
      <c r="D1044" s="8">
        <f>CHOOSE( CONTROL!$C$32, 38.6713, 38.6689) * CHOOSE( CONTROL!$C$15, $D$11, 100%, $F$11)</f>
        <v>38.671300000000002</v>
      </c>
      <c r="E1044" s="12">
        <f>CHOOSE( CONTROL!$C$32, 38.6607, 38.6584) * CHOOSE( CONTROL!$C$15, $D$11, 100%, $F$11)</f>
        <v>38.660699999999999</v>
      </c>
      <c r="F1044" s="4">
        <f>CHOOSE( CONTROL!$C$32, 39.3509, 39.3485) * CHOOSE(CONTROL!$C$15, $D$11, 100%, $F$11)</f>
        <v>39.350900000000003</v>
      </c>
      <c r="G1044" s="8">
        <f>CHOOSE( CONTROL!$C$32, 37.7214, 37.7191) * CHOOSE( CONTROL!$C$15, $D$11, 100%, $F$11)</f>
        <v>37.721400000000003</v>
      </c>
      <c r="H1044" s="4">
        <f>CHOOSE( CONTROL!$C$32, 38.6689, 38.6666) * CHOOSE(CONTROL!$C$15, $D$11, 100%, $F$11)</f>
        <v>38.668900000000001</v>
      </c>
      <c r="I1044" s="8">
        <f>CHOOSE( CONTROL!$C$32, 37.1974, 37.1952) * CHOOSE(CONTROL!$C$15, $D$11, 100%, $F$11)</f>
        <v>37.197400000000002</v>
      </c>
      <c r="J1044" s="4">
        <f>CHOOSE( CONTROL!$C$32, 37.0666, 37.0643) * CHOOSE(CONTROL!$C$15, $D$11, 100%, $F$11)</f>
        <v>37.066600000000001</v>
      </c>
      <c r="K1044" s="4"/>
      <c r="L1044" s="9">
        <v>30.7165</v>
      </c>
      <c r="M1044" s="9">
        <v>12.063700000000001</v>
      </c>
      <c r="N1044" s="9">
        <v>4.9444999999999997</v>
      </c>
      <c r="O1044" s="9">
        <v>0.37409999999999999</v>
      </c>
      <c r="P1044" s="9">
        <v>1.2183999999999999</v>
      </c>
      <c r="Q1044" s="9">
        <v>19.688099999999999</v>
      </c>
      <c r="R1044" s="9"/>
      <c r="S1044" s="11"/>
    </row>
    <row r="1045" spans="1:19" ht="15.75">
      <c r="A1045" s="13">
        <v>73323</v>
      </c>
      <c r="B1045" s="8">
        <f>CHOOSE( CONTROL!$C$32, 37.8288, 37.8264) * CHOOSE(CONTROL!$C$15, $D$11, 100%, $F$11)</f>
        <v>37.828800000000001</v>
      </c>
      <c r="C1045" s="8">
        <f>CHOOSE( CONTROL!$C$32, 37.8369, 37.8345) * CHOOSE(CONTROL!$C$15, $D$11, 100%, $F$11)</f>
        <v>37.8369</v>
      </c>
      <c r="D1045" s="8">
        <f>CHOOSE( CONTROL!$C$32, 37.8626, 37.8602) * CHOOSE( CONTROL!$C$15, $D$11, 100%, $F$11)</f>
        <v>37.8626</v>
      </c>
      <c r="E1045" s="12">
        <f>CHOOSE( CONTROL!$C$32, 37.8521, 37.8497) * CHOOSE( CONTROL!$C$15, $D$11, 100%, $F$11)</f>
        <v>37.8521</v>
      </c>
      <c r="F1045" s="4">
        <f>CHOOSE( CONTROL!$C$32, 38.5422, 38.5399) * CHOOSE(CONTROL!$C$15, $D$11, 100%, $F$11)</f>
        <v>38.542200000000001</v>
      </c>
      <c r="G1045" s="8">
        <f>CHOOSE( CONTROL!$C$32, 36.9315, 36.9292) * CHOOSE( CONTROL!$C$15, $D$11, 100%, $F$11)</f>
        <v>36.9315</v>
      </c>
      <c r="H1045" s="4">
        <f>CHOOSE( CONTROL!$C$32, 37.8791, 37.8768) * CHOOSE(CONTROL!$C$15, $D$11, 100%, $F$11)</f>
        <v>37.879100000000001</v>
      </c>
      <c r="I1045" s="8">
        <f>CHOOSE( CONTROL!$C$32, 36.4205, 36.4183) * CHOOSE(CONTROL!$C$15, $D$11, 100%, $F$11)</f>
        <v>36.420499999999997</v>
      </c>
      <c r="J1045" s="4">
        <f>CHOOSE( CONTROL!$C$32, 36.2902, 36.2879) * CHOOSE(CONTROL!$C$15, $D$11, 100%, $F$11)</f>
        <v>36.290199999999999</v>
      </c>
      <c r="K1045" s="4"/>
      <c r="L1045" s="9">
        <v>29.7257</v>
      </c>
      <c r="M1045" s="9">
        <v>11.6745</v>
      </c>
      <c r="N1045" s="9">
        <v>4.7850000000000001</v>
      </c>
      <c r="O1045" s="9">
        <v>0.36199999999999999</v>
      </c>
      <c r="P1045" s="9">
        <v>1.1791</v>
      </c>
      <c r="Q1045" s="9">
        <v>19.053000000000001</v>
      </c>
      <c r="R1045" s="9"/>
      <c r="S1045" s="11"/>
    </row>
    <row r="1046" spans="1:19" ht="15.75">
      <c r="A1046" s="13">
        <v>73354</v>
      </c>
      <c r="B1046" s="8">
        <f>39.5037 * CHOOSE(CONTROL!$C$15, $D$11, 100%, $F$11)</f>
        <v>39.503700000000002</v>
      </c>
      <c r="C1046" s="8">
        <f>39.5092 * CHOOSE(CONTROL!$C$15, $D$11, 100%, $F$11)</f>
        <v>39.5092</v>
      </c>
      <c r="D1046" s="8">
        <f>39.54 * CHOOSE( CONTROL!$C$15, $D$11, 100%, $F$11)</f>
        <v>39.54</v>
      </c>
      <c r="E1046" s="12">
        <f>39.5292 * CHOOSE( CONTROL!$C$15, $D$11, 100%, $F$11)</f>
        <v>39.529200000000003</v>
      </c>
      <c r="F1046" s="4">
        <f>40.2189 * CHOOSE(CONTROL!$C$15, $D$11, 100%, $F$11)</f>
        <v>40.218899999999998</v>
      </c>
      <c r="G1046" s="8">
        <f>38.5689 * CHOOSE( CONTROL!$C$15, $D$11, 100%, $F$11)</f>
        <v>38.568899999999999</v>
      </c>
      <c r="H1046" s="4">
        <f>39.5167 * CHOOSE(CONTROL!$C$15, $D$11, 100%, $F$11)</f>
        <v>39.5167</v>
      </c>
      <c r="I1046" s="8">
        <f>38.032 * CHOOSE(CONTROL!$C$15, $D$11, 100%, $F$11)</f>
        <v>38.031999999999996</v>
      </c>
      <c r="J1046" s="4">
        <f>37.9 * CHOOSE(CONTROL!$C$15, $D$11, 100%, $F$11)</f>
        <v>37.9</v>
      </c>
      <c r="K1046" s="4"/>
      <c r="L1046" s="9">
        <v>31.095300000000002</v>
      </c>
      <c r="M1046" s="9">
        <v>12.063700000000001</v>
      </c>
      <c r="N1046" s="9">
        <v>4.9444999999999997</v>
      </c>
      <c r="O1046" s="9">
        <v>0.37409999999999999</v>
      </c>
      <c r="P1046" s="9">
        <v>1.2183999999999999</v>
      </c>
      <c r="Q1046" s="9">
        <v>19.688099999999999</v>
      </c>
      <c r="R1046" s="9"/>
      <c r="S1046" s="11"/>
    </row>
    <row r="1047" spans="1:19" ht="15.75">
      <c r="A1047" s="13">
        <v>73384</v>
      </c>
      <c r="B1047" s="8">
        <f>42.6025 * CHOOSE(CONTROL!$C$15, $D$11, 100%, $F$11)</f>
        <v>42.602499999999999</v>
      </c>
      <c r="C1047" s="8">
        <f>42.6077 * CHOOSE(CONTROL!$C$15, $D$11, 100%, $F$11)</f>
        <v>42.607700000000001</v>
      </c>
      <c r="D1047" s="8">
        <f>42.5907 * CHOOSE( CONTROL!$C$15, $D$11, 100%, $F$11)</f>
        <v>42.590699999999998</v>
      </c>
      <c r="E1047" s="12">
        <f>42.5964 * CHOOSE( CONTROL!$C$15, $D$11, 100%, $F$11)</f>
        <v>42.596400000000003</v>
      </c>
      <c r="F1047" s="4">
        <f>43.253 * CHOOSE(CONTROL!$C$15, $D$11, 100%, $F$11)</f>
        <v>43.253</v>
      </c>
      <c r="G1047" s="8">
        <f>41.6021 * CHOOSE( CONTROL!$C$15, $D$11, 100%, $F$11)</f>
        <v>41.6021</v>
      </c>
      <c r="H1047" s="4">
        <f>42.4801 * CHOOSE(CONTROL!$C$15, $D$11, 100%, $F$11)</f>
        <v>42.4801</v>
      </c>
      <c r="I1047" s="8">
        <f>41.0508 * CHOOSE(CONTROL!$C$15, $D$11, 100%, $F$11)</f>
        <v>41.050800000000002</v>
      </c>
      <c r="J1047" s="4">
        <f>40.8755 * CHOOSE(CONTROL!$C$15, $D$11, 100%, $F$11)</f>
        <v>40.875500000000002</v>
      </c>
      <c r="K1047" s="4"/>
      <c r="L1047" s="9">
        <v>28.360600000000002</v>
      </c>
      <c r="M1047" s="9">
        <v>11.6745</v>
      </c>
      <c r="N1047" s="9">
        <v>4.7850000000000001</v>
      </c>
      <c r="O1047" s="9">
        <v>0.36199999999999999</v>
      </c>
      <c r="P1047" s="9">
        <v>1.2509999999999999</v>
      </c>
      <c r="Q1047" s="9">
        <v>19.053000000000001</v>
      </c>
      <c r="R1047" s="9"/>
      <c r="S1047" s="11"/>
    </row>
    <row r="1048" spans="1:19" ht="15.75">
      <c r="A1048" s="13">
        <v>73415</v>
      </c>
      <c r="B1048" s="8">
        <f>42.5251 * CHOOSE(CONTROL!$C$15, $D$11, 100%, $F$11)</f>
        <v>42.525100000000002</v>
      </c>
      <c r="C1048" s="8">
        <f>42.5302 * CHOOSE(CONTROL!$C$15, $D$11, 100%, $F$11)</f>
        <v>42.530200000000001</v>
      </c>
      <c r="D1048" s="8">
        <f>42.5147 * CHOOSE( CONTROL!$C$15, $D$11, 100%, $F$11)</f>
        <v>42.514699999999998</v>
      </c>
      <c r="E1048" s="12">
        <f>42.5198 * CHOOSE( CONTROL!$C$15, $D$11, 100%, $F$11)</f>
        <v>42.519799999999996</v>
      </c>
      <c r="F1048" s="4">
        <f>43.1755 * CHOOSE(CONTROL!$C$15, $D$11, 100%, $F$11)</f>
        <v>43.1755</v>
      </c>
      <c r="G1048" s="8">
        <f>41.5275 * CHOOSE( CONTROL!$C$15, $D$11, 100%, $F$11)</f>
        <v>41.527500000000003</v>
      </c>
      <c r="H1048" s="4">
        <f>42.4045 * CHOOSE(CONTROL!$C$15, $D$11, 100%, $F$11)</f>
        <v>42.404499999999999</v>
      </c>
      <c r="I1048" s="8">
        <f>40.9811 * CHOOSE(CONTROL!$C$15, $D$11, 100%, $F$11)</f>
        <v>40.981099999999998</v>
      </c>
      <c r="J1048" s="4">
        <f>40.8011 * CHOOSE(CONTROL!$C$15, $D$11, 100%, $F$11)</f>
        <v>40.801099999999998</v>
      </c>
      <c r="K1048" s="4"/>
      <c r="L1048" s="9">
        <v>29.306000000000001</v>
      </c>
      <c r="M1048" s="9">
        <v>12.063700000000001</v>
      </c>
      <c r="N1048" s="9">
        <v>4.9444999999999997</v>
      </c>
      <c r="O1048" s="9">
        <v>0.37409999999999999</v>
      </c>
      <c r="P1048" s="9">
        <v>1.2927</v>
      </c>
      <c r="Q1048" s="9">
        <v>19.688099999999999</v>
      </c>
      <c r="R1048" s="9"/>
      <c r="S1048" s="11"/>
    </row>
    <row r="1049" spans="1:19">
      <c r="A1049" s="10"/>
      <c r="F1049" s="1"/>
      <c r="H1049" s="1"/>
      <c r="Q1049" s="9"/>
    </row>
    <row r="1050" spans="1:19" ht="15" customHeight="1">
      <c r="A1050" s="3">
        <v>2015</v>
      </c>
      <c r="B1050" s="8">
        <f t="shared" ref="B1050:H1050" si="1">AVERAGE(B17:B28)</f>
        <v>2.9369083333333332</v>
      </c>
      <c r="C1050" s="8">
        <f t="shared" si="1"/>
        <v>2.9432833333333335</v>
      </c>
      <c r="D1050" s="8">
        <f t="shared" si="1"/>
        <v>2.9318333333333335</v>
      </c>
      <c r="E1050" s="8">
        <f t="shared" si="1"/>
        <v>2.9349666666666674</v>
      </c>
      <c r="F1050" s="4">
        <f t="shared" si="1"/>
        <v>3.6104833333333342</v>
      </c>
      <c r="G1050" s="8">
        <f t="shared" si="1"/>
        <v>2.8495499999999994</v>
      </c>
      <c r="H1050" s="4">
        <f t="shared" si="1"/>
        <v>3.7611249999999998</v>
      </c>
      <c r="I1050" s="8"/>
      <c r="J1050" s="4">
        <f>AVERAGE(J17:J28)</f>
        <v>2.7916250000000002</v>
      </c>
      <c r="K1050" s="4">
        <f>AVERAGE(K17:K28)</f>
        <v>2.8556750000000002</v>
      </c>
      <c r="L1050" s="5">
        <f>SUM(L17:L28)</f>
        <v>369.27089999999998</v>
      </c>
      <c r="M1050" s="5">
        <f>SUM(M17:M28)</f>
        <v>142.0401</v>
      </c>
      <c r="N1050" s="5">
        <f>SUM(N17:N28)</f>
        <v>58.217499999999994</v>
      </c>
      <c r="O1050" s="5">
        <f>SUM(O17:O28)</f>
        <v>7.2496000000000018</v>
      </c>
      <c r="P1050" s="5">
        <f>SUM(P17:P28)</f>
        <v>14.046099999999997</v>
      </c>
      <c r="Q1050" s="5"/>
      <c r="R1050" s="5">
        <f>SUM(R17:R28)</f>
        <v>3.5999999999999992</v>
      </c>
      <c r="S1050" s="5">
        <f>SUM(S17:S28)</f>
        <v>12.811500000000002</v>
      </c>
    </row>
    <row r="1051" spans="1:19" ht="15" customHeight="1">
      <c r="A1051" s="3">
        <v>2016</v>
      </c>
      <c r="B1051" s="8">
        <f t="shared" ref="B1051:H1051" si="2">AVERAGE(B29:B40)</f>
        <v>3.2399166666666663</v>
      </c>
      <c r="C1051" s="8">
        <f t="shared" si="2"/>
        <v>3.2462916666666666</v>
      </c>
      <c r="D1051" s="8">
        <f t="shared" si="2"/>
        <v>3.2431249999999996</v>
      </c>
      <c r="E1051" s="8">
        <f t="shared" si="2"/>
        <v>3.2436416666666665</v>
      </c>
      <c r="F1051" s="4">
        <f t="shared" si="2"/>
        <v>3.9273666666666665</v>
      </c>
      <c r="G1051" s="8">
        <f t="shared" si="2"/>
        <v>3.150266666666667</v>
      </c>
      <c r="H1051" s="4">
        <f t="shared" si="2"/>
        <v>4.0706416666666669</v>
      </c>
      <c r="I1051" s="8"/>
      <c r="J1051" s="4">
        <f>AVERAGE(J29:J40)</f>
        <v>3.0825416666666672</v>
      </c>
      <c r="K1051" s="5"/>
      <c r="L1051" s="5">
        <f>SUM(L29:L40)</f>
        <v>371.47629999999998</v>
      </c>
      <c r="M1051" s="5">
        <f>SUM(M29:M40)</f>
        <v>142.42920000000001</v>
      </c>
      <c r="N1051" s="5">
        <f>SUM(N29:N40)</f>
        <v>58.377000000000002</v>
      </c>
      <c r="O1051" s="5">
        <f>SUM(O29:O40)</f>
        <v>5.3597999999999999</v>
      </c>
      <c r="P1051" s="5">
        <f>SUM(P29:P40)</f>
        <v>17.840799999999998</v>
      </c>
      <c r="Q1051" s="5"/>
      <c r="R1051" s="5">
        <f>SUM(R29:R40)</f>
        <v>3.5999999999999992</v>
      </c>
      <c r="S1051" s="5"/>
    </row>
    <row r="1052" spans="1:19" ht="15" customHeight="1">
      <c r="A1052" s="3">
        <v>2017</v>
      </c>
      <c r="B1052" s="8">
        <f t="shared" ref="B1052:J1052" si="3">AVERAGE(B41:B52)</f>
        <v>3.4726249999999994</v>
      </c>
      <c r="C1052" s="8">
        <f t="shared" si="3"/>
        <v>3.4789833333333333</v>
      </c>
      <c r="D1052" s="8">
        <f t="shared" si="3"/>
        <v>3.4741250000000004</v>
      </c>
      <c r="E1052" s="8">
        <f t="shared" si="3"/>
        <v>3.4751166666666666</v>
      </c>
      <c r="F1052" s="4">
        <f t="shared" si="3"/>
        <v>4.1600833333333327</v>
      </c>
      <c r="G1052" s="8">
        <f t="shared" si="3"/>
        <v>3.3771166666666663</v>
      </c>
      <c r="H1052" s="4">
        <f t="shared" si="3"/>
        <v>4.2979416666666674</v>
      </c>
      <c r="I1052" s="8">
        <f t="shared" si="3"/>
        <v>3.4283083333333337</v>
      </c>
      <c r="J1052" s="4">
        <f t="shared" si="3"/>
        <v>3.3059583333333333</v>
      </c>
      <c r="K1052" s="4"/>
      <c r="L1052" s="5">
        <f t="shared" ref="L1052:Q1052" si="4">SUM(L41:L52)</f>
        <v>355.53689999999995</v>
      </c>
      <c r="M1052" s="5">
        <f t="shared" si="4"/>
        <v>142.0401</v>
      </c>
      <c r="N1052" s="5">
        <f t="shared" si="4"/>
        <v>58.217499999999994</v>
      </c>
      <c r="O1052" s="5">
        <f t="shared" si="4"/>
        <v>4.4046000000000003</v>
      </c>
      <c r="P1052" s="5">
        <f t="shared" si="4"/>
        <v>20.805900000000001</v>
      </c>
      <c r="Q1052" s="5">
        <f t="shared" si="4"/>
        <v>198.18529999999998</v>
      </c>
      <c r="R1052" s="5"/>
      <c r="S1052" s="4"/>
    </row>
    <row r="1053" spans="1:19" ht="15" customHeight="1">
      <c r="A1053" s="3">
        <v>2018</v>
      </c>
      <c r="B1053" s="8">
        <f t="shared" ref="B1053:J1053" si="5">AVERAGE(B53:B64)</f>
        <v>4.0054083333333335</v>
      </c>
      <c r="C1053" s="8">
        <f t="shared" si="5"/>
        <v>4.0118</v>
      </c>
      <c r="D1053" s="8">
        <f t="shared" si="5"/>
        <v>4.0198583333333326</v>
      </c>
      <c r="E1053" s="8">
        <f t="shared" si="5"/>
        <v>4.0162916666666666</v>
      </c>
      <c r="F1053" s="4">
        <f t="shared" si="5"/>
        <v>4.6928833333333335</v>
      </c>
      <c r="G1053" s="8">
        <f t="shared" si="5"/>
        <v>3.8975249999999995</v>
      </c>
      <c r="H1053" s="4">
        <f t="shared" si="5"/>
        <v>4.818316666666667</v>
      </c>
      <c r="I1053" s="8">
        <f t="shared" si="5"/>
        <v>3.9401083333333329</v>
      </c>
      <c r="J1053" s="4">
        <f t="shared" si="5"/>
        <v>3.8174833333333331</v>
      </c>
      <c r="K1053" s="4"/>
      <c r="L1053" s="5">
        <f t="shared" ref="L1053:Q1053" si="6">SUM(L53:L64)</f>
        <v>355.53689999999995</v>
      </c>
      <c r="M1053" s="5">
        <f t="shared" si="6"/>
        <v>142.0401</v>
      </c>
      <c r="N1053" s="5">
        <f t="shared" si="6"/>
        <v>58.217499999999994</v>
      </c>
      <c r="O1053" s="5">
        <f t="shared" si="6"/>
        <v>4.4046000000000003</v>
      </c>
      <c r="P1053" s="5">
        <f t="shared" si="6"/>
        <v>14.707600000000001</v>
      </c>
      <c r="Q1053" s="5">
        <f t="shared" si="6"/>
        <v>293.19730000000004</v>
      </c>
      <c r="R1053" s="5"/>
      <c r="S1053" s="4"/>
    </row>
    <row r="1054" spans="1:19" ht="15" customHeight="1">
      <c r="A1054" s="3">
        <v>2019</v>
      </c>
      <c r="B1054" s="8">
        <f t="shared" ref="B1054:J1054" si="7">AVERAGE(B65:B76)</f>
        <v>4.227549999999999</v>
      </c>
      <c r="C1054" s="8">
        <f t="shared" si="7"/>
        <v>4.2339250000000002</v>
      </c>
      <c r="D1054" s="8">
        <f t="shared" si="7"/>
        <v>4.2419666666666664</v>
      </c>
      <c r="E1054" s="8">
        <f t="shared" si="7"/>
        <v>4.2384083333333331</v>
      </c>
      <c r="F1054" s="4">
        <f t="shared" si="7"/>
        <v>4.9150083333333336</v>
      </c>
      <c r="G1054" s="8">
        <f t="shared" si="7"/>
        <v>4.1144749999999997</v>
      </c>
      <c r="H1054" s="4">
        <f t="shared" si="7"/>
        <v>5.0352749999999995</v>
      </c>
      <c r="I1054" s="8">
        <f t="shared" si="7"/>
        <v>4.1534916666666666</v>
      </c>
      <c r="J1054" s="4">
        <f t="shared" si="7"/>
        <v>4.0307500000000003</v>
      </c>
      <c r="K1054" s="4"/>
      <c r="L1054" s="5">
        <f t="shared" ref="L1054:Q1054" si="8">SUM(L65:L76)</f>
        <v>355.53689999999995</v>
      </c>
      <c r="M1054" s="5">
        <f t="shared" si="8"/>
        <v>142.0401</v>
      </c>
      <c r="N1054" s="5">
        <f t="shared" si="8"/>
        <v>58.217499999999994</v>
      </c>
      <c r="O1054" s="5">
        <f t="shared" si="8"/>
        <v>4.4046000000000003</v>
      </c>
      <c r="P1054" s="5">
        <f t="shared" si="8"/>
        <v>14.707600000000001</v>
      </c>
      <c r="Q1054" s="5">
        <f t="shared" si="8"/>
        <v>290.24799999999999</v>
      </c>
      <c r="R1054" s="5"/>
      <c r="S1054" s="4"/>
    </row>
    <row r="1055" spans="1:19" ht="15" customHeight="1">
      <c r="A1055" s="3">
        <v>2020</v>
      </c>
      <c r="B1055" s="8">
        <f t="shared" ref="B1055:J1055" si="9">AVERAGE(B77:B88)</f>
        <v>5.2378166666666663</v>
      </c>
      <c r="C1055" s="8">
        <f t="shared" si="9"/>
        <v>5.2441916666666666</v>
      </c>
      <c r="D1055" s="8">
        <f t="shared" si="9"/>
        <v>5.2522333333333329</v>
      </c>
      <c r="E1055" s="8">
        <f t="shared" si="9"/>
        <v>5.2486749999999995</v>
      </c>
      <c r="F1055" s="4">
        <f t="shared" si="9"/>
        <v>5.9252916666666664</v>
      </c>
      <c r="G1055" s="8">
        <f t="shared" si="9"/>
        <v>5.1012166666666667</v>
      </c>
      <c r="H1055" s="4">
        <f t="shared" si="9"/>
        <v>6.0220166666666666</v>
      </c>
      <c r="I1055" s="8">
        <f t="shared" si="9"/>
        <v>5.1239333333333335</v>
      </c>
      <c r="J1055" s="4">
        <f t="shared" si="9"/>
        <v>5.0007083333333338</v>
      </c>
      <c r="K1055" s="4"/>
      <c r="L1055" s="5">
        <f t="shared" ref="L1055:Q1055" si="10">SUM(L77:L88)</f>
        <v>356.48229999999995</v>
      </c>
      <c r="M1055" s="5">
        <f t="shared" si="10"/>
        <v>142.42920000000001</v>
      </c>
      <c r="N1055" s="5">
        <f t="shared" si="10"/>
        <v>58.377000000000002</v>
      </c>
      <c r="O1055" s="5">
        <f t="shared" si="10"/>
        <v>4.4165999999999999</v>
      </c>
      <c r="P1055" s="5">
        <f t="shared" si="10"/>
        <v>14.7493</v>
      </c>
      <c r="Q1055" s="5">
        <f t="shared" si="10"/>
        <v>349.04309999999998</v>
      </c>
      <c r="R1055" s="5"/>
      <c r="S1055" s="4"/>
    </row>
    <row r="1056" spans="1:19" ht="15" customHeight="1">
      <c r="A1056" s="3">
        <v>2021</v>
      </c>
      <c r="B1056" s="8">
        <f t="shared" ref="B1056:J1056" si="11">AVERAGE(B89:B100)</f>
        <v>5.6470416666666665</v>
      </c>
      <c r="C1056" s="8">
        <f t="shared" si="11"/>
        <v>5.6534166666666676</v>
      </c>
      <c r="D1056" s="8">
        <f t="shared" si="11"/>
        <v>5.661458333333333</v>
      </c>
      <c r="E1056" s="8">
        <f t="shared" si="11"/>
        <v>5.6579000000000006</v>
      </c>
      <c r="F1056" s="4">
        <f t="shared" si="11"/>
        <v>6.3345000000000011</v>
      </c>
      <c r="G1056" s="8">
        <f t="shared" si="11"/>
        <v>5.5008833333333333</v>
      </c>
      <c r="H1056" s="4">
        <f t="shared" si="11"/>
        <v>6.4216833333333341</v>
      </c>
      <c r="I1056" s="8">
        <f t="shared" si="11"/>
        <v>5.5170083333333331</v>
      </c>
      <c r="J1056" s="4">
        <f t="shared" si="11"/>
        <v>5.3935916666666657</v>
      </c>
      <c r="K1056" s="4"/>
      <c r="L1056" s="5">
        <f t="shared" ref="L1056:Q1056" si="12">SUM(L89:L100)</f>
        <v>355.53689999999995</v>
      </c>
      <c r="M1056" s="5">
        <f t="shared" si="12"/>
        <v>142.0401</v>
      </c>
      <c r="N1056" s="5">
        <f t="shared" si="12"/>
        <v>58.217499999999994</v>
      </c>
      <c r="O1056" s="5">
        <f t="shared" si="12"/>
        <v>4.4046000000000003</v>
      </c>
      <c r="P1056" s="5">
        <f t="shared" si="12"/>
        <v>14.707600000000001</v>
      </c>
      <c r="Q1056" s="5">
        <f t="shared" si="12"/>
        <v>388.68129999999996</v>
      </c>
      <c r="R1056" s="5"/>
      <c r="S1056" s="4"/>
    </row>
    <row r="1057" spans="1:19" ht="15" customHeight="1">
      <c r="A1057" s="3">
        <v>2022</v>
      </c>
      <c r="B1057" s="8">
        <f t="shared" ref="B1057:J1057" si="13">AVERAGE(B101:B112)</f>
        <v>5.952208333333334</v>
      </c>
      <c r="C1057" s="8">
        <f t="shared" si="13"/>
        <v>5.9585750000000006</v>
      </c>
      <c r="D1057" s="8">
        <f t="shared" si="13"/>
        <v>5.9666249999999996</v>
      </c>
      <c r="E1057" s="8">
        <f t="shared" si="13"/>
        <v>5.9630666666666672</v>
      </c>
      <c r="F1057" s="4">
        <f t="shared" si="13"/>
        <v>6.6396833333333332</v>
      </c>
      <c r="G1057" s="8">
        <f t="shared" si="13"/>
        <v>5.7989583333333341</v>
      </c>
      <c r="H1057" s="4">
        <f t="shared" si="13"/>
        <v>6.7197500000000012</v>
      </c>
      <c r="I1057" s="8">
        <f t="shared" si="13"/>
        <v>5.8101500000000001</v>
      </c>
      <c r="J1057" s="4">
        <f t="shared" si="13"/>
        <v>5.6865999999999994</v>
      </c>
      <c r="K1057" s="4"/>
      <c r="L1057" s="5">
        <f t="shared" ref="L1057:Q1057" si="14">SUM(L101:L112)</f>
        <v>355.53689999999995</v>
      </c>
      <c r="M1057" s="5">
        <f t="shared" si="14"/>
        <v>142.0401</v>
      </c>
      <c r="N1057" s="5">
        <f t="shared" si="14"/>
        <v>58.217499999999994</v>
      </c>
      <c r="O1057" s="5">
        <f t="shared" si="14"/>
        <v>4.4046000000000003</v>
      </c>
      <c r="P1057" s="5">
        <f t="shared" si="14"/>
        <v>14.707600000000001</v>
      </c>
      <c r="Q1057" s="5">
        <f t="shared" si="14"/>
        <v>386.33820000000003</v>
      </c>
      <c r="R1057" s="5"/>
      <c r="S1057" s="4"/>
    </row>
    <row r="1058" spans="1:19" ht="15" customHeight="1">
      <c r="A1058" s="3">
        <v>2023</v>
      </c>
      <c r="B1058" s="8">
        <f t="shared" ref="B1058:J1058" si="15">AVERAGE(B113:B124)</f>
        <v>6.1991666666666667</v>
      </c>
      <c r="C1058" s="8">
        <f t="shared" si="15"/>
        <v>6.2055250000000006</v>
      </c>
      <c r="D1058" s="8">
        <f t="shared" si="15"/>
        <v>6.2135833333333332</v>
      </c>
      <c r="E1058" s="8">
        <f t="shared" si="15"/>
        <v>6.2100083333333336</v>
      </c>
      <c r="F1058" s="4">
        <f t="shared" si="15"/>
        <v>6.8866249999999996</v>
      </c>
      <c r="G1058" s="8">
        <f t="shared" si="15"/>
        <v>6.0401583333333342</v>
      </c>
      <c r="H1058" s="4">
        <f t="shared" si="15"/>
        <v>6.9609499999999995</v>
      </c>
      <c r="I1058" s="8">
        <f t="shared" si="15"/>
        <v>6.0473833333333324</v>
      </c>
      <c r="J1058" s="4">
        <f t="shared" si="15"/>
        <v>5.9236916666666666</v>
      </c>
      <c r="K1058" s="4"/>
      <c r="L1058" s="5">
        <f t="shared" ref="L1058:Q1058" si="16">SUM(L113:L124)</f>
        <v>355.53689999999995</v>
      </c>
      <c r="M1058" s="5">
        <f t="shared" si="16"/>
        <v>142.0401</v>
      </c>
      <c r="N1058" s="5">
        <f t="shared" si="16"/>
        <v>58.217499999999994</v>
      </c>
      <c r="O1058" s="5">
        <f t="shared" si="16"/>
        <v>4.4046000000000003</v>
      </c>
      <c r="P1058" s="5">
        <f t="shared" si="16"/>
        <v>14.707600000000001</v>
      </c>
      <c r="Q1058" s="5">
        <f t="shared" si="16"/>
        <v>384.12599999999998</v>
      </c>
      <c r="R1058" s="5"/>
      <c r="S1058" s="4"/>
    </row>
    <row r="1059" spans="1:19" ht="15" customHeight="1">
      <c r="A1059" s="3">
        <v>2024</v>
      </c>
      <c r="B1059" s="8">
        <f t="shared" ref="B1059:J1059" si="17">AVERAGE(B125:B136)</f>
        <v>6.3880916666666669</v>
      </c>
      <c r="C1059" s="8">
        <f t="shared" si="17"/>
        <v>6.3944666666666663</v>
      </c>
      <c r="D1059" s="8">
        <f t="shared" si="17"/>
        <v>6.4025250000000007</v>
      </c>
      <c r="E1059" s="8">
        <f t="shared" si="17"/>
        <v>6.3989583333333329</v>
      </c>
      <c r="F1059" s="4">
        <f t="shared" si="17"/>
        <v>7.0755583333333343</v>
      </c>
      <c r="G1059" s="8">
        <f t="shared" si="17"/>
        <v>6.2246750000000004</v>
      </c>
      <c r="H1059" s="4">
        <f t="shared" si="17"/>
        <v>7.1454583333333339</v>
      </c>
      <c r="I1059" s="8">
        <f t="shared" si="17"/>
        <v>6.2288416666666668</v>
      </c>
      <c r="J1059" s="4">
        <f t="shared" si="17"/>
        <v>6.105083333333333</v>
      </c>
      <c r="K1059" s="4"/>
      <c r="L1059" s="5">
        <f t="shared" ref="L1059:Q1059" si="18">SUM(L125:L136)</f>
        <v>356.48229999999995</v>
      </c>
      <c r="M1059" s="5">
        <f t="shared" si="18"/>
        <v>142.42920000000001</v>
      </c>
      <c r="N1059" s="5">
        <f t="shared" si="18"/>
        <v>58.377000000000002</v>
      </c>
      <c r="O1059" s="5">
        <f t="shared" si="18"/>
        <v>4.4165999999999999</v>
      </c>
      <c r="P1059" s="5">
        <f t="shared" si="18"/>
        <v>14.7493</v>
      </c>
      <c r="Q1059" s="5">
        <f t="shared" si="18"/>
        <v>383.00459999999998</v>
      </c>
      <c r="R1059" s="5"/>
      <c r="S1059" s="4"/>
    </row>
    <row r="1060" spans="1:19" ht="15" customHeight="1">
      <c r="A1060" s="3">
        <v>2025</v>
      </c>
      <c r="B1060" s="8">
        <f t="shared" ref="B1060:J1060" si="19">AVERAGE(B137:B148)</f>
        <v>6.5820999999999996</v>
      </c>
      <c r="C1060" s="8">
        <f t="shared" si="19"/>
        <v>6.5884666666666662</v>
      </c>
      <c r="D1060" s="8">
        <f t="shared" si="19"/>
        <v>6.5965083333333325</v>
      </c>
      <c r="E1060" s="8">
        <f t="shared" si="19"/>
        <v>6.5929666666666664</v>
      </c>
      <c r="F1060" s="4">
        <f t="shared" si="19"/>
        <v>7.2695583333333333</v>
      </c>
      <c r="G1060" s="8">
        <f t="shared" si="19"/>
        <v>6.4141833333333347</v>
      </c>
      <c r="H1060" s="4">
        <f t="shared" si="19"/>
        <v>7.3349749999999991</v>
      </c>
      <c r="I1060" s="8">
        <f t="shared" si="19"/>
        <v>6.4152250000000004</v>
      </c>
      <c r="J1060" s="4">
        <f t="shared" si="19"/>
        <v>6.2913583333333341</v>
      </c>
      <c r="K1060" s="4"/>
      <c r="L1060" s="5">
        <f t="shared" ref="L1060:Q1060" si="20">SUM(L137:L148)</f>
        <v>355.53689999999995</v>
      </c>
      <c r="M1060" s="5">
        <f t="shared" si="20"/>
        <v>142.0401</v>
      </c>
      <c r="N1060" s="5">
        <f t="shared" si="20"/>
        <v>58.217499999999994</v>
      </c>
      <c r="O1060" s="5">
        <f t="shared" si="20"/>
        <v>4.4046000000000003</v>
      </c>
      <c r="P1060" s="5">
        <f t="shared" si="20"/>
        <v>14.707600000000001</v>
      </c>
      <c r="Q1060" s="5">
        <f t="shared" si="20"/>
        <v>379.76819999999998</v>
      </c>
      <c r="R1060" s="5"/>
      <c r="S1060" s="4"/>
    </row>
    <row r="1061" spans="1:19" ht="15" customHeight="1">
      <c r="A1061" s="3">
        <v>2026</v>
      </c>
      <c r="B1061" s="8">
        <f t="shared" ref="B1061:J1061" si="21">AVERAGE(B149:B160)</f>
        <v>6.781341666666667</v>
      </c>
      <c r="C1061" s="8">
        <f t="shared" si="21"/>
        <v>6.7877166666666682</v>
      </c>
      <c r="D1061" s="8">
        <f t="shared" si="21"/>
        <v>6.7957666666666663</v>
      </c>
      <c r="E1061" s="8">
        <f t="shared" si="21"/>
        <v>6.7922083333333338</v>
      </c>
      <c r="F1061" s="4">
        <f t="shared" si="21"/>
        <v>7.4687833333333336</v>
      </c>
      <c r="G1061" s="8">
        <f t="shared" si="21"/>
        <v>6.6087583333333342</v>
      </c>
      <c r="H1061" s="4">
        <f t="shared" si="21"/>
        <v>7.5295666666666676</v>
      </c>
      <c r="I1061" s="8">
        <f t="shared" si="21"/>
        <v>6.6066000000000003</v>
      </c>
      <c r="J1061" s="4">
        <f t="shared" si="21"/>
        <v>6.4826250000000014</v>
      </c>
      <c r="K1061" s="4"/>
      <c r="L1061" s="5">
        <f t="shared" ref="L1061:Q1061" si="22">SUM(L149:L160)</f>
        <v>355.53689999999995</v>
      </c>
      <c r="M1061" s="5">
        <f t="shared" si="22"/>
        <v>142.0401</v>
      </c>
      <c r="N1061" s="5">
        <f t="shared" si="22"/>
        <v>58.217499999999994</v>
      </c>
      <c r="O1061" s="5">
        <f t="shared" si="22"/>
        <v>4.4046000000000003</v>
      </c>
      <c r="P1061" s="5">
        <f t="shared" si="22"/>
        <v>14.707600000000001</v>
      </c>
      <c r="Q1061" s="5">
        <f t="shared" si="22"/>
        <v>377.59969999999987</v>
      </c>
      <c r="R1061" s="5"/>
      <c r="S1061" s="4"/>
    </row>
    <row r="1062" spans="1:19" ht="15" customHeight="1">
      <c r="A1062" s="3">
        <v>2027</v>
      </c>
      <c r="B1062" s="8">
        <f t="shared" ref="B1062:J1062" si="23">AVERAGE(B161:B172)</f>
        <v>6.9859083333333345</v>
      </c>
      <c r="C1062" s="8">
        <f t="shared" si="23"/>
        <v>6.9922833333333339</v>
      </c>
      <c r="D1062" s="8">
        <f t="shared" si="23"/>
        <v>7.0003333333333329</v>
      </c>
      <c r="E1062" s="8">
        <f t="shared" si="23"/>
        <v>6.9967750000000004</v>
      </c>
      <c r="F1062" s="4">
        <f t="shared" si="23"/>
        <v>7.6733666666666664</v>
      </c>
      <c r="G1062" s="8">
        <f t="shared" si="23"/>
        <v>6.8085750000000003</v>
      </c>
      <c r="H1062" s="4">
        <f t="shared" si="23"/>
        <v>7.7293666666666674</v>
      </c>
      <c r="I1062" s="8">
        <f t="shared" si="23"/>
        <v>6.8030999999999997</v>
      </c>
      <c r="J1062" s="4">
        <f t="shared" si="23"/>
        <v>6.6790500000000002</v>
      </c>
      <c r="K1062" s="4"/>
      <c r="L1062" s="5">
        <f t="shared" ref="L1062:Q1062" si="24">SUM(L161:L172)</f>
        <v>355.53689999999995</v>
      </c>
      <c r="M1062" s="5">
        <f t="shared" si="24"/>
        <v>142.0401</v>
      </c>
      <c r="N1062" s="5">
        <f t="shared" si="24"/>
        <v>58.217499999999994</v>
      </c>
      <c r="O1062" s="5">
        <f t="shared" si="24"/>
        <v>4.4046000000000003</v>
      </c>
      <c r="P1062" s="5">
        <f t="shared" si="24"/>
        <v>14.707600000000001</v>
      </c>
      <c r="Q1062" s="5">
        <f t="shared" si="24"/>
        <v>375.43180000000001</v>
      </c>
      <c r="R1062" s="5"/>
      <c r="S1062" s="4"/>
    </row>
    <row r="1063" spans="1:19" ht="15" customHeight="1">
      <c r="A1063" s="3">
        <v>2028</v>
      </c>
      <c r="B1063" s="8">
        <f t="shared" ref="B1063:J1063" si="25">AVERAGE(B173:B184)</f>
        <v>7.1959583333333335</v>
      </c>
      <c r="C1063" s="8">
        <f t="shared" si="25"/>
        <v>7.2023416666666664</v>
      </c>
      <c r="D1063" s="8">
        <f t="shared" si="25"/>
        <v>7.2103916666666663</v>
      </c>
      <c r="E1063" s="8">
        <f t="shared" si="25"/>
        <v>7.2068249999999994</v>
      </c>
      <c r="F1063" s="4">
        <f t="shared" si="25"/>
        <v>7.883424999999999</v>
      </c>
      <c r="G1063" s="8">
        <f t="shared" si="25"/>
        <v>7.0137333333333318</v>
      </c>
      <c r="H1063" s="4">
        <f t="shared" si="25"/>
        <v>7.9345333333333334</v>
      </c>
      <c r="I1063" s="8">
        <f t="shared" si="25"/>
        <v>7.0048833333333329</v>
      </c>
      <c r="J1063" s="4">
        <f t="shared" si="25"/>
        <v>6.8807250000000009</v>
      </c>
      <c r="K1063" s="4"/>
      <c r="L1063" s="5">
        <f t="shared" ref="L1063:Q1063" si="26">SUM(L173:L184)</f>
        <v>356.48229999999995</v>
      </c>
      <c r="M1063" s="5">
        <f t="shared" si="26"/>
        <v>142.42920000000001</v>
      </c>
      <c r="N1063" s="5">
        <f t="shared" si="26"/>
        <v>58.377000000000002</v>
      </c>
      <c r="O1063" s="5">
        <f t="shared" si="26"/>
        <v>4.4165999999999999</v>
      </c>
      <c r="P1063" s="5">
        <f t="shared" si="26"/>
        <v>14.7493</v>
      </c>
      <c r="Q1063" s="5">
        <f t="shared" si="26"/>
        <v>374.28599999999994</v>
      </c>
      <c r="R1063" s="5"/>
      <c r="S1063" s="4"/>
    </row>
    <row r="1064" spans="1:19" ht="15" customHeight="1">
      <c r="A1064" s="3">
        <v>2029</v>
      </c>
      <c r="B1064" s="8">
        <f t="shared" ref="B1064:J1064" si="27">AVERAGE(B185:B196)</f>
        <v>7.4116666666666662</v>
      </c>
      <c r="C1064" s="8">
        <f t="shared" si="27"/>
        <v>7.4180249999999992</v>
      </c>
      <c r="D1064" s="8">
        <f t="shared" si="27"/>
        <v>7.4260750000000009</v>
      </c>
      <c r="E1064" s="8">
        <f t="shared" si="27"/>
        <v>7.4225083333333357</v>
      </c>
      <c r="F1064" s="4">
        <f t="shared" si="27"/>
        <v>8.0991083333333336</v>
      </c>
      <c r="G1064" s="8">
        <f t="shared" si="27"/>
        <v>7.2244083333333329</v>
      </c>
      <c r="H1064" s="4">
        <f t="shared" si="27"/>
        <v>8.1451916666666673</v>
      </c>
      <c r="I1064" s="8">
        <f t="shared" si="27"/>
        <v>7.2120583333333323</v>
      </c>
      <c r="J1064" s="4">
        <f t="shared" si="27"/>
        <v>7.0878166666666678</v>
      </c>
      <c r="K1064" s="4"/>
      <c r="L1064" s="5">
        <f t="shared" ref="L1064:Q1064" si="28">SUM(L185:L196)</f>
        <v>355.53689999999995</v>
      </c>
      <c r="M1064" s="5">
        <f t="shared" si="28"/>
        <v>142.0401</v>
      </c>
      <c r="N1064" s="5">
        <f t="shared" si="28"/>
        <v>58.217499999999994</v>
      </c>
      <c r="O1064" s="5">
        <f t="shared" si="28"/>
        <v>4.4046000000000003</v>
      </c>
      <c r="P1064" s="5">
        <f t="shared" si="28"/>
        <v>14.707600000000001</v>
      </c>
      <c r="Q1064" s="5">
        <f t="shared" si="28"/>
        <v>371.09549999999996</v>
      </c>
      <c r="R1064" s="5"/>
      <c r="S1064" s="4"/>
    </row>
    <row r="1065" spans="1:19" ht="15" customHeight="1">
      <c r="A1065" s="3">
        <v>2030</v>
      </c>
      <c r="B1065" s="8">
        <f t="shared" ref="B1065:J1065" si="29">AVERAGE(B197:B208)</f>
        <v>7.6331000000000016</v>
      </c>
      <c r="C1065" s="8">
        <f t="shared" si="29"/>
        <v>7.6394749999999982</v>
      </c>
      <c r="D1065" s="8">
        <f t="shared" si="29"/>
        <v>7.6475416666666662</v>
      </c>
      <c r="E1065" s="8">
        <f t="shared" si="29"/>
        <v>7.6439666666666675</v>
      </c>
      <c r="F1065" s="4">
        <f t="shared" si="29"/>
        <v>8.3205333333333318</v>
      </c>
      <c r="G1065" s="8">
        <f t="shared" si="29"/>
        <v>7.4406583333333325</v>
      </c>
      <c r="H1065" s="4">
        <f t="shared" si="29"/>
        <v>8.3614666666666668</v>
      </c>
      <c r="I1065" s="8">
        <f t="shared" si="29"/>
        <v>7.4247750000000003</v>
      </c>
      <c r="J1065" s="4">
        <f t="shared" si="29"/>
        <v>7.3004083333333334</v>
      </c>
      <c r="K1065" s="4"/>
      <c r="L1065" s="5">
        <f t="shared" ref="L1065:Q1065" si="30">SUM(L197:L208)</f>
        <v>355.53689999999995</v>
      </c>
      <c r="M1065" s="5">
        <f t="shared" si="30"/>
        <v>142.0401</v>
      </c>
      <c r="N1065" s="5">
        <f t="shared" si="30"/>
        <v>58.217499999999994</v>
      </c>
      <c r="O1065" s="5">
        <f t="shared" si="30"/>
        <v>4.4046000000000003</v>
      </c>
      <c r="P1065" s="5">
        <f t="shared" si="30"/>
        <v>14.707600000000001</v>
      </c>
      <c r="Q1065" s="5">
        <f t="shared" si="30"/>
        <v>368.9276999999999</v>
      </c>
      <c r="R1065" s="5"/>
      <c r="S1065" s="4"/>
    </row>
    <row r="1066" spans="1:19" ht="15" customHeight="1">
      <c r="A1066" s="3">
        <v>2031</v>
      </c>
      <c r="B1066" s="8">
        <f t="shared" ref="B1066:J1066" si="31">AVERAGE(B209:B220)</f>
        <v>7.8604333333333329</v>
      </c>
      <c r="C1066" s="8">
        <f t="shared" si="31"/>
        <v>7.8668000000000005</v>
      </c>
      <c r="D1066" s="8">
        <f t="shared" si="31"/>
        <v>7.8748666666666667</v>
      </c>
      <c r="E1066" s="8">
        <f t="shared" si="31"/>
        <v>7.8713000000000015</v>
      </c>
      <c r="F1066" s="4">
        <f t="shared" si="31"/>
        <v>8.5478916666666667</v>
      </c>
      <c r="G1066" s="8">
        <f t="shared" si="31"/>
        <v>7.6627249999999991</v>
      </c>
      <c r="H1066" s="4">
        <f t="shared" si="31"/>
        <v>8.5835249999999998</v>
      </c>
      <c r="I1066" s="8">
        <f t="shared" si="31"/>
        <v>7.6431666666666658</v>
      </c>
      <c r="J1066" s="4">
        <f t="shared" si="31"/>
        <v>7.5186833333333345</v>
      </c>
      <c r="K1066" s="4"/>
      <c r="L1066" s="5">
        <f t="shared" ref="L1066:Q1066" si="32">SUM(L209:L220)</f>
        <v>355.53689999999995</v>
      </c>
      <c r="M1066" s="5">
        <f t="shared" si="32"/>
        <v>142.0401</v>
      </c>
      <c r="N1066" s="5">
        <f t="shared" si="32"/>
        <v>58.217499999999994</v>
      </c>
      <c r="O1066" s="5">
        <f t="shared" si="32"/>
        <v>4.4046000000000003</v>
      </c>
      <c r="P1066" s="5">
        <f t="shared" si="32"/>
        <v>14.707600000000001</v>
      </c>
      <c r="Q1066" s="5">
        <f t="shared" si="32"/>
        <v>365.31420000000003</v>
      </c>
      <c r="R1066" s="5"/>
      <c r="S1066" s="4"/>
    </row>
    <row r="1067" spans="1:19" ht="15" customHeight="1">
      <c r="A1067" s="3">
        <v>2032</v>
      </c>
      <c r="B1067" s="8">
        <f t="shared" ref="B1067:J1067" si="33">AVERAGE(B221:B232)</f>
        <v>8.0938416666666662</v>
      </c>
      <c r="C1067" s="8">
        <f t="shared" si="33"/>
        <v>8.1002083333333328</v>
      </c>
      <c r="D1067" s="8">
        <f t="shared" si="33"/>
        <v>8.10825</v>
      </c>
      <c r="E1067" s="8">
        <f t="shared" si="33"/>
        <v>8.1047000000000011</v>
      </c>
      <c r="F1067" s="4">
        <f t="shared" si="33"/>
        <v>8.781291666666668</v>
      </c>
      <c r="G1067" s="8">
        <f t="shared" si="33"/>
        <v>7.8906833333333317</v>
      </c>
      <c r="H1067" s="4">
        <f t="shared" si="33"/>
        <v>8.8114833333333333</v>
      </c>
      <c r="I1067" s="8">
        <f t="shared" si="33"/>
        <v>7.8673666666666655</v>
      </c>
      <c r="J1067" s="4">
        <f t="shared" si="33"/>
        <v>7.7427749999999991</v>
      </c>
      <c r="K1067" s="4"/>
      <c r="L1067" s="5">
        <f t="shared" ref="L1067:Q1067" si="34">SUM(L221:L232)</f>
        <v>356.48229999999995</v>
      </c>
      <c r="M1067" s="5">
        <f t="shared" si="34"/>
        <v>142.42920000000001</v>
      </c>
      <c r="N1067" s="5">
        <f t="shared" si="34"/>
        <v>58.377000000000002</v>
      </c>
      <c r="O1067" s="5">
        <f t="shared" si="34"/>
        <v>4.4165999999999999</v>
      </c>
      <c r="P1067" s="5">
        <f t="shared" si="34"/>
        <v>14.7493</v>
      </c>
      <c r="Q1067" s="5">
        <f t="shared" si="34"/>
        <v>364.46999999999997</v>
      </c>
      <c r="R1067" s="5"/>
      <c r="S1067" s="4"/>
    </row>
    <row r="1068" spans="1:19" ht="15" customHeight="1">
      <c r="A1068" s="3">
        <v>2033</v>
      </c>
      <c r="B1068" s="8">
        <f t="shared" ref="B1068:J1068" si="35">AVERAGE(B233:B244)</f>
        <v>8.3334333333333337</v>
      </c>
      <c r="C1068" s="8">
        <f t="shared" si="35"/>
        <v>8.3398083333333339</v>
      </c>
      <c r="D1068" s="8">
        <f t="shared" si="35"/>
        <v>8.3478583333333329</v>
      </c>
      <c r="E1068" s="8">
        <f t="shared" si="35"/>
        <v>8.3442999999999987</v>
      </c>
      <c r="F1068" s="4">
        <f t="shared" si="35"/>
        <v>9.0208916666666656</v>
      </c>
      <c r="G1068" s="8">
        <f t="shared" si="35"/>
        <v>8.1247083333333325</v>
      </c>
      <c r="H1068" s="4">
        <f t="shared" si="35"/>
        <v>9.0455083333333359</v>
      </c>
      <c r="I1068" s="8">
        <f t="shared" si="35"/>
        <v>8.0975000000000001</v>
      </c>
      <c r="J1068" s="4">
        <f t="shared" si="35"/>
        <v>7.9728250000000003</v>
      </c>
      <c r="K1068" s="4"/>
      <c r="L1068" s="5">
        <f t="shared" ref="L1068:Q1068" si="36">SUM(L233:L244)</f>
        <v>355.53689999999995</v>
      </c>
      <c r="M1068" s="5">
        <f t="shared" si="36"/>
        <v>142.0401</v>
      </c>
      <c r="N1068" s="5">
        <f t="shared" si="36"/>
        <v>58.217499999999994</v>
      </c>
      <c r="O1068" s="5">
        <f t="shared" si="36"/>
        <v>4.4046000000000003</v>
      </c>
      <c r="P1068" s="5">
        <f t="shared" si="36"/>
        <v>14.707600000000001</v>
      </c>
      <c r="Q1068" s="5">
        <f t="shared" si="36"/>
        <v>362.33550000000002</v>
      </c>
      <c r="R1068" s="5"/>
      <c r="S1068" s="4"/>
    </row>
    <row r="1069" spans="1:19" ht="15" customHeight="1">
      <c r="A1069" s="3">
        <v>2034</v>
      </c>
      <c r="B1069" s="8">
        <f t="shared" ref="B1069:J1069" si="37">AVERAGE(B245:B256)</f>
        <v>8.4994916666666658</v>
      </c>
      <c r="C1069" s="8">
        <f t="shared" si="37"/>
        <v>8.505866666666666</v>
      </c>
      <c r="D1069" s="8">
        <f t="shared" si="37"/>
        <v>8.5139333333333322</v>
      </c>
      <c r="E1069" s="8">
        <f t="shared" si="37"/>
        <v>8.510374999999998</v>
      </c>
      <c r="F1069" s="4">
        <f t="shared" si="37"/>
        <v>9.1869666666666649</v>
      </c>
      <c r="G1069" s="8">
        <f t="shared" si="37"/>
        <v>8.286900000000001</v>
      </c>
      <c r="H1069" s="4">
        <f t="shared" si="37"/>
        <v>9.2077166666666681</v>
      </c>
      <c r="I1069" s="8">
        <f t="shared" si="37"/>
        <v>8.2570250000000005</v>
      </c>
      <c r="J1069" s="4">
        <f t="shared" si="37"/>
        <v>8.1322333333333319</v>
      </c>
      <c r="K1069" s="4"/>
      <c r="L1069" s="5">
        <f t="shared" ref="L1069:Q1069" si="38">SUM(L245:L256)</f>
        <v>355.53689999999995</v>
      </c>
      <c r="M1069" s="5">
        <f t="shared" si="38"/>
        <v>142.0401</v>
      </c>
      <c r="N1069" s="5">
        <f t="shared" si="38"/>
        <v>58.217499999999994</v>
      </c>
      <c r="O1069" s="5">
        <f t="shared" si="38"/>
        <v>4.4046000000000003</v>
      </c>
      <c r="P1069" s="5">
        <f t="shared" si="38"/>
        <v>14.707600000000001</v>
      </c>
      <c r="Q1069" s="5">
        <f t="shared" si="38"/>
        <v>361.59120000000007</v>
      </c>
      <c r="R1069" s="5"/>
      <c r="S1069" s="4"/>
    </row>
    <row r="1070" spans="1:19" ht="15" customHeight="1">
      <c r="A1070" s="3">
        <v>2035</v>
      </c>
      <c r="B1070" s="8">
        <f t="shared" ref="B1070:J1070" si="39">AVERAGE(B257:B268)</f>
        <v>8.6688916666666671</v>
      </c>
      <c r="C1070" s="8">
        <f t="shared" si="39"/>
        <v>8.675258333333332</v>
      </c>
      <c r="D1070" s="8">
        <f t="shared" si="39"/>
        <v>8.6832999999999991</v>
      </c>
      <c r="E1070" s="8">
        <f t="shared" si="39"/>
        <v>8.6797500000000003</v>
      </c>
      <c r="F1070" s="4">
        <f t="shared" si="39"/>
        <v>9.3563333333333336</v>
      </c>
      <c r="G1070" s="8">
        <f t="shared" si="39"/>
        <v>8.4523416666666673</v>
      </c>
      <c r="H1070" s="4">
        <f t="shared" si="39"/>
        <v>9.3731500000000008</v>
      </c>
      <c r="I1070" s="8">
        <f t="shared" si="39"/>
        <v>8.4197249999999997</v>
      </c>
      <c r="J1070" s="4">
        <f t="shared" si="39"/>
        <v>8.2948666666666675</v>
      </c>
      <c r="K1070" s="4"/>
      <c r="L1070" s="5">
        <f t="shared" ref="L1070:Q1070" si="40">SUM(L257:L268)</f>
        <v>355.53689999999995</v>
      </c>
      <c r="M1070" s="5">
        <f t="shared" si="40"/>
        <v>142.0401</v>
      </c>
      <c r="N1070" s="5">
        <f t="shared" si="40"/>
        <v>58.217499999999994</v>
      </c>
      <c r="O1070" s="5">
        <f t="shared" si="40"/>
        <v>4.4046000000000003</v>
      </c>
      <c r="P1070" s="5">
        <f t="shared" si="40"/>
        <v>14.707600000000001</v>
      </c>
      <c r="Q1070" s="5">
        <f t="shared" si="40"/>
        <v>360.82469999999995</v>
      </c>
      <c r="R1070" s="5"/>
      <c r="S1070" s="4"/>
    </row>
    <row r="1071" spans="1:19" ht="15" customHeight="1">
      <c r="A1071" s="3">
        <v>2036</v>
      </c>
      <c r="B1071" s="8">
        <f t="shared" ref="B1071:J1071" si="41">AVERAGE(B269:B280)</f>
        <v>8.8764500000000002</v>
      </c>
      <c r="C1071" s="8">
        <f t="shared" si="41"/>
        <v>8.8828083333333314</v>
      </c>
      <c r="D1071" s="8">
        <f t="shared" si="41"/>
        <v>8.8908666666666658</v>
      </c>
      <c r="E1071" s="8">
        <f t="shared" si="41"/>
        <v>8.8873083333333316</v>
      </c>
      <c r="F1071" s="4">
        <f t="shared" si="41"/>
        <v>9.5639083333333339</v>
      </c>
      <c r="G1071" s="8">
        <f t="shared" si="41"/>
        <v>8.6550666666666682</v>
      </c>
      <c r="H1071" s="4">
        <f t="shared" si="41"/>
        <v>9.5758750000000017</v>
      </c>
      <c r="I1071" s="8">
        <f t="shared" si="41"/>
        <v>8.6191166666666668</v>
      </c>
      <c r="J1071" s="4">
        <f t="shared" si="41"/>
        <v>8.4941416666666658</v>
      </c>
      <c r="K1071" s="4"/>
      <c r="L1071" s="5">
        <f t="shared" ref="L1071:Q1071" si="42">SUM(L269:L280)</f>
        <v>356.48229999999995</v>
      </c>
      <c r="M1071" s="5">
        <f t="shared" si="42"/>
        <v>142.42920000000001</v>
      </c>
      <c r="N1071" s="5">
        <f t="shared" si="42"/>
        <v>58.377000000000002</v>
      </c>
      <c r="O1071" s="5">
        <f t="shared" si="42"/>
        <v>4.4165999999999999</v>
      </c>
      <c r="P1071" s="5">
        <f t="shared" si="42"/>
        <v>14.7493</v>
      </c>
      <c r="Q1071" s="5">
        <f t="shared" si="42"/>
        <v>361.0446</v>
      </c>
      <c r="R1071" s="5"/>
      <c r="S1071" s="4"/>
    </row>
    <row r="1072" spans="1:19" ht="15" customHeight="1">
      <c r="A1072" s="3">
        <v>2037</v>
      </c>
      <c r="B1072" s="8">
        <f t="shared" ref="B1072:J1072" si="43">AVERAGE(B281:B292)</f>
        <v>9.0889916666666668</v>
      </c>
      <c r="C1072" s="8">
        <f t="shared" si="43"/>
        <v>9.0953666666666688</v>
      </c>
      <c r="D1072" s="8">
        <f t="shared" si="43"/>
        <v>9.103408333333336</v>
      </c>
      <c r="E1072" s="8">
        <f t="shared" si="43"/>
        <v>9.09985</v>
      </c>
      <c r="F1072" s="4">
        <f t="shared" si="43"/>
        <v>9.7764666666666677</v>
      </c>
      <c r="G1072" s="8">
        <f t="shared" si="43"/>
        <v>8.8626666666666676</v>
      </c>
      <c r="H1072" s="4">
        <f t="shared" si="43"/>
        <v>9.7834666666666674</v>
      </c>
      <c r="I1072" s="8">
        <f t="shared" si="43"/>
        <v>8.8232833333333343</v>
      </c>
      <c r="J1072" s="4">
        <f t="shared" si="43"/>
        <v>8.6982416666666662</v>
      </c>
      <c r="K1072" s="4"/>
      <c r="L1072" s="5">
        <f t="shared" ref="L1072:Q1072" si="44">SUM(L281:L292)</f>
        <v>355.53689999999995</v>
      </c>
      <c r="M1072" s="5">
        <f t="shared" si="44"/>
        <v>142.0401</v>
      </c>
      <c r="N1072" s="5">
        <f t="shared" si="44"/>
        <v>58.217499999999994</v>
      </c>
      <c r="O1072" s="5">
        <f t="shared" si="44"/>
        <v>4.4046000000000003</v>
      </c>
      <c r="P1072" s="5">
        <f t="shared" si="44"/>
        <v>14.707600000000001</v>
      </c>
      <c r="Q1072" s="5">
        <f t="shared" si="44"/>
        <v>359.29169999999999</v>
      </c>
      <c r="R1072" s="5"/>
      <c r="S1072" s="4"/>
    </row>
    <row r="1073" spans="1:19" ht="15" customHeight="1">
      <c r="A1073" s="3">
        <f t="shared" ref="A1073:A1104" si="45">A1072+1</f>
        <v>2038</v>
      </c>
      <c r="B1073" s="8">
        <f t="shared" ref="B1073:J1073" si="46">AVERAGE(B293:B304)</f>
        <v>9.306658333333333</v>
      </c>
      <c r="C1073" s="8">
        <f t="shared" si="46"/>
        <v>9.3130416666666651</v>
      </c>
      <c r="D1073" s="8">
        <f t="shared" si="46"/>
        <v>9.3210749999999987</v>
      </c>
      <c r="E1073" s="8">
        <f t="shared" si="46"/>
        <v>9.3175333333333317</v>
      </c>
      <c r="F1073" s="4">
        <f t="shared" si="46"/>
        <v>9.9941166666666668</v>
      </c>
      <c r="G1073" s="8">
        <f t="shared" si="46"/>
        <v>9.0752499999999987</v>
      </c>
      <c r="H1073" s="4">
        <f t="shared" si="46"/>
        <v>9.9960333333333331</v>
      </c>
      <c r="I1073" s="8">
        <f t="shared" si="46"/>
        <v>9.0323833333333337</v>
      </c>
      <c r="J1073" s="4">
        <f t="shared" si="46"/>
        <v>8.9072083333333332</v>
      </c>
      <c r="K1073" s="4"/>
      <c r="L1073" s="5">
        <f t="shared" ref="L1073:Q1073" si="47">SUM(L293:L304)</f>
        <v>355.53689999999995</v>
      </c>
      <c r="M1073" s="5">
        <f t="shared" si="47"/>
        <v>142.0401</v>
      </c>
      <c r="N1073" s="5">
        <f t="shared" si="47"/>
        <v>58.217499999999994</v>
      </c>
      <c r="O1073" s="5">
        <f t="shared" si="47"/>
        <v>4.4046000000000003</v>
      </c>
      <c r="P1073" s="5">
        <f t="shared" si="47"/>
        <v>14.707600000000001</v>
      </c>
      <c r="Q1073" s="5">
        <f t="shared" si="47"/>
        <v>358.54670000000004</v>
      </c>
      <c r="R1073" s="5"/>
      <c r="S1073" s="4"/>
    </row>
    <row r="1074" spans="1:19" ht="15" customHeight="1">
      <c r="A1074" s="3">
        <f t="shared" si="45"/>
        <v>2039</v>
      </c>
      <c r="B1074" s="8">
        <f t="shared" ref="B1074:J1074" si="48">AVERAGE(B305:B316)</f>
        <v>9.5295333333333314</v>
      </c>
      <c r="C1074" s="8">
        <f t="shared" si="48"/>
        <v>9.5359250000000024</v>
      </c>
      <c r="D1074" s="8">
        <f t="shared" si="48"/>
        <v>9.5439750000000014</v>
      </c>
      <c r="E1074" s="8">
        <f t="shared" si="48"/>
        <v>9.5404166666666672</v>
      </c>
      <c r="F1074" s="4">
        <f t="shared" si="48"/>
        <v>10.217008333333334</v>
      </c>
      <c r="G1074" s="8">
        <f t="shared" si="48"/>
        <v>9.292958333333333</v>
      </c>
      <c r="H1074" s="4">
        <f t="shared" si="48"/>
        <v>10.213741666666666</v>
      </c>
      <c r="I1074" s="8">
        <f t="shared" si="48"/>
        <v>9.246475000000002</v>
      </c>
      <c r="J1074" s="4">
        <f t="shared" si="48"/>
        <v>9.1211833333333345</v>
      </c>
      <c r="K1074" s="7"/>
      <c r="L1074" s="5">
        <f t="shared" ref="L1074:Q1074" si="49">SUM(L305:L316)</f>
        <v>355.53689999999995</v>
      </c>
      <c r="M1074" s="5">
        <f t="shared" si="49"/>
        <v>142.0401</v>
      </c>
      <c r="N1074" s="5">
        <f t="shared" si="49"/>
        <v>58.217499999999994</v>
      </c>
      <c r="O1074" s="5">
        <f t="shared" si="49"/>
        <v>4.4046000000000003</v>
      </c>
      <c r="P1074" s="5">
        <f t="shared" si="49"/>
        <v>14.707600000000001</v>
      </c>
      <c r="Q1074" s="5">
        <f t="shared" si="49"/>
        <v>357.78019999999998</v>
      </c>
      <c r="R1074" s="5"/>
      <c r="S1074" s="6"/>
    </row>
    <row r="1075" spans="1:19" ht="15" customHeight="1">
      <c r="A1075" s="3">
        <f t="shared" si="45"/>
        <v>2040</v>
      </c>
      <c r="B1075" s="8">
        <f t="shared" ref="B1075:J1075" si="50">AVERAGE(B317:B328)</f>
        <v>9.7578000000000014</v>
      </c>
      <c r="C1075" s="8">
        <f t="shared" si="50"/>
        <v>9.7641583333333326</v>
      </c>
      <c r="D1075" s="8">
        <f t="shared" si="50"/>
        <v>9.7722250000000006</v>
      </c>
      <c r="E1075" s="8">
        <f t="shared" si="50"/>
        <v>9.7686583333333328</v>
      </c>
      <c r="F1075" s="4">
        <f t="shared" si="50"/>
        <v>10.445249999999998</v>
      </c>
      <c r="G1075" s="8">
        <f t="shared" si="50"/>
        <v>9.5158749999999994</v>
      </c>
      <c r="H1075" s="4">
        <f t="shared" si="50"/>
        <v>10.436675000000001</v>
      </c>
      <c r="I1075" s="8">
        <f t="shared" si="50"/>
        <v>9.4657333333333344</v>
      </c>
      <c r="J1075" s="4">
        <f t="shared" si="50"/>
        <v>9.340325</v>
      </c>
      <c r="K1075" s="7"/>
      <c r="L1075" s="5">
        <f t="shared" ref="L1075:Q1075" si="51">SUM(L317:L328)</f>
        <v>356.48229999999995</v>
      </c>
      <c r="M1075" s="5">
        <f t="shared" si="51"/>
        <v>142.42920000000001</v>
      </c>
      <c r="N1075" s="5">
        <f t="shared" si="51"/>
        <v>58.377000000000002</v>
      </c>
      <c r="O1075" s="5">
        <f t="shared" si="51"/>
        <v>4.4165999999999999</v>
      </c>
      <c r="P1075" s="5">
        <f t="shared" si="51"/>
        <v>14.7493</v>
      </c>
      <c r="Q1075" s="5">
        <f t="shared" si="51"/>
        <v>357.99180000000001</v>
      </c>
      <c r="R1075" s="5"/>
      <c r="S1075" s="6"/>
    </row>
    <row r="1076" spans="1:19" ht="15" customHeight="1">
      <c r="A1076" s="3">
        <f t="shared" si="45"/>
        <v>2041</v>
      </c>
      <c r="B1076" s="8">
        <f t="shared" ref="B1076:J1076" si="52">AVERAGE(B329:B340)</f>
        <v>9.9915166666666675</v>
      </c>
      <c r="C1076" s="8">
        <f t="shared" si="52"/>
        <v>9.997891666666666</v>
      </c>
      <c r="D1076" s="8">
        <f t="shared" si="52"/>
        <v>10.005941666666667</v>
      </c>
      <c r="E1076" s="8">
        <f t="shared" si="52"/>
        <v>10.002391666666666</v>
      </c>
      <c r="F1076" s="4">
        <f t="shared" si="52"/>
        <v>10.678983333333335</v>
      </c>
      <c r="G1076" s="8">
        <f t="shared" si="52"/>
        <v>9.7441500000000012</v>
      </c>
      <c r="H1076" s="4">
        <f t="shared" si="52"/>
        <v>10.664941666666667</v>
      </c>
      <c r="I1076" s="8">
        <f t="shared" si="52"/>
        <v>9.6902333333333317</v>
      </c>
      <c r="J1076" s="4">
        <f t="shared" si="52"/>
        <v>9.564725000000001</v>
      </c>
      <c r="K1076" s="7"/>
      <c r="L1076" s="5">
        <f t="shared" ref="L1076:Q1076" si="53">SUM(L329:L340)</f>
        <v>355.53689999999995</v>
      </c>
      <c r="M1076" s="5">
        <f t="shared" si="53"/>
        <v>142.0401</v>
      </c>
      <c r="N1076" s="5">
        <f t="shared" si="53"/>
        <v>58.217499999999994</v>
      </c>
      <c r="O1076" s="5">
        <f t="shared" si="53"/>
        <v>4.4046000000000003</v>
      </c>
      <c r="P1076" s="5">
        <f t="shared" si="53"/>
        <v>14.707600000000001</v>
      </c>
      <c r="Q1076" s="5">
        <f t="shared" si="53"/>
        <v>356.26930000000004</v>
      </c>
      <c r="R1076" s="5"/>
      <c r="S1076" s="6"/>
    </row>
    <row r="1077" spans="1:19" ht="15" customHeight="1">
      <c r="A1077" s="3">
        <f t="shared" si="45"/>
        <v>2042</v>
      </c>
      <c r="B1077" s="8">
        <f t="shared" ref="B1077:J1077" si="54">AVERAGE(B341:B352)</f>
        <v>10.230858333333332</v>
      </c>
      <c r="C1077" s="8">
        <f t="shared" si="54"/>
        <v>10.237225</v>
      </c>
      <c r="D1077" s="8">
        <f t="shared" si="54"/>
        <v>10.245283333333331</v>
      </c>
      <c r="E1077" s="8">
        <f t="shared" si="54"/>
        <v>10.241725000000001</v>
      </c>
      <c r="F1077" s="4">
        <f t="shared" si="54"/>
        <v>10.918316666666668</v>
      </c>
      <c r="G1077" s="8">
        <f t="shared" si="54"/>
        <v>9.9779166666666672</v>
      </c>
      <c r="H1077" s="4">
        <f t="shared" si="54"/>
        <v>10.898716666666665</v>
      </c>
      <c r="I1077" s="8">
        <f t="shared" si="54"/>
        <v>9.9201499999999996</v>
      </c>
      <c r="J1077" s="4">
        <f t="shared" si="54"/>
        <v>9.7945250000000001</v>
      </c>
      <c r="K1077" s="7"/>
      <c r="L1077" s="5">
        <f t="shared" ref="L1077:Q1077" si="55">SUM(L341:L352)</f>
        <v>355.53689999999995</v>
      </c>
      <c r="M1077" s="5">
        <f t="shared" si="55"/>
        <v>142.0401</v>
      </c>
      <c r="N1077" s="5">
        <f t="shared" si="55"/>
        <v>58.217499999999994</v>
      </c>
      <c r="O1077" s="5">
        <f t="shared" si="55"/>
        <v>4.4046000000000003</v>
      </c>
      <c r="P1077" s="5">
        <f t="shared" si="55"/>
        <v>14.707600000000001</v>
      </c>
      <c r="Q1077" s="5">
        <f t="shared" si="55"/>
        <v>242.47669999999997</v>
      </c>
      <c r="R1077" s="5"/>
      <c r="S1077" s="6"/>
    </row>
    <row r="1078" spans="1:19" ht="15" customHeight="1">
      <c r="A1078" s="3">
        <f t="shared" si="45"/>
        <v>2043</v>
      </c>
      <c r="B1078" s="8">
        <f t="shared" ref="B1078:J1078" si="56">AVERAGE(B353:B364)</f>
        <v>10.475958333333333</v>
      </c>
      <c r="C1078" s="8">
        <f t="shared" si="56"/>
        <v>10.482308333333334</v>
      </c>
      <c r="D1078" s="8">
        <f t="shared" si="56"/>
        <v>10.490366666666667</v>
      </c>
      <c r="E1078" s="8">
        <f t="shared" si="56"/>
        <v>10.486808333333334</v>
      </c>
      <c r="F1078" s="4">
        <f t="shared" si="56"/>
        <v>11.163424999999998</v>
      </c>
      <c r="G1078" s="8">
        <f t="shared" si="56"/>
        <v>10.217308333333333</v>
      </c>
      <c r="H1078" s="4">
        <f t="shared" si="56"/>
        <v>11.138091666666666</v>
      </c>
      <c r="I1078" s="8">
        <f t="shared" si="56"/>
        <v>10.155591666666668</v>
      </c>
      <c r="J1078" s="4">
        <f t="shared" si="56"/>
        <v>10.029833333333334</v>
      </c>
      <c r="K1078" s="7"/>
      <c r="L1078" s="5">
        <f t="shared" ref="L1078:Q1078" si="57">SUM(L353:L364)</f>
        <v>355.53689999999995</v>
      </c>
      <c r="M1078" s="5">
        <f t="shared" si="57"/>
        <v>142.0401</v>
      </c>
      <c r="N1078" s="5">
        <f t="shared" si="57"/>
        <v>58.217499999999994</v>
      </c>
      <c r="O1078" s="5">
        <f t="shared" si="57"/>
        <v>4.4046000000000003</v>
      </c>
      <c r="P1078" s="5">
        <f t="shared" si="57"/>
        <v>14.707600000000001</v>
      </c>
      <c r="Q1078" s="5">
        <f t="shared" si="57"/>
        <v>241.71019999999996</v>
      </c>
      <c r="R1078" s="5"/>
      <c r="S1078" s="6"/>
    </row>
    <row r="1079" spans="1:19" ht="15" customHeight="1">
      <c r="A1079" s="3">
        <f t="shared" si="45"/>
        <v>2044</v>
      </c>
      <c r="B1079" s="8">
        <f t="shared" ref="B1079:J1079" si="58">AVERAGE(B365:B376)</f>
        <v>10.726933333333333</v>
      </c>
      <c r="C1079" s="8">
        <f t="shared" si="58"/>
        <v>10.733308333333333</v>
      </c>
      <c r="D1079" s="8">
        <f t="shared" si="58"/>
        <v>10.741358333333332</v>
      </c>
      <c r="E1079" s="8">
        <f t="shared" si="58"/>
        <v>10.737800000000002</v>
      </c>
      <c r="F1079" s="4">
        <f t="shared" si="58"/>
        <v>11.414391666666667</v>
      </c>
      <c r="G1079" s="8">
        <f t="shared" si="58"/>
        <v>10.462458333333334</v>
      </c>
      <c r="H1079" s="4">
        <f t="shared" si="58"/>
        <v>11.383241666666665</v>
      </c>
      <c r="I1079" s="8">
        <f t="shared" si="58"/>
        <v>10.396675</v>
      </c>
      <c r="J1079" s="4">
        <f t="shared" si="58"/>
        <v>10.270833333333334</v>
      </c>
      <c r="K1079" s="7"/>
      <c r="L1079" s="5">
        <f t="shared" ref="L1079:Q1079" si="59">SUM(L365:L376)</f>
        <v>356.48229999999995</v>
      </c>
      <c r="M1079" s="5">
        <f t="shared" si="59"/>
        <v>142.42920000000001</v>
      </c>
      <c r="N1079" s="5">
        <f t="shared" si="59"/>
        <v>58.377000000000002</v>
      </c>
      <c r="O1079" s="5">
        <f t="shared" si="59"/>
        <v>4.4165999999999999</v>
      </c>
      <c r="P1079" s="5">
        <f t="shared" si="59"/>
        <v>14.7493</v>
      </c>
      <c r="Q1079" s="5">
        <f t="shared" si="59"/>
        <v>241.58220000000006</v>
      </c>
      <c r="R1079" s="5"/>
      <c r="S1079" s="6"/>
    </row>
    <row r="1080" spans="1:19" ht="15" customHeight="1">
      <c r="A1080" s="3">
        <f t="shared" si="45"/>
        <v>2045</v>
      </c>
      <c r="B1080" s="8">
        <f t="shared" ref="B1080:J1080" si="60">AVERAGE(B377:B388)</f>
        <v>10.983975000000001</v>
      </c>
      <c r="C1080" s="8">
        <f t="shared" si="60"/>
        <v>10.990325</v>
      </c>
      <c r="D1080" s="8">
        <f t="shared" si="60"/>
        <v>10.998375000000001</v>
      </c>
      <c r="E1080" s="8">
        <f t="shared" si="60"/>
        <v>10.994816666666665</v>
      </c>
      <c r="F1080" s="4">
        <f t="shared" si="60"/>
        <v>11.6714</v>
      </c>
      <c r="G1080" s="8">
        <f t="shared" si="60"/>
        <v>10.713483333333334</v>
      </c>
      <c r="H1080" s="4">
        <f t="shared" si="60"/>
        <v>11.634258333333333</v>
      </c>
      <c r="I1080" s="8">
        <f t="shared" si="60"/>
        <v>10.643541666666668</v>
      </c>
      <c r="J1080" s="4">
        <f t="shared" si="60"/>
        <v>10.517591666666666</v>
      </c>
      <c r="K1080" s="7"/>
      <c r="L1080" s="5">
        <f t="shared" ref="L1080:Q1080" si="61">SUM(L377:L388)</f>
        <v>355.53689999999995</v>
      </c>
      <c r="M1080" s="5">
        <f t="shared" si="61"/>
        <v>142.0401</v>
      </c>
      <c r="N1080" s="5">
        <f t="shared" si="61"/>
        <v>58.217499999999994</v>
      </c>
      <c r="O1080" s="5">
        <f t="shared" si="61"/>
        <v>4.4046000000000003</v>
      </c>
      <c r="P1080" s="5">
        <f t="shared" si="61"/>
        <v>14.707600000000001</v>
      </c>
      <c r="Q1080" s="5">
        <f t="shared" si="61"/>
        <v>240.15570000000002</v>
      </c>
      <c r="R1080" s="5"/>
      <c r="S1080" s="6"/>
    </row>
    <row r="1081" spans="1:19" ht="15" customHeight="1">
      <c r="A1081" s="3">
        <f t="shared" si="45"/>
        <v>2046</v>
      </c>
      <c r="B1081" s="8">
        <f t="shared" ref="B1081:J1081" si="62">AVERAGE(B389:B400)</f>
        <v>11.24715</v>
      </c>
      <c r="C1081" s="8">
        <f t="shared" si="62"/>
        <v>11.253525000000002</v>
      </c>
      <c r="D1081" s="8">
        <f t="shared" si="62"/>
        <v>11.26155</v>
      </c>
      <c r="E1081" s="8">
        <f t="shared" si="62"/>
        <v>11.258008333333335</v>
      </c>
      <c r="F1081" s="4">
        <f t="shared" si="62"/>
        <v>11.934591666666668</v>
      </c>
      <c r="G1081" s="8">
        <f t="shared" si="62"/>
        <v>10.970541666666668</v>
      </c>
      <c r="H1081" s="4">
        <f t="shared" si="62"/>
        <v>11.891341666666667</v>
      </c>
      <c r="I1081" s="8">
        <f t="shared" si="62"/>
        <v>10.896349999999998</v>
      </c>
      <c r="J1081" s="4">
        <f t="shared" si="62"/>
        <v>10.770266666666666</v>
      </c>
      <c r="K1081" s="7"/>
      <c r="L1081" s="5">
        <f t="shared" ref="L1081:Q1081" si="63">SUM(L389:L400)</f>
        <v>355.53689999999995</v>
      </c>
      <c r="M1081" s="5">
        <f t="shared" si="63"/>
        <v>142.0401</v>
      </c>
      <c r="N1081" s="5">
        <f t="shared" si="63"/>
        <v>58.217499999999994</v>
      </c>
      <c r="O1081" s="5">
        <f t="shared" si="63"/>
        <v>4.4046000000000003</v>
      </c>
      <c r="P1081" s="5">
        <f t="shared" si="63"/>
        <v>14.707600000000001</v>
      </c>
      <c r="Q1081" s="5">
        <f t="shared" si="63"/>
        <v>239.38920000000005</v>
      </c>
      <c r="R1081" s="5"/>
      <c r="S1081" s="6"/>
    </row>
    <row r="1082" spans="1:19" ht="15" customHeight="1">
      <c r="A1082" s="3">
        <f t="shared" si="45"/>
        <v>2047</v>
      </c>
      <c r="B1082" s="8">
        <f t="shared" ref="B1082:J1082" si="64">AVERAGE(B401:B412)</f>
        <v>11.516649999999998</v>
      </c>
      <c r="C1082" s="8">
        <f t="shared" si="64"/>
        <v>11.523033333333332</v>
      </c>
      <c r="D1082" s="8">
        <f t="shared" si="64"/>
        <v>11.531066666666668</v>
      </c>
      <c r="E1082" s="8">
        <f t="shared" si="64"/>
        <v>11.527508333333335</v>
      </c>
      <c r="F1082" s="4">
        <f t="shared" si="64"/>
        <v>12.204124999999999</v>
      </c>
      <c r="G1082" s="8">
        <f t="shared" si="64"/>
        <v>11.233766666666666</v>
      </c>
      <c r="H1082" s="4">
        <f t="shared" si="64"/>
        <v>12.154566666666668</v>
      </c>
      <c r="I1082" s="8">
        <f t="shared" si="64"/>
        <v>11.155249999999997</v>
      </c>
      <c r="J1082" s="4">
        <f t="shared" si="64"/>
        <v>11.029024999999999</v>
      </c>
      <c r="K1082" s="7"/>
      <c r="L1082" s="5">
        <f t="shared" ref="L1082:Q1082" si="65">SUM(L401:L412)</f>
        <v>355.53689999999995</v>
      </c>
      <c r="M1082" s="5">
        <f t="shared" si="65"/>
        <v>142.0401</v>
      </c>
      <c r="N1082" s="5">
        <f t="shared" si="65"/>
        <v>58.217499999999994</v>
      </c>
      <c r="O1082" s="5">
        <f t="shared" si="65"/>
        <v>4.4046000000000003</v>
      </c>
      <c r="P1082" s="5">
        <f t="shared" si="65"/>
        <v>14.707600000000001</v>
      </c>
      <c r="Q1082" s="5">
        <f t="shared" si="65"/>
        <v>238.62270000000004</v>
      </c>
      <c r="R1082" s="5"/>
      <c r="S1082" s="6"/>
    </row>
    <row r="1083" spans="1:19" ht="15" customHeight="1">
      <c r="A1083" s="3">
        <f t="shared" si="45"/>
        <v>2048</v>
      </c>
      <c r="B1083" s="8">
        <f t="shared" ref="B1083:J1083" si="66">AVERAGE(B413:B424)</f>
        <v>11.792641666666668</v>
      </c>
      <c r="C1083" s="8">
        <f t="shared" si="66"/>
        <v>11.798999999999999</v>
      </c>
      <c r="D1083" s="8">
        <f t="shared" si="66"/>
        <v>11.807066666666666</v>
      </c>
      <c r="E1083" s="8">
        <f t="shared" si="66"/>
        <v>11.8035</v>
      </c>
      <c r="F1083" s="4">
        <f t="shared" si="66"/>
        <v>12.480108333333332</v>
      </c>
      <c r="G1083" s="8">
        <f t="shared" si="66"/>
        <v>11.503325000000002</v>
      </c>
      <c r="H1083" s="4">
        <f t="shared" si="66"/>
        <v>12.424108333333331</v>
      </c>
      <c r="I1083" s="8">
        <f t="shared" si="66"/>
        <v>11.420349999999999</v>
      </c>
      <c r="J1083" s="4">
        <f t="shared" si="66"/>
        <v>11.293991666666665</v>
      </c>
      <c r="K1083" s="7"/>
      <c r="L1083" s="5">
        <f t="shared" ref="L1083:Q1083" si="67">SUM(L413:L424)</f>
        <v>356.48229999999995</v>
      </c>
      <c r="M1083" s="5">
        <f t="shared" si="67"/>
        <v>142.42920000000001</v>
      </c>
      <c r="N1083" s="5">
        <f t="shared" si="67"/>
        <v>58.377000000000002</v>
      </c>
      <c r="O1083" s="5">
        <f t="shared" si="67"/>
        <v>4.4165999999999999</v>
      </c>
      <c r="P1083" s="5">
        <f t="shared" si="67"/>
        <v>14.7493</v>
      </c>
      <c r="Q1083" s="5">
        <f t="shared" si="67"/>
        <v>238.50780000000003</v>
      </c>
      <c r="R1083" s="5"/>
      <c r="S1083" s="6"/>
    </row>
    <row r="1084" spans="1:19" ht="15" customHeight="1">
      <c r="A1084" s="3">
        <f t="shared" si="45"/>
        <v>2049</v>
      </c>
      <c r="B1084" s="8">
        <f t="shared" ref="B1084:J1084" si="68">AVERAGE(B425:B436)</f>
        <v>12.075266666666666</v>
      </c>
      <c r="C1084" s="8">
        <f t="shared" si="68"/>
        <v>12.081641666666668</v>
      </c>
      <c r="D1084" s="8">
        <f t="shared" si="68"/>
        <v>12.089691666666665</v>
      </c>
      <c r="E1084" s="8">
        <f t="shared" si="68"/>
        <v>12.086125000000001</v>
      </c>
      <c r="F1084" s="4">
        <f t="shared" si="68"/>
        <v>12.762716666666664</v>
      </c>
      <c r="G1084" s="8">
        <f t="shared" si="68"/>
        <v>11.779358333333333</v>
      </c>
      <c r="H1084" s="4">
        <f t="shared" si="68"/>
        <v>12.700183333333335</v>
      </c>
      <c r="I1084" s="8">
        <f t="shared" si="68"/>
        <v>11.691841666666667</v>
      </c>
      <c r="J1084" s="4">
        <f t="shared" si="68"/>
        <v>11.56535</v>
      </c>
      <c r="K1084" s="7"/>
      <c r="L1084" s="5">
        <f t="shared" ref="L1084:Q1084" si="69">SUM(L425:L436)</f>
        <v>355.53689999999995</v>
      </c>
      <c r="M1084" s="5">
        <f t="shared" si="69"/>
        <v>142.0401</v>
      </c>
      <c r="N1084" s="5">
        <f t="shared" si="69"/>
        <v>58.217499999999994</v>
      </c>
      <c r="O1084" s="5">
        <f t="shared" si="69"/>
        <v>4.4046000000000003</v>
      </c>
      <c r="P1084" s="5">
        <f t="shared" si="69"/>
        <v>14.707600000000001</v>
      </c>
      <c r="Q1084" s="5">
        <f t="shared" si="69"/>
        <v>237.08969999999999</v>
      </c>
      <c r="R1084" s="5"/>
      <c r="S1084" s="6"/>
    </row>
    <row r="1085" spans="1:19" ht="15" customHeight="1">
      <c r="A1085" s="3">
        <f t="shared" si="45"/>
        <v>2050</v>
      </c>
      <c r="B1085" s="8">
        <f t="shared" ref="B1085:J1085" si="70">AVERAGE(B437:B448)</f>
        <v>12.364683333333334</v>
      </c>
      <c r="C1085" s="8">
        <f t="shared" si="70"/>
        <v>12.371041666666668</v>
      </c>
      <c r="D1085" s="8">
        <f t="shared" si="70"/>
        <v>12.379091666666667</v>
      </c>
      <c r="E1085" s="8">
        <f t="shared" si="70"/>
        <v>12.375533333333335</v>
      </c>
      <c r="F1085" s="4">
        <f t="shared" si="70"/>
        <v>13.052141666666669</v>
      </c>
      <c r="G1085" s="8">
        <f t="shared" si="70"/>
        <v>12.062041666666667</v>
      </c>
      <c r="H1085" s="4">
        <f t="shared" si="70"/>
        <v>12.982833333333332</v>
      </c>
      <c r="I1085" s="8">
        <f t="shared" si="70"/>
        <v>11.969866666666666</v>
      </c>
      <c r="J1085" s="4">
        <f t="shared" si="70"/>
        <v>11.843208333333331</v>
      </c>
      <c r="K1085" s="7"/>
      <c r="L1085" s="5">
        <f t="shared" ref="L1085:Q1085" si="71">SUM(L437:L448)</f>
        <v>355.53689999999995</v>
      </c>
      <c r="M1085" s="5">
        <f t="shared" si="71"/>
        <v>142.0401</v>
      </c>
      <c r="N1085" s="5">
        <f t="shared" si="71"/>
        <v>58.217499999999994</v>
      </c>
      <c r="O1085" s="5">
        <f t="shared" si="71"/>
        <v>4.4046000000000003</v>
      </c>
      <c r="P1085" s="5">
        <f t="shared" si="71"/>
        <v>14.707600000000001</v>
      </c>
      <c r="Q1085" s="5">
        <f t="shared" si="71"/>
        <v>236.32320000000004</v>
      </c>
      <c r="R1085" s="5"/>
      <c r="S1085" s="6"/>
    </row>
    <row r="1086" spans="1:19" ht="15" customHeight="1">
      <c r="A1086" s="3">
        <f t="shared" si="45"/>
        <v>2051</v>
      </c>
      <c r="B1086" s="8">
        <f t="shared" ref="B1086:J1086" si="72">AVERAGE(B449:B460)</f>
        <v>12.661025</v>
      </c>
      <c r="C1086" s="8">
        <f t="shared" si="72"/>
        <v>12.667408333333334</v>
      </c>
      <c r="D1086" s="8">
        <f t="shared" si="72"/>
        <v>12.675458333333333</v>
      </c>
      <c r="E1086" s="8">
        <f t="shared" si="72"/>
        <v>12.671908333333334</v>
      </c>
      <c r="F1086" s="4">
        <f t="shared" si="72"/>
        <v>13.3485</v>
      </c>
      <c r="G1086" s="8">
        <f t="shared" si="72"/>
        <v>12.351491666666668</v>
      </c>
      <c r="H1086" s="4">
        <f t="shared" si="72"/>
        <v>13.272283333333334</v>
      </c>
      <c r="I1086" s="8">
        <f t="shared" si="72"/>
        <v>12.254516666666667</v>
      </c>
      <c r="J1086" s="4">
        <f t="shared" si="72"/>
        <v>12.127733333333332</v>
      </c>
      <c r="K1086" s="7"/>
      <c r="L1086" s="5">
        <f t="shared" ref="L1086:Q1086" si="73">SUM(L449:L460)</f>
        <v>355.53689999999995</v>
      </c>
      <c r="M1086" s="5">
        <f t="shared" si="73"/>
        <v>142.0401</v>
      </c>
      <c r="N1086" s="5">
        <f t="shared" si="73"/>
        <v>58.217499999999994</v>
      </c>
      <c r="O1086" s="5">
        <f t="shared" si="73"/>
        <v>4.4046000000000003</v>
      </c>
      <c r="P1086" s="5">
        <f t="shared" si="73"/>
        <v>14.707600000000001</v>
      </c>
      <c r="Q1086" s="5">
        <f t="shared" si="73"/>
        <v>235.57820000000007</v>
      </c>
      <c r="R1086" s="5"/>
      <c r="S1086" s="6"/>
    </row>
    <row r="1087" spans="1:19" ht="15" customHeight="1">
      <c r="A1087" s="3">
        <f t="shared" si="45"/>
        <v>2052</v>
      </c>
      <c r="B1087" s="8">
        <f t="shared" ref="B1087:J1087" si="74">AVERAGE(B461:B472)</f>
        <v>12.964516666666666</v>
      </c>
      <c r="C1087" s="8">
        <f t="shared" si="74"/>
        <v>12.970891666666667</v>
      </c>
      <c r="D1087" s="8">
        <f t="shared" si="74"/>
        <v>12.978941666666666</v>
      </c>
      <c r="E1087" s="8">
        <f t="shared" si="74"/>
        <v>12.975383333333331</v>
      </c>
      <c r="F1087" s="4">
        <f t="shared" si="74"/>
        <v>13.651991666666669</v>
      </c>
      <c r="G1087" s="8">
        <f t="shared" si="74"/>
        <v>12.647908333333334</v>
      </c>
      <c r="H1087" s="4">
        <f t="shared" si="74"/>
        <v>13.5687</v>
      </c>
      <c r="I1087" s="8">
        <f t="shared" si="74"/>
        <v>12.546050000000001</v>
      </c>
      <c r="J1087" s="4">
        <f t="shared" si="74"/>
        <v>12.419108333333332</v>
      </c>
      <c r="K1087" s="7"/>
      <c r="L1087" s="5">
        <f t="shared" ref="L1087:Q1087" si="75">SUM(L461:L472)</f>
        <v>356.48229999999995</v>
      </c>
      <c r="M1087" s="5">
        <f t="shared" si="75"/>
        <v>142.42920000000001</v>
      </c>
      <c r="N1087" s="5">
        <f t="shared" si="75"/>
        <v>58.377000000000002</v>
      </c>
      <c r="O1087" s="5">
        <f t="shared" si="75"/>
        <v>4.4165999999999999</v>
      </c>
      <c r="P1087" s="5">
        <f t="shared" si="75"/>
        <v>14.7493</v>
      </c>
      <c r="Q1087" s="5">
        <f t="shared" si="75"/>
        <v>235.45500000000004</v>
      </c>
      <c r="R1087" s="5"/>
      <c r="S1087" s="6"/>
    </row>
    <row r="1088" spans="1:19" ht="15" customHeight="1">
      <c r="A1088" s="3">
        <f t="shared" si="45"/>
        <v>2053</v>
      </c>
      <c r="B1088" s="8">
        <f t="shared" ref="B1088:J1088" si="76">AVERAGE(B473:B484)</f>
        <v>13.275308333333333</v>
      </c>
      <c r="C1088" s="8">
        <f t="shared" si="76"/>
        <v>13.281666666666668</v>
      </c>
      <c r="D1088" s="8">
        <f t="shared" si="76"/>
        <v>13.289741666666666</v>
      </c>
      <c r="E1088" s="8">
        <f t="shared" si="76"/>
        <v>13.286175</v>
      </c>
      <c r="F1088" s="4">
        <f t="shared" si="76"/>
        <v>13.962766666666667</v>
      </c>
      <c r="G1088" s="8">
        <f t="shared" si="76"/>
        <v>12.951441666666666</v>
      </c>
      <c r="H1088" s="4">
        <f t="shared" si="76"/>
        <v>13.872241666666667</v>
      </c>
      <c r="I1088" s="8">
        <f t="shared" si="76"/>
        <v>12.844574999999999</v>
      </c>
      <c r="J1088" s="4">
        <f t="shared" si="76"/>
        <v>12.717483333333334</v>
      </c>
      <c r="K1088" s="7"/>
      <c r="L1088" s="5">
        <f t="shared" ref="L1088:Q1088" si="77">SUM(L473:L484)</f>
        <v>355.53689999999995</v>
      </c>
      <c r="M1088" s="5">
        <f t="shared" si="77"/>
        <v>142.0401</v>
      </c>
      <c r="N1088" s="5">
        <f t="shared" si="77"/>
        <v>58.217499999999994</v>
      </c>
      <c r="O1088" s="5">
        <f t="shared" si="77"/>
        <v>4.4046000000000003</v>
      </c>
      <c r="P1088" s="5">
        <f t="shared" si="77"/>
        <v>14.707600000000001</v>
      </c>
      <c r="Q1088" s="5">
        <f t="shared" si="77"/>
        <v>234.04520000000002</v>
      </c>
      <c r="R1088" s="5"/>
      <c r="S1088" s="6"/>
    </row>
    <row r="1089" spans="1:19" ht="15" customHeight="1">
      <c r="A1089" s="3">
        <f t="shared" si="45"/>
        <v>2054</v>
      </c>
      <c r="B1089" s="8">
        <f t="shared" ref="B1089:J1089" si="78">AVERAGE(B485:B496)</f>
        <v>13.593566666666668</v>
      </c>
      <c r="C1089" s="8">
        <f t="shared" si="78"/>
        <v>13.599908333333333</v>
      </c>
      <c r="D1089" s="8">
        <f t="shared" si="78"/>
        <v>13.607974999999998</v>
      </c>
      <c r="E1089" s="8">
        <f t="shared" si="78"/>
        <v>13.604416666666667</v>
      </c>
      <c r="F1089" s="4">
        <f t="shared" si="78"/>
        <v>14.281008333333332</v>
      </c>
      <c r="G1089" s="8">
        <f t="shared" si="78"/>
        <v>13.262275000000001</v>
      </c>
      <c r="H1089" s="4">
        <f t="shared" si="78"/>
        <v>14.183091666666664</v>
      </c>
      <c r="I1089" s="8">
        <f t="shared" si="78"/>
        <v>13.150266666666665</v>
      </c>
      <c r="J1089" s="4">
        <f t="shared" si="78"/>
        <v>13.023041666666664</v>
      </c>
      <c r="K1089" s="7"/>
      <c r="L1089" s="5">
        <f t="shared" ref="L1089:Q1089" si="79">SUM(L485:L496)</f>
        <v>355.53689999999995</v>
      </c>
      <c r="M1089" s="5">
        <f t="shared" si="79"/>
        <v>142.0401</v>
      </c>
      <c r="N1089" s="5">
        <f t="shared" si="79"/>
        <v>58.217499999999994</v>
      </c>
      <c r="O1089" s="5">
        <f t="shared" si="79"/>
        <v>4.4046000000000003</v>
      </c>
      <c r="P1089" s="5">
        <f t="shared" si="79"/>
        <v>14.707600000000001</v>
      </c>
      <c r="Q1089" s="5">
        <f t="shared" si="79"/>
        <v>233.30079999999998</v>
      </c>
      <c r="R1089" s="5"/>
      <c r="S1089" s="6"/>
    </row>
    <row r="1090" spans="1:19" ht="15" customHeight="1">
      <c r="A1090" s="3">
        <f t="shared" si="45"/>
        <v>2055</v>
      </c>
      <c r="B1090" s="8">
        <f t="shared" ref="B1090:J1090" si="80">AVERAGE(B497:B508)</f>
        <v>13.919433333333332</v>
      </c>
      <c r="C1090" s="8">
        <f t="shared" si="80"/>
        <v>13.925791666666667</v>
      </c>
      <c r="D1090" s="8">
        <f t="shared" si="80"/>
        <v>13.933875000000002</v>
      </c>
      <c r="E1090" s="8">
        <f t="shared" si="80"/>
        <v>13.930308333333334</v>
      </c>
      <c r="F1090" s="4">
        <f t="shared" si="80"/>
        <v>14.606891666666669</v>
      </c>
      <c r="G1090" s="8">
        <f t="shared" si="80"/>
        <v>13.580566666666668</v>
      </c>
      <c r="H1090" s="4">
        <f t="shared" si="80"/>
        <v>14.501366666666668</v>
      </c>
      <c r="I1090" s="8">
        <f t="shared" si="80"/>
        <v>13.463316666666669</v>
      </c>
      <c r="J1090" s="4">
        <f t="shared" si="80"/>
        <v>13.335924999999998</v>
      </c>
      <c r="K1090" s="7"/>
      <c r="L1090" s="5">
        <f t="shared" ref="L1090:Q1090" si="81">SUM(L497:L508)</f>
        <v>355.53689999999995</v>
      </c>
      <c r="M1090" s="5">
        <f t="shared" si="81"/>
        <v>142.0401</v>
      </c>
      <c r="N1090" s="5">
        <f t="shared" si="81"/>
        <v>58.217499999999994</v>
      </c>
      <c r="O1090" s="5">
        <f t="shared" si="81"/>
        <v>4.4046000000000003</v>
      </c>
      <c r="P1090" s="5">
        <f t="shared" si="81"/>
        <v>14.707600000000001</v>
      </c>
      <c r="Q1090" s="5">
        <f t="shared" si="81"/>
        <v>232.55579999999998</v>
      </c>
      <c r="R1090" s="5"/>
      <c r="S1090" s="6"/>
    </row>
    <row r="1091" spans="1:19" ht="15" customHeight="1">
      <c r="A1091" s="3">
        <f t="shared" si="45"/>
        <v>2056</v>
      </c>
      <c r="B1091" s="8">
        <f t="shared" ref="B1091:J1091" si="82">AVERAGE(B509:B520)</f>
        <v>14.253158333333332</v>
      </c>
      <c r="C1091" s="8">
        <f t="shared" si="82"/>
        <v>14.259533333333332</v>
      </c>
      <c r="D1091" s="8">
        <f t="shared" si="82"/>
        <v>14.267566666666667</v>
      </c>
      <c r="E1091" s="8">
        <f t="shared" si="82"/>
        <v>14.264016666666665</v>
      </c>
      <c r="F1091" s="4">
        <f t="shared" si="82"/>
        <v>14.940624999999999</v>
      </c>
      <c r="G1091" s="8">
        <f t="shared" si="82"/>
        <v>13.906533333333336</v>
      </c>
      <c r="H1091" s="4">
        <f t="shared" si="82"/>
        <v>14.827316666666663</v>
      </c>
      <c r="I1091" s="8">
        <f t="shared" si="82"/>
        <v>13.783875</v>
      </c>
      <c r="J1091" s="4">
        <f t="shared" si="82"/>
        <v>13.656333333333334</v>
      </c>
      <c r="K1091" s="7"/>
      <c r="L1091" s="5">
        <f t="shared" ref="L1091:Q1091" si="83">SUM(L509:L520)</f>
        <v>356.48229999999995</v>
      </c>
      <c r="M1091" s="5">
        <f t="shared" si="83"/>
        <v>142.42920000000001</v>
      </c>
      <c r="N1091" s="5">
        <f t="shared" si="83"/>
        <v>58.377000000000002</v>
      </c>
      <c r="O1091" s="5">
        <f t="shared" si="83"/>
        <v>4.4165999999999999</v>
      </c>
      <c r="P1091" s="5">
        <f t="shared" si="83"/>
        <v>14.7493</v>
      </c>
      <c r="Q1091" s="5">
        <f t="shared" si="83"/>
        <v>232.44659999999996</v>
      </c>
      <c r="R1091" s="5"/>
      <c r="S1091" s="6"/>
    </row>
    <row r="1092" spans="1:19" ht="15" customHeight="1">
      <c r="A1092" s="3">
        <f t="shared" si="45"/>
        <v>2057</v>
      </c>
      <c r="B1092" s="8">
        <f t="shared" ref="B1092:J1092" si="84">AVERAGE(B521:B532)</f>
        <v>14.594908333333336</v>
      </c>
      <c r="C1092" s="8">
        <f t="shared" si="84"/>
        <v>14.60125</v>
      </c>
      <c r="D1092" s="8">
        <f t="shared" si="84"/>
        <v>14.609316666666667</v>
      </c>
      <c r="E1092" s="8">
        <f t="shared" si="84"/>
        <v>14.605758333333334</v>
      </c>
      <c r="F1092" s="4">
        <f t="shared" si="84"/>
        <v>15.282366666666666</v>
      </c>
      <c r="G1092" s="8">
        <f t="shared" si="84"/>
        <v>14.2403</v>
      </c>
      <c r="H1092" s="4">
        <f t="shared" si="84"/>
        <v>15.161091666666669</v>
      </c>
      <c r="I1092" s="8">
        <f t="shared" si="84"/>
        <v>14.112141666666666</v>
      </c>
      <c r="J1092" s="4">
        <f t="shared" si="84"/>
        <v>13.984450000000001</v>
      </c>
      <c r="K1092" s="7"/>
      <c r="L1092" s="5">
        <f t="shared" ref="L1092:Q1092" si="85">SUM(L521:L532)</f>
        <v>355.53689999999995</v>
      </c>
      <c r="M1092" s="5">
        <f t="shared" si="85"/>
        <v>142.0401</v>
      </c>
      <c r="N1092" s="5">
        <f t="shared" si="85"/>
        <v>58.217499999999994</v>
      </c>
      <c r="O1092" s="5">
        <f t="shared" si="85"/>
        <v>4.4046000000000003</v>
      </c>
      <c r="P1092" s="5">
        <f t="shared" si="85"/>
        <v>14.707600000000001</v>
      </c>
      <c r="Q1092" s="5">
        <f t="shared" si="85"/>
        <v>231.81149999999997</v>
      </c>
      <c r="R1092" s="5"/>
      <c r="S1092" s="6"/>
    </row>
    <row r="1093" spans="1:19" ht="15" customHeight="1">
      <c r="A1093" s="3">
        <f t="shared" si="45"/>
        <v>2058</v>
      </c>
      <c r="B1093" s="8">
        <f t="shared" ref="B1093:J1093" si="86">AVERAGE(B533:B544)</f>
        <v>14.944866666666668</v>
      </c>
      <c r="C1093" s="8">
        <f t="shared" si="86"/>
        <v>14.951216666666665</v>
      </c>
      <c r="D1093" s="8">
        <f t="shared" si="86"/>
        <v>14.959275</v>
      </c>
      <c r="E1093" s="8">
        <f t="shared" si="86"/>
        <v>14.955716666666667</v>
      </c>
      <c r="F1093" s="4">
        <f t="shared" si="86"/>
        <v>15.632308333333333</v>
      </c>
      <c r="G1093" s="8">
        <f t="shared" si="86"/>
        <v>14.582108333333332</v>
      </c>
      <c r="H1093" s="4">
        <f t="shared" si="86"/>
        <v>15.502899999999997</v>
      </c>
      <c r="I1093" s="8">
        <f t="shared" si="86"/>
        <v>14.448308333333332</v>
      </c>
      <c r="J1093" s="4">
        <f t="shared" si="86"/>
        <v>14.320425</v>
      </c>
      <c r="K1093" s="7"/>
      <c r="L1093" s="5">
        <f t="shared" ref="L1093:Q1093" si="87">SUM(L533:L544)</f>
        <v>355.53689999999995</v>
      </c>
      <c r="M1093" s="5">
        <f t="shared" si="87"/>
        <v>142.0401</v>
      </c>
      <c r="N1093" s="5">
        <f t="shared" si="87"/>
        <v>58.217499999999994</v>
      </c>
      <c r="O1093" s="5">
        <f t="shared" si="87"/>
        <v>4.4046000000000003</v>
      </c>
      <c r="P1093" s="5">
        <f t="shared" si="87"/>
        <v>14.707600000000001</v>
      </c>
      <c r="Q1093" s="5">
        <f t="shared" si="87"/>
        <v>231.81149999999997</v>
      </c>
      <c r="R1093" s="5"/>
      <c r="S1093" s="6"/>
    </row>
    <row r="1094" spans="1:19" ht="15" customHeight="1">
      <c r="A1094" s="3">
        <f t="shared" si="45"/>
        <v>2059</v>
      </c>
      <c r="B1094" s="8">
        <f t="shared" ref="B1094:J1094" si="88">AVERAGE(B545:B556)</f>
        <v>15.303216666666669</v>
      </c>
      <c r="C1094" s="8">
        <f t="shared" si="88"/>
        <v>15.309583333333336</v>
      </c>
      <c r="D1094" s="8">
        <f t="shared" si="88"/>
        <v>15.317633333333331</v>
      </c>
      <c r="E1094" s="8">
        <f t="shared" si="88"/>
        <v>15.314075000000001</v>
      </c>
      <c r="F1094" s="4">
        <f t="shared" si="88"/>
        <v>15.990658333333334</v>
      </c>
      <c r="G1094" s="8">
        <f t="shared" si="88"/>
        <v>14.932108333333332</v>
      </c>
      <c r="H1094" s="4">
        <f t="shared" si="88"/>
        <v>15.852908333333332</v>
      </c>
      <c r="I1094" s="8">
        <f t="shared" si="88"/>
        <v>14.792541666666665</v>
      </c>
      <c r="J1094" s="4">
        <f t="shared" si="88"/>
        <v>14.664474999999998</v>
      </c>
      <c r="K1094" s="4"/>
      <c r="L1094" s="5">
        <f>SUM(L545:L556)</f>
        <v>355.53689999999995</v>
      </c>
      <c r="M1094" s="5">
        <f>SUM(M545:M556)</f>
        <v>142.0401</v>
      </c>
      <c r="N1094" s="5">
        <f>SUM(N545:N556)</f>
        <v>58.217499999999994</v>
      </c>
      <c r="O1094" s="5">
        <f>SUM(O534:O545)</f>
        <v>4.4046000000000003</v>
      </c>
      <c r="P1094" s="5">
        <f>SUM(P545:P556)</f>
        <v>14.707600000000001</v>
      </c>
      <c r="Q1094" s="5">
        <f>SUM(Q545:Q556)</f>
        <v>231.81149999999997</v>
      </c>
      <c r="R1094" s="5"/>
      <c r="S1094" s="4"/>
    </row>
    <row r="1095" spans="1:19" ht="15" customHeight="1">
      <c r="A1095" s="3">
        <f t="shared" si="45"/>
        <v>2060</v>
      </c>
      <c r="B1095" s="8">
        <f t="shared" ref="B1095:J1095" si="89">AVERAGE(B557:B568)</f>
        <v>15.670183333333332</v>
      </c>
      <c r="C1095" s="8">
        <f t="shared" si="89"/>
        <v>15.676541666666665</v>
      </c>
      <c r="D1095" s="8">
        <f t="shared" si="89"/>
        <v>15.684591666666668</v>
      </c>
      <c r="E1095" s="8">
        <f t="shared" si="89"/>
        <v>15.681041666666665</v>
      </c>
      <c r="F1095" s="4">
        <f t="shared" si="89"/>
        <v>16.357633333333336</v>
      </c>
      <c r="G1095" s="8">
        <f t="shared" si="89"/>
        <v>15.290525000000004</v>
      </c>
      <c r="H1095" s="4">
        <f t="shared" si="89"/>
        <v>16.211316666666665</v>
      </c>
      <c r="I1095" s="8">
        <f t="shared" si="89"/>
        <v>15.145058333333331</v>
      </c>
      <c r="J1095" s="4">
        <f t="shared" si="89"/>
        <v>15.016816666666669</v>
      </c>
      <c r="K1095" s="7"/>
      <c r="L1095" s="5">
        <f>SUM(L557:L568)</f>
        <v>356.48229999999995</v>
      </c>
      <c r="M1095" s="5">
        <f>SUM(M557:M568)</f>
        <v>142.42920000000001</v>
      </c>
      <c r="N1095" s="5">
        <f>SUM(N557:N568)</f>
        <v>58.377000000000002</v>
      </c>
      <c r="O1095" s="5">
        <f>SUM(O535:O546)</f>
        <v>4.4046000000000003</v>
      </c>
      <c r="P1095" s="5">
        <f>SUM(P557:P568)</f>
        <v>14.7493</v>
      </c>
      <c r="Q1095" s="5">
        <f>SUM(Q557:Q568)</f>
        <v>232.44659999999996</v>
      </c>
      <c r="R1095" s="5"/>
      <c r="S1095" s="6"/>
    </row>
    <row r="1096" spans="1:19" ht="15" customHeight="1">
      <c r="A1096" s="3">
        <f t="shared" si="45"/>
        <v>2061</v>
      </c>
      <c r="B1096" s="8">
        <f t="shared" ref="B1096:J1096" si="90">AVERAGE(B569:B580)</f>
        <v>16.045966666666668</v>
      </c>
      <c r="C1096" s="8">
        <f t="shared" si="90"/>
        <v>16.05233333333333</v>
      </c>
      <c r="D1096" s="8">
        <f t="shared" si="90"/>
        <v>16.060383333333331</v>
      </c>
      <c r="E1096" s="8">
        <f t="shared" si="90"/>
        <v>16.056833333333334</v>
      </c>
      <c r="F1096" s="4">
        <f t="shared" si="90"/>
        <v>16.733441666666664</v>
      </c>
      <c r="G1096" s="8">
        <f t="shared" si="90"/>
        <v>15.657558333333332</v>
      </c>
      <c r="H1096" s="4">
        <f t="shared" si="90"/>
        <v>16.578366666666668</v>
      </c>
      <c r="I1096" s="8">
        <f t="shared" si="90"/>
        <v>15.506008333333334</v>
      </c>
      <c r="J1096" s="4">
        <f t="shared" si="90"/>
        <v>15.377616666666666</v>
      </c>
      <c r="K1096" s="7"/>
      <c r="L1096" s="5">
        <f>SUM(L569:L580)</f>
        <v>355.53689999999995</v>
      </c>
      <c r="M1096" s="5">
        <f>SUM(M569:M580)</f>
        <v>142.0401</v>
      </c>
      <c r="N1096" s="5">
        <f>SUM(N569:N580)</f>
        <v>58.217499999999994</v>
      </c>
      <c r="O1096" s="5">
        <f>SUM(O536:O547)</f>
        <v>4.4046000000000003</v>
      </c>
      <c r="P1096" s="5">
        <f>SUM(P569:P580)</f>
        <v>14.707600000000001</v>
      </c>
      <c r="Q1096" s="5">
        <f>SUM(Q569:Q580)</f>
        <v>231.81149999999997</v>
      </c>
      <c r="R1096" s="5"/>
      <c r="S1096" s="6"/>
    </row>
    <row r="1097" spans="1:19" ht="15" customHeight="1">
      <c r="A1097" s="3">
        <f t="shared" si="45"/>
        <v>2062</v>
      </c>
      <c r="B1097" s="4">
        <f t="shared" ref="B1097:J1106" ca="1" si="91">AVERAGE(OFFSET(B$581,($A1097-$A$1097)*12,0,12,1))</f>
        <v>16.430783333333334</v>
      </c>
      <c r="C1097" s="4">
        <f t="shared" ca="1" si="91"/>
        <v>16.437158333333333</v>
      </c>
      <c r="D1097" s="4">
        <f t="shared" ca="1" si="91"/>
        <v>16.4452</v>
      </c>
      <c r="E1097" s="4">
        <f t="shared" ca="1" si="91"/>
        <v>16.441649999999999</v>
      </c>
      <c r="F1097" s="4">
        <f t="shared" ca="1" si="91"/>
        <v>17.118233333333333</v>
      </c>
      <c r="G1097" s="4">
        <f t="shared" ca="1" si="91"/>
        <v>16.033416666666664</v>
      </c>
      <c r="H1097" s="4">
        <f t="shared" ca="1" si="91"/>
        <v>16.954216666666664</v>
      </c>
      <c r="I1097" s="4">
        <f t="shared" ca="1" si="91"/>
        <v>15.875658333333332</v>
      </c>
      <c r="J1097" s="4">
        <f t="shared" ca="1" si="91"/>
        <v>15.747066666666667</v>
      </c>
      <c r="K1097" s="4"/>
      <c r="L1097" s="5">
        <f t="shared" ref="L1097:Q1106" ca="1" si="92">SUM(OFFSET(L$581,($A1097-$A$1097)*12,0,12,1))</f>
        <v>355.53689999999995</v>
      </c>
      <c r="M1097" s="5">
        <f t="shared" ca="1" si="92"/>
        <v>142.0401</v>
      </c>
      <c r="N1097" s="5">
        <f t="shared" ca="1" si="92"/>
        <v>58.217499999999994</v>
      </c>
      <c r="O1097" s="5">
        <f t="shared" ca="1" si="92"/>
        <v>4.4046000000000003</v>
      </c>
      <c r="P1097" s="5">
        <f t="shared" ca="1" si="92"/>
        <v>14.707600000000001</v>
      </c>
      <c r="Q1097" s="5">
        <f t="shared" ca="1" si="92"/>
        <v>231.81149999999997</v>
      </c>
      <c r="R1097" s="4"/>
      <c r="S1097" s="4"/>
    </row>
    <row r="1098" spans="1:19" ht="15" customHeight="1">
      <c r="A1098" s="3">
        <f t="shared" si="45"/>
        <v>2063</v>
      </c>
      <c r="B1098" s="4">
        <f t="shared" ca="1" si="91"/>
        <v>16.824849999999998</v>
      </c>
      <c r="C1098" s="4">
        <f t="shared" ca="1" si="91"/>
        <v>16.831225</v>
      </c>
      <c r="D1098" s="4">
        <f t="shared" ca="1" si="91"/>
        <v>16.839258333333333</v>
      </c>
      <c r="E1098" s="4">
        <f t="shared" ca="1" si="91"/>
        <v>16.835716666666666</v>
      </c>
      <c r="F1098" s="4">
        <f t="shared" ca="1" si="91"/>
        <v>17.5123</v>
      </c>
      <c r="G1098" s="4">
        <f t="shared" ca="1" si="91"/>
        <v>16.418299999999999</v>
      </c>
      <c r="H1098" s="4">
        <f t="shared" ca="1" si="91"/>
        <v>17.339091666666668</v>
      </c>
      <c r="I1098" s="4">
        <f t="shared" ca="1" si="91"/>
        <v>16.254191666666667</v>
      </c>
      <c r="J1098" s="4">
        <f t="shared" ca="1" si="91"/>
        <v>16.125408333333336</v>
      </c>
      <c r="K1098" s="4"/>
      <c r="L1098" s="5">
        <f t="shared" ca="1" si="92"/>
        <v>355.53689999999995</v>
      </c>
      <c r="M1098" s="5">
        <f t="shared" ca="1" si="92"/>
        <v>142.0401</v>
      </c>
      <c r="N1098" s="5">
        <f t="shared" ca="1" si="92"/>
        <v>58.217499999999994</v>
      </c>
      <c r="O1098" s="5">
        <f t="shared" ca="1" si="92"/>
        <v>4.4046000000000003</v>
      </c>
      <c r="P1098" s="5">
        <f t="shared" ca="1" si="92"/>
        <v>14.707600000000001</v>
      </c>
      <c r="Q1098" s="5">
        <f t="shared" ca="1" si="92"/>
        <v>231.81149999999997</v>
      </c>
      <c r="R1098" s="4"/>
      <c r="S1098" s="4"/>
    </row>
    <row r="1099" spans="1:19" ht="15" customHeight="1">
      <c r="A1099" s="3">
        <f t="shared" si="45"/>
        <v>2064</v>
      </c>
      <c r="B1099" s="4">
        <f t="shared" ca="1" si="91"/>
        <v>17.228366666666666</v>
      </c>
      <c r="C1099" s="4">
        <f t="shared" ca="1" si="91"/>
        <v>17.234724999999997</v>
      </c>
      <c r="D1099" s="4">
        <f t="shared" ca="1" si="91"/>
        <v>17.242774999999998</v>
      </c>
      <c r="E1099" s="4">
        <f t="shared" ca="1" si="91"/>
        <v>17.239225000000001</v>
      </c>
      <c r="F1099" s="4">
        <f t="shared" ca="1" si="91"/>
        <v>17.915841666666665</v>
      </c>
      <c r="G1099" s="4">
        <f t="shared" ca="1" si="91"/>
        <v>16.812433333333335</v>
      </c>
      <c r="H1099" s="4">
        <f t="shared" ca="1" si="91"/>
        <v>17.733225000000001</v>
      </c>
      <c r="I1099" s="4">
        <f t="shared" ca="1" si="91"/>
        <v>16.641825000000001</v>
      </c>
      <c r="J1099" s="4">
        <f t="shared" ca="1" si="91"/>
        <v>16.512841666666667</v>
      </c>
      <c r="K1099" s="4"/>
      <c r="L1099" s="5">
        <f t="shared" ca="1" si="92"/>
        <v>356.48229999999995</v>
      </c>
      <c r="M1099" s="5">
        <f t="shared" ca="1" si="92"/>
        <v>142.42920000000001</v>
      </c>
      <c r="N1099" s="5">
        <f t="shared" ca="1" si="92"/>
        <v>58.377000000000002</v>
      </c>
      <c r="O1099" s="5">
        <f t="shared" ca="1" si="92"/>
        <v>4.4165999999999999</v>
      </c>
      <c r="P1099" s="5">
        <f t="shared" ca="1" si="92"/>
        <v>14.7493</v>
      </c>
      <c r="Q1099" s="5">
        <f t="shared" ca="1" si="92"/>
        <v>232.44659999999996</v>
      </c>
      <c r="R1099" s="4"/>
      <c r="S1099" s="4"/>
    </row>
    <row r="1100" spans="1:19" ht="15" customHeight="1">
      <c r="A1100" s="3">
        <f t="shared" si="45"/>
        <v>2065</v>
      </c>
      <c r="B1100" s="4">
        <f t="shared" ca="1" si="91"/>
        <v>17.641616666666668</v>
      </c>
      <c r="C1100" s="4">
        <f t="shared" ca="1" si="91"/>
        <v>17.647974999999999</v>
      </c>
      <c r="D1100" s="4">
        <f t="shared" ca="1" si="91"/>
        <v>17.656025000000003</v>
      </c>
      <c r="E1100" s="4">
        <f t="shared" ca="1" si="91"/>
        <v>17.652474999999999</v>
      </c>
      <c r="F1100" s="4">
        <f t="shared" ca="1" si="91"/>
        <v>18.329041666666665</v>
      </c>
      <c r="G1100" s="4">
        <f t="shared" ca="1" si="91"/>
        <v>17.216025000000002</v>
      </c>
      <c r="H1100" s="4">
        <f t="shared" ca="1" si="91"/>
        <v>18.136833333333332</v>
      </c>
      <c r="I1100" s="4">
        <f t="shared" ca="1" si="91"/>
        <v>17.038766666666668</v>
      </c>
      <c r="J1100" s="4">
        <f t="shared" ca="1" si="91"/>
        <v>16.909583333333334</v>
      </c>
      <c r="K1100" s="4"/>
      <c r="L1100" s="5">
        <f t="shared" ca="1" si="92"/>
        <v>355.53689999999995</v>
      </c>
      <c r="M1100" s="5">
        <f t="shared" ca="1" si="92"/>
        <v>142.0401</v>
      </c>
      <c r="N1100" s="5">
        <f t="shared" ca="1" si="92"/>
        <v>58.217499999999994</v>
      </c>
      <c r="O1100" s="5">
        <f t="shared" ca="1" si="92"/>
        <v>4.4046000000000003</v>
      </c>
      <c r="P1100" s="5">
        <f t="shared" ca="1" si="92"/>
        <v>14.707600000000001</v>
      </c>
      <c r="Q1100" s="5">
        <f t="shared" ca="1" si="92"/>
        <v>231.81149999999997</v>
      </c>
      <c r="R1100" s="4"/>
      <c r="S1100" s="4"/>
    </row>
    <row r="1101" spans="1:19" ht="15" customHeight="1">
      <c r="A1101" s="3">
        <f t="shared" si="45"/>
        <v>2066</v>
      </c>
      <c r="B1101" s="4">
        <f t="shared" ca="1" si="91"/>
        <v>18.06475</v>
      </c>
      <c r="C1101" s="4">
        <f t="shared" ca="1" si="91"/>
        <v>18.071116666666665</v>
      </c>
      <c r="D1101" s="4">
        <f t="shared" ca="1" si="91"/>
        <v>18.079166666666666</v>
      </c>
      <c r="E1101" s="4">
        <f t="shared" ca="1" si="91"/>
        <v>18.075599999999998</v>
      </c>
      <c r="F1101" s="4">
        <f t="shared" ca="1" si="91"/>
        <v>18.752216666666666</v>
      </c>
      <c r="G1101" s="4">
        <f t="shared" ca="1" si="91"/>
        <v>17.629316666666664</v>
      </c>
      <c r="H1101" s="4">
        <f t="shared" ca="1" si="91"/>
        <v>18.550108333333334</v>
      </c>
      <c r="I1101" s="4">
        <f t="shared" ca="1" si="91"/>
        <v>17.445233333333331</v>
      </c>
      <c r="J1101" s="4">
        <f t="shared" ca="1" si="91"/>
        <v>17.315841666666667</v>
      </c>
      <c r="K1101" s="4"/>
      <c r="L1101" s="5">
        <f t="shared" ca="1" si="92"/>
        <v>355.53689999999995</v>
      </c>
      <c r="M1101" s="5">
        <f t="shared" ca="1" si="92"/>
        <v>142.0401</v>
      </c>
      <c r="N1101" s="5">
        <f t="shared" ca="1" si="92"/>
        <v>58.217499999999994</v>
      </c>
      <c r="O1101" s="5">
        <f t="shared" ca="1" si="92"/>
        <v>4.4046000000000003</v>
      </c>
      <c r="P1101" s="5">
        <f t="shared" ca="1" si="92"/>
        <v>14.707600000000001</v>
      </c>
      <c r="Q1101" s="5">
        <f t="shared" ca="1" si="92"/>
        <v>231.81149999999997</v>
      </c>
      <c r="R1101" s="4"/>
      <c r="S1101" s="4"/>
    </row>
    <row r="1102" spans="1:19" ht="15" customHeight="1">
      <c r="A1102" s="3">
        <f t="shared" si="45"/>
        <v>2067</v>
      </c>
      <c r="B1102" s="4">
        <f t="shared" ca="1" si="91"/>
        <v>18.498074999999996</v>
      </c>
      <c r="C1102" s="4">
        <f t="shared" ca="1" si="91"/>
        <v>18.504450000000002</v>
      </c>
      <c r="D1102" s="4">
        <f t="shared" ca="1" si="91"/>
        <v>18.512491666666669</v>
      </c>
      <c r="E1102" s="4">
        <f t="shared" ca="1" si="91"/>
        <v>18.508933333333331</v>
      </c>
      <c r="F1102" s="4">
        <f t="shared" ca="1" si="91"/>
        <v>19.185558333333336</v>
      </c>
      <c r="G1102" s="4">
        <f t="shared" ca="1" si="91"/>
        <v>18.052566666666667</v>
      </c>
      <c r="H1102" s="4">
        <f t="shared" ca="1" si="91"/>
        <v>18.973366666666667</v>
      </c>
      <c r="I1102" s="4">
        <f t="shared" ca="1" si="91"/>
        <v>17.861483333333332</v>
      </c>
      <c r="J1102" s="4">
        <f t="shared" ca="1" si="91"/>
        <v>17.731883333333332</v>
      </c>
      <c r="K1102" s="4"/>
      <c r="L1102" s="5">
        <f t="shared" ca="1" si="92"/>
        <v>355.53689999999995</v>
      </c>
      <c r="M1102" s="5">
        <f t="shared" ca="1" si="92"/>
        <v>142.0401</v>
      </c>
      <c r="N1102" s="5">
        <f t="shared" ca="1" si="92"/>
        <v>58.217499999999994</v>
      </c>
      <c r="O1102" s="5">
        <f t="shared" ca="1" si="92"/>
        <v>4.4046000000000003</v>
      </c>
      <c r="P1102" s="5">
        <f t="shared" ca="1" si="92"/>
        <v>14.707600000000001</v>
      </c>
      <c r="Q1102" s="5">
        <f t="shared" ca="1" si="92"/>
        <v>231.81149999999997</v>
      </c>
      <c r="R1102" s="4"/>
      <c r="S1102" s="4"/>
    </row>
    <row r="1103" spans="1:19" ht="15" customHeight="1">
      <c r="A1103" s="3">
        <f t="shared" si="45"/>
        <v>2068</v>
      </c>
      <c r="B1103" s="4">
        <f t="shared" ca="1" si="91"/>
        <v>18.941808333333334</v>
      </c>
      <c r="C1103" s="4">
        <f t="shared" ca="1" si="91"/>
        <v>18.948191666666666</v>
      </c>
      <c r="D1103" s="4">
        <f t="shared" ca="1" si="91"/>
        <v>18.956241666666667</v>
      </c>
      <c r="E1103" s="4">
        <f t="shared" ca="1" si="91"/>
        <v>18.952683333333336</v>
      </c>
      <c r="F1103" s="4">
        <f t="shared" ca="1" si="91"/>
        <v>19.629275000000003</v>
      </c>
      <c r="G1103" s="4">
        <f t="shared" ca="1" si="91"/>
        <v>18.485958333333333</v>
      </c>
      <c r="H1103" s="4">
        <f t="shared" ca="1" si="91"/>
        <v>19.406741666666665</v>
      </c>
      <c r="I1103" s="4">
        <f t="shared" ca="1" si="91"/>
        <v>18.287708333333335</v>
      </c>
      <c r="J1103" s="4">
        <f t="shared" ca="1" si="91"/>
        <v>18.157916666666665</v>
      </c>
      <c r="K1103" s="4"/>
      <c r="L1103" s="5">
        <f t="shared" ca="1" si="92"/>
        <v>356.48229999999995</v>
      </c>
      <c r="M1103" s="5">
        <f t="shared" ca="1" si="92"/>
        <v>142.42920000000001</v>
      </c>
      <c r="N1103" s="5">
        <f t="shared" ca="1" si="92"/>
        <v>58.377000000000002</v>
      </c>
      <c r="O1103" s="5">
        <f t="shared" ca="1" si="92"/>
        <v>4.4165999999999999</v>
      </c>
      <c r="P1103" s="5">
        <f t="shared" ca="1" si="92"/>
        <v>14.7493</v>
      </c>
      <c r="Q1103" s="5">
        <f t="shared" ca="1" si="92"/>
        <v>232.44659999999996</v>
      </c>
      <c r="R1103" s="4"/>
      <c r="S1103" s="4"/>
    </row>
    <row r="1104" spans="1:19" ht="15" customHeight="1">
      <c r="A1104" s="3">
        <f t="shared" si="45"/>
        <v>2069</v>
      </c>
      <c r="B1104" s="4">
        <f t="shared" ca="1" si="91"/>
        <v>19.396233333333335</v>
      </c>
      <c r="C1104" s="4">
        <f t="shared" ca="1" si="91"/>
        <v>19.402591666666666</v>
      </c>
      <c r="D1104" s="4">
        <f t="shared" ca="1" si="91"/>
        <v>19.410633333333333</v>
      </c>
      <c r="E1104" s="4">
        <f t="shared" ca="1" si="91"/>
        <v>19.407083333333329</v>
      </c>
      <c r="F1104" s="4">
        <f t="shared" ca="1" si="91"/>
        <v>20.083658333333332</v>
      </c>
      <c r="G1104" s="4">
        <f t="shared" ca="1" si="91"/>
        <v>18.929775000000003</v>
      </c>
      <c r="H1104" s="4">
        <f t="shared" ca="1" si="91"/>
        <v>19.850566666666666</v>
      </c>
      <c r="I1104" s="4">
        <f t="shared" ca="1" si="91"/>
        <v>18.724208333333333</v>
      </c>
      <c r="J1104" s="4">
        <f t="shared" ca="1" si="91"/>
        <v>18.594200000000001</v>
      </c>
      <c r="K1104" s="4"/>
      <c r="L1104" s="5">
        <f t="shared" ca="1" si="92"/>
        <v>355.53689999999995</v>
      </c>
      <c r="M1104" s="5">
        <f t="shared" ca="1" si="92"/>
        <v>142.0401</v>
      </c>
      <c r="N1104" s="5">
        <f t="shared" ca="1" si="92"/>
        <v>58.217499999999994</v>
      </c>
      <c r="O1104" s="5">
        <f t="shared" ca="1" si="92"/>
        <v>4.4046000000000003</v>
      </c>
      <c r="P1104" s="5">
        <f t="shared" ca="1" si="92"/>
        <v>14.707600000000001</v>
      </c>
      <c r="Q1104" s="5">
        <f t="shared" ca="1" si="92"/>
        <v>231.81149999999997</v>
      </c>
      <c r="R1104" s="4"/>
      <c r="S1104" s="4"/>
    </row>
    <row r="1105" spans="1:19" ht="15" customHeight="1">
      <c r="A1105" s="3">
        <f t="shared" ref="A1105:A1135" si="93">A1104+1</f>
        <v>2070</v>
      </c>
      <c r="B1105" s="4">
        <f t="shared" ca="1" si="91"/>
        <v>19.861524999999997</v>
      </c>
      <c r="C1105" s="4">
        <f t="shared" ca="1" si="91"/>
        <v>19.867900000000002</v>
      </c>
      <c r="D1105" s="4">
        <f t="shared" ca="1" si="91"/>
        <v>19.87595</v>
      </c>
      <c r="E1105" s="4">
        <f t="shared" ca="1" si="91"/>
        <v>19.872399999999999</v>
      </c>
      <c r="F1105" s="4">
        <f t="shared" ca="1" si="91"/>
        <v>20.548991666666666</v>
      </c>
      <c r="G1105" s="4">
        <f t="shared" ca="1" si="91"/>
        <v>19.384225000000004</v>
      </c>
      <c r="H1105" s="4">
        <f t="shared" ca="1" si="91"/>
        <v>20.305041666666664</v>
      </c>
      <c r="I1105" s="4">
        <f t="shared" ca="1" si="91"/>
        <v>19.171158333333331</v>
      </c>
      <c r="J1105" s="4">
        <f t="shared" ca="1" si="91"/>
        <v>19.040916666666668</v>
      </c>
      <c r="K1105" s="4"/>
      <c r="L1105" s="5">
        <f t="shared" ca="1" si="92"/>
        <v>355.53689999999995</v>
      </c>
      <c r="M1105" s="5">
        <f t="shared" ca="1" si="92"/>
        <v>142.0401</v>
      </c>
      <c r="N1105" s="5">
        <f t="shared" ca="1" si="92"/>
        <v>58.217499999999994</v>
      </c>
      <c r="O1105" s="5">
        <f t="shared" ca="1" si="92"/>
        <v>4.4046000000000003</v>
      </c>
      <c r="P1105" s="5">
        <f t="shared" ca="1" si="92"/>
        <v>14.707600000000001</v>
      </c>
      <c r="Q1105" s="5">
        <f t="shared" ca="1" si="92"/>
        <v>231.81149999999997</v>
      </c>
      <c r="R1105" s="4"/>
      <c r="S1105" s="4"/>
    </row>
    <row r="1106" spans="1:19" ht="15" customHeight="1">
      <c r="A1106" s="3">
        <f t="shared" si="93"/>
        <v>2071</v>
      </c>
      <c r="B1106" s="4">
        <f t="shared" ca="1" si="91"/>
        <v>20.338016666666665</v>
      </c>
      <c r="C1106" s="4">
        <f t="shared" ca="1" si="91"/>
        <v>20.344400000000004</v>
      </c>
      <c r="D1106" s="4">
        <f t="shared" ca="1" si="91"/>
        <v>20.352433333333334</v>
      </c>
      <c r="E1106" s="4">
        <f t="shared" ca="1" si="91"/>
        <v>20.348883333333333</v>
      </c>
      <c r="F1106" s="4">
        <f t="shared" ca="1" si="91"/>
        <v>21.025475</v>
      </c>
      <c r="G1106" s="4">
        <f t="shared" ca="1" si="91"/>
        <v>19.849641666666667</v>
      </c>
      <c r="H1106" s="4">
        <f t="shared" ca="1" si="91"/>
        <v>20.770441666666667</v>
      </c>
      <c r="I1106" s="4">
        <f t="shared" ca="1" si="91"/>
        <v>19.628883333333334</v>
      </c>
      <c r="J1106" s="4">
        <f t="shared" ca="1" si="91"/>
        <v>19.498416666666667</v>
      </c>
      <c r="K1106" s="4"/>
      <c r="L1106" s="5">
        <f t="shared" ca="1" si="92"/>
        <v>355.53689999999995</v>
      </c>
      <c r="M1106" s="5">
        <f t="shared" ca="1" si="92"/>
        <v>142.0401</v>
      </c>
      <c r="N1106" s="5">
        <f t="shared" ca="1" si="92"/>
        <v>58.217499999999994</v>
      </c>
      <c r="O1106" s="5">
        <f t="shared" ca="1" si="92"/>
        <v>4.4046000000000003</v>
      </c>
      <c r="P1106" s="5">
        <f t="shared" ca="1" si="92"/>
        <v>14.707600000000001</v>
      </c>
      <c r="Q1106" s="5">
        <f t="shared" ca="1" si="92"/>
        <v>231.81149999999997</v>
      </c>
      <c r="R1106" s="4"/>
      <c r="S1106" s="4"/>
    </row>
    <row r="1107" spans="1:19" ht="15" customHeight="1">
      <c r="A1107" s="3">
        <f t="shared" si="93"/>
        <v>2072</v>
      </c>
      <c r="B1107" s="4">
        <f t="shared" ref="B1107:J1116" ca="1" si="94">AVERAGE(OFFSET(B$581,($A1107-$A$1097)*12,0,12,1))</f>
        <v>20.82596666666667</v>
      </c>
      <c r="C1107" s="4">
        <f t="shared" ca="1" si="94"/>
        <v>20.832341666666665</v>
      </c>
      <c r="D1107" s="4">
        <f t="shared" ca="1" si="94"/>
        <v>20.840383333333335</v>
      </c>
      <c r="E1107" s="4">
        <f t="shared" ca="1" si="94"/>
        <v>20.836825000000001</v>
      </c>
      <c r="F1107" s="4">
        <f t="shared" ca="1" si="94"/>
        <v>21.513424999999998</v>
      </c>
      <c r="G1107" s="4">
        <f t="shared" ca="1" si="94"/>
        <v>20.326200000000004</v>
      </c>
      <c r="H1107" s="4">
        <f t="shared" ca="1" si="94"/>
        <v>21.24700833333333</v>
      </c>
      <c r="I1107" s="4">
        <f t="shared" ca="1" si="94"/>
        <v>20.0976</v>
      </c>
      <c r="J1107" s="4">
        <f t="shared" ca="1" si="94"/>
        <v>19.966891666666665</v>
      </c>
      <c r="K1107" s="4"/>
      <c r="L1107" s="5">
        <f t="shared" ref="L1107:Q1116" ca="1" si="95">SUM(OFFSET(L$581,($A1107-$A$1097)*12,0,12,1))</f>
        <v>356.48229999999995</v>
      </c>
      <c r="M1107" s="5">
        <f t="shared" ca="1" si="95"/>
        <v>142.42920000000001</v>
      </c>
      <c r="N1107" s="5">
        <f t="shared" ca="1" si="95"/>
        <v>58.377000000000002</v>
      </c>
      <c r="O1107" s="5">
        <f t="shared" ca="1" si="95"/>
        <v>4.4165999999999999</v>
      </c>
      <c r="P1107" s="5">
        <f t="shared" ca="1" si="95"/>
        <v>14.7493</v>
      </c>
      <c r="Q1107" s="5">
        <f t="shared" ca="1" si="95"/>
        <v>232.44659999999996</v>
      </c>
      <c r="R1107" s="4"/>
      <c r="S1107" s="4"/>
    </row>
    <row r="1108" spans="1:19" ht="15" customHeight="1">
      <c r="A1108" s="3">
        <f t="shared" si="93"/>
        <v>2073</v>
      </c>
      <c r="B1108" s="4">
        <f t="shared" ca="1" si="94"/>
        <v>21.325625000000002</v>
      </c>
      <c r="C1108" s="4">
        <f t="shared" ca="1" si="94"/>
        <v>21.332000000000001</v>
      </c>
      <c r="D1108" s="4">
        <f t="shared" ca="1" si="94"/>
        <v>21.340050000000002</v>
      </c>
      <c r="E1108" s="4">
        <f t="shared" ca="1" si="94"/>
        <v>21.336475000000004</v>
      </c>
      <c r="F1108" s="4">
        <f t="shared" ca="1" si="94"/>
        <v>22.013091666666668</v>
      </c>
      <c r="G1108" s="4">
        <f t="shared" ca="1" si="94"/>
        <v>20.814233333333334</v>
      </c>
      <c r="H1108" s="4">
        <f t="shared" ca="1" si="94"/>
        <v>21.73503333333333</v>
      </c>
      <c r="I1108" s="4">
        <f t="shared" ca="1" si="94"/>
        <v>20.577566666666669</v>
      </c>
      <c r="J1108" s="4">
        <f t="shared" ca="1" si="94"/>
        <v>20.446616666666667</v>
      </c>
      <c r="K1108" s="4"/>
      <c r="L1108" s="5">
        <f t="shared" ca="1" si="95"/>
        <v>355.53689999999995</v>
      </c>
      <c r="M1108" s="5">
        <f t="shared" ca="1" si="95"/>
        <v>142.0401</v>
      </c>
      <c r="N1108" s="5">
        <f t="shared" ca="1" si="95"/>
        <v>58.217499999999994</v>
      </c>
      <c r="O1108" s="5">
        <f t="shared" ca="1" si="95"/>
        <v>4.4046000000000003</v>
      </c>
      <c r="P1108" s="5">
        <f t="shared" ca="1" si="95"/>
        <v>14.707600000000001</v>
      </c>
      <c r="Q1108" s="5">
        <f t="shared" ca="1" si="95"/>
        <v>231.81149999999997</v>
      </c>
      <c r="R1108" s="4"/>
      <c r="S1108" s="4"/>
    </row>
    <row r="1109" spans="1:19" ht="15" customHeight="1">
      <c r="A1109" s="3">
        <f t="shared" si="93"/>
        <v>2074</v>
      </c>
      <c r="B1109" s="4">
        <f t="shared" ca="1" si="94"/>
        <v>21.837299999999999</v>
      </c>
      <c r="C1109" s="4">
        <f t="shared" ca="1" si="94"/>
        <v>21.843666666666664</v>
      </c>
      <c r="D1109" s="4">
        <f t="shared" ca="1" si="94"/>
        <v>21.851725000000002</v>
      </c>
      <c r="E1109" s="4">
        <f t="shared" ca="1" si="94"/>
        <v>21.84815833333333</v>
      </c>
      <c r="F1109" s="4">
        <f t="shared" ca="1" si="94"/>
        <v>22.524775000000002</v>
      </c>
      <c r="G1109" s="4">
        <f t="shared" ca="1" si="94"/>
        <v>21.313999999999997</v>
      </c>
      <c r="H1109" s="4">
        <f t="shared" ca="1" si="94"/>
        <v>22.234783333333336</v>
      </c>
      <c r="I1109" s="4">
        <f t="shared" ca="1" si="94"/>
        <v>21.069066666666668</v>
      </c>
      <c r="J1109" s="4">
        <f t="shared" ca="1" si="94"/>
        <v>20.937874999999998</v>
      </c>
      <c r="K1109" s="4"/>
      <c r="L1109" s="5">
        <f t="shared" ca="1" si="95"/>
        <v>355.53689999999995</v>
      </c>
      <c r="M1109" s="5">
        <f t="shared" ca="1" si="95"/>
        <v>142.0401</v>
      </c>
      <c r="N1109" s="5">
        <f t="shared" ca="1" si="95"/>
        <v>58.217499999999994</v>
      </c>
      <c r="O1109" s="5">
        <f t="shared" ca="1" si="95"/>
        <v>4.4046000000000003</v>
      </c>
      <c r="P1109" s="5">
        <f t="shared" ca="1" si="95"/>
        <v>14.707600000000001</v>
      </c>
      <c r="Q1109" s="5">
        <f t="shared" ca="1" si="95"/>
        <v>231.81149999999997</v>
      </c>
      <c r="R1109" s="4"/>
      <c r="S1109" s="4"/>
    </row>
    <row r="1110" spans="1:19" ht="15" customHeight="1">
      <c r="A1110" s="3">
        <f t="shared" si="93"/>
        <v>2075</v>
      </c>
      <c r="B1110" s="4">
        <f t="shared" ca="1" si="94"/>
        <v>22.361258333333335</v>
      </c>
      <c r="C1110" s="4">
        <f t="shared" ca="1" si="94"/>
        <v>22.367633333333334</v>
      </c>
      <c r="D1110" s="4">
        <f t="shared" ca="1" si="94"/>
        <v>22.375691666666665</v>
      </c>
      <c r="E1110" s="4">
        <f t="shared" ca="1" si="94"/>
        <v>22.372125</v>
      </c>
      <c r="F1110" s="4">
        <f t="shared" ca="1" si="94"/>
        <v>23.048733333333331</v>
      </c>
      <c r="G1110" s="4">
        <f t="shared" ca="1" si="94"/>
        <v>21.825750000000003</v>
      </c>
      <c r="H1110" s="4">
        <f t="shared" ca="1" si="94"/>
        <v>22.746541666666669</v>
      </c>
      <c r="I1110" s="4">
        <f t="shared" ca="1" si="94"/>
        <v>21.572375000000005</v>
      </c>
      <c r="J1110" s="4">
        <f t="shared" ca="1" si="94"/>
        <v>21.44091666666667</v>
      </c>
      <c r="K1110" s="4"/>
      <c r="L1110" s="5">
        <f t="shared" ca="1" si="95"/>
        <v>355.53689999999995</v>
      </c>
      <c r="M1110" s="5">
        <f t="shared" ca="1" si="95"/>
        <v>142.0401</v>
      </c>
      <c r="N1110" s="5">
        <f t="shared" ca="1" si="95"/>
        <v>58.217499999999994</v>
      </c>
      <c r="O1110" s="5">
        <f t="shared" ca="1" si="95"/>
        <v>4.4046000000000003</v>
      </c>
      <c r="P1110" s="5">
        <f t="shared" ca="1" si="95"/>
        <v>14.707600000000001</v>
      </c>
      <c r="Q1110" s="5">
        <f t="shared" ca="1" si="95"/>
        <v>231.81149999999997</v>
      </c>
      <c r="R1110" s="4"/>
      <c r="S1110" s="4"/>
    </row>
    <row r="1111" spans="1:19" ht="15" customHeight="1">
      <c r="A1111" s="3">
        <f t="shared" si="93"/>
        <v>2076</v>
      </c>
      <c r="B1111" s="4">
        <f t="shared" ca="1" si="94"/>
        <v>22.897816666666671</v>
      </c>
      <c r="C1111" s="4">
        <f t="shared" ca="1" si="94"/>
        <v>22.904199999999999</v>
      </c>
      <c r="D1111" s="4">
        <f t="shared" ca="1" si="94"/>
        <v>22.91225833333333</v>
      </c>
      <c r="E1111" s="4">
        <f t="shared" ca="1" si="94"/>
        <v>22.9087</v>
      </c>
      <c r="F1111" s="4">
        <f t="shared" ca="1" si="94"/>
        <v>23.585283333333333</v>
      </c>
      <c r="G1111" s="4">
        <f t="shared" ca="1" si="94"/>
        <v>22.349816666666669</v>
      </c>
      <c r="H1111" s="4">
        <f t="shared" ca="1" si="94"/>
        <v>23.270616666666669</v>
      </c>
      <c r="I1111" s="4">
        <f t="shared" ca="1" si="94"/>
        <v>22.087783333333334</v>
      </c>
      <c r="J1111" s="4">
        <f t="shared" ca="1" si="94"/>
        <v>21.956074999999998</v>
      </c>
      <c r="K1111" s="4"/>
      <c r="L1111" s="5">
        <f t="shared" ca="1" si="95"/>
        <v>356.48229999999995</v>
      </c>
      <c r="M1111" s="5">
        <f t="shared" ca="1" si="95"/>
        <v>142.42920000000001</v>
      </c>
      <c r="N1111" s="5">
        <f t="shared" ca="1" si="95"/>
        <v>58.377000000000002</v>
      </c>
      <c r="O1111" s="5">
        <f t="shared" ca="1" si="95"/>
        <v>4.4165999999999999</v>
      </c>
      <c r="P1111" s="5">
        <f t="shared" ca="1" si="95"/>
        <v>14.7493</v>
      </c>
      <c r="Q1111" s="5">
        <f t="shared" ca="1" si="95"/>
        <v>232.44659999999996</v>
      </c>
      <c r="R1111" s="4"/>
      <c r="S1111" s="4"/>
    </row>
    <row r="1112" spans="1:19" ht="15" customHeight="1">
      <c r="A1112" s="3">
        <f t="shared" si="93"/>
        <v>2077</v>
      </c>
      <c r="B1112" s="4">
        <f t="shared" ca="1" si="94"/>
        <v>23.447275000000001</v>
      </c>
      <c r="C1112" s="4">
        <f t="shared" ca="1" si="94"/>
        <v>23.453633333333332</v>
      </c>
      <c r="D1112" s="4">
        <f t="shared" ca="1" si="94"/>
        <v>23.461708333333338</v>
      </c>
      <c r="E1112" s="4">
        <f t="shared" ca="1" si="94"/>
        <v>23.458141666666663</v>
      </c>
      <c r="F1112" s="4">
        <f t="shared" ca="1" si="94"/>
        <v>24.13474166666667</v>
      </c>
      <c r="G1112" s="4">
        <f t="shared" ca="1" si="94"/>
        <v>22.88645</v>
      </c>
      <c r="H1112" s="4">
        <f t="shared" ca="1" si="94"/>
        <v>23.80725</v>
      </c>
      <c r="I1112" s="4">
        <f t="shared" ca="1" si="94"/>
        <v>22.615574999999996</v>
      </c>
      <c r="J1112" s="4">
        <f t="shared" ca="1" si="94"/>
        <v>22.483599999999996</v>
      </c>
      <c r="K1112" s="4"/>
      <c r="L1112" s="5">
        <f t="shared" ca="1" si="95"/>
        <v>355.53689999999995</v>
      </c>
      <c r="M1112" s="5">
        <f t="shared" ca="1" si="95"/>
        <v>142.0401</v>
      </c>
      <c r="N1112" s="5">
        <f t="shared" ca="1" si="95"/>
        <v>58.217499999999994</v>
      </c>
      <c r="O1112" s="5">
        <f t="shared" ca="1" si="95"/>
        <v>4.4046000000000003</v>
      </c>
      <c r="P1112" s="5">
        <f t="shared" ca="1" si="95"/>
        <v>14.707600000000001</v>
      </c>
      <c r="Q1112" s="5">
        <f t="shared" ca="1" si="95"/>
        <v>231.81149999999997</v>
      </c>
      <c r="R1112" s="4"/>
      <c r="S1112" s="4"/>
    </row>
    <row r="1113" spans="1:19" ht="15" customHeight="1">
      <c r="A1113" s="3">
        <f t="shared" si="93"/>
        <v>2078</v>
      </c>
      <c r="B1113" s="4">
        <f t="shared" ca="1" si="94"/>
        <v>24.009933333333336</v>
      </c>
      <c r="C1113" s="4">
        <f t="shared" ca="1" si="94"/>
        <v>24.016291666666664</v>
      </c>
      <c r="D1113" s="4">
        <f t="shared" ca="1" si="94"/>
        <v>24.024349999999998</v>
      </c>
      <c r="E1113" s="4">
        <f t="shared" ca="1" si="94"/>
        <v>24.020791666666668</v>
      </c>
      <c r="F1113" s="4">
        <f t="shared" ca="1" si="94"/>
        <v>24.697391666666665</v>
      </c>
      <c r="G1113" s="4">
        <f t="shared" ca="1" si="94"/>
        <v>23.43600833333333</v>
      </c>
      <c r="H1113" s="4">
        <f t="shared" ca="1" si="94"/>
        <v>24.356799999999996</v>
      </c>
      <c r="I1113" s="4">
        <f t="shared" ca="1" si="94"/>
        <v>23.156041666666667</v>
      </c>
      <c r="J1113" s="4">
        <f t="shared" ca="1" si="94"/>
        <v>23.023824999999999</v>
      </c>
      <c r="K1113" s="4"/>
      <c r="L1113" s="5">
        <f t="shared" ca="1" si="95"/>
        <v>355.53689999999995</v>
      </c>
      <c r="M1113" s="5">
        <f t="shared" ca="1" si="95"/>
        <v>142.0401</v>
      </c>
      <c r="N1113" s="5">
        <f t="shared" ca="1" si="95"/>
        <v>58.217499999999994</v>
      </c>
      <c r="O1113" s="5">
        <f t="shared" ca="1" si="95"/>
        <v>4.4046000000000003</v>
      </c>
      <c r="P1113" s="5">
        <f t="shared" ca="1" si="95"/>
        <v>14.707600000000001</v>
      </c>
      <c r="Q1113" s="5">
        <f t="shared" ca="1" si="95"/>
        <v>231.81149999999997</v>
      </c>
      <c r="R1113" s="4"/>
      <c r="S1113" s="4"/>
    </row>
    <row r="1114" spans="1:19" ht="15" customHeight="1">
      <c r="A1114" s="3">
        <f t="shared" si="93"/>
        <v>2079</v>
      </c>
      <c r="B1114" s="4">
        <f t="shared" ca="1" si="94"/>
        <v>24.586091666666665</v>
      </c>
      <c r="C1114" s="4">
        <f t="shared" ca="1" si="94"/>
        <v>24.592475000000004</v>
      </c>
      <c r="D1114" s="4">
        <f t="shared" ca="1" si="94"/>
        <v>24.600525000000001</v>
      </c>
      <c r="E1114" s="4">
        <f t="shared" ca="1" si="94"/>
        <v>24.596958333333333</v>
      </c>
      <c r="F1114" s="4">
        <f t="shared" ca="1" si="94"/>
        <v>25.273558333333337</v>
      </c>
      <c r="G1114" s="4">
        <f t="shared" ca="1" si="94"/>
        <v>23.998766666666668</v>
      </c>
      <c r="H1114" s="4">
        <f t="shared" ca="1" si="94"/>
        <v>24.919541666666664</v>
      </c>
      <c r="I1114" s="4">
        <f t="shared" ca="1" si="94"/>
        <v>23.709500000000002</v>
      </c>
      <c r="J1114" s="4">
        <f t="shared" ca="1" si="94"/>
        <v>23.577000000000002</v>
      </c>
      <c r="K1114" s="4"/>
      <c r="L1114" s="5">
        <f t="shared" ca="1" si="95"/>
        <v>355.53689999999995</v>
      </c>
      <c r="M1114" s="5">
        <f t="shared" ca="1" si="95"/>
        <v>142.0401</v>
      </c>
      <c r="N1114" s="5">
        <f t="shared" ca="1" si="95"/>
        <v>58.217499999999994</v>
      </c>
      <c r="O1114" s="5">
        <f t="shared" ca="1" si="95"/>
        <v>4.4046000000000003</v>
      </c>
      <c r="P1114" s="5">
        <f t="shared" ca="1" si="95"/>
        <v>14.707600000000001</v>
      </c>
      <c r="Q1114" s="5">
        <f t="shared" ca="1" si="95"/>
        <v>231.81149999999997</v>
      </c>
      <c r="R1114" s="4"/>
      <c r="S1114" s="4"/>
    </row>
    <row r="1115" spans="1:19" ht="15" customHeight="1">
      <c r="A1115" s="3">
        <f t="shared" si="93"/>
        <v>2080</v>
      </c>
      <c r="B1115" s="4">
        <f t="shared" ca="1" si="94"/>
        <v>25.176108333333332</v>
      </c>
      <c r="C1115" s="4">
        <f t="shared" ca="1" si="94"/>
        <v>25.182491666666667</v>
      </c>
      <c r="D1115" s="4">
        <f t="shared" ca="1" si="94"/>
        <v>25.190533333333335</v>
      </c>
      <c r="E1115" s="4">
        <f t="shared" ca="1" si="94"/>
        <v>25.186975</v>
      </c>
      <c r="F1115" s="4">
        <f t="shared" ca="1" si="94"/>
        <v>25.863583333333338</v>
      </c>
      <c r="G1115" s="4">
        <f t="shared" ca="1" si="94"/>
        <v>24.575033333333337</v>
      </c>
      <c r="H1115" s="4">
        <f t="shared" ca="1" si="94"/>
        <v>25.495816666666666</v>
      </c>
      <c r="I1115" s="4">
        <f t="shared" ca="1" si="94"/>
        <v>24.276266666666668</v>
      </c>
      <c r="J1115" s="4">
        <f t="shared" ca="1" si="94"/>
        <v>24.143466666666669</v>
      </c>
      <c r="K1115" s="4"/>
      <c r="L1115" s="5">
        <f t="shared" ca="1" si="95"/>
        <v>356.48229999999995</v>
      </c>
      <c r="M1115" s="5">
        <f t="shared" ca="1" si="95"/>
        <v>142.42920000000001</v>
      </c>
      <c r="N1115" s="5">
        <f t="shared" ca="1" si="95"/>
        <v>58.377000000000002</v>
      </c>
      <c r="O1115" s="5">
        <f t="shared" ca="1" si="95"/>
        <v>4.4165999999999999</v>
      </c>
      <c r="P1115" s="5">
        <f t="shared" ca="1" si="95"/>
        <v>14.7493</v>
      </c>
      <c r="Q1115" s="5">
        <f t="shared" ca="1" si="95"/>
        <v>232.44659999999996</v>
      </c>
      <c r="R1115" s="4"/>
      <c r="S1115" s="4"/>
    </row>
    <row r="1116" spans="1:19" ht="15" customHeight="1">
      <c r="A1116" s="3">
        <f t="shared" si="93"/>
        <v>2081</v>
      </c>
      <c r="B1116" s="4">
        <f t="shared" ca="1" si="94"/>
        <v>25.780308333333334</v>
      </c>
      <c r="C1116" s="4">
        <f t="shared" ca="1" si="94"/>
        <v>25.786683333333333</v>
      </c>
      <c r="D1116" s="4">
        <f t="shared" ca="1" si="94"/>
        <v>25.794733333333337</v>
      </c>
      <c r="E1116" s="4">
        <f t="shared" ca="1" si="94"/>
        <v>25.791166666666669</v>
      </c>
      <c r="F1116" s="4">
        <f t="shared" ca="1" si="94"/>
        <v>26.467775</v>
      </c>
      <c r="G1116" s="4">
        <f t="shared" ca="1" si="94"/>
        <v>25.165141666666667</v>
      </c>
      <c r="H1116" s="4">
        <f t="shared" ca="1" si="94"/>
        <v>26.085933333333333</v>
      </c>
      <c r="I1116" s="4">
        <f t="shared" ca="1" si="94"/>
        <v>24.856633333333338</v>
      </c>
      <c r="J1116" s="4">
        <f t="shared" ca="1" si="94"/>
        <v>24.723566666666667</v>
      </c>
      <c r="K1116" s="4"/>
      <c r="L1116" s="5">
        <f t="shared" ca="1" si="95"/>
        <v>355.53689999999995</v>
      </c>
      <c r="M1116" s="5">
        <f t="shared" ca="1" si="95"/>
        <v>142.0401</v>
      </c>
      <c r="N1116" s="5">
        <f t="shared" ca="1" si="95"/>
        <v>58.217499999999994</v>
      </c>
      <c r="O1116" s="5">
        <f t="shared" ca="1" si="95"/>
        <v>4.4046000000000003</v>
      </c>
      <c r="P1116" s="5">
        <f t="shared" ca="1" si="95"/>
        <v>14.707600000000001</v>
      </c>
      <c r="Q1116" s="5">
        <f t="shared" ca="1" si="95"/>
        <v>231.81149999999997</v>
      </c>
      <c r="R1116" s="4"/>
      <c r="S1116" s="4"/>
    </row>
    <row r="1117" spans="1:19" ht="15" customHeight="1">
      <c r="A1117" s="3">
        <f t="shared" si="93"/>
        <v>2082</v>
      </c>
      <c r="B1117" s="4">
        <f t="shared" ref="B1117:J1126" ca="1" si="96">AVERAGE(OFFSET(B$581,($A1117-$A$1097)*12,0,12,1))</f>
        <v>26.399008333333331</v>
      </c>
      <c r="C1117" s="4">
        <f t="shared" ca="1" si="96"/>
        <v>26.405374999999996</v>
      </c>
      <c r="D1117" s="4">
        <f t="shared" ca="1" si="96"/>
        <v>26.413441666666671</v>
      </c>
      <c r="E1117" s="4">
        <f t="shared" ca="1" si="96"/>
        <v>26.409866666666662</v>
      </c>
      <c r="F1117" s="4">
        <f t="shared" ca="1" si="96"/>
        <v>27.086483333333337</v>
      </c>
      <c r="G1117" s="4">
        <f t="shared" ca="1" si="96"/>
        <v>25.769450000000003</v>
      </c>
      <c r="H1117" s="4">
        <f t="shared" ca="1" si="96"/>
        <v>26.690233333333339</v>
      </c>
      <c r="I1117" s="4">
        <f t="shared" ca="1" si="96"/>
        <v>25.450950000000002</v>
      </c>
      <c r="J1117" s="4">
        <f t="shared" ca="1" si="96"/>
        <v>25.317566666666668</v>
      </c>
      <c r="K1117" s="4"/>
      <c r="L1117" s="5">
        <f t="shared" ref="L1117:Q1126" ca="1" si="97">SUM(OFFSET(L$581,($A1117-$A$1097)*12,0,12,1))</f>
        <v>355.53689999999995</v>
      </c>
      <c r="M1117" s="5">
        <f t="shared" ca="1" si="97"/>
        <v>142.0401</v>
      </c>
      <c r="N1117" s="5">
        <f t="shared" ca="1" si="97"/>
        <v>58.217499999999994</v>
      </c>
      <c r="O1117" s="5">
        <f t="shared" ca="1" si="97"/>
        <v>4.4046000000000003</v>
      </c>
      <c r="P1117" s="5">
        <f t="shared" ca="1" si="97"/>
        <v>14.707600000000001</v>
      </c>
      <c r="Q1117" s="5">
        <f t="shared" ca="1" si="97"/>
        <v>231.81149999999997</v>
      </c>
      <c r="R1117" s="4"/>
      <c r="S1117" s="4"/>
    </row>
    <row r="1118" spans="1:19" ht="15" customHeight="1">
      <c r="A1118" s="3">
        <f t="shared" si="93"/>
        <v>2083</v>
      </c>
      <c r="B1118" s="4">
        <f t="shared" ca="1" si="96"/>
        <v>27.032574999999998</v>
      </c>
      <c r="C1118" s="4">
        <f t="shared" ca="1" si="96"/>
        <v>27.03895</v>
      </c>
      <c r="D1118" s="4">
        <f t="shared" ca="1" si="96"/>
        <v>27.047000000000001</v>
      </c>
      <c r="E1118" s="4">
        <f t="shared" ca="1" si="96"/>
        <v>27.043449999999996</v>
      </c>
      <c r="F1118" s="4">
        <f t="shared" ca="1" si="96"/>
        <v>27.720049999999997</v>
      </c>
      <c r="G1118" s="4">
        <f t="shared" ca="1" si="96"/>
        <v>26.388241666666662</v>
      </c>
      <c r="H1118" s="4">
        <f t="shared" ca="1" si="96"/>
        <v>27.309041666666673</v>
      </c>
      <c r="I1118" s="4">
        <f t="shared" ca="1" si="96"/>
        <v>26.059541666666664</v>
      </c>
      <c r="J1118" s="4">
        <f t="shared" ca="1" si="96"/>
        <v>25.925875000000001</v>
      </c>
      <c r="K1118" s="4"/>
      <c r="L1118" s="5">
        <f t="shared" ca="1" si="97"/>
        <v>355.53689999999995</v>
      </c>
      <c r="M1118" s="5">
        <f t="shared" ca="1" si="97"/>
        <v>142.0401</v>
      </c>
      <c r="N1118" s="5">
        <f t="shared" ca="1" si="97"/>
        <v>58.217499999999994</v>
      </c>
      <c r="O1118" s="5">
        <f t="shared" ca="1" si="97"/>
        <v>4.4046000000000003</v>
      </c>
      <c r="P1118" s="5">
        <f t="shared" ca="1" si="97"/>
        <v>14.707600000000001</v>
      </c>
      <c r="Q1118" s="5">
        <f t="shared" ca="1" si="97"/>
        <v>231.81149999999997</v>
      </c>
      <c r="R1118" s="4"/>
      <c r="S1118" s="4"/>
    </row>
    <row r="1119" spans="1:19" ht="15" customHeight="1">
      <c r="A1119" s="3">
        <f t="shared" si="93"/>
        <v>2084</v>
      </c>
      <c r="B1119" s="4">
        <f t="shared" ca="1" si="96"/>
        <v>27.681383333333333</v>
      </c>
      <c r="C1119" s="4">
        <f t="shared" ca="1" si="96"/>
        <v>27.687750000000005</v>
      </c>
      <c r="D1119" s="4">
        <f t="shared" ca="1" si="96"/>
        <v>27.695808333333332</v>
      </c>
      <c r="E1119" s="4">
        <f t="shared" ca="1" si="96"/>
        <v>27.692241666666671</v>
      </c>
      <c r="F1119" s="4">
        <f t="shared" ca="1" si="96"/>
        <v>28.368850000000005</v>
      </c>
      <c r="G1119" s="4">
        <f t="shared" ca="1" si="96"/>
        <v>27.021924999999996</v>
      </c>
      <c r="H1119" s="4">
        <f t="shared" ca="1" si="96"/>
        <v>27.942708333333329</v>
      </c>
      <c r="I1119" s="4">
        <f t="shared" ca="1" si="96"/>
        <v>26.682766666666669</v>
      </c>
      <c r="J1119" s="4">
        <f t="shared" ca="1" si="96"/>
        <v>26.548775000000003</v>
      </c>
      <c r="K1119" s="4"/>
      <c r="L1119" s="5">
        <f t="shared" ca="1" si="97"/>
        <v>356.48229999999995</v>
      </c>
      <c r="M1119" s="5">
        <f t="shared" ca="1" si="97"/>
        <v>142.42920000000001</v>
      </c>
      <c r="N1119" s="5">
        <f t="shared" ca="1" si="97"/>
        <v>58.377000000000002</v>
      </c>
      <c r="O1119" s="5">
        <f t="shared" ca="1" si="97"/>
        <v>4.4165999999999999</v>
      </c>
      <c r="P1119" s="5">
        <f t="shared" ca="1" si="97"/>
        <v>14.7493</v>
      </c>
      <c r="Q1119" s="5">
        <f t="shared" ca="1" si="97"/>
        <v>232.44659999999996</v>
      </c>
      <c r="R1119" s="4"/>
      <c r="S1119" s="4"/>
    </row>
    <row r="1120" spans="1:19" ht="15" customHeight="1">
      <c r="A1120" s="3">
        <f t="shared" si="93"/>
        <v>2085</v>
      </c>
      <c r="B1120" s="4">
        <f t="shared" ca="1" si="96"/>
        <v>28.345775000000003</v>
      </c>
      <c r="C1120" s="4">
        <f t="shared" ca="1" si="96"/>
        <v>28.352149999999998</v>
      </c>
      <c r="D1120" s="4">
        <f t="shared" ca="1" si="96"/>
        <v>28.360199999999995</v>
      </c>
      <c r="E1120" s="4">
        <f t="shared" ca="1" si="96"/>
        <v>28.356633333333335</v>
      </c>
      <c r="F1120" s="4">
        <f t="shared" ca="1" si="96"/>
        <v>29.033233333333332</v>
      </c>
      <c r="G1120" s="4">
        <f t="shared" ca="1" si="96"/>
        <v>27.670849999999998</v>
      </c>
      <c r="H1120" s="4">
        <f t="shared" ca="1" si="96"/>
        <v>28.591649999999998</v>
      </c>
      <c r="I1120" s="4">
        <f t="shared" ca="1" si="96"/>
        <v>27.320975000000004</v>
      </c>
      <c r="J1120" s="4">
        <f t="shared" ca="1" si="96"/>
        <v>27.18665</v>
      </c>
      <c r="K1120" s="4"/>
      <c r="L1120" s="5">
        <f t="shared" ca="1" si="97"/>
        <v>355.53689999999995</v>
      </c>
      <c r="M1120" s="5">
        <f t="shared" ca="1" si="97"/>
        <v>142.0401</v>
      </c>
      <c r="N1120" s="5">
        <f t="shared" ca="1" si="97"/>
        <v>58.217499999999994</v>
      </c>
      <c r="O1120" s="5">
        <f t="shared" ca="1" si="97"/>
        <v>4.4046000000000003</v>
      </c>
      <c r="P1120" s="5">
        <f t="shared" ca="1" si="97"/>
        <v>14.707600000000001</v>
      </c>
      <c r="Q1120" s="5">
        <f t="shared" ca="1" si="97"/>
        <v>231.81149999999997</v>
      </c>
      <c r="R1120" s="4"/>
      <c r="S1120" s="4"/>
    </row>
    <row r="1121" spans="1:19" ht="15" customHeight="1">
      <c r="A1121" s="3">
        <f t="shared" si="93"/>
        <v>2086</v>
      </c>
      <c r="B1121" s="4">
        <f t="shared" ca="1" si="96"/>
        <v>29.02613333333333</v>
      </c>
      <c r="C1121" s="4">
        <f t="shared" ca="1" si="96"/>
        <v>29.032508333333336</v>
      </c>
      <c r="D1121" s="4">
        <f t="shared" ca="1" si="96"/>
        <v>29.040541666666673</v>
      </c>
      <c r="E1121" s="4">
        <f t="shared" ca="1" si="96"/>
        <v>29.036983333333335</v>
      </c>
      <c r="F1121" s="4">
        <f t="shared" ca="1" si="96"/>
        <v>29.713575000000006</v>
      </c>
      <c r="G1121" s="4">
        <f t="shared" ca="1" si="96"/>
        <v>28.335350000000005</v>
      </c>
      <c r="H1121" s="4">
        <f t="shared" ca="1" si="96"/>
        <v>29.256133333333327</v>
      </c>
      <c r="I1121" s="4">
        <f t="shared" ca="1" si="96"/>
        <v>27.974491666666665</v>
      </c>
      <c r="J1121" s="4">
        <f t="shared" ca="1" si="96"/>
        <v>27.839849999999998</v>
      </c>
      <c r="K1121" s="4"/>
      <c r="L1121" s="5">
        <f t="shared" ca="1" si="97"/>
        <v>355.53689999999995</v>
      </c>
      <c r="M1121" s="5">
        <f t="shared" ca="1" si="97"/>
        <v>142.0401</v>
      </c>
      <c r="N1121" s="5">
        <f t="shared" ca="1" si="97"/>
        <v>58.217499999999994</v>
      </c>
      <c r="O1121" s="5">
        <f t="shared" ca="1" si="97"/>
        <v>4.4046000000000003</v>
      </c>
      <c r="P1121" s="5">
        <f t="shared" ca="1" si="97"/>
        <v>14.707600000000001</v>
      </c>
      <c r="Q1121" s="5">
        <f t="shared" ca="1" si="97"/>
        <v>231.81149999999997</v>
      </c>
      <c r="R1121" s="4"/>
      <c r="S1121" s="4"/>
    </row>
    <row r="1122" spans="1:19" ht="15" customHeight="1">
      <c r="A1122" s="3">
        <f t="shared" si="93"/>
        <v>2087</v>
      </c>
      <c r="B1122" s="4">
        <f t="shared" ca="1" si="96"/>
        <v>29.722825</v>
      </c>
      <c r="C1122" s="4">
        <f t="shared" ca="1" si="96"/>
        <v>29.729191666666665</v>
      </c>
      <c r="D1122" s="4">
        <f t="shared" ca="1" si="96"/>
        <v>29.737224999999999</v>
      </c>
      <c r="E1122" s="4">
        <f t="shared" ca="1" si="96"/>
        <v>29.733675000000002</v>
      </c>
      <c r="F1122" s="4">
        <f t="shared" ca="1" si="96"/>
        <v>30.410275000000002</v>
      </c>
      <c r="G1122" s="4">
        <f t="shared" ca="1" si="96"/>
        <v>29.015791666666669</v>
      </c>
      <c r="H1122" s="4">
        <f t="shared" ca="1" si="96"/>
        <v>29.936599999999999</v>
      </c>
      <c r="I1122" s="4">
        <f t="shared" ca="1" si="96"/>
        <v>28.643758333333334</v>
      </c>
      <c r="J1122" s="4">
        <f t="shared" ca="1" si="96"/>
        <v>28.508749999999996</v>
      </c>
      <c r="K1122" s="4"/>
      <c r="L1122" s="5">
        <f t="shared" ca="1" si="97"/>
        <v>355.53689999999995</v>
      </c>
      <c r="M1122" s="5">
        <f t="shared" ca="1" si="97"/>
        <v>142.0401</v>
      </c>
      <c r="N1122" s="5">
        <f t="shared" ca="1" si="97"/>
        <v>58.217499999999994</v>
      </c>
      <c r="O1122" s="5">
        <f t="shared" ca="1" si="97"/>
        <v>4.4046000000000003</v>
      </c>
      <c r="P1122" s="5">
        <f t="shared" ca="1" si="97"/>
        <v>14.707600000000001</v>
      </c>
      <c r="Q1122" s="5">
        <f t="shared" ca="1" si="97"/>
        <v>231.81149999999997</v>
      </c>
      <c r="R1122" s="4"/>
      <c r="S1122" s="4"/>
    </row>
    <row r="1123" spans="1:19" ht="15" customHeight="1">
      <c r="A1123" s="3">
        <f t="shared" si="93"/>
        <v>2088</v>
      </c>
      <c r="B1123" s="4">
        <f t="shared" ca="1" si="96"/>
        <v>30.436249999999998</v>
      </c>
      <c r="C1123" s="4">
        <f t="shared" ca="1" si="96"/>
        <v>30.442616666666662</v>
      </c>
      <c r="D1123" s="4">
        <f t="shared" ca="1" si="96"/>
        <v>30.450683333333334</v>
      </c>
      <c r="E1123" s="4">
        <f t="shared" ca="1" si="96"/>
        <v>30.447116666666659</v>
      </c>
      <c r="F1123" s="4">
        <f t="shared" ca="1" si="96"/>
        <v>31.12370833333333</v>
      </c>
      <c r="G1123" s="4">
        <f t="shared" ca="1" si="96"/>
        <v>29.712616666666673</v>
      </c>
      <c r="H1123" s="4">
        <f t="shared" ca="1" si="96"/>
        <v>30.633416666666665</v>
      </c>
      <c r="I1123" s="4">
        <f t="shared" ca="1" si="96"/>
        <v>29.329041666666665</v>
      </c>
      <c r="J1123" s="4">
        <f t="shared" ca="1" si="96"/>
        <v>29.193733333333331</v>
      </c>
      <c r="K1123" s="4"/>
      <c r="L1123" s="5">
        <f t="shared" ca="1" si="97"/>
        <v>356.48229999999995</v>
      </c>
      <c r="M1123" s="5">
        <f t="shared" ca="1" si="97"/>
        <v>142.42920000000001</v>
      </c>
      <c r="N1123" s="5">
        <f t="shared" ca="1" si="97"/>
        <v>58.377000000000002</v>
      </c>
      <c r="O1123" s="5">
        <f t="shared" ca="1" si="97"/>
        <v>4.4165999999999999</v>
      </c>
      <c r="P1123" s="5">
        <f t="shared" ca="1" si="97"/>
        <v>14.7493</v>
      </c>
      <c r="Q1123" s="5">
        <f t="shared" ca="1" si="97"/>
        <v>232.44659999999996</v>
      </c>
      <c r="R1123" s="4"/>
      <c r="S1123" s="4"/>
    </row>
    <row r="1124" spans="1:19" ht="15" customHeight="1">
      <c r="A1124" s="3">
        <f t="shared" si="93"/>
        <v>2089</v>
      </c>
      <c r="B1124" s="4">
        <f t="shared" ca="1" si="96"/>
        <v>31.16685</v>
      </c>
      <c r="C1124" s="4">
        <f t="shared" ca="1" si="96"/>
        <v>31.173183333333331</v>
      </c>
      <c r="D1124" s="4">
        <f t="shared" ca="1" si="96"/>
        <v>31.181258333333332</v>
      </c>
      <c r="E1124" s="4">
        <f t="shared" ca="1" si="96"/>
        <v>31.177699999999998</v>
      </c>
      <c r="F1124" s="4">
        <f t="shared" ca="1" si="96"/>
        <v>31.854291666666668</v>
      </c>
      <c r="G1124" s="4">
        <f t="shared" ca="1" si="96"/>
        <v>30.426183333333331</v>
      </c>
      <c r="H1124" s="4">
        <f t="shared" ca="1" si="96"/>
        <v>31.346983333333331</v>
      </c>
      <c r="I1124" s="4">
        <f t="shared" ca="1" si="96"/>
        <v>30.030816666666666</v>
      </c>
      <c r="J1124" s="4">
        <f t="shared" ca="1" si="96"/>
        <v>29.895149999999997</v>
      </c>
      <c r="K1124" s="4"/>
      <c r="L1124" s="5">
        <f t="shared" ca="1" si="97"/>
        <v>355.53689999999995</v>
      </c>
      <c r="M1124" s="5">
        <f t="shared" ca="1" si="97"/>
        <v>142.0401</v>
      </c>
      <c r="N1124" s="5">
        <f t="shared" ca="1" si="97"/>
        <v>58.217499999999994</v>
      </c>
      <c r="O1124" s="5">
        <f t="shared" ca="1" si="97"/>
        <v>4.4046000000000003</v>
      </c>
      <c r="P1124" s="5">
        <f t="shared" ca="1" si="97"/>
        <v>14.707600000000001</v>
      </c>
      <c r="Q1124" s="5">
        <f t="shared" ca="1" si="97"/>
        <v>231.81149999999997</v>
      </c>
      <c r="R1124" s="4"/>
      <c r="S1124" s="4"/>
    </row>
    <row r="1125" spans="1:19" ht="15" customHeight="1">
      <c r="A1125" s="3">
        <f t="shared" si="93"/>
        <v>2090</v>
      </c>
      <c r="B1125" s="4">
        <f t="shared" ca="1" si="96"/>
        <v>31.914966666666668</v>
      </c>
      <c r="C1125" s="4">
        <f t="shared" ca="1" si="96"/>
        <v>31.921341666666667</v>
      </c>
      <c r="D1125" s="4">
        <f t="shared" ca="1" si="96"/>
        <v>31.929374999999997</v>
      </c>
      <c r="E1125" s="4">
        <f t="shared" ca="1" si="96"/>
        <v>31.92583333333333</v>
      </c>
      <c r="F1125" s="4">
        <f t="shared" ca="1" si="96"/>
        <v>32.60241666666667</v>
      </c>
      <c r="G1125" s="4">
        <f t="shared" ca="1" si="96"/>
        <v>31.156875000000003</v>
      </c>
      <c r="H1125" s="4">
        <f t="shared" ca="1" si="96"/>
        <v>32.077666666666666</v>
      </c>
      <c r="I1125" s="4">
        <f t="shared" ca="1" si="96"/>
        <v>30.749466666666667</v>
      </c>
      <c r="J1125" s="4">
        <f t="shared" ca="1" si="96"/>
        <v>30.613441666666663</v>
      </c>
      <c r="K1125" s="4"/>
      <c r="L1125" s="5">
        <f t="shared" ca="1" si="97"/>
        <v>355.53689999999995</v>
      </c>
      <c r="M1125" s="5">
        <f t="shared" ca="1" si="97"/>
        <v>142.0401</v>
      </c>
      <c r="N1125" s="5">
        <f t="shared" ca="1" si="97"/>
        <v>58.217499999999994</v>
      </c>
      <c r="O1125" s="5">
        <f t="shared" ca="1" si="97"/>
        <v>4.4046000000000003</v>
      </c>
      <c r="P1125" s="5">
        <f t="shared" ca="1" si="97"/>
        <v>14.707600000000001</v>
      </c>
      <c r="Q1125" s="5">
        <f t="shared" ca="1" si="97"/>
        <v>231.81149999999997</v>
      </c>
      <c r="R1125" s="4"/>
      <c r="S1125" s="4"/>
    </row>
    <row r="1126" spans="1:19" ht="15" customHeight="1">
      <c r="A1126" s="3">
        <f t="shared" si="93"/>
        <v>2091</v>
      </c>
      <c r="B1126" s="4">
        <f t="shared" ca="1" si="96"/>
        <v>32.681066666666666</v>
      </c>
      <c r="C1126" s="4">
        <f t="shared" ca="1" si="96"/>
        <v>32.687441666666665</v>
      </c>
      <c r="D1126" s="4">
        <f t="shared" ca="1" si="96"/>
        <v>32.695500000000003</v>
      </c>
      <c r="E1126" s="4">
        <f t="shared" ca="1" si="96"/>
        <v>32.691933333333331</v>
      </c>
      <c r="F1126" s="4">
        <f t="shared" ca="1" si="96"/>
        <v>33.368516666666665</v>
      </c>
      <c r="G1126" s="4">
        <f t="shared" ca="1" si="96"/>
        <v>31.905133333333339</v>
      </c>
      <c r="H1126" s="4">
        <f t="shared" ca="1" si="96"/>
        <v>32.825941666666665</v>
      </c>
      <c r="I1126" s="4">
        <f t="shared" ca="1" si="96"/>
        <v>31.485366666666664</v>
      </c>
      <c r="J1126" s="4">
        <f t="shared" ca="1" si="96"/>
        <v>31.348958333333339</v>
      </c>
      <c r="K1126" s="4"/>
      <c r="L1126" s="5">
        <f t="shared" ca="1" si="97"/>
        <v>355.53689999999995</v>
      </c>
      <c r="M1126" s="5">
        <f t="shared" ca="1" si="97"/>
        <v>142.0401</v>
      </c>
      <c r="N1126" s="5">
        <f t="shared" ca="1" si="97"/>
        <v>58.217499999999994</v>
      </c>
      <c r="O1126" s="5">
        <f t="shared" ca="1" si="97"/>
        <v>4.4046000000000003</v>
      </c>
      <c r="P1126" s="5">
        <f t="shared" ca="1" si="97"/>
        <v>14.707600000000001</v>
      </c>
      <c r="Q1126" s="5">
        <f t="shared" ca="1" si="97"/>
        <v>231.81149999999997</v>
      </c>
      <c r="R1126" s="4"/>
      <c r="S1126" s="4"/>
    </row>
    <row r="1127" spans="1:19" ht="15" customHeight="1">
      <c r="A1127" s="3">
        <f t="shared" si="93"/>
        <v>2092</v>
      </c>
      <c r="B1127" s="4">
        <f t="shared" ref="B1127:J1135" ca="1" si="98">AVERAGE(OFFSET(B$581,($A1127-$A$1097)*12,0,12,1))</f>
        <v>33.465600000000009</v>
      </c>
      <c r="C1127" s="4">
        <f t="shared" ca="1" si="98"/>
        <v>33.471958333333333</v>
      </c>
      <c r="D1127" s="4">
        <f t="shared" ca="1" si="98"/>
        <v>33.480016666666664</v>
      </c>
      <c r="E1127" s="4">
        <f t="shared" ca="1" si="98"/>
        <v>33.476458333333333</v>
      </c>
      <c r="F1127" s="4">
        <f t="shared" ca="1" si="98"/>
        <v>34.153033333333333</v>
      </c>
      <c r="G1127" s="4">
        <f t="shared" ca="1" si="98"/>
        <v>32.671399999999998</v>
      </c>
      <c r="H1127" s="4">
        <f t="shared" ca="1" si="98"/>
        <v>33.592174999999997</v>
      </c>
      <c r="I1127" s="4">
        <f t="shared" ca="1" si="98"/>
        <v>32.238958333333336</v>
      </c>
      <c r="J1127" s="4">
        <f t="shared" ca="1" si="98"/>
        <v>32.102199999999996</v>
      </c>
      <c r="K1127" s="4"/>
      <c r="L1127" s="5">
        <f t="shared" ref="L1127:Q1135" ca="1" si="99">SUM(OFFSET(L$581,($A1127-$A$1097)*12,0,12,1))</f>
        <v>356.48229999999995</v>
      </c>
      <c r="M1127" s="5">
        <f t="shared" ca="1" si="99"/>
        <v>142.42920000000001</v>
      </c>
      <c r="N1127" s="5">
        <f t="shared" ca="1" si="99"/>
        <v>58.377000000000002</v>
      </c>
      <c r="O1127" s="5">
        <f t="shared" ca="1" si="99"/>
        <v>4.4165999999999999</v>
      </c>
      <c r="P1127" s="5">
        <f t="shared" ca="1" si="99"/>
        <v>14.7493</v>
      </c>
      <c r="Q1127" s="5">
        <f t="shared" ca="1" si="99"/>
        <v>232.44659999999996</v>
      </c>
      <c r="R1127" s="4"/>
      <c r="S1127" s="4"/>
    </row>
    <row r="1128" spans="1:19" ht="15" customHeight="1">
      <c r="A1128" s="3">
        <f t="shared" si="93"/>
        <v>2093</v>
      </c>
      <c r="B1128" s="4">
        <f t="shared" ca="1" si="98"/>
        <v>34.268958333333337</v>
      </c>
      <c r="C1128" s="4">
        <f t="shared" ca="1" si="98"/>
        <v>34.275316666666662</v>
      </c>
      <c r="D1128" s="4">
        <f t="shared" ca="1" si="98"/>
        <v>34.283374999999999</v>
      </c>
      <c r="E1128" s="4">
        <f t="shared" ca="1" si="98"/>
        <v>34.279816666666669</v>
      </c>
      <c r="F1128" s="4">
        <f t="shared" ca="1" si="98"/>
        <v>34.956416666666669</v>
      </c>
      <c r="G1128" s="4">
        <f t="shared" ca="1" si="98"/>
        <v>33.456024999999997</v>
      </c>
      <c r="H1128" s="4">
        <f t="shared" ca="1" si="98"/>
        <v>34.376825000000004</v>
      </c>
      <c r="I1128" s="4">
        <f t="shared" ca="1" si="98"/>
        <v>33.010658333333332</v>
      </c>
      <c r="J1128" s="4">
        <f t="shared" ca="1" si="98"/>
        <v>32.873508333333334</v>
      </c>
      <c r="K1128" s="4"/>
      <c r="L1128" s="5">
        <f t="shared" ca="1" si="99"/>
        <v>355.53689999999995</v>
      </c>
      <c r="M1128" s="5">
        <f t="shared" ca="1" si="99"/>
        <v>142.0401</v>
      </c>
      <c r="N1128" s="5">
        <f t="shared" ca="1" si="99"/>
        <v>58.217499999999994</v>
      </c>
      <c r="O1128" s="5">
        <f t="shared" ca="1" si="99"/>
        <v>4.4046000000000003</v>
      </c>
      <c r="P1128" s="5">
        <f t="shared" ca="1" si="99"/>
        <v>14.707600000000001</v>
      </c>
      <c r="Q1128" s="5">
        <f t="shared" ca="1" si="99"/>
        <v>231.81149999999997</v>
      </c>
      <c r="R1128" s="4"/>
      <c r="S1128" s="4"/>
    </row>
    <row r="1129" spans="1:19" ht="15" customHeight="1">
      <c r="A1129" s="3">
        <f t="shared" si="93"/>
        <v>2094</v>
      </c>
      <c r="B1129" s="4">
        <f t="shared" ca="1" si="98"/>
        <v>35.09161666666666</v>
      </c>
      <c r="C1129" s="4">
        <f t="shared" ca="1" si="98"/>
        <v>35.097999999999999</v>
      </c>
      <c r="D1129" s="4">
        <f t="shared" ca="1" si="98"/>
        <v>35.106041666666663</v>
      </c>
      <c r="E1129" s="4">
        <f t="shared" ca="1" si="98"/>
        <v>35.102483333333332</v>
      </c>
      <c r="F1129" s="4">
        <f t="shared" ca="1" si="98"/>
        <v>35.779066666666672</v>
      </c>
      <c r="G1129" s="4">
        <f t="shared" ca="1" si="98"/>
        <v>34.25953333333333</v>
      </c>
      <c r="H1129" s="4">
        <f t="shared" ca="1" si="98"/>
        <v>35.180325000000003</v>
      </c>
      <c r="I1129" s="4">
        <f t="shared" ca="1" si="98"/>
        <v>33.800908333333332</v>
      </c>
      <c r="J1129" s="4">
        <f t="shared" ca="1" si="98"/>
        <v>33.663341666666668</v>
      </c>
      <c r="K1129" s="4"/>
      <c r="L1129" s="5">
        <f t="shared" ca="1" si="99"/>
        <v>355.53689999999995</v>
      </c>
      <c r="M1129" s="5">
        <f t="shared" ca="1" si="99"/>
        <v>142.0401</v>
      </c>
      <c r="N1129" s="5">
        <f t="shared" ca="1" si="99"/>
        <v>58.217499999999994</v>
      </c>
      <c r="O1129" s="5">
        <f t="shared" ca="1" si="99"/>
        <v>4.4046000000000003</v>
      </c>
      <c r="P1129" s="5">
        <f t="shared" ca="1" si="99"/>
        <v>14.707600000000001</v>
      </c>
      <c r="Q1129" s="5">
        <f t="shared" ca="1" si="99"/>
        <v>231.81149999999997</v>
      </c>
      <c r="R1129" s="4"/>
      <c r="S1129" s="4"/>
    </row>
    <row r="1130" spans="1:19" ht="15" customHeight="1">
      <c r="A1130" s="3">
        <f t="shared" si="93"/>
        <v>2095</v>
      </c>
      <c r="B1130" s="4">
        <f t="shared" ca="1" si="98"/>
        <v>35.934058333333333</v>
      </c>
      <c r="C1130" s="4">
        <f t="shared" ca="1" si="98"/>
        <v>35.940433333333338</v>
      </c>
      <c r="D1130" s="4">
        <f t="shared" ca="1" si="98"/>
        <v>35.948475000000002</v>
      </c>
      <c r="E1130" s="4">
        <f t="shared" ca="1" si="98"/>
        <v>35.944924999999991</v>
      </c>
      <c r="F1130" s="4">
        <f t="shared" ca="1" si="98"/>
        <v>36.621516666666672</v>
      </c>
      <c r="G1130" s="4">
        <f t="shared" ca="1" si="98"/>
        <v>35.082333333333331</v>
      </c>
      <c r="H1130" s="4">
        <f t="shared" ca="1" si="98"/>
        <v>36.003125000000004</v>
      </c>
      <c r="I1130" s="4">
        <f t="shared" ca="1" si="98"/>
        <v>34.61013333333333</v>
      </c>
      <c r="J1130" s="4">
        <f t="shared" ca="1" si="98"/>
        <v>34.472158333333333</v>
      </c>
      <c r="K1130" s="4"/>
      <c r="L1130" s="5">
        <f t="shared" ca="1" si="99"/>
        <v>355.53689999999995</v>
      </c>
      <c r="M1130" s="5">
        <f t="shared" ca="1" si="99"/>
        <v>142.0401</v>
      </c>
      <c r="N1130" s="5">
        <f t="shared" ca="1" si="99"/>
        <v>58.217499999999994</v>
      </c>
      <c r="O1130" s="5">
        <f t="shared" ca="1" si="99"/>
        <v>4.4046000000000003</v>
      </c>
      <c r="P1130" s="5">
        <f t="shared" ca="1" si="99"/>
        <v>14.707600000000001</v>
      </c>
      <c r="Q1130" s="5">
        <f t="shared" ca="1" si="99"/>
        <v>231.81149999999997</v>
      </c>
      <c r="R1130" s="4"/>
      <c r="S1130" s="4"/>
    </row>
    <row r="1131" spans="1:19" ht="15" customHeight="1">
      <c r="A1131" s="3">
        <f t="shared" si="93"/>
        <v>2096</v>
      </c>
      <c r="B1131" s="4">
        <f t="shared" ca="1" si="98"/>
        <v>36.796725000000002</v>
      </c>
      <c r="C1131" s="4">
        <f t="shared" ca="1" si="98"/>
        <v>36.803083333333326</v>
      </c>
      <c r="D1131" s="4">
        <f t="shared" ca="1" si="98"/>
        <v>36.811166666666672</v>
      </c>
      <c r="E1131" s="4">
        <f t="shared" ca="1" si="98"/>
        <v>36.807591666666667</v>
      </c>
      <c r="F1131" s="4">
        <f t="shared" ca="1" si="98"/>
        <v>37.484191666666661</v>
      </c>
      <c r="G1131" s="4">
        <f t="shared" ca="1" si="98"/>
        <v>35.924916666666668</v>
      </c>
      <c r="H1131" s="4">
        <f t="shared" ca="1" si="98"/>
        <v>36.845716666666668</v>
      </c>
      <c r="I1131" s="4">
        <f t="shared" ca="1" si="98"/>
        <v>35.438800000000001</v>
      </c>
      <c r="J1131" s="4">
        <f t="shared" ca="1" si="98"/>
        <v>35.300416666666663</v>
      </c>
      <c r="K1131" s="4"/>
      <c r="L1131" s="5">
        <f t="shared" ca="1" si="99"/>
        <v>356.48229999999995</v>
      </c>
      <c r="M1131" s="5">
        <f t="shared" ca="1" si="99"/>
        <v>142.42920000000001</v>
      </c>
      <c r="N1131" s="5">
        <f t="shared" ca="1" si="99"/>
        <v>58.377000000000002</v>
      </c>
      <c r="O1131" s="5">
        <f t="shared" ca="1" si="99"/>
        <v>4.4165999999999999</v>
      </c>
      <c r="P1131" s="5">
        <f t="shared" ca="1" si="99"/>
        <v>14.7493</v>
      </c>
      <c r="Q1131" s="5">
        <f t="shared" ca="1" si="99"/>
        <v>232.44659999999996</v>
      </c>
      <c r="R1131" s="4"/>
      <c r="S1131" s="4"/>
    </row>
    <row r="1132" spans="1:19" ht="15" customHeight="1">
      <c r="A1132" s="3">
        <f t="shared" si="93"/>
        <v>2097</v>
      </c>
      <c r="B1132" s="4">
        <f t="shared" ca="1" si="98"/>
        <v>37.68013333333333</v>
      </c>
      <c r="C1132" s="4">
        <f t="shared" ca="1" si="98"/>
        <v>37.686508333333329</v>
      </c>
      <c r="D1132" s="4">
        <f t="shared" ca="1" si="98"/>
        <v>37.69455833333334</v>
      </c>
      <c r="E1132" s="4">
        <f t="shared" ca="1" si="98"/>
        <v>37.690999999999995</v>
      </c>
      <c r="F1132" s="4">
        <f t="shared" ca="1" si="98"/>
        <v>38.367608333333337</v>
      </c>
      <c r="G1132" s="4">
        <f t="shared" ca="1" si="98"/>
        <v>36.787750000000003</v>
      </c>
      <c r="H1132" s="4">
        <f t="shared" ca="1" si="98"/>
        <v>37.708541666666662</v>
      </c>
      <c r="I1132" s="4">
        <f t="shared" ca="1" si="98"/>
        <v>36.287383333333338</v>
      </c>
      <c r="J1132" s="4">
        <f t="shared" ca="1" si="98"/>
        <v>36.148591666666668</v>
      </c>
      <c r="K1132" s="4"/>
      <c r="L1132" s="5">
        <f t="shared" ca="1" si="99"/>
        <v>355.53689999999995</v>
      </c>
      <c r="M1132" s="5">
        <f t="shared" ca="1" si="99"/>
        <v>142.0401</v>
      </c>
      <c r="N1132" s="5">
        <f t="shared" ca="1" si="99"/>
        <v>58.217499999999994</v>
      </c>
      <c r="O1132" s="5">
        <f t="shared" ca="1" si="99"/>
        <v>4.4046000000000003</v>
      </c>
      <c r="P1132" s="5">
        <f t="shared" ca="1" si="99"/>
        <v>14.707600000000001</v>
      </c>
      <c r="Q1132" s="5">
        <f t="shared" ca="1" si="99"/>
        <v>231.81149999999997</v>
      </c>
      <c r="R1132" s="4"/>
      <c r="S1132" s="4"/>
    </row>
    <row r="1133" spans="1:19" ht="15" customHeight="1">
      <c r="A1133" s="3">
        <f t="shared" si="93"/>
        <v>2098</v>
      </c>
      <c r="B1133" s="4">
        <f t="shared" ca="1" si="98"/>
        <v>38.58476666666666</v>
      </c>
      <c r="C1133" s="4">
        <f t="shared" ca="1" si="98"/>
        <v>38.591141666666665</v>
      </c>
      <c r="D1133" s="4">
        <f t="shared" ca="1" si="98"/>
        <v>38.599174999999995</v>
      </c>
      <c r="E1133" s="4">
        <f t="shared" ca="1" si="98"/>
        <v>38.595633333333332</v>
      </c>
      <c r="F1133" s="4">
        <f t="shared" ca="1" si="98"/>
        <v>39.272233333333332</v>
      </c>
      <c r="G1133" s="4">
        <f t="shared" ca="1" si="98"/>
        <v>37.671291666666669</v>
      </c>
      <c r="H1133" s="4">
        <f t="shared" ca="1" si="98"/>
        <v>38.592100000000009</v>
      </c>
      <c r="I1133" s="4">
        <f t="shared" ca="1" si="98"/>
        <v>37.156349999999996</v>
      </c>
      <c r="J1133" s="4">
        <f t="shared" ca="1" si="98"/>
        <v>37.017116666666666</v>
      </c>
      <c r="K1133" s="4"/>
      <c r="L1133" s="5">
        <f t="shared" ca="1" si="99"/>
        <v>355.53689999999995</v>
      </c>
      <c r="M1133" s="5">
        <f t="shared" ca="1" si="99"/>
        <v>142.0401</v>
      </c>
      <c r="N1133" s="5">
        <f t="shared" ca="1" si="99"/>
        <v>58.217499999999994</v>
      </c>
      <c r="O1133" s="5">
        <f t="shared" ca="1" si="99"/>
        <v>4.4046000000000003</v>
      </c>
      <c r="P1133" s="5">
        <f t="shared" ca="1" si="99"/>
        <v>14.707600000000001</v>
      </c>
      <c r="Q1133" s="5">
        <f t="shared" ca="1" si="99"/>
        <v>231.81149999999997</v>
      </c>
      <c r="R1133" s="4"/>
      <c r="S1133" s="4"/>
    </row>
    <row r="1134" spans="1:19" ht="15" customHeight="1">
      <c r="A1134" s="3">
        <f t="shared" si="93"/>
        <v>2099</v>
      </c>
      <c r="B1134" s="4">
        <f t="shared" ca="1" si="98"/>
        <v>39.511133333333326</v>
      </c>
      <c r="C1134" s="4">
        <f t="shared" ca="1" si="98"/>
        <v>39.517500000000005</v>
      </c>
      <c r="D1134" s="4">
        <f t="shared" ca="1" si="98"/>
        <v>39.525541666666669</v>
      </c>
      <c r="E1134" s="4">
        <f t="shared" ca="1" si="98"/>
        <v>39.521983333333331</v>
      </c>
      <c r="F1134" s="4">
        <f t="shared" ca="1" si="98"/>
        <v>40.198600000000006</v>
      </c>
      <c r="G1134" s="4">
        <f t="shared" ca="1" si="98"/>
        <v>38.576083333333337</v>
      </c>
      <c r="H1134" s="4">
        <f t="shared" ca="1" si="98"/>
        <v>39.496874999999996</v>
      </c>
      <c r="I1134" s="4">
        <f t="shared" ca="1" si="98"/>
        <v>38.046183333333325</v>
      </c>
      <c r="J1134" s="4">
        <f t="shared" ca="1" si="98"/>
        <v>37.906516666666661</v>
      </c>
      <c r="K1134" s="4"/>
      <c r="L1134" s="5">
        <f t="shared" ca="1" si="99"/>
        <v>355.53689999999995</v>
      </c>
      <c r="M1134" s="5">
        <f t="shared" ca="1" si="99"/>
        <v>142.0401</v>
      </c>
      <c r="N1134" s="5">
        <f t="shared" ca="1" si="99"/>
        <v>58.217499999999994</v>
      </c>
      <c r="O1134" s="5">
        <f t="shared" ca="1" si="99"/>
        <v>4.4046000000000003</v>
      </c>
      <c r="P1134" s="5">
        <f t="shared" ca="1" si="99"/>
        <v>14.707600000000001</v>
      </c>
      <c r="Q1134" s="5">
        <f t="shared" ca="1" si="99"/>
        <v>231.81149999999997</v>
      </c>
      <c r="R1134" s="4"/>
      <c r="S1134" s="4"/>
    </row>
    <row r="1135" spans="1:19" ht="15" customHeight="1">
      <c r="A1135" s="3">
        <f t="shared" si="93"/>
        <v>2100</v>
      </c>
      <c r="B1135" s="4">
        <f t="shared" ca="1" si="98"/>
        <v>40.45975</v>
      </c>
      <c r="C1135" s="4">
        <f t="shared" ca="1" si="98"/>
        <v>40.466133333333339</v>
      </c>
      <c r="D1135" s="4">
        <f t="shared" ca="1" si="98"/>
        <v>40.474183333333329</v>
      </c>
      <c r="E1135" s="4">
        <f t="shared" ca="1" si="98"/>
        <v>40.470616666666665</v>
      </c>
      <c r="F1135" s="4">
        <f t="shared" ca="1" si="98"/>
        <v>41.147224999999999</v>
      </c>
      <c r="G1135" s="4">
        <f t="shared" ca="1" si="98"/>
        <v>39.502600000000001</v>
      </c>
      <c r="H1135" s="4">
        <f t="shared" ca="1" si="98"/>
        <v>40.423416666666661</v>
      </c>
      <c r="I1135" s="4">
        <f t="shared" ca="1" si="98"/>
        <v>38.95741666666666</v>
      </c>
      <c r="J1135" s="4">
        <f t="shared" ca="1" si="98"/>
        <v>38.817291666666669</v>
      </c>
      <c r="K1135" s="4"/>
      <c r="L1135" s="5">
        <f t="shared" ca="1" si="99"/>
        <v>355.53689999999995</v>
      </c>
      <c r="M1135" s="5">
        <f t="shared" ca="1" si="99"/>
        <v>142.0401</v>
      </c>
      <c r="N1135" s="5">
        <f t="shared" ca="1" si="99"/>
        <v>58.217499999999994</v>
      </c>
      <c r="O1135" s="5">
        <f t="shared" ca="1" si="99"/>
        <v>4.4046000000000003</v>
      </c>
      <c r="P1135" s="5">
        <f t="shared" ca="1" si="99"/>
        <v>14.707600000000001</v>
      </c>
      <c r="Q1135" s="5">
        <f t="shared" ca="1" si="99"/>
        <v>231.81149999999997</v>
      </c>
      <c r="R1135" s="4"/>
      <c r="S1135" s="4"/>
    </row>
    <row r="1136" spans="1:19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</sheetData>
  <mergeCells count="2">
    <mergeCell ref="L13:S13"/>
    <mergeCell ref="L14:S14"/>
  </mergeCells>
  <pageMargins left="0.25" right="0.25" top="0.5" bottom="0.5" header="0.25" footer="0.25"/>
  <pageSetup paperSize="119" scale="85" orientation="landscape" horizontalDpi="1200" verticalDpi="1200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0</xdr:colOff>
                    <xdr:row>11</xdr:row>
                    <xdr:rowOff>171450</xdr:rowOff>
                  </from>
                  <to>
                    <xdr:col>4</xdr:col>
                    <xdr:colOff>533400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4</xdr:col>
                    <xdr:colOff>533400</xdr:colOff>
                    <xdr:row>11</xdr:row>
                    <xdr:rowOff>171450</xdr:rowOff>
                  </from>
                  <to>
                    <xdr:col>6</xdr:col>
                    <xdr:colOff>257175</xdr:colOff>
                    <xdr:row>13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T1155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2.75"/>
  <cols>
    <col min="1" max="1" width="7.5546875" style="33" bestFit="1" customWidth="1"/>
    <col min="2" max="2" width="7.88671875" style="33" customWidth="1"/>
    <col min="3" max="7" width="11.33203125" style="32" customWidth="1"/>
    <col min="8" max="8" width="12.77734375" style="32" bestFit="1" customWidth="1"/>
    <col min="9" max="9" width="13.21875" style="32" customWidth="1"/>
    <col min="10" max="10" width="12.77734375" style="32" customWidth="1"/>
    <col min="11" max="11" width="7.77734375" style="32" customWidth="1"/>
    <col min="12" max="16384" width="7.109375" style="32"/>
  </cols>
  <sheetData>
    <row r="1" spans="1:10" ht="15.75">
      <c r="A1" s="85" t="s">
        <v>64</v>
      </c>
    </row>
    <row r="2" spans="1:10" ht="15.75">
      <c r="A2" s="85" t="s">
        <v>65</v>
      </c>
    </row>
    <row r="3" spans="1:10" ht="15.75">
      <c r="A3" s="85" t="s">
        <v>66</v>
      </c>
    </row>
    <row r="4" spans="1:10" ht="15.75">
      <c r="A4" s="85" t="s">
        <v>67</v>
      </c>
    </row>
    <row r="5" spans="1:10" ht="15.75">
      <c r="A5" s="85" t="s">
        <v>69</v>
      </c>
    </row>
    <row r="6" spans="1:10" ht="15.75">
      <c r="A6" s="85" t="s">
        <v>73</v>
      </c>
    </row>
    <row r="8" spans="1:10" ht="20.25">
      <c r="A8" s="31" t="s">
        <v>35</v>
      </c>
    </row>
    <row r="9" spans="1:10" ht="15.75">
      <c r="A9" s="30" t="s">
        <v>25</v>
      </c>
    </row>
    <row r="11" spans="1:10">
      <c r="A11" s="32"/>
    </row>
    <row r="12" spans="1:10" ht="15.75">
      <c r="A12" s="32"/>
      <c r="B12" s="30"/>
      <c r="C12" s="53"/>
      <c r="I12" s="24"/>
    </row>
    <row r="13" spans="1:10" ht="15.75">
      <c r="A13" s="30"/>
      <c r="B13" s="30"/>
      <c r="C13" s="53"/>
      <c r="I13" s="24"/>
    </row>
    <row r="14" spans="1:10" ht="15.75">
      <c r="A14" s="30"/>
      <c r="C14" s="87" t="s">
        <v>34</v>
      </c>
      <c r="D14" s="87"/>
      <c r="E14" s="87"/>
      <c r="F14" s="52"/>
      <c r="G14" s="51"/>
      <c r="H14" s="50"/>
      <c r="I14" s="49"/>
    </row>
    <row r="15" spans="1:10" ht="97.9" customHeight="1">
      <c r="A15" s="18"/>
      <c r="B15" s="18"/>
      <c r="C15" s="21" t="s">
        <v>20</v>
      </c>
      <c r="D15" s="48" t="s">
        <v>19</v>
      </c>
      <c r="E15" s="21" t="s">
        <v>33</v>
      </c>
      <c r="F15" s="21" t="s">
        <v>32</v>
      </c>
      <c r="G15" s="21" t="s">
        <v>16</v>
      </c>
      <c r="H15" s="47" t="s">
        <v>31</v>
      </c>
      <c r="I15" s="21" t="s">
        <v>30</v>
      </c>
      <c r="J15" s="21" t="s">
        <v>29</v>
      </c>
    </row>
    <row r="16" spans="1:10" ht="15.75">
      <c r="A16" s="20" t="s">
        <v>2</v>
      </c>
      <c r="B16" s="20" t="s">
        <v>28</v>
      </c>
      <c r="C16" s="20" t="s">
        <v>27</v>
      </c>
      <c r="D16" s="20" t="s">
        <v>27</v>
      </c>
      <c r="E16" s="20" t="s">
        <v>27</v>
      </c>
      <c r="F16" s="20" t="s">
        <v>27</v>
      </c>
      <c r="G16" s="20" t="s">
        <v>27</v>
      </c>
      <c r="H16" s="46" t="s">
        <v>27</v>
      </c>
      <c r="I16" s="20" t="s">
        <v>27</v>
      </c>
      <c r="J16" s="20" t="s">
        <v>27</v>
      </c>
    </row>
    <row r="17" spans="1:20" ht="15.75">
      <c r="A17" s="13">
        <v>42005</v>
      </c>
      <c r="B17" s="44">
        <v>31</v>
      </c>
      <c r="C17" s="35">
        <v>122.58</v>
      </c>
      <c r="D17" s="35">
        <v>297.94099999999997</v>
      </c>
      <c r="E17" s="41">
        <v>729.47900000000004</v>
      </c>
      <c r="F17" s="35">
        <v>1150</v>
      </c>
      <c r="G17" s="35">
        <v>100</v>
      </c>
      <c r="H17" s="43"/>
      <c r="I17" s="35">
        <v>695</v>
      </c>
      <c r="J17" s="35">
        <v>50</v>
      </c>
      <c r="K17" s="36"/>
      <c r="L17" s="45"/>
      <c r="M17" s="36"/>
      <c r="N17" s="36"/>
      <c r="O17" s="36"/>
      <c r="P17" s="36"/>
      <c r="Q17" s="36"/>
      <c r="R17" s="36"/>
      <c r="S17" s="36"/>
      <c r="T17" s="36"/>
    </row>
    <row r="18" spans="1:20" ht="15.75">
      <c r="A18" s="13">
        <v>42036</v>
      </c>
      <c r="B18" s="44">
        <v>28</v>
      </c>
      <c r="C18" s="35">
        <v>122.58</v>
      </c>
      <c r="D18" s="35">
        <v>297.94099999999997</v>
      </c>
      <c r="E18" s="41">
        <v>729.47900000000004</v>
      </c>
      <c r="F18" s="35">
        <v>1150</v>
      </c>
      <c r="G18" s="35">
        <v>100</v>
      </c>
      <c r="H18" s="43"/>
      <c r="I18" s="35">
        <v>695</v>
      </c>
      <c r="J18" s="35">
        <v>50</v>
      </c>
      <c r="K18" s="36"/>
      <c r="L18" s="45"/>
      <c r="M18" s="36"/>
      <c r="N18" s="36"/>
      <c r="O18" s="36"/>
      <c r="P18" s="36"/>
      <c r="Q18" s="36"/>
      <c r="R18" s="36"/>
      <c r="S18" s="36"/>
      <c r="T18" s="36"/>
    </row>
    <row r="19" spans="1:20" ht="15.75">
      <c r="A19" s="13">
        <v>42064</v>
      </c>
      <c r="B19" s="44">
        <v>31</v>
      </c>
      <c r="C19" s="35">
        <v>122.58</v>
      </c>
      <c r="D19" s="35">
        <v>297.94099999999997</v>
      </c>
      <c r="E19" s="41">
        <v>729.47900000000004</v>
      </c>
      <c r="F19" s="35">
        <v>1150</v>
      </c>
      <c r="G19" s="35">
        <v>100</v>
      </c>
      <c r="H19" s="43"/>
      <c r="I19" s="35">
        <v>695</v>
      </c>
      <c r="J19" s="35">
        <v>50</v>
      </c>
      <c r="K19" s="36"/>
      <c r="L19" s="45"/>
      <c r="M19" s="36"/>
      <c r="N19" s="36"/>
      <c r="O19" s="36"/>
      <c r="P19" s="36"/>
      <c r="Q19" s="36"/>
      <c r="R19" s="36"/>
      <c r="S19" s="36"/>
      <c r="T19" s="36"/>
    </row>
    <row r="20" spans="1:20" ht="15.75">
      <c r="A20" s="13">
        <v>42095</v>
      </c>
      <c r="B20" s="44">
        <v>30</v>
      </c>
      <c r="C20" s="35">
        <v>141.29300000000001</v>
      </c>
      <c r="D20" s="35">
        <v>267.99299999999999</v>
      </c>
      <c r="E20" s="41">
        <v>829.71400000000006</v>
      </c>
      <c r="F20" s="35">
        <v>1239</v>
      </c>
      <c r="G20" s="35">
        <v>100</v>
      </c>
      <c r="H20" s="43"/>
      <c r="I20" s="35">
        <v>695</v>
      </c>
      <c r="J20" s="35">
        <v>50</v>
      </c>
      <c r="K20" s="36"/>
      <c r="L20" s="45"/>
      <c r="M20" s="36"/>
      <c r="N20" s="36"/>
      <c r="O20" s="36"/>
      <c r="P20" s="36"/>
      <c r="Q20" s="36"/>
      <c r="R20" s="36"/>
      <c r="S20" s="36"/>
      <c r="T20" s="36"/>
    </row>
    <row r="21" spans="1:20" ht="15.75">
      <c r="A21" s="13">
        <v>42125</v>
      </c>
      <c r="B21" s="44">
        <v>31</v>
      </c>
      <c r="C21" s="35">
        <v>194.20500000000001</v>
      </c>
      <c r="D21" s="35">
        <v>267.46600000000001</v>
      </c>
      <c r="E21" s="41">
        <v>912.32899999999995</v>
      </c>
      <c r="F21" s="35">
        <v>1374</v>
      </c>
      <c r="G21" s="35">
        <v>75</v>
      </c>
      <c r="H21" s="43"/>
      <c r="I21" s="35">
        <v>695</v>
      </c>
      <c r="J21" s="35">
        <v>50</v>
      </c>
      <c r="K21" s="36"/>
      <c r="L21" s="45"/>
      <c r="M21" s="36"/>
      <c r="N21" s="36"/>
      <c r="O21" s="36"/>
      <c r="P21" s="36"/>
      <c r="Q21" s="36"/>
      <c r="R21" s="36"/>
      <c r="S21" s="36"/>
      <c r="T21" s="36"/>
    </row>
    <row r="22" spans="1:20" ht="15.75">
      <c r="A22" s="13">
        <v>42156</v>
      </c>
      <c r="B22" s="44">
        <v>30</v>
      </c>
      <c r="C22" s="35">
        <v>194.20500000000001</v>
      </c>
      <c r="D22" s="35">
        <v>267.46600000000001</v>
      </c>
      <c r="E22" s="41">
        <v>912.32899999999995</v>
      </c>
      <c r="F22" s="35">
        <v>1374</v>
      </c>
      <c r="G22" s="35">
        <v>50</v>
      </c>
      <c r="H22" s="43"/>
      <c r="I22" s="35">
        <v>695</v>
      </c>
      <c r="J22" s="35">
        <v>50</v>
      </c>
      <c r="K22" s="36"/>
      <c r="L22" s="45"/>
      <c r="M22" s="36"/>
      <c r="N22" s="36"/>
      <c r="O22" s="36"/>
      <c r="P22" s="36"/>
      <c r="Q22" s="36"/>
      <c r="R22" s="36"/>
      <c r="S22" s="36"/>
      <c r="T22" s="36"/>
    </row>
    <row r="23" spans="1:20" ht="15.75">
      <c r="A23" s="13">
        <v>42186</v>
      </c>
      <c r="B23" s="44">
        <v>31</v>
      </c>
      <c r="C23" s="35">
        <v>194.20500000000001</v>
      </c>
      <c r="D23" s="35">
        <v>267.46600000000001</v>
      </c>
      <c r="E23" s="41">
        <v>912.32899999999995</v>
      </c>
      <c r="F23" s="35">
        <v>1374</v>
      </c>
      <c r="G23" s="35">
        <v>50</v>
      </c>
      <c r="H23" s="43"/>
      <c r="I23" s="35">
        <v>695</v>
      </c>
      <c r="J23" s="35">
        <v>0</v>
      </c>
      <c r="K23" s="36"/>
      <c r="L23" s="45"/>
      <c r="M23" s="36"/>
      <c r="N23" s="36"/>
      <c r="O23" s="36"/>
      <c r="P23" s="36"/>
      <c r="Q23" s="36"/>
      <c r="R23" s="36"/>
      <c r="S23" s="36"/>
      <c r="T23" s="36"/>
    </row>
    <row r="24" spans="1:20" ht="15.75">
      <c r="A24" s="13">
        <v>42217</v>
      </c>
      <c r="B24" s="44">
        <v>31</v>
      </c>
      <c r="C24" s="35">
        <v>194.20500000000001</v>
      </c>
      <c r="D24" s="35">
        <v>267.46600000000001</v>
      </c>
      <c r="E24" s="41">
        <v>912.32899999999995</v>
      </c>
      <c r="F24" s="35">
        <v>1374</v>
      </c>
      <c r="G24" s="35">
        <v>50</v>
      </c>
      <c r="H24" s="43"/>
      <c r="I24" s="35">
        <v>695</v>
      </c>
      <c r="J24" s="35">
        <v>0</v>
      </c>
      <c r="K24" s="36"/>
      <c r="L24" s="45"/>
      <c r="M24" s="36"/>
      <c r="N24" s="36"/>
      <c r="O24" s="36"/>
      <c r="P24" s="36"/>
      <c r="Q24" s="36"/>
      <c r="R24" s="36"/>
      <c r="S24" s="36"/>
      <c r="T24" s="36"/>
    </row>
    <row r="25" spans="1:20" ht="15.75">
      <c r="A25" s="13">
        <v>42248</v>
      </c>
      <c r="B25" s="44">
        <v>30</v>
      </c>
      <c r="C25" s="35">
        <v>194.20500000000001</v>
      </c>
      <c r="D25" s="35">
        <v>267.46600000000001</v>
      </c>
      <c r="E25" s="41">
        <v>912.32899999999995</v>
      </c>
      <c r="F25" s="35">
        <v>1374</v>
      </c>
      <c r="G25" s="35">
        <v>50</v>
      </c>
      <c r="H25" s="43"/>
      <c r="I25" s="35">
        <v>695</v>
      </c>
      <c r="J25" s="35">
        <v>0</v>
      </c>
      <c r="K25" s="36"/>
      <c r="L25" s="45"/>
      <c r="M25" s="36"/>
      <c r="N25" s="36"/>
      <c r="O25" s="36"/>
      <c r="P25" s="36"/>
      <c r="Q25" s="36"/>
      <c r="R25" s="36"/>
      <c r="S25" s="36"/>
      <c r="T25" s="36"/>
    </row>
    <row r="26" spans="1:20" ht="15.75">
      <c r="A26" s="13">
        <v>42278</v>
      </c>
      <c r="B26" s="44">
        <v>31</v>
      </c>
      <c r="C26" s="35">
        <v>131.881</v>
      </c>
      <c r="D26" s="35">
        <v>277.16699999999997</v>
      </c>
      <c r="E26" s="41">
        <v>829.952</v>
      </c>
      <c r="F26" s="35">
        <v>1239</v>
      </c>
      <c r="G26" s="35">
        <v>75</v>
      </c>
      <c r="H26" s="43"/>
      <c r="I26" s="35">
        <v>695</v>
      </c>
      <c r="J26" s="35">
        <v>0</v>
      </c>
      <c r="K26" s="36"/>
      <c r="L26" s="45"/>
      <c r="M26" s="36"/>
      <c r="N26" s="36"/>
      <c r="O26" s="36"/>
      <c r="P26" s="36"/>
      <c r="Q26" s="36"/>
      <c r="R26" s="36"/>
      <c r="S26" s="36"/>
      <c r="T26" s="36"/>
    </row>
    <row r="27" spans="1:20" ht="15.75">
      <c r="A27" s="13">
        <v>42309</v>
      </c>
      <c r="B27" s="44">
        <v>30</v>
      </c>
      <c r="C27" s="35">
        <v>122.58</v>
      </c>
      <c r="D27" s="35">
        <v>297.94099999999997</v>
      </c>
      <c r="E27" s="41">
        <v>729.47900000000004</v>
      </c>
      <c r="F27" s="35">
        <v>1150</v>
      </c>
      <c r="G27" s="35">
        <v>100</v>
      </c>
      <c r="H27" s="43"/>
      <c r="I27" s="35">
        <v>695</v>
      </c>
      <c r="J27" s="35">
        <v>50</v>
      </c>
      <c r="K27" s="36"/>
      <c r="L27" s="45"/>
      <c r="M27" s="36"/>
      <c r="N27" s="36"/>
      <c r="O27" s="36"/>
      <c r="P27" s="36"/>
      <c r="Q27" s="36"/>
      <c r="R27" s="36"/>
      <c r="S27" s="36"/>
      <c r="T27" s="36"/>
    </row>
    <row r="28" spans="1:20" ht="15.75">
      <c r="A28" s="13">
        <v>42339</v>
      </c>
      <c r="B28" s="44">
        <v>31</v>
      </c>
      <c r="C28" s="35">
        <v>122.58</v>
      </c>
      <c r="D28" s="35">
        <v>297.94099999999997</v>
      </c>
      <c r="E28" s="41">
        <v>729.47900000000004</v>
      </c>
      <c r="F28" s="35">
        <v>1150</v>
      </c>
      <c r="G28" s="35">
        <v>100</v>
      </c>
      <c r="H28" s="43"/>
      <c r="I28" s="35">
        <v>695</v>
      </c>
      <c r="J28" s="35">
        <v>50</v>
      </c>
      <c r="K28" s="36"/>
      <c r="L28" s="45"/>
      <c r="M28" s="36"/>
      <c r="N28" s="36"/>
      <c r="O28" s="36"/>
      <c r="P28" s="36"/>
      <c r="Q28" s="36"/>
      <c r="R28" s="36"/>
      <c r="S28" s="36"/>
      <c r="T28" s="36"/>
    </row>
    <row r="29" spans="1:20" ht="15.75">
      <c r="A29" s="13">
        <v>42370</v>
      </c>
      <c r="B29" s="44">
        <v>31</v>
      </c>
      <c r="C29" s="35">
        <v>122.58</v>
      </c>
      <c r="D29" s="35">
        <v>297.94099999999997</v>
      </c>
      <c r="E29" s="41">
        <v>729.47900000000004</v>
      </c>
      <c r="F29" s="35">
        <v>1150</v>
      </c>
      <c r="G29" s="35">
        <v>100</v>
      </c>
      <c r="H29" s="43"/>
      <c r="I29" s="35">
        <v>695</v>
      </c>
      <c r="J29" s="35">
        <v>50</v>
      </c>
      <c r="K29" s="36"/>
      <c r="L29" s="45"/>
      <c r="M29" s="36"/>
      <c r="N29" s="36"/>
      <c r="O29" s="36"/>
      <c r="P29" s="36"/>
      <c r="Q29" s="36"/>
      <c r="R29" s="36"/>
      <c r="S29" s="36"/>
      <c r="T29" s="36"/>
    </row>
    <row r="30" spans="1:20" ht="15.75">
      <c r="A30" s="13">
        <v>42401</v>
      </c>
      <c r="B30" s="44">
        <v>29</v>
      </c>
      <c r="C30" s="35">
        <v>122.58</v>
      </c>
      <c r="D30" s="35">
        <v>297.94099999999997</v>
      </c>
      <c r="E30" s="41">
        <v>729.47900000000004</v>
      </c>
      <c r="F30" s="35">
        <v>1150</v>
      </c>
      <c r="G30" s="35">
        <v>100</v>
      </c>
      <c r="H30" s="43"/>
      <c r="I30" s="35">
        <v>695</v>
      </c>
      <c r="J30" s="35">
        <v>50</v>
      </c>
      <c r="K30" s="36"/>
      <c r="L30" s="45"/>
      <c r="M30" s="36"/>
      <c r="N30" s="36"/>
      <c r="O30" s="36"/>
      <c r="P30" s="36"/>
      <c r="Q30" s="36"/>
      <c r="R30" s="36"/>
      <c r="S30" s="36"/>
      <c r="T30" s="36"/>
    </row>
    <row r="31" spans="1:20" ht="15.75">
      <c r="A31" s="13">
        <v>42430</v>
      </c>
      <c r="B31" s="44">
        <v>31</v>
      </c>
      <c r="C31" s="35">
        <v>122.58</v>
      </c>
      <c r="D31" s="35">
        <v>297.94099999999997</v>
      </c>
      <c r="E31" s="41">
        <v>729.47900000000004</v>
      </c>
      <c r="F31" s="35">
        <v>1150</v>
      </c>
      <c r="G31" s="35">
        <v>100</v>
      </c>
      <c r="H31" s="43"/>
      <c r="I31" s="35">
        <v>695</v>
      </c>
      <c r="J31" s="35">
        <v>50</v>
      </c>
      <c r="K31" s="36"/>
      <c r="L31" s="45"/>
      <c r="M31" s="36"/>
      <c r="N31" s="36"/>
      <c r="O31" s="36"/>
      <c r="P31" s="36"/>
      <c r="Q31" s="36"/>
      <c r="R31" s="36"/>
      <c r="S31" s="36"/>
      <c r="T31" s="36"/>
    </row>
    <row r="32" spans="1:20" ht="15.75">
      <c r="A32" s="13">
        <v>42461</v>
      </c>
      <c r="B32" s="44">
        <v>30</v>
      </c>
      <c r="C32" s="35">
        <v>141.29300000000001</v>
      </c>
      <c r="D32" s="35">
        <v>267.99299999999999</v>
      </c>
      <c r="E32" s="41">
        <v>829.71400000000006</v>
      </c>
      <c r="F32" s="35">
        <v>1239</v>
      </c>
      <c r="G32" s="35">
        <v>100</v>
      </c>
      <c r="H32" s="43"/>
      <c r="I32" s="35">
        <v>695</v>
      </c>
      <c r="J32" s="35">
        <v>50</v>
      </c>
      <c r="K32" s="36"/>
      <c r="L32" s="45"/>
      <c r="M32" s="36"/>
      <c r="N32" s="36"/>
      <c r="O32" s="36"/>
      <c r="P32" s="36"/>
      <c r="Q32" s="36"/>
      <c r="R32" s="36"/>
      <c r="S32" s="36"/>
      <c r="T32" s="36"/>
    </row>
    <row r="33" spans="1:20" ht="15.75">
      <c r="A33" s="13">
        <v>42491</v>
      </c>
      <c r="B33" s="44">
        <v>31</v>
      </c>
      <c r="C33" s="35">
        <v>194.20500000000001</v>
      </c>
      <c r="D33" s="35">
        <v>267.46600000000001</v>
      </c>
      <c r="E33" s="41">
        <v>912.32899999999995</v>
      </c>
      <c r="F33" s="35">
        <v>1374</v>
      </c>
      <c r="G33" s="35">
        <v>75</v>
      </c>
      <c r="H33" s="43"/>
      <c r="I33" s="35">
        <v>695</v>
      </c>
      <c r="J33" s="35">
        <v>50</v>
      </c>
      <c r="K33" s="36"/>
      <c r="L33" s="45"/>
      <c r="M33" s="36"/>
      <c r="N33" s="36"/>
      <c r="O33" s="36"/>
      <c r="P33" s="36"/>
      <c r="Q33" s="36"/>
      <c r="R33" s="36"/>
      <c r="S33" s="36"/>
      <c r="T33" s="36"/>
    </row>
    <row r="34" spans="1:20" ht="15.75">
      <c r="A34" s="13">
        <v>42522</v>
      </c>
      <c r="B34" s="44">
        <v>30</v>
      </c>
      <c r="C34" s="35">
        <v>194.20500000000001</v>
      </c>
      <c r="D34" s="35">
        <v>267.46600000000001</v>
      </c>
      <c r="E34" s="41">
        <v>912.32899999999995</v>
      </c>
      <c r="F34" s="35">
        <v>1374</v>
      </c>
      <c r="G34" s="35">
        <v>50</v>
      </c>
      <c r="H34" s="43"/>
      <c r="I34" s="35">
        <v>695</v>
      </c>
      <c r="J34" s="35">
        <v>50</v>
      </c>
      <c r="K34" s="36"/>
      <c r="L34" s="45"/>
      <c r="M34" s="36"/>
      <c r="N34" s="36"/>
      <c r="O34" s="36"/>
      <c r="P34" s="36"/>
      <c r="Q34" s="36"/>
      <c r="R34" s="36"/>
      <c r="S34" s="36"/>
      <c r="T34" s="36"/>
    </row>
    <row r="35" spans="1:20" ht="15.75">
      <c r="A35" s="13">
        <v>42552</v>
      </c>
      <c r="B35" s="44">
        <v>31</v>
      </c>
      <c r="C35" s="35">
        <v>194.20500000000001</v>
      </c>
      <c r="D35" s="35">
        <v>267.46600000000001</v>
      </c>
      <c r="E35" s="41">
        <v>912.32899999999995</v>
      </c>
      <c r="F35" s="35">
        <v>1374</v>
      </c>
      <c r="G35" s="35">
        <v>50</v>
      </c>
      <c r="H35" s="43"/>
      <c r="I35" s="35">
        <v>695</v>
      </c>
      <c r="J35" s="35">
        <v>0</v>
      </c>
      <c r="K35" s="36"/>
      <c r="L35" s="45"/>
      <c r="M35" s="36"/>
      <c r="N35" s="36"/>
      <c r="O35" s="36"/>
      <c r="P35" s="36"/>
      <c r="Q35" s="36"/>
      <c r="R35" s="36"/>
      <c r="S35" s="36"/>
      <c r="T35" s="36"/>
    </row>
    <row r="36" spans="1:20" ht="15.75">
      <c r="A36" s="13">
        <v>42583</v>
      </c>
      <c r="B36" s="44">
        <v>31</v>
      </c>
      <c r="C36" s="35">
        <v>194.20500000000001</v>
      </c>
      <c r="D36" s="35">
        <v>267.46600000000001</v>
      </c>
      <c r="E36" s="41">
        <v>912.32899999999995</v>
      </c>
      <c r="F36" s="35">
        <v>1374</v>
      </c>
      <c r="G36" s="35">
        <v>50</v>
      </c>
      <c r="H36" s="43"/>
      <c r="I36" s="35">
        <v>695</v>
      </c>
      <c r="J36" s="35">
        <v>0</v>
      </c>
      <c r="K36" s="36"/>
      <c r="L36" s="45"/>
      <c r="M36" s="36"/>
      <c r="N36" s="36"/>
      <c r="O36" s="36"/>
      <c r="P36" s="36"/>
      <c r="Q36" s="36"/>
      <c r="R36" s="36"/>
      <c r="S36" s="36"/>
      <c r="T36" s="36"/>
    </row>
    <row r="37" spans="1:20" ht="15.75">
      <c r="A37" s="13">
        <v>42614</v>
      </c>
      <c r="B37" s="44">
        <v>30</v>
      </c>
      <c r="C37" s="35">
        <v>194.20500000000001</v>
      </c>
      <c r="D37" s="35">
        <v>267.46600000000001</v>
      </c>
      <c r="E37" s="41">
        <v>912.32899999999995</v>
      </c>
      <c r="F37" s="35">
        <v>1374</v>
      </c>
      <c r="G37" s="35">
        <v>50</v>
      </c>
      <c r="H37" s="43"/>
      <c r="I37" s="35">
        <v>695</v>
      </c>
      <c r="J37" s="35">
        <v>0</v>
      </c>
      <c r="K37" s="36"/>
      <c r="L37" s="45"/>
      <c r="M37" s="36"/>
      <c r="N37" s="36"/>
      <c r="O37" s="36"/>
      <c r="P37" s="36"/>
      <c r="Q37" s="36"/>
      <c r="R37" s="36"/>
      <c r="S37" s="36"/>
      <c r="T37" s="36"/>
    </row>
    <row r="38" spans="1:20" ht="15.75">
      <c r="A38" s="13">
        <v>42644</v>
      </c>
      <c r="B38" s="44">
        <v>31</v>
      </c>
      <c r="C38" s="35">
        <v>131.881</v>
      </c>
      <c r="D38" s="35">
        <v>277.16699999999997</v>
      </c>
      <c r="E38" s="41">
        <v>829.952</v>
      </c>
      <c r="F38" s="35">
        <v>1239</v>
      </c>
      <c r="G38" s="35">
        <v>75</v>
      </c>
      <c r="H38" s="43"/>
      <c r="I38" s="35">
        <v>695</v>
      </c>
      <c r="J38" s="35">
        <v>0</v>
      </c>
      <c r="K38" s="36"/>
      <c r="L38" s="45"/>
      <c r="M38" s="36"/>
      <c r="N38" s="36"/>
      <c r="O38" s="36"/>
      <c r="P38" s="36"/>
      <c r="Q38" s="36"/>
      <c r="R38" s="36"/>
      <c r="S38" s="36"/>
      <c r="T38" s="36"/>
    </row>
    <row r="39" spans="1:20" ht="15.75">
      <c r="A39" s="13">
        <v>42675</v>
      </c>
      <c r="B39" s="44">
        <v>30</v>
      </c>
      <c r="C39" s="35">
        <v>122.58</v>
      </c>
      <c r="D39" s="35">
        <v>297.94099999999997</v>
      </c>
      <c r="E39" s="41">
        <v>729.47900000000004</v>
      </c>
      <c r="F39" s="35">
        <v>1150</v>
      </c>
      <c r="G39" s="35">
        <v>100</v>
      </c>
      <c r="H39" s="43"/>
      <c r="I39" s="35">
        <v>695</v>
      </c>
      <c r="J39" s="35">
        <v>50</v>
      </c>
      <c r="K39" s="36"/>
      <c r="L39" s="45"/>
      <c r="M39" s="36"/>
      <c r="N39" s="36"/>
      <c r="O39" s="36"/>
      <c r="P39" s="36"/>
      <c r="Q39" s="36"/>
      <c r="R39" s="36"/>
      <c r="S39" s="36"/>
      <c r="T39" s="36"/>
    </row>
    <row r="40" spans="1:20" ht="15.75">
      <c r="A40" s="13">
        <v>42705</v>
      </c>
      <c r="B40" s="44">
        <v>31</v>
      </c>
      <c r="C40" s="35">
        <v>122.58</v>
      </c>
      <c r="D40" s="35">
        <v>297.94099999999997</v>
      </c>
      <c r="E40" s="41">
        <v>729.47900000000004</v>
      </c>
      <c r="F40" s="35">
        <v>1150</v>
      </c>
      <c r="G40" s="35">
        <v>100</v>
      </c>
      <c r="H40" s="43"/>
      <c r="I40" s="35">
        <v>695</v>
      </c>
      <c r="J40" s="35">
        <v>50</v>
      </c>
      <c r="K40" s="36"/>
      <c r="L40" s="45"/>
      <c r="M40" s="36"/>
      <c r="N40" s="36"/>
      <c r="O40" s="36"/>
      <c r="P40" s="36"/>
      <c r="Q40" s="36"/>
      <c r="R40" s="36"/>
      <c r="S40" s="36"/>
      <c r="T40" s="36"/>
    </row>
    <row r="41" spans="1:20" ht="15.75">
      <c r="A41" s="13">
        <v>42736</v>
      </c>
      <c r="B41" s="44">
        <v>31</v>
      </c>
      <c r="C41" s="35">
        <v>122.58</v>
      </c>
      <c r="D41" s="35">
        <v>297.94099999999997</v>
      </c>
      <c r="E41" s="41">
        <v>729.47900000000004</v>
      </c>
      <c r="F41" s="35">
        <v>1150</v>
      </c>
      <c r="G41" s="35">
        <v>100</v>
      </c>
      <c r="H41" s="43"/>
      <c r="I41" s="35">
        <v>695</v>
      </c>
      <c r="J41" s="35">
        <v>50</v>
      </c>
      <c r="K41" s="36"/>
      <c r="L41" s="45"/>
      <c r="M41" s="36"/>
      <c r="N41" s="36"/>
      <c r="O41" s="36"/>
      <c r="P41" s="36"/>
      <c r="Q41" s="36"/>
      <c r="R41" s="36"/>
      <c r="S41" s="36"/>
      <c r="T41" s="36"/>
    </row>
    <row r="42" spans="1:20" ht="15.75">
      <c r="A42" s="13">
        <v>42767</v>
      </c>
      <c r="B42" s="44">
        <v>28</v>
      </c>
      <c r="C42" s="35">
        <v>122.58</v>
      </c>
      <c r="D42" s="35">
        <v>297.94099999999997</v>
      </c>
      <c r="E42" s="41">
        <v>729.47900000000004</v>
      </c>
      <c r="F42" s="35">
        <v>1150</v>
      </c>
      <c r="G42" s="35">
        <v>100</v>
      </c>
      <c r="H42" s="43"/>
      <c r="I42" s="35">
        <v>695</v>
      </c>
      <c r="J42" s="35">
        <v>50</v>
      </c>
      <c r="K42" s="36"/>
      <c r="L42" s="45"/>
      <c r="M42" s="36"/>
      <c r="N42" s="36"/>
      <c r="O42" s="36"/>
      <c r="P42" s="36"/>
      <c r="Q42" s="36"/>
      <c r="R42" s="36"/>
      <c r="S42" s="36"/>
      <c r="T42" s="36"/>
    </row>
    <row r="43" spans="1:20" ht="15.75">
      <c r="A43" s="13">
        <v>42795</v>
      </c>
      <c r="B43" s="44">
        <v>31</v>
      </c>
      <c r="C43" s="35">
        <v>122.58</v>
      </c>
      <c r="D43" s="35">
        <v>297.94099999999997</v>
      </c>
      <c r="E43" s="41">
        <v>729.47900000000004</v>
      </c>
      <c r="F43" s="35">
        <v>1150</v>
      </c>
      <c r="G43" s="35">
        <v>100</v>
      </c>
      <c r="H43" s="43"/>
      <c r="I43" s="35">
        <v>695</v>
      </c>
      <c r="J43" s="35">
        <v>50</v>
      </c>
      <c r="K43" s="36"/>
      <c r="L43" s="45"/>
      <c r="M43" s="36"/>
      <c r="N43" s="36"/>
      <c r="O43" s="36"/>
      <c r="P43" s="36"/>
      <c r="Q43" s="36"/>
      <c r="R43" s="36"/>
      <c r="S43" s="36"/>
      <c r="T43" s="36"/>
    </row>
    <row r="44" spans="1:20" ht="15.75">
      <c r="A44" s="13">
        <v>42826</v>
      </c>
      <c r="B44" s="44">
        <v>30</v>
      </c>
      <c r="C44" s="35">
        <v>141.29300000000001</v>
      </c>
      <c r="D44" s="35">
        <v>267.99299999999999</v>
      </c>
      <c r="E44" s="41">
        <v>829.71400000000006</v>
      </c>
      <c r="F44" s="35">
        <v>1239</v>
      </c>
      <c r="G44" s="35">
        <v>100</v>
      </c>
      <c r="H44" s="43"/>
      <c r="I44" s="35">
        <v>695</v>
      </c>
      <c r="J44" s="35">
        <v>50</v>
      </c>
      <c r="K44" s="36"/>
      <c r="L44" s="45"/>
      <c r="M44" s="36"/>
      <c r="N44" s="36"/>
      <c r="O44" s="36"/>
      <c r="P44" s="36"/>
      <c r="Q44" s="36"/>
      <c r="R44" s="36"/>
      <c r="S44" s="36"/>
      <c r="T44" s="36"/>
    </row>
    <row r="45" spans="1:20" ht="15.75">
      <c r="A45" s="13">
        <v>42856</v>
      </c>
      <c r="B45" s="44">
        <v>31</v>
      </c>
      <c r="C45" s="35">
        <v>194.20500000000001</v>
      </c>
      <c r="D45" s="35">
        <v>267.46600000000001</v>
      </c>
      <c r="E45" s="41">
        <v>812.32899999999995</v>
      </c>
      <c r="F45" s="35">
        <v>1274</v>
      </c>
      <c r="G45" s="35">
        <v>75</v>
      </c>
      <c r="H45" s="43">
        <v>400</v>
      </c>
      <c r="I45" s="35">
        <v>695</v>
      </c>
      <c r="J45" s="35">
        <v>50</v>
      </c>
      <c r="K45" s="36"/>
      <c r="L45" s="45"/>
      <c r="M45" s="36"/>
      <c r="N45" s="36"/>
      <c r="O45" s="36"/>
      <c r="P45" s="36"/>
      <c r="Q45" s="36"/>
      <c r="R45" s="36"/>
      <c r="S45" s="36"/>
      <c r="T45" s="36"/>
    </row>
    <row r="46" spans="1:20" ht="15.75">
      <c r="A46" s="13">
        <v>42887</v>
      </c>
      <c r="B46" s="44">
        <v>30</v>
      </c>
      <c r="C46" s="35">
        <v>194.20500000000001</v>
      </c>
      <c r="D46" s="35">
        <v>267.46600000000001</v>
      </c>
      <c r="E46" s="41">
        <v>812.32899999999995</v>
      </c>
      <c r="F46" s="35">
        <v>1274</v>
      </c>
      <c r="G46" s="35">
        <v>50</v>
      </c>
      <c r="H46" s="43">
        <v>400</v>
      </c>
      <c r="I46" s="35">
        <v>695</v>
      </c>
      <c r="J46" s="35">
        <v>50</v>
      </c>
      <c r="K46" s="36"/>
      <c r="L46" s="45"/>
      <c r="M46" s="36"/>
      <c r="N46" s="36"/>
      <c r="O46" s="36"/>
      <c r="P46" s="36"/>
      <c r="Q46" s="36"/>
      <c r="R46" s="36"/>
      <c r="S46" s="36"/>
      <c r="T46" s="36"/>
    </row>
    <row r="47" spans="1:20" ht="15.75">
      <c r="A47" s="13">
        <v>42917</v>
      </c>
      <c r="B47" s="44">
        <v>31</v>
      </c>
      <c r="C47" s="35">
        <v>194.20500000000001</v>
      </c>
      <c r="D47" s="35">
        <v>267.46600000000001</v>
      </c>
      <c r="E47" s="41">
        <v>812.32899999999995</v>
      </c>
      <c r="F47" s="35">
        <v>1274</v>
      </c>
      <c r="G47" s="35">
        <v>50</v>
      </c>
      <c r="H47" s="43">
        <v>400</v>
      </c>
      <c r="I47" s="35">
        <v>695</v>
      </c>
      <c r="J47" s="35">
        <v>0</v>
      </c>
      <c r="K47" s="36"/>
      <c r="L47" s="45"/>
      <c r="M47" s="36"/>
      <c r="N47" s="36"/>
      <c r="O47" s="36"/>
      <c r="P47" s="36"/>
      <c r="Q47" s="36"/>
      <c r="R47" s="36"/>
      <c r="S47" s="36"/>
      <c r="T47" s="36"/>
    </row>
    <row r="48" spans="1:20" ht="15.75">
      <c r="A48" s="13">
        <v>42948</v>
      </c>
      <c r="B48" s="44">
        <v>31</v>
      </c>
      <c r="C48" s="35">
        <v>194.20500000000001</v>
      </c>
      <c r="D48" s="35">
        <v>267.46600000000001</v>
      </c>
      <c r="E48" s="41">
        <v>812.32899999999995</v>
      </c>
      <c r="F48" s="35">
        <v>1274</v>
      </c>
      <c r="G48" s="35">
        <v>50</v>
      </c>
      <c r="H48" s="43">
        <v>400</v>
      </c>
      <c r="I48" s="35">
        <v>695</v>
      </c>
      <c r="J48" s="35">
        <v>0</v>
      </c>
      <c r="K48" s="36"/>
      <c r="L48" s="45"/>
      <c r="M48" s="36"/>
      <c r="N48" s="36"/>
      <c r="O48" s="36"/>
      <c r="P48" s="36"/>
      <c r="Q48" s="36"/>
      <c r="R48" s="36"/>
      <c r="S48" s="36"/>
      <c r="T48" s="36"/>
    </row>
    <row r="49" spans="1:20" ht="15.75">
      <c r="A49" s="13">
        <v>42979</v>
      </c>
      <c r="B49" s="44">
        <v>30</v>
      </c>
      <c r="C49" s="35">
        <v>194.20500000000001</v>
      </c>
      <c r="D49" s="35">
        <v>267.46600000000001</v>
      </c>
      <c r="E49" s="41">
        <v>812.32899999999995</v>
      </c>
      <c r="F49" s="35">
        <v>1274</v>
      </c>
      <c r="G49" s="35">
        <v>50</v>
      </c>
      <c r="H49" s="43">
        <v>400</v>
      </c>
      <c r="I49" s="35">
        <v>695</v>
      </c>
      <c r="J49" s="35">
        <v>0</v>
      </c>
      <c r="K49" s="36"/>
      <c r="L49" s="45"/>
      <c r="M49" s="36"/>
      <c r="N49" s="36"/>
      <c r="O49" s="36"/>
      <c r="P49" s="36"/>
      <c r="Q49" s="36"/>
      <c r="R49" s="36"/>
      <c r="S49" s="36"/>
      <c r="T49" s="36"/>
    </row>
    <row r="50" spans="1:20" ht="15.75">
      <c r="A50" s="13">
        <v>43009</v>
      </c>
      <c r="B50" s="44">
        <v>31</v>
      </c>
      <c r="C50" s="35">
        <v>131.881</v>
      </c>
      <c r="D50" s="35">
        <v>277.16699999999997</v>
      </c>
      <c r="E50" s="41">
        <v>829.952</v>
      </c>
      <c r="F50" s="35">
        <v>1239</v>
      </c>
      <c r="G50" s="35">
        <v>75</v>
      </c>
      <c r="H50" s="43">
        <v>400</v>
      </c>
      <c r="I50" s="35">
        <v>695</v>
      </c>
      <c r="J50" s="35">
        <v>0</v>
      </c>
      <c r="K50" s="36"/>
      <c r="L50" s="45"/>
      <c r="M50" s="36"/>
      <c r="N50" s="36"/>
      <c r="O50" s="36"/>
      <c r="P50" s="36"/>
      <c r="Q50" s="36"/>
      <c r="R50" s="36"/>
      <c r="S50" s="36"/>
      <c r="T50" s="36"/>
    </row>
    <row r="51" spans="1:20" ht="15.75">
      <c r="A51" s="13">
        <v>43040</v>
      </c>
      <c r="B51" s="44">
        <v>30</v>
      </c>
      <c r="C51" s="35">
        <v>122.58</v>
      </c>
      <c r="D51" s="35">
        <v>297.94099999999997</v>
      </c>
      <c r="E51" s="41">
        <v>729.47900000000004</v>
      </c>
      <c r="F51" s="35">
        <v>1150</v>
      </c>
      <c r="G51" s="35">
        <v>100</v>
      </c>
      <c r="H51" s="43">
        <v>400</v>
      </c>
      <c r="I51" s="35">
        <v>695</v>
      </c>
      <c r="J51" s="35">
        <v>50</v>
      </c>
      <c r="K51" s="36"/>
      <c r="L51" s="45"/>
      <c r="M51" s="36"/>
      <c r="N51" s="36"/>
      <c r="O51" s="36"/>
      <c r="P51" s="36"/>
      <c r="Q51" s="36"/>
      <c r="R51" s="36"/>
      <c r="S51" s="36"/>
      <c r="T51" s="36"/>
    </row>
    <row r="52" spans="1:20" ht="15.75">
      <c r="A52" s="13">
        <v>43070</v>
      </c>
      <c r="B52" s="44">
        <v>31</v>
      </c>
      <c r="C52" s="35">
        <v>122.58</v>
      </c>
      <c r="D52" s="35">
        <v>297.94099999999997</v>
      </c>
      <c r="E52" s="41">
        <v>729.47900000000004</v>
      </c>
      <c r="F52" s="35">
        <v>1150</v>
      </c>
      <c r="G52" s="35">
        <v>100</v>
      </c>
      <c r="H52" s="43">
        <v>400</v>
      </c>
      <c r="I52" s="35">
        <v>695</v>
      </c>
      <c r="J52" s="35">
        <v>50</v>
      </c>
      <c r="K52" s="36"/>
      <c r="L52" s="45"/>
      <c r="M52" s="36"/>
      <c r="N52" s="36"/>
      <c r="O52" s="36"/>
      <c r="P52" s="36"/>
      <c r="Q52" s="36"/>
      <c r="R52" s="36"/>
      <c r="S52" s="36"/>
      <c r="T52" s="36"/>
    </row>
    <row r="53" spans="1:20" ht="15.75">
      <c r="A53" s="13">
        <v>43101</v>
      </c>
      <c r="B53" s="44">
        <v>31</v>
      </c>
      <c r="C53" s="35">
        <v>122.58</v>
      </c>
      <c r="D53" s="35">
        <v>297.94099999999997</v>
      </c>
      <c r="E53" s="41">
        <v>729.47900000000004</v>
      </c>
      <c r="F53" s="35">
        <v>1150</v>
      </c>
      <c r="G53" s="35">
        <v>100</v>
      </c>
      <c r="H53" s="43">
        <v>400</v>
      </c>
      <c r="I53" s="35">
        <v>695</v>
      </c>
      <c r="J53" s="35">
        <v>50</v>
      </c>
      <c r="K53" s="36"/>
      <c r="L53" s="45"/>
      <c r="M53" s="36"/>
      <c r="N53" s="36"/>
      <c r="O53" s="36"/>
      <c r="P53" s="36"/>
      <c r="Q53" s="36"/>
      <c r="R53" s="36"/>
      <c r="S53" s="36"/>
      <c r="T53" s="36"/>
    </row>
    <row r="54" spans="1:20" ht="15.75">
      <c r="A54" s="13">
        <v>43132</v>
      </c>
      <c r="B54" s="44">
        <v>28</v>
      </c>
      <c r="C54" s="35">
        <v>122.58</v>
      </c>
      <c r="D54" s="35">
        <v>297.94099999999997</v>
      </c>
      <c r="E54" s="41">
        <v>729.47900000000004</v>
      </c>
      <c r="F54" s="35">
        <v>1150</v>
      </c>
      <c r="G54" s="35">
        <v>100</v>
      </c>
      <c r="H54" s="43">
        <v>400</v>
      </c>
      <c r="I54" s="35">
        <v>695</v>
      </c>
      <c r="J54" s="35">
        <v>50</v>
      </c>
      <c r="K54" s="36"/>
      <c r="L54" s="45"/>
      <c r="M54" s="36"/>
      <c r="N54" s="36"/>
      <c r="O54" s="36"/>
      <c r="P54" s="36"/>
      <c r="Q54" s="36"/>
      <c r="R54" s="36"/>
      <c r="S54" s="36"/>
      <c r="T54" s="36"/>
    </row>
    <row r="55" spans="1:20" ht="15.75">
      <c r="A55" s="13">
        <v>43160</v>
      </c>
      <c r="B55" s="44">
        <v>31</v>
      </c>
      <c r="C55" s="35">
        <v>122.58</v>
      </c>
      <c r="D55" s="35">
        <v>297.94099999999997</v>
      </c>
      <c r="E55" s="41">
        <v>729.47900000000004</v>
      </c>
      <c r="F55" s="35">
        <v>1150</v>
      </c>
      <c r="G55" s="35">
        <v>100</v>
      </c>
      <c r="H55" s="43">
        <v>400</v>
      </c>
      <c r="I55" s="35">
        <v>695</v>
      </c>
      <c r="J55" s="35">
        <v>50</v>
      </c>
      <c r="K55" s="36"/>
      <c r="L55" s="45"/>
      <c r="M55" s="36"/>
      <c r="N55" s="36"/>
      <c r="O55" s="36"/>
      <c r="P55" s="36"/>
      <c r="Q55" s="36"/>
      <c r="R55" s="36"/>
      <c r="S55" s="36"/>
      <c r="T55" s="36"/>
    </row>
    <row r="56" spans="1:20" ht="15.75">
      <c r="A56" s="13">
        <v>43191</v>
      </c>
      <c r="B56" s="44">
        <v>30</v>
      </c>
      <c r="C56" s="35">
        <v>141.29300000000001</v>
      </c>
      <c r="D56" s="35">
        <v>267.99299999999999</v>
      </c>
      <c r="E56" s="41">
        <v>829.71400000000006</v>
      </c>
      <c r="F56" s="35">
        <v>1239</v>
      </c>
      <c r="G56" s="35">
        <v>100</v>
      </c>
      <c r="H56" s="43">
        <v>400</v>
      </c>
      <c r="I56" s="35">
        <v>695</v>
      </c>
      <c r="J56" s="35">
        <v>50</v>
      </c>
      <c r="K56" s="36"/>
      <c r="L56" s="45"/>
      <c r="M56" s="36"/>
      <c r="N56" s="36"/>
      <c r="O56" s="36"/>
      <c r="P56" s="36"/>
      <c r="Q56" s="36"/>
      <c r="R56" s="36"/>
      <c r="S56" s="36"/>
      <c r="T56" s="36"/>
    </row>
    <row r="57" spans="1:20" ht="15.75">
      <c r="A57" s="13">
        <v>43221</v>
      </c>
      <c r="B57" s="44">
        <v>31</v>
      </c>
      <c r="C57" s="35">
        <v>194.20500000000001</v>
      </c>
      <c r="D57" s="35">
        <v>267.46600000000001</v>
      </c>
      <c r="E57" s="41">
        <v>812.32899999999995</v>
      </c>
      <c r="F57" s="35">
        <v>1274</v>
      </c>
      <c r="G57" s="35">
        <v>75</v>
      </c>
      <c r="H57" s="43">
        <v>400</v>
      </c>
      <c r="I57" s="35">
        <v>695</v>
      </c>
      <c r="J57" s="35">
        <v>50</v>
      </c>
      <c r="K57" s="36"/>
      <c r="L57" s="45"/>
      <c r="M57" s="36"/>
      <c r="N57" s="36"/>
      <c r="O57" s="36"/>
      <c r="P57" s="36"/>
      <c r="Q57" s="36"/>
      <c r="R57" s="36"/>
      <c r="S57" s="36"/>
      <c r="T57" s="36"/>
    </row>
    <row r="58" spans="1:20" ht="15.75">
      <c r="A58" s="13">
        <v>43252</v>
      </c>
      <c r="B58" s="44">
        <v>30</v>
      </c>
      <c r="C58" s="35">
        <v>194.20500000000001</v>
      </c>
      <c r="D58" s="35">
        <v>267.46600000000001</v>
      </c>
      <c r="E58" s="41">
        <v>812.32899999999995</v>
      </c>
      <c r="F58" s="35">
        <v>1274</v>
      </c>
      <c r="G58" s="35">
        <v>50</v>
      </c>
      <c r="H58" s="43">
        <v>400</v>
      </c>
      <c r="I58" s="35">
        <v>695</v>
      </c>
      <c r="J58" s="35">
        <v>50</v>
      </c>
      <c r="K58" s="36"/>
      <c r="L58" s="45"/>
      <c r="M58" s="36"/>
      <c r="N58" s="36"/>
      <c r="O58" s="36"/>
      <c r="P58" s="36"/>
      <c r="Q58" s="36"/>
      <c r="R58" s="36"/>
      <c r="S58" s="36"/>
      <c r="T58" s="36"/>
    </row>
    <row r="59" spans="1:20" ht="15.75">
      <c r="A59" s="13">
        <v>43282</v>
      </c>
      <c r="B59" s="44">
        <v>31</v>
      </c>
      <c r="C59" s="35">
        <v>194.20500000000001</v>
      </c>
      <c r="D59" s="35">
        <v>267.46600000000001</v>
      </c>
      <c r="E59" s="41">
        <v>812.32899999999995</v>
      </c>
      <c r="F59" s="35">
        <v>1274</v>
      </c>
      <c r="G59" s="35">
        <v>50</v>
      </c>
      <c r="H59" s="43">
        <v>400</v>
      </c>
      <c r="I59" s="35">
        <v>695</v>
      </c>
      <c r="J59" s="35">
        <v>0</v>
      </c>
      <c r="K59" s="36"/>
      <c r="L59" s="45"/>
      <c r="M59" s="36"/>
      <c r="N59" s="36"/>
      <c r="O59" s="36"/>
      <c r="P59" s="36"/>
      <c r="Q59" s="36"/>
      <c r="R59" s="36"/>
      <c r="S59" s="36"/>
      <c r="T59" s="36"/>
    </row>
    <row r="60" spans="1:20" ht="15.75">
      <c r="A60" s="13">
        <v>43313</v>
      </c>
      <c r="B60" s="44">
        <v>31</v>
      </c>
      <c r="C60" s="35">
        <v>194.20500000000001</v>
      </c>
      <c r="D60" s="35">
        <v>267.46600000000001</v>
      </c>
      <c r="E60" s="41">
        <v>812.32899999999995</v>
      </c>
      <c r="F60" s="35">
        <v>1274</v>
      </c>
      <c r="G60" s="35">
        <v>50</v>
      </c>
      <c r="H60" s="43">
        <v>400</v>
      </c>
      <c r="I60" s="35">
        <v>695</v>
      </c>
      <c r="J60" s="35">
        <v>0</v>
      </c>
      <c r="K60" s="36"/>
      <c r="L60" s="45"/>
      <c r="M60" s="36"/>
      <c r="N60" s="36"/>
      <c r="O60" s="36"/>
      <c r="P60" s="36"/>
      <c r="Q60" s="36"/>
      <c r="R60" s="36"/>
      <c r="S60" s="36"/>
      <c r="T60" s="36"/>
    </row>
    <row r="61" spans="1:20" ht="15.75">
      <c r="A61" s="13">
        <v>43344</v>
      </c>
      <c r="B61" s="44">
        <v>30</v>
      </c>
      <c r="C61" s="35">
        <v>194.20500000000001</v>
      </c>
      <c r="D61" s="35">
        <v>267.46600000000001</v>
      </c>
      <c r="E61" s="41">
        <v>812.32899999999995</v>
      </c>
      <c r="F61" s="35">
        <v>1274</v>
      </c>
      <c r="G61" s="35">
        <v>50</v>
      </c>
      <c r="H61" s="43">
        <v>400</v>
      </c>
      <c r="I61" s="35">
        <v>695</v>
      </c>
      <c r="J61" s="35">
        <v>0</v>
      </c>
      <c r="K61" s="36"/>
      <c r="L61" s="45"/>
      <c r="M61" s="36"/>
      <c r="N61" s="36"/>
      <c r="O61" s="36"/>
      <c r="P61" s="36"/>
      <c r="Q61" s="36"/>
      <c r="R61" s="36"/>
      <c r="S61" s="36"/>
      <c r="T61" s="36"/>
    </row>
    <row r="62" spans="1:20" ht="15.75">
      <c r="A62" s="13">
        <v>43374</v>
      </c>
      <c r="B62" s="44">
        <v>31</v>
      </c>
      <c r="C62" s="35">
        <v>131.881</v>
      </c>
      <c r="D62" s="35">
        <v>277.16699999999997</v>
      </c>
      <c r="E62" s="41">
        <v>829.952</v>
      </c>
      <c r="F62" s="35">
        <v>1239</v>
      </c>
      <c r="G62" s="35">
        <v>75</v>
      </c>
      <c r="H62" s="43">
        <v>400</v>
      </c>
      <c r="I62" s="35">
        <v>695</v>
      </c>
      <c r="J62" s="35">
        <v>0</v>
      </c>
      <c r="K62" s="36"/>
      <c r="L62" s="45"/>
      <c r="M62" s="36"/>
      <c r="N62" s="36"/>
      <c r="O62" s="36"/>
      <c r="P62" s="36"/>
      <c r="Q62" s="36"/>
      <c r="R62" s="36"/>
      <c r="S62" s="36"/>
      <c r="T62" s="36"/>
    </row>
    <row r="63" spans="1:20" ht="15.75">
      <c r="A63" s="13">
        <v>43405</v>
      </c>
      <c r="B63" s="44">
        <v>30</v>
      </c>
      <c r="C63" s="35">
        <v>122.58</v>
      </c>
      <c r="D63" s="35">
        <v>297.94099999999997</v>
      </c>
      <c r="E63" s="41">
        <v>729.47900000000004</v>
      </c>
      <c r="F63" s="35">
        <v>1150</v>
      </c>
      <c r="G63" s="35">
        <v>100</v>
      </c>
      <c r="H63" s="43">
        <v>400</v>
      </c>
      <c r="I63" s="35">
        <v>695</v>
      </c>
      <c r="J63" s="35">
        <v>50</v>
      </c>
      <c r="K63" s="36"/>
      <c r="L63" s="45"/>
      <c r="M63" s="36"/>
      <c r="N63" s="36"/>
      <c r="O63" s="36"/>
      <c r="P63" s="36"/>
      <c r="Q63" s="36"/>
      <c r="R63" s="36"/>
      <c r="S63" s="36"/>
      <c r="T63" s="36"/>
    </row>
    <row r="64" spans="1:20" ht="15.75">
      <c r="A64" s="13">
        <v>43435</v>
      </c>
      <c r="B64" s="44">
        <v>31</v>
      </c>
      <c r="C64" s="35">
        <v>122.58</v>
      </c>
      <c r="D64" s="35">
        <v>297.94099999999997</v>
      </c>
      <c r="E64" s="41">
        <v>729.47900000000004</v>
      </c>
      <c r="F64" s="35">
        <v>1150</v>
      </c>
      <c r="G64" s="35">
        <v>100</v>
      </c>
      <c r="H64" s="43">
        <v>400</v>
      </c>
      <c r="I64" s="35">
        <v>695</v>
      </c>
      <c r="J64" s="35">
        <v>50</v>
      </c>
      <c r="K64" s="36"/>
      <c r="L64" s="45"/>
      <c r="M64" s="36"/>
      <c r="N64" s="36"/>
      <c r="O64" s="36"/>
      <c r="P64" s="36"/>
      <c r="Q64" s="36"/>
      <c r="R64" s="36"/>
      <c r="S64" s="36"/>
      <c r="T64" s="36"/>
    </row>
    <row r="65" spans="1:20" ht="15.75">
      <c r="A65" s="13">
        <v>43466</v>
      </c>
      <c r="B65" s="44">
        <v>31</v>
      </c>
      <c r="C65" s="35">
        <v>122.58</v>
      </c>
      <c r="D65" s="35">
        <v>297.94099999999997</v>
      </c>
      <c r="E65" s="41">
        <v>729.47900000000004</v>
      </c>
      <c r="F65" s="35">
        <v>1150</v>
      </c>
      <c r="G65" s="35">
        <v>100</v>
      </c>
      <c r="H65" s="43">
        <v>400</v>
      </c>
      <c r="I65" s="35">
        <v>695</v>
      </c>
      <c r="J65" s="35">
        <v>50</v>
      </c>
      <c r="K65" s="36"/>
      <c r="L65" s="36"/>
      <c r="M65" s="36"/>
      <c r="N65" s="36"/>
      <c r="O65" s="36"/>
      <c r="P65" s="36"/>
      <c r="Q65" s="36"/>
      <c r="R65" s="36"/>
      <c r="S65" s="36"/>
      <c r="T65" s="36"/>
    </row>
    <row r="66" spans="1:20" ht="15.75">
      <c r="A66" s="13">
        <v>43497</v>
      </c>
      <c r="B66" s="44">
        <v>28</v>
      </c>
      <c r="C66" s="35">
        <v>122.58</v>
      </c>
      <c r="D66" s="35">
        <v>297.94099999999997</v>
      </c>
      <c r="E66" s="41">
        <v>729.47900000000004</v>
      </c>
      <c r="F66" s="35">
        <v>1150</v>
      </c>
      <c r="G66" s="35">
        <v>100</v>
      </c>
      <c r="H66" s="43">
        <v>400</v>
      </c>
      <c r="I66" s="35">
        <v>695</v>
      </c>
      <c r="J66" s="35">
        <v>50</v>
      </c>
      <c r="K66" s="36"/>
      <c r="L66" s="36"/>
      <c r="M66" s="36"/>
      <c r="N66" s="36"/>
      <c r="O66" s="36"/>
      <c r="P66" s="36"/>
      <c r="Q66" s="36"/>
      <c r="R66" s="36"/>
      <c r="S66" s="36"/>
      <c r="T66" s="36"/>
    </row>
    <row r="67" spans="1:20" ht="15.75">
      <c r="A67" s="13">
        <v>43525</v>
      </c>
      <c r="B67" s="44">
        <v>31</v>
      </c>
      <c r="C67" s="35">
        <v>122.58</v>
      </c>
      <c r="D67" s="35">
        <v>297.94099999999997</v>
      </c>
      <c r="E67" s="41">
        <v>729.47900000000004</v>
      </c>
      <c r="F67" s="35">
        <v>1150</v>
      </c>
      <c r="G67" s="35">
        <v>100</v>
      </c>
      <c r="H67" s="43">
        <v>400</v>
      </c>
      <c r="I67" s="35">
        <v>695</v>
      </c>
      <c r="J67" s="35">
        <v>50</v>
      </c>
      <c r="K67" s="36"/>
      <c r="L67" s="36"/>
      <c r="M67" s="36"/>
      <c r="N67" s="36"/>
      <c r="O67" s="36"/>
      <c r="P67" s="36"/>
      <c r="Q67" s="36"/>
      <c r="R67" s="36"/>
      <c r="S67" s="36"/>
      <c r="T67" s="36"/>
    </row>
    <row r="68" spans="1:20" ht="15.75">
      <c r="A68" s="13">
        <v>43556</v>
      </c>
      <c r="B68" s="44">
        <v>30</v>
      </c>
      <c r="C68" s="35">
        <v>141.29300000000001</v>
      </c>
      <c r="D68" s="35">
        <v>267.99299999999999</v>
      </c>
      <c r="E68" s="41">
        <v>829.71400000000006</v>
      </c>
      <c r="F68" s="35">
        <v>1239</v>
      </c>
      <c r="G68" s="35">
        <v>100</v>
      </c>
      <c r="H68" s="43">
        <v>400</v>
      </c>
      <c r="I68" s="35">
        <v>695</v>
      </c>
      <c r="J68" s="35">
        <v>50</v>
      </c>
      <c r="K68" s="36"/>
      <c r="L68" s="36"/>
      <c r="M68" s="36"/>
      <c r="N68" s="36"/>
      <c r="O68" s="36"/>
      <c r="P68" s="36"/>
      <c r="Q68" s="36"/>
      <c r="R68" s="36"/>
      <c r="S68" s="36"/>
      <c r="T68" s="36"/>
    </row>
    <row r="69" spans="1:20" ht="15.75">
      <c r="A69" s="13">
        <v>43586</v>
      </c>
      <c r="B69" s="44">
        <v>31</v>
      </c>
      <c r="C69" s="35">
        <v>194.20500000000001</v>
      </c>
      <c r="D69" s="35">
        <v>267.46600000000001</v>
      </c>
      <c r="E69" s="41">
        <v>812.32899999999995</v>
      </c>
      <c r="F69" s="35">
        <v>1274</v>
      </c>
      <c r="G69" s="35">
        <v>75</v>
      </c>
      <c r="H69" s="43">
        <v>400</v>
      </c>
      <c r="I69" s="35">
        <v>695</v>
      </c>
      <c r="J69" s="35">
        <v>50</v>
      </c>
      <c r="K69" s="36"/>
      <c r="L69" s="36"/>
      <c r="M69" s="36"/>
      <c r="N69" s="36"/>
      <c r="O69" s="36"/>
      <c r="P69" s="36"/>
      <c r="Q69" s="36"/>
      <c r="R69" s="36"/>
      <c r="S69" s="36"/>
      <c r="T69" s="36"/>
    </row>
    <row r="70" spans="1:20" ht="15.75">
      <c r="A70" s="13">
        <v>43617</v>
      </c>
      <c r="B70" s="44">
        <v>30</v>
      </c>
      <c r="C70" s="35">
        <v>194.20500000000001</v>
      </c>
      <c r="D70" s="35">
        <v>267.46600000000001</v>
      </c>
      <c r="E70" s="41">
        <v>812.32899999999995</v>
      </c>
      <c r="F70" s="35">
        <v>1274</v>
      </c>
      <c r="G70" s="35">
        <v>50</v>
      </c>
      <c r="H70" s="43">
        <v>400</v>
      </c>
      <c r="I70" s="35">
        <v>695</v>
      </c>
      <c r="J70" s="35">
        <v>50</v>
      </c>
      <c r="K70" s="36"/>
      <c r="L70" s="36"/>
      <c r="M70" s="36"/>
      <c r="N70" s="36"/>
      <c r="O70" s="36"/>
      <c r="P70" s="36"/>
      <c r="Q70" s="36"/>
      <c r="R70" s="36"/>
      <c r="S70" s="36"/>
      <c r="T70" s="36"/>
    </row>
    <row r="71" spans="1:20" ht="15.75">
      <c r="A71" s="13">
        <v>43647</v>
      </c>
      <c r="B71" s="44">
        <v>31</v>
      </c>
      <c r="C71" s="35">
        <v>194.20500000000001</v>
      </c>
      <c r="D71" s="35">
        <v>267.46600000000001</v>
      </c>
      <c r="E71" s="41">
        <v>812.32899999999995</v>
      </c>
      <c r="F71" s="35">
        <v>1274</v>
      </c>
      <c r="G71" s="35">
        <v>50</v>
      </c>
      <c r="H71" s="43">
        <v>400</v>
      </c>
      <c r="I71" s="35">
        <v>695</v>
      </c>
      <c r="J71" s="35">
        <v>0</v>
      </c>
      <c r="K71" s="36"/>
      <c r="L71" s="36"/>
      <c r="M71" s="36"/>
      <c r="N71" s="36"/>
      <c r="O71" s="36"/>
      <c r="P71" s="36"/>
      <c r="Q71" s="36"/>
      <c r="R71" s="36"/>
      <c r="S71" s="36"/>
      <c r="T71" s="36"/>
    </row>
    <row r="72" spans="1:20" ht="15.75">
      <c r="A72" s="13">
        <v>43678</v>
      </c>
      <c r="B72" s="44">
        <v>31</v>
      </c>
      <c r="C72" s="35">
        <v>194.20500000000001</v>
      </c>
      <c r="D72" s="35">
        <v>267.46600000000001</v>
      </c>
      <c r="E72" s="41">
        <v>812.32899999999995</v>
      </c>
      <c r="F72" s="35">
        <v>1274</v>
      </c>
      <c r="G72" s="35">
        <v>50</v>
      </c>
      <c r="H72" s="43">
        <v>400</v>
      </c>
      <c r="I72" s="35">
        <v>695</v>
      </c>
      <c r="J72" s="35">
        <v>0</v>
      </c>
      <c r="K72" s="36"/>
      <c r="L72" s="36"/>
      <c r="M72" s="36"/>
      <c r="N72" s="36"/>
      <c r="O72" s="36"/>
      <c r="P72" s="36"/>
      <c r="Q72" s="36"/>
      <c r="R72" s="36"/>
      <c r="S72" s="36"/>
      <c r="T72" s="36"/>
    </row>
    <row r="73" spans="1:20" ht="15.75">
      <c r="A73" s="13">
        <v>43709</v>
      </c>
      <c r="B73" s="44">
        <v>30</v>
      </c>
      <c r="C73" s="35">
        <v>194.20500000000001</v>
      </c>
      <c r="D73" s="35">
        <v>267.46600000000001</v>
      </c>
      <c r="E73" s="41">
        <v>812.32899999999995</v>
      </c>
      <c r="F73" s="35">
        <v>1274</v>
      </c>
      <c r="G73" s="35">
        <v>50</v>
      </c>
      <c r="H73" s="43">
        <v>400</v>
      </c>
      <c r="I73" s="35">
        <v>695</v>
      </c>
      <c r="J73" s="35">
        <v>0</v>
      </c>
      <c r="K73" s="36"/>
      <c r="L73" s="36"/>
      <c r="M73" s="36"/>
      <c r="N73" s="36"/>
      <c r="O73" s="36"/>
      <c r="P73" s="36"/>
      <c r="Q73" s="36"/>
      <c r="R73" s="36"/>
      <c r="S73" s="36"/>
      <c r="T73" s="36"/>
    </row>
    <row r="74" spans="1:20" ht="15.75">
      <c r="A74" s="13">
        <v>43739</v>
      </c>
      <c r="B74" s="44">
        <v>31</v>
      </c>
      <c r="C74" s="35">
        <v>131.881</v>
      </c>
      <c r="D74" s="35">
        <v>277.16699999999997</v>
      </c>
      <c r="E74" s="41">
        <v>829.952</v>
      </c>
      <c r="F74" s="35">
        <v>1239</v>
      </c>
      <c r="G74" s="35">
        <v>75</v>
      </c>
      <c r="H74" s="43">
        <v>400</v>
      </c>
      <c r="I74" s="35">
        <v>695</v>
      </c>
      <c r="J74" s="35">
        <v>0</v>
      </c>
      <c r="K74" s="36"/>
      <c r="L74" s="36"/>
      <c r="M74" s="36"/>
      <c r="N74" s="36"/>
      <c r="O74" s="36"/>
      <c r="P74" s="36"/>
      <c r="Q74" s="36"/>
      <c r="R74" s="36"/>
      <c r="S74" s="36"/>
      <c r="T74" s="36"/>
    </row>
    <row r="75" spans="1:20" ht="15.75">
      <c r="A75" s="13">
        <v>43770</v>
      </c>
      <c r="B75" s="44">
        <v>30</v>
      </c>
      <c r="C75" s="35">
        <v>122.58</v>
      </c>
      <c r="D75" s="35">
        <v>297.94099999999997</v>
      </c>
      <c r="E75" s="41">
        <v>729.47900000000004</v>
      </c>
      <c r="F75" s="35">
        <v>1150</v>
      </c>
      <c r="G75" s="35">
        <v>100</v>
      </c>
      <c r="H75" s="43">
        <v>400</v>
      </c>
      <c r="I75" s="35">
        <v>695</v>
      </c>
      <c r="J75" s="35">
        <v>50</v>
      </c>
      <c r="K75" s="36"/>
      <c r="L75" s="36"/>
      <c r="M75" s="36"/>
      <c r="N75" s="36"/>
      <c r="O75" s="36"/>
      <c r="P75" s="36"/>
      <c r="Q75" s="36"/>
      <c r="R75" s="36"/>
      <c r="S75" s="36"/>
      <c r="T75" s="36"/>
    </row>
    <row r="76" spans="1:20" ht="15.75">
      <c r="A76" s="13">
        <v>43800</v>
      </c>
      <c r="B76" s="44">
        <v>31</v>
      </c>
      <c r="C76" s="35">
        <v>122.58</v>
      </c>
      <c r="D76" s="35">
        <v>297.94099999999997</v>
      </c>
      <c r="E76" s="41">
        <v>729.47900000000004</v>
      </c>
      <c r="F76" s="35">
        <v>1150</v>
      </c>
      <c r="G76" s="35">
        <v>100</v>
      </c>
      <c r="H76" s="43">
        <v>400</v>
      </c>
      <c r="I76" s="35">
        <v>695</v>
      </c>
      <c r="J76" s="35">
        <v>50</v>
      </c>
      <c r="K76" s="36"/>
      <c r="L76" s="36"/>
      <c r="M76" s="36"/>
      <c r="N76" s="36"/>
      <c r="O76" s="36"/>
      <c r="P76" s="36"/>
      <c r="Q76" s="36"/>
      <c r="R76" s="36"/>
      <c r="S76" s="36"/>
      <c r="T76" s="36"/>
    </row>
    <row r="77" spans="1:20" ht="15.75">
      <c r="A77" s="13">
        <v>43831</v>
      </c>
      <c r="B77" s="44">
        <v>31</v>
      </c>
      <c r="C77" s="35">
        <v>122.58</v>
      </c>
      <c r="D77" s="35">
        <v>297.94099999999997</v>
      </c>
      <c r="E77" s="41">
        <v>729.47900000000004</v>
      </c>
      <c r="F77" s="35">
        <v>1150</v>
      </c>
      <c r="G77" s="35">
        <v>100</v>
      </c>
      <c r="H77" s="43">
        <v>400</v>
      </c>
      <c r="I77" s="35">
        <v>695</v>
      </c>
      <c r="J77" s="35">
        <v>50</v>
      </c>
      <c r="K77" s="36"/>
      <c r="L77" s="36"/>
      <c r="M77" s="36"/>
      <c r="N77" s="36"/>
      <c r="O77" s="36"/>
      <c r="P77" s="36"/>
      <c r="Q77" s="36"/>
      <c r="R77" s="36"/>
      <c r="S77" s="36"/>
      <c r="T77" s="36"/>
    </row>
    <row r="78" spans="1:20" ht="15.75">
      <c r="A78" s="13">
        <v>43862</v>
      </c>
      <c r="B78" s="44">
        <v>29</v>
      </c>
      <c r="C78" s="35">
        <v>122.58</v>
      </c>
      <c r="D78" s="35">
        <v>297.94099999999997</v>
      </c>
      <c r="E78" s="41">
        <v>729.47900000000004</v>
      </c>
      <c r="F78" s="35">
        <v>1150</v>
      </c>
      <c r="G78" s="35">
        <v>100</v>
      </c>
      <c r="H78" s="43">
        <v>400</v>
      </c>
      <c r="I78" s="35">
        <v>695</v>
      </c>
      <c r="J78" s="35">
        <v>50</v>
      </c>
      <c r="K78" s="36"/>
      <c r="L78" s="36"/>
      <c r="M78" s="36"/>
      <c r="N78" s="36"/>
      <c r="O78" s="36"/>
      <c r="P78" s="36"/>
      <c r="Q78" s="36"/>
      <c r="R78" s="36"/>
      <c r="S78" s="36"/>
      <c r="T78" s="36"/>
    </row>
    <row r="79" spans="1:20" ht="15.75">
      <c r="A79" s="13">
        <v>43891</v>
      </c>
      <c r="B79" s="44">
        <v>31</v>
      </c>
      <c r="C79" s="35">
        <v>122.58</v>
      </c>
      <c r="D79" s="35">
        <v>297.94099999999997</v>
      </c>
      <c r="E79" s="41">
        <v>729.47900000000004</v>
      </c>
      <c r="F79" s="35">
        <v>1150</v>
      </c>
      <c r="G79" s="35">
        <v>100</v>
      </c>
      <c r="H79" s="43">
        <v>400</v>
      </c>
      <c r="I79" s="35">
        <v>695</v>
      </c>
      <c r="J79" s="35">
        <v>50</v>
      </c>
      <c r="K79" s="36"/>
      <c r="L79" s="36"/>
      <c r="M79" s="36"/>
      <c r="N79" s="36"/>
      <c r="O79" s="36"/>
      <c r="P79" s="36"/>
      <c r="Q79" s="36"/>
      <c r="R79" s="36"/>
      <c r="S79" s="36"/>
      <c r="T79" s="36"/>
    </row>
    <row r="80" spans="1:20" ht="15.75">
      <c r="A80" s="13">
        <v>43922</v>
      </c>
      <c r="B80" s="44">
        <v>30</v>
      </c>
      <c r="C80" s="35">
        <v>141.29300000000001</v>
      </c>
      <c r="D80" s="35">
        <v>267.99299999999999</v>
      </c>
      <c r="E80" s="41">
        <v>829.71400000000006</v>
      </c>
      <c r="F80" s="35">
        <v>1239</v>
      </c>
      <c r="G80" s="35">
        <v>100</v>
      </c>
      <c r="H80" s="43">
        <v>400</v>
      </c>
      <c r="I80" s="35">
        <v>695</v>
      </c>
      <c r="J80" s="35">
        <v>50</v>
      </c>
      <c r="K80" s="36"/>
      <c r="L80" s="36"/>
      <c r="M80" s="36"/>
      <c r="N80" s="36"/>
      <c r="O80" s="36"/>
      <c r="P80" s="36"/>
      <c r="Q80" s="36"/>
      <c r="R80" s="36"/>
      <c r="S80" s="36"/>
      <c r="T80" s="36"/>
    </row>
    <row r="81" spans="1:20" ht="15.75">
      <c r="A81" s="13">
        <v>43952</v>
      </c>
      <c r="B81" s="44">
        <v>31</v>
      </c>
      <c r="C81" s="35">
        <v>194.20500000000001</v>
      </c>
      <c r="D81" s="35">
        <v>267.46600000000001</v>
      </c>
      <c r="E81" s="41">
        <v>812.32899999999995</v>
      </c>
      <c r="F81" s="35">
        <v>1274</v>
      </c>
      <c r="G81" s="35">
        <v>75</v>
      </c>
      <c r="H81" s="43">
        <v>600</v>
      </c>
      <c r="I81" s="35">
        <v>695</v>
      </c>
      <c r="J81" s="35">
        <v>50</v>
      </c>
      <c r="K81" s="36"/>
      <c r="L81" s="36"/>
      <c r="M81" s="36"/>
      <c r="N81" s="36"/>
      <c r="O81" s="36"/>
      <c r="P81" s="36"/>
      <c r="Q81" s="36"/>
      <c r="R81" s="36"/>
      <c r="S81" s="36"/>
      <c r="T81" s="36"/>
    </row>
    <row r="82" spans="1:20" ht="15.75">
      <c r="A82" s="13">
        <v>43983</v>
      </c>
      <c r="B82" s="44">
        <v>30</v>
      </c>
      <c r="C82" s="35">
        <v>194.20500000000001</v>
      </c>
      <c r="D82" s="35">
        <v>267.46600000000001</v>
      </c>
      <c r="E82" s="41">
        <v>812.32899999999995</v>
      </c>
      <c r="F82" s="35">
        <v>1274</v>
      </c>
      <c r="G82" s="35">
        <v>50</v>
      </c>
      <c r="H82" s="43">
        <v>600</v>
      </c>
      <c r="I82" s="35">
        <v>695</v>
      </c>
      <c r="J82" s="35">
        <v>50</v>
      </c>
      <c r="K82" s="36"/>
      <c r="L82" s="36"/>
      <c r="M82" s="36"/>
      <c r="N82" s="36"/>
      <c r="O82" s="36"/>
      <c r="P82" s="36"/>
      <c r="Q82" s="36"/>
      <c r="R82" s="36"/>
      <c r="S82" s="36"/>
      <c r="T82" s="36"/>
    </row>
    <row r="83" spans="1:20" ht="15.75">
      <c r="A83" s="13">
        <v>44013</v>
      </c>
      <c r="B83" s="44">
        <v>31</v>
      </c>
      <c r="C83" s="35">
        <v>194.20500000000001</v>
      </c>
      <c r="D83" s="35">
        <v>267.46600000000001</v>
      </c>
      <c r="E83" s="41">
        <v>812.32899999999995</v>
      </c>
      <c r="F83" s="35">
        <v>1274</v>
      </c>
      <c r="G83" s="35">
        <v>50</v>
      </c>
      <c r="H83" s="43">
        <v>600</v>
      </c>
      <c r="I83" s="35">
        <v>695</v>
      </c>
      <c r="J83" s="35">
        <v>0</v>
      </c>
      <c r="K83" s="36"/>
      <c r="L83" s="36"/>
      <c r="M83" s="36"/>
      <c r="N83" s="36"/>
      <c r="O83" s="36"/>
      <c r="P83" s="36"/>
      <c r="Q83" s="36"/>
      <c r="R83" s="36"/>
      <c r="S83" s="36"/>
      <c r="T83" s="36"/>
    </row>
    <row r="84" spans="1:20" ht="15.75">
      <c r="A84" s="13">
        <v>44044</v>
      </c>
      <c r="B84" s="44">
        <v>31</v>
      </c>
      <c r="C84" s="35">
        <v>194.20500000000001</v>
      </c>
      <c r="D84" s="35">
        <v>267.46600000000001</v>
      </c>
      <c r="E84" s="41">
        <v>812.32899999999995</v>
      </c>
      <c r="F84" s="35">
        <v>1274</v>
      </c>
      <c r="G84" s="35">
        <v>50</v>
      </c>
      <c r="H84" s="43">
        <v>600</v>
      </c>
      <c r="I84" s="35">
        <v>695</v>
      </c>
      <c r="J84" s="35">
        <v>0</v>
      </c>
      <c r="K84" s="36"/>
      <c r="L84" s="36"/>
      <c r="M84" s="36"/>
      <c r="N84" s="36"/>
      <c r="O84" s="36"/>
      <c r="P84" s="36"/>
      <c r="Q84" s="36"/>
      <c r="R84" s="36"/>
      <c r="S84" s="36"/>
      <c r="T84" s="36"/>
    </row>
    <row r="85" spans="1:20" ht="15.75">
      <c r="A85" s="13">
        <v>44075</v>
      </c>
      <c r="B85" s="44">
        <v>30</v>
      </c>
      <c r="C85" s="35">
        <v>194.20500000000001</v>
      </c>
      <c r="D85" s="35">
        <v>267.46600000000001</v>
      </c>
      <c r="E85" s="41">
        <v>812.32899999999995</v>
      </c>
      <c r="F85" s="35">
        <v>1274</v>
      </c>
      <c r="G85" s="35">
        <v>50</v>
      </c>
      <c r="H85" s="43">
        <v>600</v>
      </c>
      <c r="I85" s="35">
        <v>695</v>
      </c>
      <c r="J85" s="35">
        <v>0</v>
      </c>
      <c r="K85" s="36"/>
      <c r="L85" s="36"/>
      <c r="M85" s="36"/>
      <c r="N85" s="36"/>
      <c r="O85" s="36"/>
      <c r="P85" s="36"/>
      <c r="Q85" s="36"/>
      <c r="R85" s="36"/>
      <c r="S85" s="36"/>
      <c r="T85" s="36"/>
    </row>
    <row r="86" spans="1:20" ht="15.75">
      <c r="A86" s="13">
        <v>44105</v>
      </c>
      <c r="B86" s="44">
        <v>31</v>
      </c>
      <c r="C86" s="35">
        <v>131.881</v>
      </c>
      <c r="D86" s="35">
        <v>277.16699999999997</v>
      </c>
      <c r="E86" s="41">
        <v>829.952</v>
      </c>
      <c r="F86" s="35">
        <v>1239</v>
      </c>
      <c r="G86" s="35">
        <v>75</v>
      </c>
      <c r="H86" s="43">
        <v>600</v>
      </c>
      <c r="I86" s="35">
        <v>695</v>
      </c>
      <c r="J86" s="35">
        <v>0</v>
      </c>
      <c r="K86" s="36"/>
      <c r="L86" s="36"/>
      <c r="M86" s="36"/>
      <c r="N86" s="36"/>
      <c r="O86" s="36"/>
      <c r="P86" s="36"/>
      <c r="Q86" s="36"/>
      <c r="R86" s="36"/>
      <c r="S86" s="36"/>
      <c r="T86" s="36"/>
    </row>
    <row r="87" spans="1:20" ht="15.75">
      <c r="A87" s="13">
        <v>44136</v>
      </c>
      <c r="B87" s="44">
        <v>30</v>
      </c>
      <c r="C87" s="35">
        <v>122.58</v>
      </c>
      <c r="D87" s="35">
        <v>297.94099999999997</v>
      </c>
      <c r="E87" s="41">
        <v>729.47900000000004</v>
      </c>
      <c r="F87" s="35">
        <v>1150</v>
      </c>
      <c r="G87" s="35">
        <v>100</v>
      </c>
      <c r="H87" s="43">
        <v>600</v>
      </c>
      <c r="I87" s="35">
        <v>695</v>
      </c>
      <c r="J87" s="35">
        <v>50</v>
      </c>
      <c r="K87" s="36"/>
      <c r="L87" s="36"/>
      <c r="M87" s="36"/>
      <c r="N87" s="36"/>
      <c r="O87" s="36"/>
      <c r="P87" s="36"/>
      <c r="Q87" s="36"/>
      <c r="R87" s="36"/>
      <c r="S87" s="36"/>
      <c r="T87" s="36"/>
    </row>
    <row r="88" spans="1:20" ht="15.75">
      <c r="A88" s="13">
        <v>44166</v>
      </c>
      <c r="B88" s="44">
        <v>31</v>
      </c>
      <c r="C88" s="35">
        <v>122.58</v>
      </c>
      <c r="D88" s="35">
        <v>297.94099999999997</v>
      </c>
      <c r="E88" s="41">
        <v>729.47900000000004</v>
      </c>
      <c r="F88" s="35">
        <v>1150</v>
      </c>
      <c r="G88" s="35">
        <v>100</v>
      </c>
      <c r="H88" s="43">
        <v>600</v>
      </c>
      <c r="I88" s="35">
        <v>695</v>
      </c>
      <c r="J88" s="35">
        <v>50</v>
      </c>
      <c r="K88" s="36"/>
      <c r="L88" s="36"/>
      <c r="M88" s="36"/>
      <c r="N88" s="36"/>
      <c r="O88" s="36"/>
      <c r="P88" s="36"/>
      <c r="Q88" s="36"/>
      <c r="R88" s="36"/>
      <c r="S88" s="36"/>
      <c r="T88" s="36"/>
    </row>
    <row r="89" spans="1:20" ht="15.75">
      <c r="A89" s="13">
        <v>44197</v>
      </c>
      <c r="B89" s="44">
        <v>31</v>
      </c>
      <c r="C89" s="35">
        <v>122.58</v>
      </c>
      <c r="D89" s="35">
        <v>297.94099999999997</v>
      </c>
      <c r="E89" s="41">
        <v>729.47900000000004</v>
      </c>
      <c r="F89" s="35">
        <v>1150</v>
      </c>
      <c r="G89" s="35">
        <v>100</v>
      </c>
      <c r="H89" s="43">
        <v>600</v>
      </c>
      <c r="I89" s="35">
        <v>695</v>
      </c>
      <c r="J89" s="35">
        <v>50</v>
      </c>
      <c r="K89" s="36"/>
      <c r="L89" s="36"/>
      <c r="M89" s="36"/>
      <c r="N89" s="36"/>
      <c r="O89" s="36"/>
      <c r="P89" s="36"/>
      <c r="Q89" s="36"/>
      <c r="R89" s="36"/>
      <c r="S89" s="36"/>
      <c r="T89" s="36"/>
    </row>
    <row r="90" spans="1:20" ht="15.75">
      <c r="A90" s="13">
        <v>44228</v>
      </c>
      <c r="B90" s="44">
        <v>28</v>
      </c>
      <c r="C90" s="35">
        <v>122.58</v>
      </c>
      <c r="D90" s="35">
        <v>297.94099999999997</v>
      </c>
      <c r="E90" s="41">
        <v>729.47900000000004</v>
      </c>
      <c r="F90" s="35">
        <v>1150</v>
      </c>
      <c r="G90" s="35">
        <v>100</v>
      </c>
      <c r="H90" s="43">
        <v>600</v>
      </c>
      <c r="I90" s="35">
        <v>695</v>
      </c>
      <c r="J90" s="35">
        <v>50</v>
      </c>
      <c r="K90" s="36"/>
      <c r="L90" s="36"/>
      <c r="M90" s="36"/>
      <c r="N90" s="36"/>
      <c r="O90" s="36"/>
      <c r="P90" s="36"/>
      <c r="Q90" s="36"/>
      <c r="R90" s="36"/>
      <c r="S90" s="36"/>
      <c r="T90" s="36"/>
    </row>
    <row r="91" spans="1:20" ht="15.75">
      <c r="A91" s="13">
        <v>44256</v>
      </c>
      <c r="B91" s="44">
        <v>31</v>
      </c>
      <c r="C91" s="35">
        <v>122.58</v>
      </c>
      <c r="D91" s="35">
        <v>297.94099999999997</v>
      </c>
      <c r="E91" s="41">
        <v>729.47900000000004</v>
      </c>
      <c r="F91" s="35">
        <v>1150</v>
      </c>
      <c r="G91" s="35">
        <v>100</v>
      </c>
      <c r="H91" s="43">
        <v>600</v>
      </c>
      <c r="I91" s="35">
        <v>695</v>
      </c>
      <c r="J91" s="35">
        <v>50</v>
      </c>
      <c r="K91" s="36"/>
      <c r="L91" s="36"/>
      <c r="M91" s="36"/>
      <c r="N91" s="36"/>
      <c r="O91" s="36"/>
      <c r="P91" s="36"/>
      <c r="Q91" s="36"/>
      <c r="R91" s="36"/>
      <c r="S91" s="36"/>
      <c r="T91" s="36"/>
    </row>
    <row r="92" spans="1:20" ht="15.75">
      <c r="A92" s="13">
        <v>44287</v>
      </c>
      <c r="B92" s="44">
        <v>30</v>
      </c>
      <c r="C92" s="35">
        <v>141.29300000000001</v>
      </c>
      <c r="D92" s="35">
        <v>267.99299999999999</v>
      </c>
      <c r="E92" s="41">
        <v>829.71400000000006</v>
      </c>
      <c r="F92" s="35">
        <v>1239</v>
      </c>
      <c r="G92" s="35">
        <v>100</v>
      </c>
      <c r="H92" s="43">
        <v>600</v>
      </c>
      <c r="I92" s="35">
        <v>695</v>
      </c>
      <c r="J92" s="35">
        <v>50</v>
      </c>
      <c r="K92" s="36"/>
      <c r="L92" s="36"/>
      <c r="M92" s="36"/>
      <c r="N92" s="36"/>
      <c r="O92" s="36"/>
      <c r="P92" s="36"/>
      <c r="Q92" s="36"/>
      <c r="R92" s="36"/>
      <c r="S92" s="36"/>
      <c r="T92" s="36"/>
    </row>
    <row r="93" spans="1:20" ht="15.75">
      <c r="A93" s="13">
        <v>44317</v>
      </c>
      <c r="B93" s="44">
        <v>31</v>
      </c>
      <c r="C93" s="35">
        <v>194.20500000000001</v>
      </c>
      <c r="D93" s="35">
        <v>267.46600000000001</v>
      </c>
      <c r="E93" s="41">
        <v>812.32899999999995</v>
      </c>
      <c r="F93" s="35">
        <v>1274</v>
      </c>
      <c r="G93" s="35">
        <v>75</v>
      </c>
      <c r="H93" s="43">
        <v>600</v>
      </c>
      <c r="I93" s="35">
        <v>695</v>
      </c>
      <c r="J93" s="35">
        <v>50</v>
      </c>
      <c r="K93" s="36"/>
      <c r="L93" s="36"/>
      <c r="M93" s="36"/>
      <c r="N93" s="36"/>
      <c r="O93" s="36"/>
      <c r="P93" s="36"/>
      <c r="Q93" s="36"/>
      <c r="R93" s="36"/>
      <c r="S93" s="36"/>
      <c r="T93" s="36"/>
    </row>
    <row r="94" spans="1:20" ht="15.75">
      <c r="A94" s="13">
        <v>44348</v>
      </c>
      <c r="B94" s="44">
        <v>30</v>
      </c>
      <c r="C94" s="35">
        <v>194.20500000000001</v>
      </c>
      <c r="D94" s="35">
        <v>267.46600000000001</v>
      </c>
      <c r="E94" s="41">
        <v>812.32899999999995</v>
      </c>
      <c r="F94" s="35">
        <v>1274</v>
      </c>
      <c r="G94" s="35">
        <v>50</v>
      </c>
      <c r="H94" s="43">
        <v>600</v>
      </c>
      <c r="I94" s="35">
        <v>695</v>
      </c>
      <c r="J94" s="35">
        <v>50</v>
      </c>
      <c r="K94" s="36"/>
      <c r="L94" s="36"/>
      <c r="M94" s="36"/>
      <c r="N94" s="36"/>
      <c r="O94" s="36"/>
      <c r="P94" s="36"/>
      <c r="Q94" s="36"/>
      <c r="R94" s="36"/>
      <c r="S94" s="36"/>
      <c r="T94" s="36"/>
    </row>
    <row r="95" spans="1:20" ht="15.75">
      <c r="A95" s="13">
        <v>44378</v>
      </c>
      <c r="B95" s="44">
        <v>31</v>
      </c>
      <c r="C95" s="35">
        <v>194.20500000000001</v>
      </c>
      <c r="D95" s="35">
        <v>267.46600000000001</v>
      </c>
      <c r="E95" s="41">
        <v>812.32899999999995</v>
      </c>
      <c r="F95" s="35">
        <v>1274</v>
      </c>
      <c r="G95" s="35">
        <v>50</v>
      </c>
      <c r="H95" s="43">
        <v>600</v>
      </c>
      <c r="I95" s="35">
        <v>695</v>
      </c>
      <c r="J95" s="35">
        <v>0</v>
      </c>
      <c r="K95" s="36"/>
      <c r="L95" s="36"/>
      <c r="M95" s="36"/>
      <c r="N95" s="36"/>
      <c r="O95" s="36"/>
      <c r="P95" s="36"/>
      <c r="Q95" s="36"/>
      <c r="R95" s="36"/>
      <c r="S95" s="36"/>
      <c r="T95" s="36"/>
    </row>
    <row r="96" spans="1:20" ht="15.75">
      <c r="A96" s="13">
        <v>44409</v>
      </c>
      <c r="B96" s="44">
        <v>31</v>
      </c>
      <c r="C96" s="35">
        <v>194.20500000000001</v>
      </c>
      <c r="D96" s="35">
        <v>267.46600000000001</v>
      </c>
      <c r="E96" s="41">
        <v>812.32899999999995</v>
      </c>
      <c r="F96" s="35">
        <v>1274</v>
      </c>
      <c r="G96" s="35">
        <v>50</v>
      </c>
      <c r="H96" s="43">
        <v>600</v>
      </c>
      <c r="I96" s="35">
        <v>695</v>
      </c>
      <c r="J96" s="35">
        <v>0</v>
      </c>
      <c r="K96" s="36"/>
      <c r="L96" s="36"/>
      <c r="M96" s="36"/>
      <c r="N96" s="36"/>
      <c r="O96" s="36"/>
      <c r="P96" s="36"/>
      <c r="Q96" s="36"/>
      <c r="R96" s="36"/>
      <c r="S96" s="36"/>
      <c r="T96" s="36"/>
    </row>
    <row r="97" spans="1:20" ht="15.75">
      <c r="A97" s="13">
        <v>44440</v>
      </c>
      <c r="B97" s="44">
        <v>30</v>
      </c>
      <c r="C97" s="35">
        <v>194.20500000000001</v>
      </c>
      <c r="D97" s="35">
        <v>267.46600000000001</v>
      </c>
      <c r="E97" s="41">
        <v>812.32899999999995</v>
      </c>
      <c r="F97" s="35">
        <v>1274</v>
      </c>
      <c r="G97" s="35">
        <v>50</v>
      </c>
      <c r="H97" s="43">
        <v>600</v>
      </c>
      <c r="I97" s="35">
        <v>695</v>
      </c>
      <c r="J97" s="35">
        <v>0</v>
      </c>
      <c r="K97" s="36"/>
      <c r="L97" s="36"/>
      <c r="M97" s="36"/>
      <c r="N97" s="36"/>
      <c r="O97" s="36"/>
      <c r="P97" s="36"/>
      <c r="Q97" s="36"/>
      <c r="R97" s="36"/>
      <c r="S97" s="36"/>
      <c r="T97" s="36"/>
    </row>
    <row r="98" spans="1:20" ht="15.75">
      <c r="A98" s="13">
        <v>44470</v>
      </c>
      <c r="B98" s="44">
        <v>31</v>
      </c>
      <c r="C98" s="35">
        <v>131.881</v>
      </c>
      <c r="D98" s="35">
        <v>277.16699999999997</v>
      </c>
      <c r="E98" s="41">
        <v>829.952</v>
      </c>
      <c r="F98" s="35">
        <v>1239</v>
      </c>
      <c r="G98" s="35">
        <v>75</v>
      </c>
      <c r="H98" s="43">
        <v>600</v>
      </c>
      <c r="I98" s="35">
        <v>695</v>
      </c>
      <c r="J98" s="35">
        <v>0</v>
      </c>
      <c r="K98" s="36"/>
      <c r="L98" s="36"/>
      <c r="M98" s="36"/>
      <c r="N98" s="36"/>
      <c r="O98" s="36"/>
      <c r="P98" s="36"/>
      <c r="Q98" s="36"/>
      <c r="R98" s="36"/>
      <c r="S98" s="36"/>
      <c r="T98" s="36"/>
    </row>
    <row r="99" spans="1:20" ht="15.75">
      <c r="A99" s="13">
        <v>44501</v>
      </c>
      <c r="B99" s="44">
        <v>30</v>
      </c>
      <c r="C99" s="35">
        <v>122.58</v>
      </c>
      <c r="D99" s="35">
        <v>297.94099999999997</v>
      </c>
      <c r="E99" s="41">
        <v>729.47900000000004</v>
      </c>
      <c r="F99" s="35">
        <v>1150</v>
      </c>
      <c r="G99" s="35">
        <v>100</v>
      </c>
      <c r="H99" s="43">
        <v>600</v>
      </c>
      <c r="I99" s="35">
        <v>695</v>
      </c>
      <c r="J99" s="35">
        <v>50</v>
      </c>
      <c r="K99" s="36"/>
      <c r="L99" s="36"/>
      <c r="M99" s="36"/>
      <c r="N99" s="36"/>
      <c r="O99" s="36"/>
      <c r="P99" s="36"/>
      <c r="Q99" s="36"/>
      <c r="R99" s="36"/>
      <c r="S99" s="36"/>
      <c r="T99" s="36"/>
    </row>
    <row r="100" spans="1:20" ht="15.75">
      <c r="A100" s="13">
        <v>44531</v>
      </c>
      <c r="B100" s="44">
        <v>31</v>
      </c>
      <c r="C100" s="35">
        <v>122.58</v>
      </c>
      <c r="D100" s="35">
        <v>297.94099999999997</v>
      </c>
      <c r="E100" s="41">
        <v>729.47900000000004</v>
      </c>
      <c r="F100" s="35">
        <v>1150</v>
      </c>
      <c r="G100" s="35">
        <v>100</v>
      </c>
      <c r="H100" s="43">
        <v>600</v>
      </c>
      <c r="I100" s="35">
        <v>695</v>
      </c>
      <c r="J100" s="35">
        <v>50</v>
      </c>
      <c r="K100" s="36"/>
      <c r="L100" s="36"/>
      <c r="M100" s="36"/>
      <c r="N100" s="36"/>
      <c r="O100" s="36"/>
      <c r="P100" s="36"/>
      <c r="Q100" s="36"/>
      <c r="R100" s="36"/>
      <c r="S100" s="36"/>
      <c r="T100" s="36"/>
    </row>
    <row r="101" spans="1:20" ht="15.75">
      <c r="A101" s="13">
        <v>44562</v>
      </c>
      <c r="B101" s="44">
        <v>31</v>
      </c>
      <c r="C101" s="35">
        <v>122.58</v>
      </c>
      <c r="D101" s="35">
        <v>297.94099999999997</v>
      </c>
      <c r="E101" s="41">
        <v>729.47900000000004</v>
      </c>
      <c r="F101" s="35">
        <v>1150</v>
      </c>
      <c r="G101" s="35">
        <v>100</v>
      </c>
      <c r="H101" s="43">
        <v>600</v>
      </c>
      <c r="I101" s="35">
        <v>695</v>
      </c>
      <c r="J101" s="35">
        <v>50</v>
      </c>
      <c r="K101" s="36"/>
      <c r="L101" s="36"/>
      <c r="M101" s="36"/>
      <c r="N101" s="36"/>
      <c r="O101" s="36"/>
      <c r="P101" s="36"/>
      <c r="Q101" s="36"/>
      <c r="R101" s="36"/>
      <c r="S101" s="36"/>
      <c r="T101" s="36"/>
    </row>
    <row r="102" spans="1:20" ht="15.75">
      <c r="A102" s="13">
        <v>44593</v>
      </c>
      <c r="B102" s="44">
        <v>28</v>
      </c>
      <c r="C102" s="35">
        <v>122.58</v>
      </c>
      <c r="D102" s="35">
        <v>297.94099999999997</v>
      </c>
      <c r="E102" s="41">
        <v>729.47900000000004</v>
      </c>
      <c r="F102" s="35">
        <v>1150</v>
      </c>
      <c r="G102" s="35">
        <v>100</v>
      </c>
      <c r="H102" s="43">
        <v>600</v>
      </c>
      <c r="I102" s="35">
        <v>695</v>
      </c>
      <c r="J102" s="35">
        <v>50</v>
      </c>
      <c r="K102" s="36"/>
      <c r="L102" s="36"/>
      <c r="M102" s="36"/>
      <c r="N102" s="36"/>
      <c r="O102" s="36"/>
      <c r="P102" s="36"/>
      <c r="Q102" s="36"/>
      <c r="R102" s="36"/>
      <c r="S102" s="36"/>
      <c r="T102" s="36"/>
    </row>
    <row r="103" spans="1:20" ht="15.75">
      <c r="A103" s="13">
        <v>44621</v>
      </c>
      <c r="B103" s="44">
        <v>31</v>
      </c>
      <c r="C103" s="35">
        <v>122.58</v>
      </c>
      <c r="D103" s="35">
        <v>297.94099999999997</v>
      </c>
      <c r="E103" s="41">
        <v>729.47900000000004</v>
      </c>
      <c r="F103" s="35">
        <v>1150</v>
      </c>
      <c r="G103" s="35">
        <v>100</v>
      </c>
      <c r="H103" s="43">
        <v>600</v>
      </c>
      <c r="I103" s="35">
        <v>695</v>
      </c>
      <c r="J103" s="35">
        <v>50</v>
      </c>
      <c r="K103" s="36"/>
      <c r="L103" s="36"/>
      <c r="M103" s="36"/>
      <c r="N103" s="36"/>
      <c r="O103" s="36"/>
      <c r="P103" s="36"/>
      <c r="Q103" s="36"/>
      <c r="R103" s="36"/>
      <c r="S103" s="36"/>
      <c r="T103" s="36"/>
    </row>
    <row r="104" spans="1:20" ht="15.75">
      <c r="A104" s="13">
        <v>44652</v>
      </c>
      <c r="B104" s="44">
        <v>30</v>
      </c>
      <c r="C104" s="35">
        <v>141.29300000000001</v>
      </c>
      <c r="D104" s="35">
        <v>267.99299999999999</v>
      </c>
      <c r="E104" s="41">
        <v>829.71400000000006</v>
      </c>
      <c r="F104" s="35">
        <v>1239</v>
      </c>
      <c r="G104" s="35">
        <v>100</v>
      </c>
      <c r="H104" s="43">
        <v>600</v>
      </c>
      <c r="I104" s="35">
        <v>695</v>
      </c>
      <c r="J104" s="35">
        <v>50</v>
      </c>
      <c r="K104" s="36"/>
      <c r="L104" s="36"/>
      <c r="M104" s="36"/>
      <c r="N104" s="36"/>
      <c r="O104" s="36"/>
      <c r="P104" s="36"/>
      <c r="Q104" s="36"/>
      <c r="R104" s="36"/>
      <c r="S104" s="36"/>
      <c r="T104" s="36"/>
    </row>
    <row r="105" spans="1:20" ht="15.75">
      <c r="A105" s="13">
        <v>44682</v>
      </c>
      <c r="B105" s="44">
        <v>31</v>
      </c>
      <c r="C105" s="35">
        <v>194.20500000000001</v>
      </c>
      <c r="D105" s="35">
        <v>267.46600000000001</v>
      </c>
      <c r="E105" s="41">
        <v>812.32899999999995</v>
      </c>
      <c r="F105" s="35">
        <v>1274</v>
      </c>
      <c r="G105" s="35">
        <v>75</v>
      </c>
      <c r="H105" s="43">
        <v>600</v>
      </c>
      <c r="I105" s="35">
        <v>695</v>
      </c>
      <c r="J105" s="35">
        <v>50</v>
      </c>
      <c r="K105" s="36"/>
      <c r="L105" s="36"/>
      <c r="M105" s="36"/>
      <c r="N105" s="36"/>
      <c r="O105" s="36"/>
      <c r="P105" s="36"/>
      <c r="Q105" s="36"/>
      <c r="R105" s="36"/>
      <c r="S105" s="36"/>
      <c r="T105" s="36"/>
    </row>
    <row r="106" spans="1:20" ht="15.75">
      <c r="A106" s="13">
        <v>44713</v>
      </c>
      <c r="B106" s="44">
        <v>30</v>
      </c>
      <c r="C106" s="35">
        <v>194.20500000000001</v>
      </c>
      <c r="D106" s="35">
        <v>267.46600000000001</v>
      </c>
      <c r="E106" s="41">
        <v>812.32899999999995</v>
      </c>
      <c r="F106" s="35">
        <v>1274</v>
      </c>
      <c r="G106" s="35">
        <v>50</v>
      </c>
      <c r="H106" s="43">
        <v>600</v>
      </c>
      <c r="I106" s="35">
        <v>695</v>
      </c>
      <c r="J106" s="35">
        <v>50</v>
      </c>
      <c r="K106" s="36"/>
      <c r="L106" s="36"/>
      <c r="M106" s="36"/>
      <c r="N106" s="36"/>
      <c r="O106" s="36"/>
      <c r="P106" s="36"/>
      <c r="Q106" s="36"/>
      <c r="R106" s="36"/>
      <c r="S106" s="36"/>
      <c r="T106" s="36"/>
    </row>
    <row r="107" spans="1:20" ht="15.75">
      <c r="A107" s="13">
        <v>44743</v>
      </c>
      <c r="B107" s="44">
        <v>31</v>
      </c>
      <c r="C107" s="35">
        <v>194.20500000000001</v>
      </c>
      <c r="D107" s="35">
        <v>267.46600000000001</v>
      </c>
      <c r="E107" s="41">
        <v>812.32899999999995</v>
      </c>
      <c r="F107" s="35">
        <v>1274</v>
      </c>
      <c r="G107" s="35">
        <v>50</v>
      </c>
      <c r="H107" s="43">
        <v>600</v>
      </c>
      <c r="I107" s="35">
        <v>695</v>
      </c>
      <c r="J107" s="35">
        <v>0</v>
      </c>
      <c r="K107" s="36"/>
      <c r="L107" s="36"/>
      <c r="M107" s="36"/>
      <c r="N107" s="36"/>
      <c r="O107" s="36"/>
      <c r="P107" s="36"/>
      <c r="Q107" s="36"/>
      <c r="R107" s="36"/>
      <c r="S107" s="36"/>
      <c r="T107" s="36"/>
    </row>
    <row r="108" spans="1:20" ht="15.75">
      <c r="A108" s="13">
        <v>44774</v>
      </c>
      <c r="B108" s="44">
        <v>31</v>
      </c>
      <c r="C108" s="35">
        <v>194.20500000000001</v>
      </c>
      <c r="D108" s="35">
        <v>267.46600000000001</v>
      </c>
      <c r="E108" s="41">
        <v>812.32899999999995</v>
      </c>
      <c r="F108" s="35">
        <v>1274</v>
      </c>
      <c r="G108" s="35">
        <v>50</v>
      </c>
      <c r="H108" s="43">
        <v>600</v>
      </c>
      <c r="I108" s="35">
        <v>695</v>
      </c>
      <c r="J108" s="35">
        <v>0</v>
      </c>
      <c r="K108" s="36"/>
      <c r="L108" s="36"/>
      <c r="M108" s="36"/>
      <c r="N108" s="36"/>
      <c r="O108" s="36"/>
      <c r="P108" s="36"/>
      <c r="Q108" s="36"/>
      <c r="R108" s="36"/>
      <c r="S108" s="36"/>
      <c r="T108" s="36"/>
    </row>
    <row r="109" spans="1:20" ht="15.75">
      <c r="A109" s="13">
        <v>44805</v>
      </c>
      <c r="B109" s="44">
        <v>30</v>
      </c>
      <c r="C109" s="35">
        <v>194.20500000000001</v>
      </c>
      <c r="D109" s="35">
        <v>267.46600000000001</v>
      </c>
      <c r="E109" s="41">
        <v>812.32899999999995</v>
      </c>
      <c r="F109" s="35">
        <v>1274</v>
      </c>
      <c r="G109" s="35">
        <v>50</v>
      </c>
      <c r="H109" s="43">
        <v>600</v>
      </c>
      <c r="I109" s="35">
        <v>695</v>
      </c>
      <c r="J109" s="35">
        <v>0</v>
      </c>
      <c r="K109" s="36"/>
      <c r="L109" s="36"/>
      <c r="M109" s="36"/>
      <c r="N109" s="36"/>
      <c r="O109" s="36"/>
      <c r="P109" s="36"/>
      <c r="Q109" s="36"/>
      <c r="R109" s="36"/>
      <c r="S109" s="36"/>
      <c r="T109" s="36"/>
    </row>
    <row r="110" spans="1:20" ht="15.75">
      <c r="A110" s="13">
        <v>44835</v>
      </c>
      <c r="B110" s="44">
        <v>31</v>
      </c>
      <c r="C110" s="35">
        <v>131.881</v>
      </c>
      <c r="D110" s="35">
        <v>277.16699999999997</v>
      </c>
      <c r="E110" s="41">
        <v>829.952</v>
      </c>
      <c r="F110" s="35">
        <v>1239</v>
      </c>
      <c r="G110" s="35">
        <v>75</v>
      </c>
      <c r="H110" s="43">
        <v>600</v>
      </c>
      <c r="I110" s="35">
        <v>695</v>
      </c>
      <c r="J110" s="35">
        <v>0</v>
      </c>
      <c r="K110" s="36"/>
      <c r="L110" s="36"/>
      <c r="M110" s="36"/>
      <c r="N110" s="36"/>
      <c r="O110" s="36"/>
      <c r="P110" s="36"/>
      <c r="Q110" s="36"/>
      <c r="R110" s="36"/>
      <c r="S110" s="36"/>
      <c r="T110" s="36"/>
    </row>
    <row r="111" spans="1:20" ht="15.75">
      <c r="A111" s="13">
        <v>44866</v>
      </c>
      <c r="B111" s="44">
        <v>30</v>
      </c>
      <c r="C111" s="35">
        <v>122.58</v>
      </c>
      <c r="D111" s="35">
        <v>297.94099999999997</v>
      </c>
      <c r="E111" s="41">
        <v>729.47900000000004</v>
      </c>
      <c r="F111" s="35">
        <v>1150</v>
      </c>
      <c r="G111" s="35">
        <v>100</v>
      </c>
      <c r="H111" s="43">
        <v>600</v>
      </c>
      <c r="I111" s="35">
        <v>695</v>
      </c>
      <c r="J111" s="35">
        <v>50</v>
      </c>
      <c r="K111" s="36"/>
      <c r="L111" s="36"/>
      <c r="M111" s="36"/>
      <c r="N111" s="36"/>
      <c r="O111" s="36"/>
      <c r="P111" s="36"/>
      <c r="Q111" s="36"/>
      <c r="R111" s="36"/>
      <c r="S111" s="36"/>
      <c r="T111" s="36"/>
    </row>
    <row r="112" spans="1:20" ht="15.75">
      <c r="A112" s="13">
        <v>44896</v>
      </c>
      <c r="B112" s="44">
        <v>31</v>
      </c>
      <c r="C112" s="35">
        <v>122.58</v>
      </c>
      <c r="D112" s="35">
        <v>297.94099999999997</v>
      </c>
      <c r="E112" s="41">
        <v>729.47900000000004</v>
      </c>
      <c r="F112" s="35">
        <v>1150</v>
      </c>
      <c r="G112" s="35">
        <v>100</v>
      </c>
      <c r="H112" s="43">
        <v>600</v>
      </c>
      <c r="I112" s="35">
        <v>695</v>
      </c>
      <c r="J112" s="35">
        <v>50</v>
      </c>
      <c r="K112" s="36"/>
      <c r="L112" s="36"/>
      <c r="M112" s="36"/>
      <c r="N112" s="36"/>
      <c r="O112" s="36"/>
      <c r="P112" s="36"/>
      <c r="Q112" s="36"/>
      <c r="R112" s="36"/>
      <c r="S112" s="36"/>
      <c r="T112" s="36"/>
    </row>
    <row r="113" spans="1:20" ht="15.75">
      <c r="A113" s="13">
        <v>44927</v>
      </c>
      <c r="B113" s="44">
        <v>31</v>
      </c>
      <c r="C113" s="35">
        <v>122.58</v>
      </c>
      <c r="D113" s="35">
        <v>297.94099999999997</v>
      </c>
      <c r="E113" s="41">
        <v>729.47900000000004</v>
      </c>
      <c r="F113" s="35">
        <v>1150</v>
      </c>
      <c r="G113" s="35">
        <v>100</v>
      </c>
      <c r="H113" s="43">
        <v>600</v>
      </c>
      <c r="I113" s="35">
        <v>695</v>
      </c>
      <c r="J113" s="35">
        <v>50</v>
      </c>
      <c r="K113" s="36"/>
      <c r="L113" s="36"/>
      <c r="M113" s="36"/>
      <c r="N113" s="36"/>
      <c r="O113" s="36"/>
      <c r="P113" s="36"/>
      <c r="Q113" s="36"/>
      <c r="R113" s="36"/>
      <c r="S113" s="36"/>
      <c r="T113" s="36"/>
    </row>
    <row r="114" spans="1:20" ht="15.75">
      <c r="A114" s="13">
        <v>44958</v>
      </c>
      <c r="B114" s="44">
        <v>28</v>
      </c>
      <c r="C114" s="35">
        <v>122.58</v>
      </c>
      <c r="D114" s="35">
        <v>297.94099999999997</v>
      </c>
      <c r="E114" s="41">
        <v>729.47900000000004</v>
      </c>
      <c r="F114" s="35">
        <v>1150</v>
      </c>
      <c r="G114" s="35">
        <v>100</v>
      </c>
      <c r="H114" s="43">
        <v>600</v>
      </c>
      <c r="I114" s="35">
        <v>695</v>
      </c>
      <c r="J114" s="35">
        <v>50</v>
      </c>
      <c r="K114" s="36"/>
      <c r="L114" s="36"/>
      <c r="M114" s="36"/>
      <c r="N114" s="36"/>
      <c r="O114" s="36"/>
      <c r="P114" s="36"/>
      <c r="Q114" s="36"/>
      <c r="R114" s="36"/>
      <c r="S114" s="36"/>
      <c r="T114" s="36"/>
    </row>
    <row r="115" spans="1:20" ht="15.75">
      <c r="A115" s="13">
        <v>44986</v>
      </c>
      <c r="B115" s="44">
        <v>31</v>
      </c>
      <c r="C115" s="35">
        <v>122.58</v>
      </c>
      <c r="D115" s="35">
        <v>297.94099999999997</v>
      </c>
      <c r="E115" s="41">
        <v>729.47900000000004</v>
      </c>
      <c r="F115" s="35">
        <v>1150</v>
      </c>
      <c r="G115" s="35">
        <v>100</v>
      </c>
      <c r="H115" s="43">
        <v>600</v>
      </c>
      <c r="I115" s="35">
        <v>695</v>
      </c>
      <c r="J115" s="35">
        <v>50</v>
      </c>
      <c r="K115" s="36"/>
      <c r="L115" s="36"/>
      <c r="M115" s="36"/>
      <c r="N115" s="36"/>
      <c r="O115" s="36"/>
      <c r="P115" s="36"/>
      <c r="Q115" s="36"/>
      <c r="R115" s="36"/>
      <c r="S115" s="36"/>
      <c r="T115" s="36"/>
    </row>
    <row r="116" spans="1:20" ht="15.75">
      <c r="A116" s="13">
        <v>45017</v>
      </c>
      <c r="B116" s="44">
        <v>30</v>
      </c>
      <c r="C116" s="35">
        <v>141.29300000000001</v>
      </c>
      <c r="D116" s="35">
        <v>267.99299999999999</v>
      </c>
      <c r="E116" s="41">
        <v>829.71400000000006</v>
      </c>
      <c r="F116" s="35">
        <v>1239</v>
      </c>
      <c r="G116" s="35">
        <v>100</v>
      </c>
      <c r="H116" s="43">
        <v>600</v>
      </c>
      <c r="I116" s="35">
        <v>695</v>
      </c>
      <c r="J116" s="35">
        <v>50</v>
      </c>
      <c r="K116" s="36"/>
      <c r="L116" s="36"/>
      <c r="M116" s="36"/>
      <c r="N116" s="36"/>
      <c r="O116" s="36"/>
      <c r="P116" s="36"/>
      <c r="Q116" s="36"/>
      <c r="R116" s="36"/>
      <c r="S116" s="36"/>
      <c r="T116" s="36"/>
    </row>
    <row r="117" spans="1:20" ht="15.75">
      <c r="A117" s="13">
        <v>45047</v>
      </c>
      <c r="B117" s="44">
        <v>31</v>
      </c>
      <c r="C117" s="35">
        <v>194.20500000000001</v>
      </c>
      <c r="D117" s="35">
        <v>267.46600000000001</v>
      </c>
      <c r="E117" s="41">
        <v>812.32899999999995</v>
      </c>
      <c r="F117" s="35">
        <v>1274</v>
      </c>
      <c r="G117" s="35">
        <v>75</v>
      </c>
      <c r="H117" s="43">
        <v>600</v>
      </c>
      <c r="I117" s="35">
        <v>695</v>
      </c>
      <c r="J117" s="35">
        <v>50</v>
      </c>
      <c r="K117" s="36"/>
      <c r="L117" s="36"/>
      <c r="M117" s="36"/>
      <c r="N117" s="36"/>
      <c r="O117" s="36"/>
      <c r="P117" s="36"/>
      <c r="Q117" s="36"/>
      <c r="R117" s="36"/>
      <c r="S117" s="36"/>
      <c r="T117" s="36"/>
    </row>
    <row r="118" spans="1:20" ht="15.75">
      <c r="A118" s="13">
        <v>45078</v>
      </c>
      <c r="B118" s="44">
        <v>30</v>
      </c>
      <c r="C118" s="35">
        <v>194.20500000000001</v>
      </c>
      <c r="D118" s="35">
        <v>267.46600000000001</v>
      </c>
      <c r="E118" s="41">
        <v>812.32899999999995</v>
      </c>
      <c r="F118" s="35">
        <v>1274</v>
      </c>
      <c r="G118" s="35">
        <v>50</v>
      </c>
      <c r="H118" s="43">
        <v>600</v>
      </c>
      <c r="I118" s="35">
        <v>695</v>
      </c>
      <c r="J118" s="35">
        <v>50</v>
      </c>
      <c r="K118" s="36"/>
      <c r="L118" s="36"/>
      <c r="M118" s="36"/>
      <c r="N118" s="36"/>
      <c r="O118" s="36"/>
      <c r="P118" s="36"/>
      <c r="Q118" s="36"/>
      <c r="R118" s="36"/>
      <c r="S118" s="36"/>
      <c r="T118" s="36"/>
    </row>
    <row r="119" spans="1:20" ht="15.75">
      <c r="A119" s="13">
        <v>45108</v>
      </c>
      <c r="B119" s="44">
        <v>31</v>
      </c>
      <c r="C119" s="35">
        <v>194.20500000000001</v>
      </c>
      <c r="D119" s="35">
        <v>267.46600000000001</v>
      </c>
      <c r="E119" s="41">
        <v>812.32899999999995</v>
      </c>
      <c r="F119" s="35">
        <v>1274</v>
      </c>
      <c r="G119" s="35">
        <v>50</v>
      </c>
      <c r="H119" s="43">
        <v>600</v>
      </c>
      <c r="I119" s="35">
        <v>695</v>
      </c>
      <c r="J119" s="35">
        <v>0</v>
      </c>
      <c r="K119" s="36"/>
      <c r="L119" s="36"/>
      <c r="M119" s="36"/>
      <c r="N119" s="36"/>
      <c r="O119" s="36"/>
      <c r="P119" s="36"/>
      <c r="Q119" s="36"/>
      <c r="R119" s="36"/>
      <c r="S119" s="36"/>
      <c r="T119" s="36"/>
    </row>
    <row r="120" spans="1:20" ht="15.75">
      <c r="A120" s="13">
        <v>45139</v>
      </c>
      <c r="B120" s="44">
        <v>31</v>
      </c>
      <c r="C120" s="35">
        <v>194.20500000000001</v>
      </c>
      <c r="D120" s="35">
        <v>267.46600000000001</v>
      </c>
      <c r="E120" s="41">
        <v>812.32899999999995</v>
      </c>
      <c r="F120" s="35">
        <v>1274</v>
      </c>
      <c r="G120" s="35">
        <v>50</v>
      </c>
      <c r="H120" s="43">
        <v>600</v>
      </c>
      <c r="I120" s="35">
        <v>695</v>
      </c>
      <c r="J120" s="35">
        <v>0</v>
      </c>
      <c r="K120" s="36"/>
      <c r="L120" s="36"/>
      <c r="M120" s="36"/>
      <c r="N120" s="36"/>
      <c r="O120" s="36"/>
      <c r="P120" s="36"/>
      <c r="Q120" s="36"/>
      <c r="R120" s="36"/>
      <c r="S120" s="36"/>
      <c r="T120" s="36"/>
    </row>
    <row r="121" spans="1:20" ht="15.75">
      <c r="A121" s="13">
        <v>45170</v>
      </c>
      <c r="B121" s="44">
        <v>30</v>
      </c>
      <c r="C121" s="35">
        <v>194.20500000000001</v>
      </c>
      <c r="D121" s="35">
        <v>267.46600000000001</v>
      </c>
      <c r="E121" s="41">
        <v>812.32899999999995</v>
      </c>
      <c r="F121" s="35">
        <v>1274</v>
      </c>
      <c r="G121" s="35">
        <v>50</v>
      </c>
      <c r="H121" s="43">
        <v>600</v>
      </c>
      <c r="I121" s="35">
        <v>695</v>
      </c>
      <c r="J121" s="35">
        <v>0</v>
      </c>
      <c r="K121" s="36"/>
      <c r="L121" s="36"/>
      <c r="M121" s="36"/>
      <c r="N121" s="36"/>
      <c r="O121" s="36"/>
      <c r="P121" s="36"/>
      <c r="Q121" s="36"/>
      <c r="R121" s="36"/>
      <c r="S121" s="36"/>
      <c r="T121" s="36"/>
    </row>
    <row r="122" spans="1:20" ht="15.75">
      <c r="A122" s="13">
        <v>45200</v>
      </c>
      <c r="B122" s="44">
        <v>31</v>
      </c>
      <c r="C122" s="35">
        <v>131.881</v>
      </c>
      <c r="D122" s="35">
        <v>277.16699999999997</v>
      </c>
      <c r="E122" s="41">
        <v>829.952</v>
      </c>
      <c r="F122" s="35">
        <v>1239</v>
      </c>
      <c r="G122" s="35">
        <v>75</v>
      </c>
      <c r="H122" s="43">
        <v>600</v>
      </c>
      <c r="I122" s="35">
        <v>695</v>
      </c>
      <c r="J122" s="35">
        <v>0</v>
      </c>
      <c r="K122" s="36"/>
      <c r="L122" s="36"/>
      <c r="M122" s="36"/>
      <c r="N122" s="36"/>
      <c r="O122" s="36"/>
      <c r="P122" s="36"/>
      <c r="Q122" s="36"/>
      <c r="R122" s="36"/>
      <c r="S122" s="36"/>
      <c r="T122" s="36"/>
    </row>
    <row r="123" spans="1:20" ht="15.75">
      <c r="A123" s="13">
        <v>45231</v>
      </c>
      <c r="B123" s="44">
        <v>30</v>
      </c>
      <c r="C123" s="35">
        <v>122.58</v>
      </c>
      <c r="D123" s="35">
        <v>297.94099999999997</v>
      </c>
      <c r="E123" s="41">
        <v>729.47900000000004</v>
      </c>
      <c r="F123" s="35">
        <v>1150</v>
      </c>
      <c r="G123" s="35">
        <v>100</v>
      </c>
      <c r="H123" s="43">
        <v>600</v>
      </c>
      <c r="I123" s="35">
        <v>695</v>
      </c>
      <c r="J123" s="35">
        <v>50</v>
      </c>
      <c r="K123" s="36"/>
      <c r="L123" s="36"/>
      <c r="M123" s="36"/>
      <c r="N123" s="36"/>
      <c r="O123" s="36"/>
      <c r="P123" s="36"/>
      <c r="Q123" s="36"/>
      <c r="R123" s="36"/>
      <c r="S123" s="36"/>
      <c r="T123" s="36"/>
    </row>
    <row r="124" spans="1:20" ht="15.75">
      <c r="A124" s="13">
        <v>45261</v>
      </c>
      <c r="B124" s="44">
        <v>31</v>
      </c>
      <c r="C124" s="35">
        <v>122.58</v>
      </c>
      <c r="D124" s="35">
        <v>297.94099999999997</v>
      </c>
      <c r="E124" s="41">
        <v>729.47900000000004</v>
      </c>
      <c r="F124" s="35">
        <v>1150</v>
      </c>
      <c r="G124" s="35">
        <v>100</v>
      </c>
      <c r="H124" s="43">
        <v>600</v>
      </c>
      <c r="I124" s="35">
        <v>695</v>
      </c>
      <c r="J124" s="35">
        <v>50</v>
      </c>
      <c r="K124" s="36"/>
      <c r="L124" s="36"/>
      <c r="M124" s="36"/>
      <c r="N124" s="36"/>
      <c r="O124" s="36"/>
      <c r="P124" s="36"/>
      <c r="Q124" s="36"/>
      <c r="R124" s="36"/>
      <c r="S124" s="36"/>
      <c r="T124" s="36"/>
    </row>
    <row r="125" spans="1:20" ht="15.75">
      <c r="A125" s="13">
        <v>45292</v>
      </c>
      <c r="B125" s="44">
        <v>31</v>
      </c>
      <c r="C125" s="35">
        <v>122.58</v>
      </c>
      <c r="D125" s="35">
        <v>297.94099999999997</v>
      </c>
      <c r="E125" s="41">
        <v>729.47900000000004</v>
      </c>
      <c r="F125" s="35">
        <v>1150</v>
      </c>
      <c r="G125" s="35">
        <v>100</v>
      </c>
      <c r="H125" s="43">
        <v>600</v>
      </c>
      <c r="I125" s="35">
        <v>695</v>
      </c>
      <c r="J125" s="35">
        <v>50</v>
      </c>
      <c r="K125" s="36"/>
      <c r="L125" s="36"/>
      <c r="M125" s="36"/>
      <c r="N125" s="36"/>
      <c r="O125" s="36"/>
      <c r="P125" s="36"/>
      <c r="Q125" s="36"/>
      <c r="R125" s="36"/>
      <c r="S125" s="36"/>
      <c r="T125" s="36"/>
    </row>
    <row r="126" spans="1:20" ht="15.75">
      <c r="A126" s="13">
        <v>45323</v>
      </c>
      <c r="B126" s="44">
        <v>29</v>
      </c>
      <c r="C126" s="35">
        <v>122.58</v>
      </c>
      <c r="D126" s="35">
        <v>297.94099999999997</v>
      </c>
      <c r="E126" s="41">
        <v>729.47900000000004</v>
      </c>
      <c r="F126" s="35">
        <v>1150</v>
      </c>
      <c r="G126" s="35">
        <v>100</v>
      </c>
      <c r="H126" s="43">
        <v>600</v>
      </c>
      <c r="I126" s="35">
        <v>695</v>
      </c>
      <c r="J126" s="35">
        <v>50</v>
      </c>
      <c r="K126" s="36"/>
      <c r="L126" s="36"/>
      <c r="M126" s="36"/>
      <c r="N126" s="36"/>
      <c r="O126" s="36"/>
      <c r="P126" s="36"/>
      <c r="Q126" s="36"/>
      <c r="R126" s="36"/>
      <c r="S126" s="36"/>
      <c r="T126" s="36"/>
    </row>
    <row r="127" spans="1:20" ht="15.75">
      <c r="A127" s="13">
        <v>45352</v>
      </c>
      <c r="B127" s="44">
        <v>31</v>
      </c>
      <c r="C127" s="35">
        <v>122.58</v>
      </c>
      <c r="D127" s="35">
        <v>297.94099999999997</v>
      </c>
      <c r="E127" s="41">
        <v>729.47900000000004</v>
      </c>
      <c r="F127" s="35">
        <v>1150</v>
      </c>
      <c r="G127" s="35">
        <v>100</v>
      </c>
      <c r="H127" s="43">
        <v>600</v>
      </c>
      <c r="I127" s="35">
        <v>695</v>
      </c>
      <c r="J127" s="35">
        <v>50</v>
      </c>
      <c r="K127" s="36"/>
      <c r="L127" s="36"/>
      <c r="M127" s="36"/>
      <c r="N127" s="36"/>
      <c r="O127" s="36"/>
      <c r="P127" s="36"/>
      <c r="Q127" s="36"/>
      <c r="R127" s="36"/>
      <c r="S127" s="36"/>
      <c r="T127" s="36"/>
    </row>
    <row r="128" spans="1:20" ht="15.75">
      <c r="A128" s="13">
        <v>45383</v>
      </c>
      <c r="B128" s="44">
        <v>30</v>
      </c>
      <c r="C128" s="35">
        <v>141.29300000000001</v>
      </c>
      <c r="D128" s="35">
        <v>267.99299999999999</v>
      </c>
      <c r="E128" s="41">
        <v>829.71400000000006</v>
      </c>
      <c r="F128" s="35">
        <v>1239</v>
      </c>
      <c r="G128" s="35">
        <v>100</v>
      </c>
      <c r="H128" s="43">
        <v>600</v>
      </c>
      <c r="I128" s="35">
        <v>695</v>
      </c>
      <c r="J128" s="35">
        <v>50</v>
      </c>
      <c r="K128" s="36"/>
      <c r="L128" s="36"/>
      <c r="M128" s="36"/>
      <c r="N128" s="36"/>
      <c r="O128" s="36"/>
      <c r="P128" s="36"/>
      <c r="Q128" s="36"/>
      <c r="R128" s="36"/>
      <c r="S128" s="36"/>
      <c r="T128" s="36"/>
    </row>
    <row r="129" spans="1:20" ht="15.75">
      <c r="A129" s="13">
        <v>45413</v>
      </c>
      <c r="B129" s="44">
        <v>31</v>
      </c>
      <c r="C129" s="35">
        <v>194.20500000000001</v>
      </c>
      <c r="D129" s="35">
        <v>267.46600000000001</v>
      </c>
      <c r="E129" s="41">
        <v>812.32899999999995</v>
      </c>
      <c r="F129" s="35">
        <v>1274</v>
      </c>
      <c r="G129" s="35">
        <v>75</v>
      </c>
      <c r="H129" s="43">
        <v>600</v>
      </c>
      <c r="I129" s="35">
        <v>695</v>
      </c>
      <c r="J129" s="35">
        <v>50</v>
      </c>
      <c r="K129" s="36"/>
      <c r="L129" s="36"/>
      <c r="M129" s="36"/>
      <c r="N129" s="36"/>
      <c r="O129" s="36"/>
      <c r="P129" s="36"/>
      <c r="Q129" s="36"/>
      <c r="R129" s="36"/>
      <c r="S129" s="36"/>
      <c r="T129" s="36"/>
    </row>
    <row r="130" spans="1:20" ht="15.75">
      <c r="A130" s="13">
        <v>45444</v>
      </c>
      <c r="B130" s="44">
        <v>30</v>
      </c>
      <c r="C130" s="35">
        <v>194.20500000000001</v>
      </c>
      <c r="D130" s="35">
        <v>267.46600000000001</v>
      </c>
      <c r="E130" s="41">
        <v>812.32899999999995</v>
      </c>
      <c r="F130" s="35">
        <v>1274</v>
      </c>
      <c r="G130" s="35">
        <v>50</v>
      </c>
      <c r="H130" s="43">
        <v>600</v>
      </c>
      <c r="I130" s="35">
        <v>695</v>
      </c>
      <c r="J130" s="35">
        <v>50</v>
      </c>
      <c r="K130" s="36"/>
      <c r="L130" s="36"/>
      <c r="M130" s="36"/>
      <c r="N130" s="36"/>
      <c r="O130" s="36"/>
      <c r="P130" s="36"/>
      <c r="Q130" s="36"/>
      <c r="R130" s="36"/>
      <c r="S130" s="36"/>
      <c r="T130" s="36"/>
    </row>
    <row r="131" spans="1:20" ht="15.75">
      <c r="A131" s="13">
        <v>45474</v>
      </c>
      <c r="B131" s="44">
        <v>31</v>
      </c>
      <c r="C131" s="35">
        <v>194.20500000000001</v>
      </c>
      <c r="D131" s="35">
        <v>267.46600000000001</v>
      </c>
      <c r="E131" s="41">
        <v>812.32899999999995</v>
      </c>
      <c r="F131" s="35">
        <v>1274</v>
      </c>
      <c r="G131" s="35">
        <v>50</v>
      </c>
      <c r="H131" s="43">
        <v>600</v>
      </c>
      <c r="I131" s="35">
        <v>695</v>
      </c>
      <c r="J131" s="35">
        <v>0</v>
      </c>
      <c r="K131" s="36"/>
      <c r="L131" s="36"/>
      <c r="M131" s="36"/>
      <c r="N131" s="36"/>
      <c r="O131" s="36"/>
      <c r="P131" s="36"/>
      <c r="Q131" s="36"/>
      <c r="R131" s="36"/>
      <c r="S131" s="36"/>
      <c r="T131" s="36"/>
    </row>
    <row r="132" spans="1:20" ht="15.75">
      <c r="A132" s="13">
        <v>45505</v>
      </c>
      <c r="B132" s="44">
        <v>31</v>
      </c>
      <c r="C132" s="35">
        <v>194.20500000000001</v>
      </c>
      <c r="D132" s="35">
        <v>267.46600000000001</v>
      </c>
      <c r="E132" s="41">
        <v>812.32899999999995</v>
      </c>
      <c r="F132" s="35">
        <v>1274</v>
      </c>
      <c r="G132" s="35">
        <v>50</v>
      </c>
      <c r="H132" s="43">
        <v>600</v>
      </c>
      <c r="I132" s="35">
        <v>695</v>
      </c>
      <c r="J132" s="35">
        <v>0</v>
      </c>
      <c r="K132" s="36"/>
      <c r="L132" s="36"/>
      <c r="M132" s="36"/>
      <c r="N132" s="36"/>
      <c r="O132" s="36"/>
      <c r="P132" s="36"/>
      <c r="Q132" s="36"/>
      <c r="R132" s="36"/>
      <c r="S132" s="36"/>
      <c r="T132" s="36"/>
    </row>
    <row r="133" spans="1:20" ht="15.75">
      <c r="A133" s="13">
        <v>45536</v>
      </c>
      <c r="B133" s="44">
        <v>30</v>
      </c>
      <c r="C133" s="35">
        <v>194.20500000000001</v>
      </c>
      <c r="D133" s="35">
        <v>267.46600000000001</v>
      </c>
      <c r="E133" s="41">
        <v>812.32899999999995</v>
      </c>
      <c r="F133" s="35">
        <v>1274</v>
      </c>
      <c r="G133" s="35">
        <v>50</v>
      </c>
      <c r="H133" s="43">
        <v>600</v>
      </c>
      <c r="I133" s="35">
        <v>695</v>
      </c>
      <c r="J133" s="35">
        <v>0</v>
      </c>
      <c r="K133" s="36"/>
      <c r="L133" s="36"/>
      <c r="M133" s="36"/>
      <c r="N133" s="36"/>
      <c r="O133" s="36"/>
      <c r="P133" s="36"/>
      <c r="Q133" s="36"/>
      <c r="R133" s="36"/>
      <c r="S133" s="36"/>
      <c r="T133" s="36"/>
    </row>
    <row r="134" spans="1:20" ht="15.75">
      <c r="A134" s="13">
        <v>45566</v>
      </c>
      <c r="B134" s="44">
        <v>31</v>
      </c>
      <c r="C134" s="35">
        <v>131.881</v>
      </c>
      <c r="D134" s="35">
        <v>277.16699999999997</v>
      </c>
      <c r="E134" s="41">
        <v>829.952</v>
      </c>
      <c r="F134" s="35">
        <v>1239</v>
      </c>
      <c r="G134" s="35">
        <v>75</v>
      </c>
      <c r="H134" s="43">
        <v>600</v>
      </c>
      <c r="I134" s="35">
        <v>695</v>
      </c>
      <c r="J134" s="35">
        <v>0</v>
      </c>
      <c r="K134" s="36"/>
      <c r="L134" s="36"/>
      <c r="M134" s="36"/>
      <c r="N134" s="36"/>
      <c r="O134" s="36"/>
      <c r="P134" s="36"/>
      <c r="Q134" s="36"/>
      <c r="R134" s="36"/>
      <c r="S134" s="36"/>
      <c r="T134" s="36"/>
    </row>
    <row r="135" spans="1:20" ht="15.75">
      <c r="A135" s="13">
        <v>45597</v>
      </c>
      <c r="B135" s="44">
        <v>30</v>
      </c>
      <c r="C135" s="35">
        <v>122.58</v>
      </c>
      <c r="D135" s="35">
        <v>297.94099999999997</v>
      </c>
      <c r="E135" s="41">
        <v>729.47900000000004</v>
      </c>
      <c r="F135" s="35">
        <v>1150</v>
      </c>
      <c r="G135" s="35">
        <v>100</v>
      </c>
      <c r="H135" s="43">
        <v>600</v>
      </c>
      <c r="I135" s="35">
        <v>695</v>
      </c>
      <c r="J135" s="35">
        <v>50</v>
      </c>
      <c r="K135" s="36"/>
      <c r="L135" s="36"/>
      <c r="M135" s="36"/>
      <c r="N135" s="36"/>
      <c r="O135" s="36"/>
      <c r="P135" s="36"/>
      <c r="Q135" s="36"/>
      <c r="R135" s="36"/>
      <c r="S135" s="36"/>
      <c r="T135" s="36"/>
    </row>
    <row r="136" spans="1:20" ht="15.75">
      <c r="A136" s="13">
        <v>45627</v>
      </c>
      <c r="B136" s="44">
        <v>31</v>
      </c>
      <c r="C136" s="35">
        <v>122.58</v>
      </c>
      <c r="D136" s="35">
        <v>297.94099999999997</v>
      </c>
      <c r="E136" s="41">
        <v>729.47900000000004</v>
      </c>
      <c r="F136" s="35">
        <v>1150</v>
      </c>
      <c r="G136" s="35">
        <v>100</v>
      </c>
      <c r="H136" s="43">
        <v>600</v>
      </c>
      <c r="I136" s="35">
        <v>695</v>
      </c>
      <c r="J136" s="35">
        <v>50</v>
      </c>
      <c r="K136" s="36"/>
      <c r="L136" s="36"/>
      <c r="M136" s="36"/>
      <c r="N136" s="36"/>
      <c r="O136" s="36"/>
      <c r="P136" s="36"/>
      <c r="Q136" s="36"/>
      <c r="R136" s="36"/>
      <c r="S136" s="36"/>
      <c r="T136" s="36"/>
    </row>
    <row r="137" spans="1:20" ht="15.75">
      <c r="A137" s="13">
        <v>45658</v>
      </c>
      <c r="B137" s="44">
        <v>31</v>
      </c>
      <c r="C137" s="35">
        <v>122.58</v>
      </c>
      <c r="D137" s="35">
        <v>297.94099999999997</v>
      </c>
      <c r="E137" s="41">
        <v>729.47900000000004</v>
      </c>
      <c r="F137" s="35">
        <v>1150</v>
      </c>
      <c r="G137" s="35">
        <v>100</v>
      </c>
      <c r="H137" s="43">
        <v>600</v>
      </c>
      <c r="I137" s="35">
        <v>695</v>
      </c>
      <c r="J137" s="35">
        <v>50</v>
      </c>
      <c r="K137" s="36"/>
      <c r="L137" s="36"/>
      <c r="M137" s="36"/>
      <c r="N137" s="36"/>
      <c r="O137" s="36"/>
      <c r="P137" s="36"/>
      <c r="Q137" s="36"/>
      <c r="R137" s="36"/>
      <c r="S137" s="36"/>
      <c r="T137" s="36"/>
    </row>
    <row r="138" spans="1:20" ht="15.75">
      <c r="A138" s="13">
        <v>45689</v>
      </c>
      <c r="B138" s="44">
        <v>28</v>
      </c>
      <c r="C138" s="35">
        <v>122.58</v>
      </c>
      <c r="D138" s="35">
        <v>297.94099999999997</v>
      </c>
      <c r="E138" s="41">
        <v>729.47900000000004</v>
      </c>
      <c r="F138" s="35">
        <v>1150</v>
      </c>
      <c r="G138" s="35">
        <v>100</v>
      </c>
      <c r="H138" s="43">
        <v>600</v>
      </c>
      <c r="I138" s="35">
        <v>695</v>
      </c>
      <c r="J138" s="35">
        <v>50</v>
      </c>
      <c r="K138" s="36"/>
      <c r="L138" s="36"/>
      <c r="M138" s="36"/>
      <c r="N138" s="36"/>
      <c r="O138" s="36"/>
      <c r="P138" s="36"/>
      <c r="Q138" s="36"/>
      <c r="R138" s="36"/>
      <c r="S138" s="36"/>
      <c r="T138" s="36"/>
    </row>
    <row r="139" spans="1:20" ht="15.75">
      <c r="A139" s="13">
        <v>45717</v>
      </c>
      <c r="B139" s="44">
        <v>31</v>
      </c>
      <c r="C139" s="35">
        <v>122.58</v>
      </c>
      <c r="D139" s="35">
        <v>297.94099999999997</v>
      </c>
      <c r="E139" s="41">
        <v>729.47900000000004</v>
      </c>
      <c r="F139" s="35">
        <v>1150</v>
      </c>
      <c r="G139" s="35">
        <v>100</v>
      </c>
      <c r="H139" s="43">
        <v>600</v>
      </c>
      <c r="I139" s="35">
        <v>695</v>
      </c>
      <c r="J139" s="35">
        <v>50</v>
      </c>
      <c r="K139" s="36"/>
      <c r="L139" s="36"/>
      <c r="M139" s="36"/>
      <c r="N139" s="36"/>
      <c r="O139" s="36"/>
      <c r="P139" s="36"/>
      <c r="Q139" s="36"/>
      <c r="R139" s="36"/>
      <c r="S139" s="36"/>
      <c r="T139" s="36"/>
    </row>
    <row r="140" spans="1:20" ht="15.75">
      <c r="A140" s="13">
        <v>45748</v>
      </c>
      <c r="B140" s="44">
        <v>30</v>
      </c>
      <c r="C140" s="35">
        <v>141.29300000000001</v>
      </c>
      <c r="D140" s="35">
        <v>267.99299999999999</v>
      </c>
      <c r="E140" s="41">
        <v>829.71400000000006</v>
      </c>
      <c r="F140" s="35">
        <v>1239</v>
      </c>
      <c r="G140" s="35">
        <v>100</v>
      </c>
      <c r="H140" s="43">
        <v>600</v>
      </c>
      <c r="I140" s="35">
        <v>695</v>
      </c>
      <c r="J140" s="35">
        <v>50</v>
      </c>
      <c r="K140" s="36"/>
      <c r="L140" s="36"/>
      <c r="M140" s="36"/>
      <c r="N140" s="36"/>
      <c r="O140" s="36"/>
      <c r="P140" s="36"/>
      <c r="Q140" s="36"/>
      <c r="R140" s="36"/>
      <c r="S140" s="36"/>
      <c r="T140" s="36"/>
    </row>
    <row r="141" spans="1:20" ht="15.75">
      <c r="A141" s="13">
        <v>45778</v>
      </c>
      <c r="B141" s="44">
        <v>31</v>
      </c>
      <c r="C141" s="35">
        <v>194.20500000000001</v>
      </c>
      <c r="D141" s="35">
        <v>267.46600000000001</v>
      </c>
      <c r="E141" s="41">
        <v>812.32899999999995</v>
      </c>
      <c r="F141" s="35">
        <v>1274</v>
      </c>
      <c r="G141" s="35">
        <v>75</v>
      </c>
      <c r="H141" s="43">
        <v>600</v>
      </c>
      <c r="I141" s="35">
        <v>695</v>
      </c>
      <c r="J141" s="35">
        <v>50</v>
      </c>
      <c r="K141" s="36"/>
      <c r="L141" s="36"/>
      <c r="M141" s="36"/>
      <c r="N141" s="36"/>
      <c r="O141" s="36"/>
      <c r="P141" s="36"/>
      <c r="Q141" s="36"/>
      <c r="R141" s="36"/>
      <c r="S141" s="36"/>
      <c r="T141" s="36"/>
    </row>
    <row r="142" spans="1:20" ht="15.75">
      <c r="A142" s="13">
        <v>45809</v>
      </c>
      <c r="B142" s="44">
        <v>30</v>
      </c>
      <c r="C142" s="35">
        <v>194.20500000000001</v>
      </c>
      <c r="D142" s="35">
        <v>267.46600000000001</v>
      </c>
      <c r="E142" s="41">
        <v>812.32899999999995</v>
      </c>
      <c r="F142" s="35">
        <v>1274</v>
      </c>
      <c r="G142" s="35">
        <v>50</v>
      </c>
      <c r="H142" s="43">
        <v>600</v>
      </c>
      <c r="I142" s="35">
        <v>695</v>
      </c>
      <c r="J142" s="35">
        <v>50</v>
      </c>
      <c r="K142" s="36"/>
      <c r="L142" s="36"/>
      <c r="M142" s="36"/>
      <c r="N142" s="36"/>
      <c r="O142" s="36"/>
      <c r="P142" s="36"/>
      <c r="Q142" s="36"/>
      <c r="R142" s="36"/>
      <c r="S142" s="36"/>
      <c r="T142" s="36"/>
    </row>
    <row r="143" spans="1:20" ht="15.75">
      <c r="A143" s="13">
        <v>45839</v>
      </c>
      <c r="B143" s="44">
        <v>31</v>
      </c>
      <c r="C143" s="35">
        <v>194.20500000000001</v>
      </c>
      <c r="D143" s="35">
        <v>267.46600000000001</v>
      </c>
      <c r="E143" s="41">
        <v>812.32899999999995</v>
      </c>
      <c r="F143" s="35">
        <v>1274</v>
      </c>
      <c r="G143" s="35">
        <v>50</v>
      </c>
      <c r="H143" s="43">
        <v>600</v>
      </c>
      <c r="I143" s="35">
        <v>695</v>
      </c>
      <c r="J143" s="35">
        <v>0</v>
      </c>
      <c r="K143" s="36"/>
      <c r="L143" s="36"/>
      <c r="M143" s="36"/>
      <c r="N143" s="36"/>
      <c r="O143" s="36"/>
      <c r="P143" s="36"/>
      <c r="Q143" s="36"/>
      <c r="R143" s="36"/>
      <c r="S143" s="36"/>
      <c r="T143" s="36"/>
    </row>
    <row r="144" spans="1:20" ht="15.75">
      <c r="A144" s="13">
        <v>45870</v>
      </c>
      <c r="B144" s="44">
        <v>31</v>
      </c>
      <c r="C144" s="35">
        <v>194.20500000000001</v>
      </c>
      <c r="D144" s="35">
        <v>267.46600000000001</v>
      </c>
      <c r="E144" s="41">
        <v>812.32899999999995</v>
      </c>
      <c r="F144" s="35">
        <v>1274</v>
      </c>
      <c r="G144" s="35">
        <v>50</v>
      </c>
      <c r="H144" s="43">
        <v>600</v>
      </c>
      <c r="I144" s="35">
        <v>695</v>
      </c>
      <c r="J144" s="35">
        <v>0</v>
      </c>
      <c r="K144" s="36"/>
      <c r="L144" s="36"/>
      <c r="M144" s="36"/>
      <c r="N144" s="36"/>
      <c r="O144" s="36"/>
      <c r="P144" s="36"/>
      <c r="Q144" s="36"/>
      <c r="R144" s="36"/>
      <c r="S144" s="36"/>
      <c r="T144" s="36"/>
    </row>
    <row r="145" spans="1:20" ht="15.75">
      <c r="A145" s="13">
        <v>45901</v>
      </c>
      <c r="B145" s="44">
        <v>30</v>
      </c>
      <c r="C145" s="35">
        <v>194.20500000000001</v>
      </c>
      <c r="D145" s="35">
        <v>267.46600000000001</v>
      </c>
      <c r="E145" s="41">
        <v>812.32899999999995</v>
      </c>
      <c r="F145" s="35">
        <v>1274</v>
      </c>
      <c r="G145" s="35">
        <v>50</v>
      </c>
      <c r="H145" s="43">
        <v>600</v>
      </c>
      <c r="I145" s="35">
        <v>695</v>
      </c>
      <c r="J145" s="35">
        <v>0</v>
      </c>
      <c r="K145" s="36"/>
      <c r="L145" s="36"/>
      <c r="M145" s="36"/>
      <c r="N145" s="36"/>
      <c r="O145" s="36"/>
      <c r="P145" s="36"/>
      <c r="Q145" s="36"/>
      <c r="R145" s="36"/>
      <c r="S145" s="36"/>
      <c r="T145" s="36"/>
    </row>
    <row r="146" spans="1:20" ht="15.75">
      <c r="A146" s="13">
        <v>45931</v>
      </c>
      <c r="B146" s="44">
        <v>31</v>
      </c>
      <c r="C146" s="35">
        <v>131.881</v>
      </c>
      <c r="D146" s="35">
        <v>277.16699999999997</v>
      </c>
      <c r="E146" s="41">
        <v>829.952</v>
      </c>
      <c r="F146" s="35">
        <v>1239</v>
      </c>
      <c r="G146" s="35">
        <v>75</v>
      </c>
      <c r="H146" s="43">
        <v>600</v>
      </c>
      <c r="I146" s="35">
        <v>695</v>
      </c>
      <c r="J146" s="35">
        <v>0</v>
      </c>
      <c r="K146" s="36"/>
      <c r="L146" s="36"/>
      <c r="M146" s="36"/>
      <c r="N146" s="36"/>
      <c r="O146" s="36"/>
      <c r="P146" s="36"/>
      <c r="Q146" s="36"/>
      <c r="R146" s="36"/>
      <c r="S146" s="36"/>
      <c r="T146" s="36"/>
    </row>
    <row r="147" spans="1:20" ht="15.75">
      <c r="A147" s="13">
        <v>45962</v>
      </c>
      <c r="B147" s="44">
        <v>30</v>
      </c>
      <c r="C147" s="35">
        <v>122.58</v>
      </c>
      <c r="D147" s="35">
        <v>297.94099999999997</v>
      </c>
      <c r="E147" s="41">
        <v>729.47900000000004</v>
      </c>
      <c r="F147" s="35">
        <v>1150</v>
      </c>
      <c r="G147" s="35">
        <v>100</v>
      </c>
      <c r="H147" s="43">
        <v>600</v>
      </c>
      <c r="I147" s="35">
        <v>695</v>
      </c>
      <c r="J147" s="35">
        <v>50</v>
      </c>
      <c r="K147" s="36"/>
      <c r="L147" s="36"/>
      <c r="M147" s="36"/>
      <c r="N147" s="36"/>
      <c r="O147" s="36"/>
      <c r="P147" s="36"/>
      <c r="Q147" s="36"/>
      <c r="R147" s="36"/>
      <c r="S147" s="36"/>
      <c r="T147" s="36"/>
    </row>
    <row r="148" spans="1:20" ht="15.75">
      <c r="A148" s="13">
        <v>45992</v>
      </c>
      <c r="B148" s="44">
        <v>31</v>
      </c>
      <c r="C148" s="35">
        <v>122.58</v>
      </c>
      <c r="D148" s="35">
        <v>297.94099999999997</v>
      </c>
      <c r="E148" s="41">
        <v>729.47900000000004</v>
      </c>
      <c r="F148" s="35">
        <v>1150</v>
      </c>
      <c r="G148" s="35">
        <v>100</v>
      </c>
      <c r="H148" s="43">
        <v>600</v>
      </c>
      <c r="I148" s="35">
        <v>695</v>
      </c>
      <c r="J148" s="35">
        <v>50</v>
      </c>
      <c r="K148" s="36"/>
      <c r="L148" s="36"/>
      <c r="M148" s="36"/>
      <c r="N148" s="36"/>
      <c r="O148" s="36"/>
      <c r="P148" s="36"/>
      <c r="Q148" s="36"/>
      <c r="R148" s="36"/>
      <c r="S148" s="36"/>
      <c r="T148" s="36"/>
    </row>
    <row r="149" spans="1:20" ht="15.75">
      <c r="A149" s="13">
        <v>46023</v>
      </c>
      <c r="B149" s="44">
        <v>31</v>
      </c>
      <c r="C149" s="35">
        <v>122.58</v>
      </c>
      <c r="D149" s="35">
        <v>297.94099999999997</v>
      </c>
      <c r="E149" s="41">
        <v>729.47900000000004</v>
      </c>
      <c r="F149" s="35">
        <v>1150</v>
      </c>
      <c r="G149" s="35">
        <v>100</v>
      </c>
      <c r="H149" s="43">
        <v>600</v>
      </c>
      <c r="I149" s="35">
        <v>695</v>
      </c>
      <c r="J149" s="35">
        <v>50</v>
      </c>
      <c r="K149" s="36"/>
      <c r="L149" s="36"/>
      <c r="M149" s="36"/>
      <c r="N149" s="36"/>
      <c r="O149" s="36"/>
      <c r="P149" s="36"/>
      <c r="Q149" s="36"/>
      <c r="R149" s="36"/>
      <c r="S149" s="36"/>
      <c r="T149" s="36"/>
    </row>
    <row r="150" spans="1:20" ht="15.75">
      <c r="A150" s="13">
        <v>46054</v>
      </c>
      <c r="B150" s="44">
        <v>28</v>
      </c>
      <c r="C150" s="35">
        <v>122.58</v>
      </c>
      <c r="D150" s="35">
        <v>297.94099999999997</v>
      </c>
      <c r="E150" s="41">
        <v>729.47900000000004</v>
      </c>
      <c r="F150" s="35">
        <v>1150</v>
      </c>
      <c r="G150" s="35">
        <v>100</v>
      </c>
      <c r="H150" s="43">
        <v>600</v>
      </c>
      <c r="I150" s="35">
        <v>695</v>
      </c>
      <c r="J150" s="35">
        <v>50</v>
      </c>
      <c r="K150" s="36"/>
      <c r="L150" s="36"/>
      <c r="M150" s="36"/>
      <c r="N150" s="36"/>
      <c r="O150" s="36"/>
      <c r="P150" s="36"/>
      <c r="Q150" s="36"/>
      <c r="R150" s="36"/>
      <c r="S150" s="36"/>
      <c r="T150" s="36"/>
    </row>
    <row r="151" spans="1:20" ht="15.75">
      <c r="A151" s="13">
        <v>46082</v>
      </c>
      <c r="B151" s="44">
        <v>31</v>
      </c>
      <c r="C151" s="35">
        <v>122.58</v>
      </c>
      <c r="D151" s="35">
        <v>297.94099999999997</v>
      </c>
      <c r="E151" s="41">
        <v>729.47900000000004</v>
      </c>
      <c r="F151" s="35">
        <v>1150</v>
      </c>
      <c r="G151" s="35">
        <v>100</v>
      </c>
      <c r="H151" s="43">
        <v>600</v>
      </c>
      <c r="I151" s="35">
        <v>695</v>
      </c>
      <c r="J151" s="35">
        <v>50</v>
      </c>
      <c r="K151" s="36"/>
      <c r="L151" s="36"/>
      <c r="M151" s="36"/>
      <c r="N151" s="36"/>
      <c r="O151" s="36"/>
      <c r="P151" s="36"/>
      <c r="Q151" s="36"/>
      <c r="R151" s="36"/>
      <c r="S151" s="36"/>
      <c r="T151" s="36"/>
    </row>
    <row r="152" spans="1:20" ht="15.75">
      <c r="A152" s="13">
        <v>46113</v>
      </c>
      <c r="B152" s="44">
        <v>30</v>
      </c>
      <c r="C152" s="35">
        <v>141.29300000000001</v>
      </c>
      <c r="D152" s="35">
        <v>267.99299999999999</v>
      </c>
      <c r="E152" s="41">
        <v>829.71400000000006</v>
      </c>
      <c r="F152" s="35">
        <v>1239</v>
      </c>
      <c r="G152" s="35">
        <v>100</v>
      </c>
      <c r="H152" s="43">
        <v>600</v>
      </c>
      <c r="I152" s="35">
        <v>695</v>
      </c>
      <c r="J152" s="35">
        <v>50</v>
      </c>
      <c r="K152" s="36"/>
      <c r="L152" s="36"/>
      <c r="M152" s="36"/>
      <c r="N152" s="36"/>
      <c r="O152" s="36"/>
      <c r="P152" s="36"/>
      <c r="Q152" s="36"/>
      <c r="R152" s="36"/>
      <c r="S152" s="36"/>
      <c r="T152" s="36"/>
    </row>
    <row r="153" spans="1:20" ht="15.75">
      <c r="A153" s="13">
        <v>46143</v>
      </c>
      <c r="B153" s="44">
        <v>31</v>
      </c>
      <c r="C153" s="35">
        <v>194.20500000000001</v>
      </c>
      <c r="D153" s="35">
        <v>267.46600000000001</v>
      </c>
      <c r="E153" s="41">
        <v>812.32899999999995</v>
      </c>
      <c r="F153" s="35">
        <v>1274</v>
      </c>
      <c r="G153" s="35">
        <v>75</v>
      </c>
      <c r="H153" s="43">
        <v>600</v>
      </c>
      <c r="I153" s="35">
        <v>695</v>
      </c>
      <c r="J153" s="35">
        <v>50</v>
      </c>
      <c r="K153" s="36"/>
      <c r="L153" s="36"/>
      <c r="M153" s="36"/>
      <c r="N153" s="36"/>
      <c r="O153" s="36"/>
      <c r="P153" s="36"/>
      <c r="Q153" s="36"/>
      <c r="R153" s="36"/>
      <c r="S153" s="36"/>
      <c r="T153" s="36"/>
    </row>
    <row r="154" spans="1:20" ht="15.75">
      <c r="A154" s="13">
        <v>46174</v>
      </c>
      <c r="B154" s="44">
        <v>30</v>
      </c>
      <c r="C154" s="35">
        <v>194.20500000000001</v>
      </c>
      <c r="D154" s="35">
        <v>267.46600000000001</v>
      </c>
      <c r="E154" s="41">
        <v>812.32899999999995</v>
      </c>
      <c r="F154" s="35">
        <v>1274</v>
      </c>
      <c r="G154" s="35">
        <v>50</v>
      </c>
      <c r="H154" s="43">
        <v>600</v>
      </c>
      <c r="I154" s="35">
        <v>695</v>
      </c>
      <c r="J154" s="35">
        <v>50</v>
      </c>
      <c r="K154" s="36"/>
      <c r="L154" s="36"/>
      <c r="M154" s="36"/>
      <c r="N154" s="36"/>
      <c r="O154" s="36"/>
      <c r="P154" s="36"/>
      <c r="Q154" s="36"/>
      <c r="R154" s="36"/>
      <c r="S154" s="36"/>
      <c r="T154" s="36"/>
    </row>
    <row r="155" spans="1:20" ht="15.75">
      <c r="A155" s="13">
        <v>46204</v>
      </c>
      <c r="B155" s="44">
        <v>31</v>
      </c>
      <c r="C155" s="35">
        <v>194.20500000000001</v>
      </c>
      <c r="D155" s="35">
        <v>267.46600000000001</v>
      </c>
      <c r="E155" s="41">
        <v>812.32899999999995</v>
      </c>
      <c r="F155" s="35">
        <v>1274</v>
      </c>
      <c r="G155" s="35">
        <v>50</v>
      </c>
      <c r="H155" s="43">
        <v>600</v>
      </c>
      <c r="I155" s="35">
        <v>695</v>
      </c>
      <c r="J155" s="35">
        <v>0</v>
      </c>
      <c r="K155" s="36"/>
      <c r="L155" s="36"/>
      <c r="M155" s="36"/>
      <c r="N155" s="36"/>
      <c r="O155" s="36"/>
      <c r="P155" s="36"/>
      <c r="Q155" s="36"/>
      <c r="R155" s="36"/>
      <c r="S155" s="36"/>
      <c r="T155" s="36"/>
    </row>
    <row r="156" spans="1:20" ht="15.75">
      <c r="A156" s="13">
        <v>46235</v>
      </c>
      <c r="B156" s="44">
        <v>31</v>
      </c>
      <c r="C156" s="35">
        <v>194.20500000000001</v>
      </c>
      <c r="D156" s="35">
        <v>267.46600000000001</v>
      </c>
      <c r="E156" s="41">
        <v>812.32899999999995</v>
      </c>
      <c r="F156" s="35">
        <v>1274</v>
      </c>
      <c r="G156" s="35">
        <v>50</v>
      </c>
      <c r="H156" s="43">
        <v>600</v>
      </c>
      <c r="I156" s="35">
        <v>695</v>
      </c>
      <c r="J156" s="35">
        <v>0</v>
      </c>
      <c r="K156" s="36"/>
      <c r="L156" s="36"/>
      <c r="M156" s="36"/>
      <c r="N156" s="36"/>
      <c r="O156" s="36"/>
      <c r="P156" s="36"/>
      <c r="Q156" s="36"/>
      <c r="R156" s="36"/>
      <c r="S156" s="36"/>
      <c r="T156" s="36"/>
    </row>
    <row r="157" spans="1:20" ht="15.75">
      <c r="A157" s="13">
        <v>46266</v>
      </c>
      <c r="B157" s="44">
        <v>30</v>
      </c>
      <c r="C157" s="35">
        <v>194.20500000000001</v>
      </c>
      <c r="D157" s="35">
        <v>267.46600000000001</v>
      </c>
      <c r="E157" s="41">
        <v>812.32899999999995</v>
      </c>
      <c r="F157" s="35">
        <v>1274</v>
      </c>
      <c r="G157" s="35">
        <v>50</v>
      </c>
      <c r="H157" s="43">
        <v>600</v>
      </c>
      <c r="I157" s="35">
        <v>695</v>
      </c>
      <c r="J157" s="35">
        <v>0</v>
      </c>
      <c r="K157" s="36"/>
      <c r="L157" s="36"/>
      <c r="M157" s="36"/>
      <c r="N157" s="36"/>
      <c r="O157" s="36"/>
      <c r="P157" s="36"/>
      <c r="Q157" s="36"/>
      <c r="R157" s="36"/>
      <c r="S157" s="36"/>
      <c r="T157" s="36"/>
    </row>
    <row r="158" spans="1:20" ht="15.75">
      <c r="A158" s="13">
        <v>46296</v>
      </c>
      <c r="B158" s="44">
        <v>31</v>
      </c>
      <c r="C158" s="35">
        <v>131.881</v>
      </c>
      <c r="D158" s="35">
        <v>277.16699999999997</v>
      </c>
      <c r="E158" s="41">
        <v>829.952</v>
      </c>
      <c r="F158" s="35">
        <v>1239</v>
      </c>
      <c r="G158" s="35">
        <v>75</v>
      </c>
      <c r="H158" s="43">
        <v>600</v>
      </c>
      <c r="I158" s="35">
        <v>695</v>
      </c>
      <c r="J158" s="35">
        <v>0</v>
      </c>
      <c r="K158" s="36"/>
      <c r="L158" s="36"/>
      <c r="M158" s="36"/>
      <c r="N158" s="36"/>
      <c r="O158" s="36"/>
      <c r="P158" s="36"/>
      <c r="Q158" s="36"/>
      <c r="R158" s="36"/>
      <c r="S158" s="36"/>
      <c r="T158" s="36"/>
    </row>
    <row r="159" spans="1:20" ht="15.75">
      <c r="A159" s="13">
        <v>46327</v>
      </c>
      <c r="B159" s="44">
        <v>30</v>
      </c>
      <c r="C159" s="35">
        <v>122.58</v>
      </c>
      <c r="D159" s="35">
        <v>297.94099999999997</v>
      </c>
      <c r="E159" s="41">
        <v>729.47900000000004</v>
      </c>
      <c r="F159" s="35">
        <v>1150</v>
      </c>
      <c r="G159" s="35">
        <v>100</v>
      </c>
      <c r="H159" s="43">
        <v>600</v>
      </c>
      <c r="I159" s="35">
        <v>695</v>
      </c>
      <c r="J159" s="35">
        <v>50</v>
      </c>
      <c r="K159" s="36"/>
      <c r="L159" s="36"/>
      <c r="M159" s="36"/>
      <c r="N159" s="36"/>
      <c r="O159" s="36"/>
      <c r="P159" s="36"/>
      <c r="Q159" s="36"/>
      <c r="R159" s="36"/>
      <c r="S159" s="36"/>
      <c r="T159" s="36"/>
    </row>
    <row r="160" spans="1:20" ht="15.75">
      <c r="A160" s="13">
        <v>46357</v>
      </c>
      <c r="B160" s="44">
        <v>31</v>
      </c>
      <c r="C160" s="35">
        <v>122.58</v>
      </c>
      <c r="D160" s="35">
        <v>297.94099999999997</v>
      </c>
      <c r="E160" s="41">
        <v>729.47900000000004</v>
      </c>
      <c r="F160" s="35">
        <v>1150</v>
      </c>
      <c r="G160" s="35">
        <v>100</v>
      </c>
      <c r="H160" s="43">
        <v>600</v>
      </c>
      <c r="I160" s="35">
        <v>695</v>
      </c>
      <c r="J160" s="35">
        <v>50</v>
      </c>
      <c r="K160" s="36"/>
      <c r="L160" s="36"/>
      <c r="M160" s="36"/>
      <c r="N160" s="36"/>
      <c r="O160" s="36"/>
      <c r="P160" s="36"/>
      <c r="Q160" s="36"/>
      <c r="R160" s="36"/>
      <c r="S160" s="36"/>
      <c r="T160" s="36"/>
    </row>
    <row r="161" spans="1:20" ht="15.75">
      <c r="A161" s="13">
        <v>46388</v>
      </c>
      <c r="B161" s="44">
        <v>31</v>
      </c>
      <c r="C161" s="35">
        <v>122.58</v>
      </c>
      <c r="D161" s="35">
        <v>297.94099999999997</v>
      </c>
      <c r="E161" s="41">
        <v>729.47900000000004</v>
      </c>
      <c r="F161" s="35">
        <v>1150</v>
      </c>
      <c r="G161" s="35">
        <v>100</v>
      </c>
      <c r="H161" s="43">
        <v>600</v>
      </c>
      <c r="I161" s="35">
        <v>695</v>
      </c>
      <c r="J161" s="35">
        <v>50</v>
      </c>
      <c r="K161" s="36"/>
      <c r="L161" s="36"/>
      <c r="M161" s="36"/>
      <c r="N161" s="36"/>
      <c r="O161" s="36"/>
      <c r="P161" s="36"/>
      <c r="Q161" s="36"/>
      <c r="R161" s="36"/>
      <c r="S161" s="36"/>
      <c r="T161" s="36"/>
    </row>
    <row r="162" spans="1:20" ht="15.75">
      <c r="A162" s="13">
        <v>46419</v>
      </c>
      <c r="B162" s="44">
        <v>28</v>
      </c>
      <c r="C162" s="35">
        <v>122.58</v>
      </c>
      <c r="D162" s="35">
        <v>297.94099999999997</v>
      </c>
      <c r="E162" s="41">
        <v>729.47900000000004</v>
      </c>
      <c r="F162" s="35">
        <v>1150</v>
      </c>
      <c r="G162" s="35">
        <v>100</v>
      </c>
      <c r="H162" s="43">
        <v>600</v>
      </c>
      <c r="I162" s="35">
        <v>695</v>
      </c>
      <c r="J162" s="35">
        <v>50</v>
      </c>
      <c r="K162" s="36"/>
      <c r="L162" s="36"/>
      <c r="M162" s="36"/>
      <c r="N162" s="36"/>
      <c r="O162" s="36"/>
      <c r="P162" s="36"/>
      <c r="Q162" s="36"/>
      <c r="R162" s="36"/>
      <c r="S162" s="36"/>
      <c r="T162" s="36"/>
    </row>
    <row r="163" spans="1:20" ht="15.75">
      <c r="A163" s="13">
        <v>46447</v>
      </c>
      <c r="B163" s="44">
        <v>31</v>
      </c>
      <c r="C163" s="35">
        <v>122.58</v>
      </c>
      <c r="D163" s="35">
        <v>297.94099999999997</v>
      </c>
      <c r="E163" s="41">
        <v>729.47900000000004</v>
      </c>
      <c r="F163" s="35">
        <v>1150</v>
      </c>
      <c r="G163" s="35">
        <v>100</v>
      </c>
      <c r="H163" s="43">
        <v>600</v>
      </c>
      <c r="I163" s="35">
        <v>695</v>
      </c>
      <c r="J163" s="35">
        <v>50</v>
      </c>
      <c r="K163" s="36"/>
      <c r="L163" s="36"/>
      <c r="M163" s="36"/>
      <c r="N163" s="36"/>
      <c r="O163" s="36"/>
      <c r="P163" s="36"/>
      <c r="Q163" s="36"/>
      <c r="R163" s="36"/>
      <c r="S163" s="36"/>
      <c r="T163" s="36"/>
    </row>
    <row r="164" spans="1:20" ht="15.75">
      <c r="A164" s="13">
        <v>46478</v>
      </c>
      <c r="B164" s="44">
        <v>30</v>
      </c>
      <c r="C164" s="35">
        <v>141.29300000000001</v>
      </c>
      <c r="D164" s="35">
        <v>267.99299999999999</v>
      </c>
      <c r="E164" s="41">
        <v>829.71400000000006</v>
      </c>
      <c r="F164" s="35">
        <v>1239</v>
      </c>
      <c r="G164" s="35">
        <v>100</v>
      </c>
      <c r="H164" s="43">
        <v>600</v>
      </c>
      <c r="I164" s="35">
        <v>695</v>
      </c>
      <c r="J164" s="35">
        <v>50</v>
      </c>
      <c r="K164" s="36"/>
      <c r="L164" s="36"/>
      <c r="M164" s="36"/>
      <c r="N164" s="36"/>
      <c r="O164" s="36"/>
      <c r="P164" s="36"/>
      <c r="Q164" s="36"/>
      <c r="R164" s="36"/>
      <c r="S164" s="36"/>
      <c r="T164" s="36"/>
    </row>
    <row r="165" spans="1:20" ht="15.75">
      <c r="A165" s="13">
        <v>46508</v>
      </c>
      <c r="B165" s="44">
        <v>31</v>
      </c>
      <c r="C165" s="35">
        <v>194.20500000000001</v>
      </c>
      <c r="D165" s="35">
        <v>267.46600000000001</v>
      </c>
      <c r="E165" s="41">
        <v>812.32899999999995</v>
      </c>
      <c r="F165" s="35">
        <v>1274</v>
      </c>
      <c r="G165" s="35">
        <v>75</v>
      </c>
      <c r="H165" s="43">
        <v>600</v>
      </c>
      <c r="I165" s="35">
        <v>695</v>
      </c>
      <c r="J165" s="35">
        <v>50</v>
      </c>
      <c r="K165" s="36"/>
      <c r="L165" s="36"/>
      <c r="M165" s="36"/>
      <c r="N165" s="36"/>
      <c r="O165" s="36"/>
      <c r="P165" s="36"/>
      <c r="Q165" s="36"/>
      <c r="R165" s="36"/>
      <c r="S165" s="36"/>
      <c r="T165" s="36"/>
    </row>
    <row r="166" spans="1:20" ht="15.75">
      <c r="A166" s="13">
        <v>46539</v>
      </c>
      <c r="B166" s="44">
        <v>30</v>
      </c>
      <c r="C166" s="35">
        <v>194.20500000000001</v>
      </c>
      <c r="D166" s="35">
        <v>267.46600000000001</v>
      </c>
      <c r="E166" s="41">
        <v>812.32899999999995</v>
      </c>
      <c r="F166" s="35">
        <v>1274</v>
      </c>
      <c r="G166" s="35">
        <v>50</v>
      </c>
      <c r="H166" s="43">
        <v>600</v>
      </c>
      <c r="I166" s="35">
        <v>695</v>
      </c>
      <c r="J166" s="35">
        <v>50</v>
      </c>
      <c r="K166" s="36"/>
      <c r="L166" s="36"/>
      <c r="M166" s="36"/>
      <c r="N166" s="36"/>
      <c r="O166" s="36"/>
      <c r="P166" s="36"/>
      <c r="Q166" s="36"/>
      <c r="R166" s="36"/>
      <c r="S166" s="36"/>
      <c r="T166" s="36"/>
    </row>
    <row r="167" spans="1:20" ht="15.75">
      <c r="A167" s="13">
        <v>46569</v>
      </c>
      <c r="B167" s="44">
        <v>31</v>
      </c>
      <c r="C167" s="35">
        <v>194.20500000000001</v>
      </c>
      <c r="D167" s="35">
        <v>267.46600000000001</v>
      </c>
      <c r="E167" s="41">
        <v>812.32899999999995</v>
      </c>
      <c r="F167" s="35">
        <v>1274</v>
      </c>
      <c r="G167" s="35">
        <v>50</v>
      </c>
      <c r="H167" s="43">
        <v>600</v>
      </c>
      <c r="I167" s="35">
        <v>695</v>
      </c>
      <c r="J167" s="35">
        <v>0</v>
      </c>
      <c r="K167" s="36"/>
      <c r="L167" s="36"/>
      <c r="M167" s="36"/>
      <c r="N167" s="36"/>
      <c r="O167" s="36"/>
      <c r="P167" s="36"/>
      <c r="Q167" s="36"/>
      <c r="R167" s="36"/>
      <c r="S167" s="36"/>
      <c r="T167" s="36"/>
    </row>
    <row r="168" spans="1:20" ht="15.75">
      <c r="A168" s="13">
        <v>46600</v>
      </c>
      <c r="B168" s="44">
        <v>31</v>
      </c>
      <c r="C168" s="35">
        <v>194.20500000000001</v>
      </c>
      <c r="D168" s="35">
        <v>267.46600000000001</v>
      </c>
      <c r="E168" s="41">
        <v>812.32899999999995</v>
      </c>
      <c r="F168" s="35">
        <v>1274</v>
      </c>
      <c r="G168" s="35">
        <v>50</v>
      </c>
      <c r="H168" s="43">
        <v>600</v>
      </c>
      <c r="I168" s="35">
        <v>695</v>
      </c>
      <c r="J168" s="35">
        <v>0</v>
      </c>
      <c r="K168" s="36"/>
      <c r="L168" s="36"/>
      <c r="M168" s="36"/>
      <c r="N168" s="36"/>
      <c r="O168" s="36"/>
      <c r="P168" s="36"/>
      <c r="Q168" s="36"/>
      <c r="R168" s="36"/>
      <c r="S168" s="36"/>
      <c r="T168" s="36"/>
    </row>
    <row r="169" spans="1:20" ht="15.75">
      <c r="A169" s="13">
        <v>46631</v>
      </c>
      <c r="B169" s="44">
        <v>30</v>
      </c>
      <c r="C169" s="35">
        <v>194.20500000000001</v>
      </c>
      <c r="D169" s="35">
        <v>267.46600000000001</v>
      </c>
      <c r="E169" s="41">
        <v>812.32899999999995</v>
      </c>
      <c r="F169" s="35">
        <v>1274</v>
      </c>
      <c r="G169" s="35">
        <v>50</v>
      </c>
      <c r="H169" s="43">
        <v>600</v>
      </c>
      <c r="I169" s="35">
        <v>695</v>
      </c>
      <c r="J169" s="35">
        <v>0</v>
      </c>
      <c r="K169" s="36"/>
      <c r="L169" s="36"/>
      <c r="M169" s="36"/>
      <c r="N169" s="36"/>
      <c r="O169" s="36"/>
      <c r="P169" s="36"/>
      <c r="Q169" s="36"/>
      <c r="R169" s="36"/>
      <c r="S169" s="36"/>
      <c r="T169" s="36"/>
    </row>
    <row r="170" spans="1:20" ht="15.75">
      <c r="A170" s="13">
        <v>46661</v>
      </c>
      <c r="B170" s="44">
        <v>31</v>
      </c>
      <c r="C170" s="35">
        <v>131.881</v>
      </c>
      <c r="D170" s="35">
        <v>277.16699999999997</v>
      </c>
      <c r="E170" s="41">
        <v>829.952</v>
      </c>
      <c r="F170" s="35">
        <v>1239</v>
      </c>
      <c r="G170" s="35">
        <v>75</v>
      </c>
      <c r="H170" s="43">
        <v>600</v>
      </c>
      <c r="I170" s="35">
        <v>695</v>
      </c>
      <c r="J170" s="35">
        <v>0</v>
      </c>
      <c r="K170" s="36"/>
      <c r="L170" s="36"/>
      <c r="M170" s="36"/>
      <c r="N170" s="36"/>
      <c r="O170" s="36"/>
      <c r="P170" s="36"/>
      <c r="Q170" s="36"/>
      <c r="R170" s="36"/>
      <c r="S170" s="36"/>
      <c r="T170" s="36"/>
    </row>
    <row r="171" spans="1:20" ht="15.75">
      <c r="A171" s="13">
        <v>46692</v>
      </c>
      <c r="B171" s="44">
        <v>30</v>
      </c>
      <c r="C171" s="35">
        <v>122.58</v>
      </c>
      <c r="D171" s="35">
        <v>297.94099999999997</v>
      </c>
      <c r="E171" s="41">
        <v>729.47900000000004</v>
      </c>
      <c r="F171" s="35">
        <v>1150</v>
      </c>
      <c r="G171" s="35">
        <v>100</v>
      </c>
      <c r="H171" s="43">
        <v>600</v>
      </c>
      <c r="I171" s="35">
        <v>695</v>
      </c>
      <c r="J171" s="35">
        <v>50</v>
      </c>
      <c r="K171" s="36"/>
      <c r="L171" s="36"/>
      <c r="M171" s="36"/>
      <c r="N171" s="36"/>
      <c r="O171" s="36"/>
      <c r="P171" s="36"/>
      <c r="Q171" s="36"/>
      <c r="R171" s="36"/>
      <c r="S171" s="36"/>
      <c r="T171" s="36"/>
    </row>
    <row r="172" spans="1:20" ht="15.75">
      <c r="A172" s="13">
        <v>46722</v>
      </c>
      <c r="B172" s="44">
        <v>31</v>
      </c>
      <c r="C172" s="35">
        <v>122.58</v>
      </c>
      <c r="D172" s="35">
        <v>297.94099999999997</v>
      </c>
      <c r="E172" s="41">
        <v>729.47900000000004</v>
      </c>
      <c r="F172" s="35">
        <v>1150</v>
      </c>
      <c r="G172" s="35">
        <v>100</v>
      </c>
      <c r="H172" s="43">
        <v>600</v>
      </c>
      <c r="I172" s="35">
        <v>695</v>
      </c>
      <c r="J172" s="35">
        <v>50</v>
      </c>
      <c r="K172" s="36"/>
      <c r="L172" s="36"/>
      <c r="M172" s="36"/>
      <c r="N172" s="36"/>
      <c r="O172" s="36"/>
      <c r="P172" s="36"/>
      <c r="Q172" s="36"/>
      <c r="R172" s="36"/>
      <c r="S172" s="36"/>
      <c r="T172" s="36"/>
    </row>
    <row r="173" spans="1:20" ht="15.75">
      <c r="A173" s="13">
        <v>46753</v>
      </c>
      <c r="B173" s="44">
        <v>31</v>
      </c>
      <c r="C173" s="35">
        <v>122.58</v>
      </c>
      <c r="D173" s="35">
        <v>297.94099999999997</v>
      </c>
      <c r="E173" s="41">
        <v>729.47900000000004</v>
      </c>
      <c r="F173" s="35">
        <v>1150</v>
      </c>
      <c r="G173" s="35">
        <v>100</v>
      </c>
      <c r="H173" s="43">
        <v>600</v>
      </c>
      <c r="I173" s="35">
        <v>695</v>
      </c>
      <c r="J173" s="35">
        <v>50</v>
      </c>
      <c r="K173" s="36"/>
      <c r="L173" s="36"/>
      <c r="M173" s="36"/>
      <c r="N173" s="36"/>
      <c r="O173" s="36"/>
      <c r="P173" s="36"/>
      <c r="Q173" s="36"/>
      <c r="R173" s="36"/>
      <c r="S173" s="36"/>
      <c r="T173" s="36"/>
    </row>
    <row r="174" spans="1:20" ht="15.75">
      <c r="A174" s="13">
        <v>46784</v>
      </c>
      <c r="B174" s="44">
        <v>29</v>
      </c>
      <c r="C174" s="35">
        <v>122.58</v>
      </c>
      <c r="D174" s="35">
        <v>297.94099999999997</v>
      </c>
      <c r="E174" s="41">
        <v>729.47900000000004</v>
      </c>
      <c r="F174" s="35">
        <v>1150</v>
      </c>
      <c r="G174" s="35">
        <v>100</v>
      </c>
      <c r="H174" s="43">
        <v>600</v>
      </c>
      <c r="I174" s="35">
        <v>695</v>
      </c>
      <c r="J174" s="35">
        <v>50</v>
      </c>
      <c r="K174" s="36"/>
      <c r="L174" s="36"/>
      <c r="M174" s="36"/>
      <c r="N174" s="36"/>
      <c r="O174" s="36"/>
      <c r="P174" s="36"/>
      <c r="Q174" s="36"/>
      <c r="R174" s="36"/>
      <c r="S174" s="36"/>
      <c r="T174" s="36"/>
    </row>
    <row r="175" spans="1:20" ht="15.75">
      <c r="A175" s="13">
        <v>46813</v>
      </c>
      <c r="B175" s="44">
        <v>31</v>
      </c>
      <c r="C175" s="35">
        <v>122.58</v>
      </c>
      <c r="D175" s="35">
        <v>297.94099999999997</v>
      </c>
      <c r="E175" s="41">
        <v>729.47900000000004</v>
      </c>
      <c r="F175" s="35">
        <v>1150</v>
      </c>
      <c r="G175" s="35">
        <v>100</v>
      </c>
      <c r="H175" s="43">
        <v>600</v>
      </c>
      <c r="I175" s="35">
        <v>695</v>
      </c>
      <c r="J175" s="35">
        <v>50</v>
      </c>
      <c r="K175" s="36"/>
      <c r="L175" s="36"/>
      <c r="M175" s="36"/>
      <c r="N175" s="36"/>
      <c r="O175" s="36"/>
      <c r="P175" s="36"/>
      <c r="Q175" s="36"/>
      <c r="R175" s="36"/>
      <c r="S175" s="36"/>
      <c r="T175" s="36"/>
    </row>
    <row r="176" spans="1:20" ht="15.75">
      <c r="A176" s="13">
        <v>46844</v>
      </c>
      <c r="B176" s="44">
        <v>30</v>
      </c>
      <c r="C176" s="35">
        <v>141.29300000000001</v>
      </c>
      <c r="D176" s="35">
        <v>267.99299999999999</v>
      </c>
      <c r="E176" s="41">
        <v>829.71400000000006</v>
      </c>
      <c r="F176" s="35">
        <v>1239</v>
      </c>
      <c r="G176" s="35">
        <v>100</v>
      </c>
      <c r="H176" s="43">
        <v>600</v>
      </c>
      <c r="I176" s="35">
        <v>695</v>
      </c>
      <c r="J176" s="35">
        <v>50</v>
      </c>
      <c r="K176" s="36"/>
      <c r="L176" s="36"/>
      <c r="M176" s="36"/>
      <c r="N176" s="36"/>
      <c r="O176" s="36"/>
      <c r="P176" s="36"/>
      <c r="Q176" s="36"/>
      <c r="R176" s="36"/>
      <c r="S176" s="36"/>
      <c r="T176" s="36"/>
    </row>
    <row r="177" spans="1:20" ht="15.75">
      <c r="A177" s="13">
        <v>46874</v>
      </c>
      <c r="B177" s="44">
        <v>31</v>
      </c>
      <c r="C177" s="35">
        <v>194.20500000000001</v>
      </c>
      <c r="D177" s="35">
        <v>267.46600000000001</v>
      </c>
      <c r="E177" s="41">
        <v>812.32899999999995</v>
      </c>
      <c r="F177" s="35">
        <v>1274</v>
      </c>
      <c r="G177" s="35">
        <v>75</v>
      </c>
      <c r="H177" s="43">
        <v>600</v>
      </c>
      <c r="I177" s="35">
        <v>695</v>
      </c>
      <c r="J177" s="35">
        <v>50</v>
      </c>
      <c r="K177" s="36"/>
      <c r="L177" s="36"/>
      <c r="M177" s="36"/>
      <c r="N177" s="36"/>
      <c r="O177" s="36"/>
      <c r="P177" s="36"/>
      <c r="Q177" s="36"/>
      <c r="R177" s="36"/>
      <c r="S177" s="36"/>
      <c r="T177" s="36"/>
    </row>
    <row r="178" spans="1:20" ht="15.75">
      <c r="A178" s="13">
        <v>46905</v>
      </c>
      <c r="B178" s="44">
        <v>30</v>
      </c>
      <c r="C178" s="35">
        <v>194.20500000000001</v>
      </c>
      <c r="D178" s="35">
        <v>267.46600000000001</v>
      </c>
      <c r="E178" s="41">
        <v>812.32899999999995</v>
      </c>
      <c r="F178" s="35">
        <v>1274</v>
      </c>
      <c r="G178" s="35">
        <v>50</v>
      </c>
      <c r="H178" s="43">
        <v>600</v>
      </c>
      <c r="I178" s="35">
        <v>695</v>
      </c>
      <c r="J178" s="35">
        <v>50</v>
      </c>
      <c r="K178" s="36"/>
      <c r="L178" s="36"/>
      <c r="M178" s="36"/>
      <c r="N178" s="36"/>
      <c r="O178" s="36"/>
      <c r="P178" s="36"/>
      <c r="Q178" s="36"/>
      <c r="R178" s="36"/>
      <c r="S178" s="36"/>
      <c r="T178" s="36"/>
    </row>
    <row r="179" spans="1:20" ht="15.75">
      <c r="A179" s="13">
        <v>46935</v>
      </c>
      <c r="B179" s="44">
        <v>31</v>
      </c>
      <c r="C179" s="35">
        <v>194.20500000000001</v>
      </c>
      <c r="D179" s="35">
        <v>267.46600000000001</v>
      </c>
      <c r="E179" s="41">
        <v>812.32899999999995</v>
      </c>
      <c r="F179" s="35">
        <v>1274</v>
      </c>
      <c r="G179" s="35">
        <v>50</v>
      </c>
      <c r="H179" s="43">
        <v>600</v>
      </c>
      <c r="I179" s="35">
        <v>695</v>
      </c>
      <c r="J179" s="35">
        <v>0</v>
      </c>
      <c r="K179" s="36"/>
      <c r="L179" s="36"/>
      <c r="M179" s="36"/>
      <c r="N179" s="36"/>
      <c r="O179" s="36"/>
      <c r="P179" s="36"/>
      <c r="Q179" s="36"/>
      <c r="R179" s="36"/>
      <c r="S179" s="36"/>
      <c r="T179" s="36"/>
    </row>
    <row r="180" spans="1:20" ht="15.75">
      <c r="A180" s="13">
        <v>46966</v>
      </c>
      <c r="B180" s="44">
        <v>31</v>
      </c>
      <c r="C180" s="35">
        <v>194.20500000000001</v>
      </c>
      <c r="D180" s="35">
        <v>267.46600000000001</v>
      </c>
      <c r="E180" s="41">
        <v>812.32899999999995</v>
      </c>
      <c r="F180" s="35">
        <v>1274</v>
      </c>
      <c r="G180" s="35">
        <v>50</v>
      </c>
      <c r="H180" s="43">
        <v>600</v>
      </c>
      <c r="I180" s="35">
        <v>695</v>
      </c>
      <c r="J180" s="35">
        <v>0</v>
      </c>
      <c r="K180" s="36"/>
      <c r="L180" s="36"/>
      <c r="M180" s="36"/>
      <c r="N180" s="36"/>
      <c r="O180" s="36"/>
      <c r="P180" s="36"/>
      <c r="Q180" s="36"/>
      <c r="R180" s="36"/>
      <c r="S180" s="36"/>
      <c r="T180" s="36"/>
    </row>
    <row r="181" spans="1:20" ht="15.75">
      <c r="A181" s="13">
        <v>46997</v>
      </c>
      <c r="B181" s="44">
        <v>30</v>
      </c>
      <c r="C181" s="35">
        <v>194.20500000000001</v>
      </c>
      <c r="D181" s="35">
        <v>267.46600000000001</v>
      </c>
      <c r="E181" s="41">
        <v>812.32899999999995</v>
      </c>
      <c r="F181" s="35">
        <v>1274</v>
      </c>
      <c r="G181" s="35">
        <v>50</v>
      </c>
      <c r="H181" s="43">
        <v>600</v>
      </c>
      <c r="I181" s="35">
        <v>695</v>
      </c>
      <c r="J181" s="35">
        <v>0</v>
      </c>
      <c r="K181" s="36"/>
      <c r="L181" s="36"/>
      <c r="M181" s="36"/>
      <c r="N181" s="36"/>
      <c r="O181" s="36"/>
      <c r="P181" s="36"/>
      <c r="Q181" s="36"/>
      <c r="R181" s="36"/>
      <c r="S181" s="36"/>
      <c r="T181" s="36"/>
    </row>
    <row r="182" spans="1:20" ht="15.75">
      <c r="A182" s="13">
        <v>47027</v>
      </c>
      <c r="B182" s="44">
        <v>31</v>
      </c>
      <c r="C182" s="35">
        <v>131.881</v>
      </c>
      <c r="D182" s="35">
        <v>277.16699999999997</v>
      </c>
      <c r="E182" s="41">
        <v>829.952</v>
      </c>
      <c r="F182" s="35">
        <v>1239</v>
      </c>
      <c r="G182" s="35">
        <v>75</v>
      </c>
      <c r="H182" s="43">
        <v>600</v>
      </c>
      <c r="I182" s="35">
        <v>695</v>
      </c>
      <c r="J182" s="35">
        <v>0</v>
      </c>
      <c r="K182" s="36"/>
      <c r="L182" s="36"/>
      <c r="M182" s="36"/>
      <c r="N182" s="36"/>
      <c r="O182" s="36"/>
      <c r="P182" s="36"/>
      <c r="Q182" s="36"/>
      <c r="R182" s="36"/>
      <c r="S182" s="36"/>
      <c r="T182" s="36"/>
    </row>
    <row r="183" spans="1:20" ht="15.75">
      <c r="A183" s="13">
        <v>47058</v>
      </c>
      <c r="B183" s="44">
        <v>30</v>
      </c>
      <c r="C183" s="35">
        <v>122.58</v>
      </c>
      <c r="D183" s="35">
        <v>297.94099999999997</v>
      </c>
      <c r="E183" s="41">
        <v>729.47900000000004</v>
      </c>
      <c r="F183" s="35">
        <v>1150</v>
      </c>
      <c r="G183" s="35">
        <v>100</v>
      </c>
      <c r="H183" s="43">
        <v>600</v>
      </c>
      <c r="I183" s="35">
        <v>695</v>
      </c>
      <c r="J183" s="35">
        <v>50</v>
      </c>
      <c r="K183" s="36"/>
      <c r="L183" s="36"/>
      <c r="M183" s="36"/>
      <c r="N183" s="36"/>
      <c r="O183" s="36"/>
      <c r="P183" s="36"/>
      <c r="Q183" s="36"/>
      <c r="R183" s="36"/>
      <c r="S183" s="36"/>
      <c r="T183" s="36"/>
    </row>
    <row r="184" spans="1:20" ht="15.75">
      <c r="A184" s="13">
        <v>47088</v>
      </c>
      <c r="B184" s="44">
        <v>31</v>
      </c>
      <c r="C184" s="35">
        <v>122.58</v>
      </c>
      <c r="D184" s="35">
        <v>297.94099999999997</v>
      </c>
      <c r="E184" s="41">
        <v>729.47900000000004</v>
      </c>
      <c r="F184" s="35">
        <v>1150</v>
      </c>
      <c r="G184" s="35">
        <v>100</v>
      </c>
      <c r="H184" s="43">
        <v>600</v>
      </c>
      <c r="I184" s="35">
        <v>695</v>
      </c>
      <c r="J184" s="35">
        <v>50</v>
      </c>
      <c r="K184" s="36"/>
      <c r="L184" s="36"/>
      <c r="M184" s="36"/>
      <c r="N184" s="36"/>
      <c r="O184" s="36"/>
      <c r="P184" s="36"/>
      <c r="Q184" s="36"/>
      <c r="R184" s="36"/>
      <c r="S184" s="36"/>
      <c r="T184" s="36"/>
    </row>
    <row r="185" spans="1:20" ht="15.75">
      <c r="A185" s="13">
        <v>47119</v>
      </c>
      <c r="B185" s="44">
        <v>31</v>
      </c>
      <c r="C185" s="35">
        <v>122.58</v>
      </c>
      <c r="D185" s="35">
        <v>297.94099999999997</v>
      </c>
      <c r="E185" s="41">
        <v>729.47900000000004</v>
      </c>
      <c r="F185" s="35">
        <v>1150</v>
      </c>
      <c r="G185" s="35">
        <v>100</v>
      </c>
      <c r="H185" s="43">
        <v>600</v>
      </c>
      <c r="I185" s="35">
        <v>695</v>
      </c>
      <c r="J185" s="35">
        <v>50</v>
      </c>
      <c r="K185" s="36"/>
      <c r="L185" s="36"/>
      <c r="M185" s="36"/>
      <c r="N185" s="36"/>
      <c r="O185" s="36"/>
      <c r="P185" s="36"/>
      <c r="Q185" s="36"/>
      <c r="R185" s="36"/>
      <c r="S185" s="36"/>
      <c r="T185" s="36"/>
    </row>
    <row r="186" spans="1:20" ht="15.75">
      <c r="A186" s="13">
        <v>47150</v>
      </c>
      <c r="B186" s="44">
        <v>28</v>
      </c>
      <c r="C186" s="35">
        <v>122.58</v>
      </c>
      <c r="D186" s="35">
        <v>297.94099999999997</v>
      </c>
      <c r="E186" s="41">
        <v>729.47900000000004</v>
      </c>
      <c r="F186" s="35">
        <v>1150</v>
      </c>
      <c r="G186" s="35">
        <v>100</v>
      </c>
      <c r="H186" s="43">
        <v>600</v>
      </c>
      <c r="I186" s="35">
        <v>695</v>
      </c>
      <c r="J186" s="35">
        <v>50</v>
      </c>
      <c r="K186" s="36"/>
      <c r="L186" s="36"/>
      <c r="M186" s="36"/>
      <c r="N186" s="36"/>
      <c r="O186" s="36"/>
      <c r="P186" s="36"/>
      <c r="Q186" s="36"/>
      <c r="R186" s="36"/>
      <c r="S186" s="36"/>
      <c r="T186" s="36"/>
    </row>
    <row r="187" spans="1:20" ht="15.75">
      <c r="A187" s="13">
        <v>47178</v>
      </c>
      <c r="B187" s="44">
        <v>31</v>
      </c>
      <c r="C187" s="35">
        <v>122.58</v>
      </c>
      <c r="D187" s="35">
        <v>297.94099999999997</v>
      </c>
      <c r="E187" s="41">
        <v>729.47900000000004</v>
      </c>
      <c r="F187" s="35">
        <v>1150</v>
      </c>
      <c r="G187" s="35">
        <v>100</v>
      </c>
      <c r="H187" s="43">
        <v>600</v>
      </c>
      <c r="I187" s="35">
        <v>695</v>
      </c>
      <c r="J187" s="35">
        <v>50</v>
      </c>
      <c r="K187" s="36"/>
      <c r="L187" s="36"/>
      <c r="M187" s="36"/>
      <c r="N187" s="36"/>
      <c r="O187" s="36"/>
      <c r="P187" s="36"/>
      <c r="Q187" s="36"/>
      <c r="R187" s="36"/>
      <c r="S187" s="36"/>
      <c r="T187" s="36"/>
    </row>
    <row r="188" spans="1:20" ht="15.75">
      <c r="A188" s="13">
        <v>47209</v>
      </c>
      <c r="B188" s="44">
        <v>30</v>
      </c>
      <c r="C188" s="35">
        <v>141.29300000000001</v>
      </c>
      <c r="D188" s="35">
        <v>267.99299999999999</v>
      </c>
      <c r="E188" s="41">
        <v>829.71400000000006</v>
      </c>
      <c r="F188" s="35">
        <v>1239</v>
      </c>
      <c r="G188" s="35">
        <v>100</v>
      </c>
      <c r="H188" s="43">
        <v>600</v>
      </c>
      <c r="I188" s="35">
        <v>695</v>
      </c>
      <c r="J188" s="35">
        <v>50</v>
      </c>
      <c r="K188" s="36"/>
      <c r="L188" s="36"/>
      <c r="M188" s="36"/>
      <c r="N188" s="36"/>
      <c r="O188" s="36"/>
      <c r="P188" s="36"/>
      <c r="Q188" s="36"/>
      <c r="R188" s="36"/>
      <c r="S188" s="36"/>
      <c r="T188" s="36"/>
    </row>
    <row r="189" spans="1:20" ht="15.75">
      <c r="A189" s="13">
        <v>47239</v>
      </c>
      <c r="B189" s="44">
        <v>31</v>
      </c>
      <c r="C189" s="35">
        <v>194.20500000000001</v>
      </c>
      <c r="D189" s="35">
        <v>267.46600000000001</v>
      </c>
      <c r="E189" s="41">
        <v>812.32899999999995</v>
      </c>
      <c r="F189" s="35">
        <v>1274</v>
      </c>
      <c r="G189" s="35">
        <v>75</v>
      </c>
      <c r="H189" s="43">
        <v>600</v>
      </c>
      <c r="I189" s="35">
        <v>695</v>
      </c>
      <c r="J189" s="35">
        <v>50</v>
      </c>
      <c r="K189" s="36"/>
      <c r="L189" s="36"/>
      <c r="M189" s="36"/>
      <c r="N189" s="36"/>
      <c r="O189" s="36"/>
      <c r="P189" s="36"/>
      <c r="Q189" s="36"/>
      <c r="R189" s="36"/>
      <c r="S189" s="36"/>
      <c r="T189" s="36"/>
    </row>
    <row r="190" spans="1:20" ht="15.75">
      <c r="A190" s="13">
        <v>47270</v>
      </c>
      <c r="B190" s="44">
        <v>30</v>
      </c>
      <c r="C190" s="35">
        <v>194.20500000000001</v>
      </c>
      <c r="D190" s="35">
        <v>267.46600000000001</v>
      </c>
      <c r="E190" s="41">
        <v>812.32899999999995</v>
      </c>
      <c r="F190" s="35">
        <v>1274</v>
      </c>
      <c r="G190" s="35">
        <v>50</v>
      </c>
      <c r="H190" s="43">
        <v>600</v>
      </c>
      <c r="I190" s="35">
        <v>695</v>
      </c>
      <c r="J190" s="35">
        <v>50</v>
      </c>
      <c r="K190" s="36"/>
      <c r="L190" s="36"/>
      <c r="M190" s="36"/>
      <c r="N190" s="36"/>
      <c r="O190" s="36"/>
      <c r="P190" s="36"/>
      <c r="Q190" s="36"/>
      <c r="R190" s="36"/>
      <c r="S190" s="36"/>
      <c r="T190" s="36"/>
    </row>
    <row r="191" spans="1:20" ht="15.75">
      <c r="A191" s="13">
        <v>47300</v>
      </c>
      <c r="B191" s="44">
        <v>31</v>
      </c>
      <c r="C191" s="35">
        <v>194.20500000000001</v>
      </c>
      <c r="D191" s="35">
        <v>267.46600000000001</v>
      </c>
      <c r="E191" s="41">
        <v>812.32899999999995</v>
      </c>
      <c r="F191" s="35">
        <v>1274</v>
      </c>
      <c r="G191" s="35">
        <v>50</v>
      </c>
      <c r="H191" s="43">
        <v>600</v>
      </c>
      <c r="I191" s="35">
        <v>695</v>
      </c>
      <c r="J191" s="35">
        <v>0</v>
      </c>
      <c r="K191" s="36"/>
      <c r="L191" s="36"/>
      <c r="M191" s="36"/>
      <c r="N191" s="36"/>
      <c r="O191" s="36"/>
      <c r="P191" s="36"/>
      <c r="Q191" s="36"/>
      <c r="R191" s="36"/>
      <c r="S191" s="36"/>
      <c r="T191" s="36"/>
    </row>
    <row r="192" spans="1:20" ht="15.75">
      <c r="A192" s="13">
        <v>47331</v>
      </c>
      <c r="B192" s="44">
        <v>31</v>
      </c>
      <c r="C192" s="35">
        <v>194.20500000000001</v>
      </c>
      <c r="D192" s="35">
        <v>267.46600000000001</v>
      </c>
      <c r="E192" s="41">
        <v>812.32899999999995</v>
      </c>
      <c r="F192" s="35">
        <v>1274</v>
      </c>
      <c r="G192" s="35">
        <v>50</v>
      </c>
      <c r="H192" s="43">
        <v>600</v>
      </c>
      <c r="I192" s="35">
        <v>695</v>
      </c>
      <c r="J192" s="35">
        <v>0</v>
      </c>
      <c r="K192" s="36"/>
      <c r="L192" s="36"/>
      <c r="M192" s="36"/>
      <c r="N192" s="36"/>
      <c r="O192" s="36"/>
      <c r="P192" s="36"/>
      <c r="Q192" s="36"/>
      <c r="R192" s="36"/>
      <c r="S192" s="36"/>
      <c r="T192" s="36"/>
    </row>
    <row r="193" spans="1:20" ht="15.75">
      <c r="A193" s="13">
        <v>47362</v>
      </c>
      <c r="B193" s="44">
        <v>30</v>
      </c>
      <c r="C193" s="35">
        <v>194.20500000000001</v>
      </c>
      <c r="D193" s="35">
        <v>267.46600000000001</v>
      </c>
      <c r="E193" s="41">
        <v>812.32899999999995</v>
      </c>
      <c r="F193" s="35">
        <v>1274</v>
      </c>
      <c r="G193" s="35">
        <v>50</v>
      </c>
      <c r="H193" s="43">
        <v>600</v>
      </c>
      <c r="I193" s="35">
        <v>695</v>
      </c>
      <c r="J193" s="35">
        <v>0</v>
      </c>
      <c r="K193" s="36"/>
      <c r="L193" s="36"/>
      <c r="M193" s="36"/>
      <c r="N193" s="36"/>
      <c r="O193" s="36"/>
      <c r="P193" s="36"/>
      <c r="Q193" s="36"/>
      <c r="R193" s="36"/>
      <c r="S193" s="36"/>
      <c r="T193" s="36"/>
    </row>
    <row r="194" spans="1:20" ht="15.75">
      <c r="A194" s="13">
        <v>47392</v>
      </c>
      <c r="B194" s="44">
        <v>31</v>
      </c>
      <c r="C194" s="35">
        <v>131.881</v>
      </c>
      <c r="D194" s="35">
        <v>277.16699999999997</v>
      </c>
      <c r="E194" s="41">
        <v>829.952</v>
      </c>
      <c r="F194" s="35">
        <v>1239</v>
      </c>
      <c r="G194" s="35">
        <v>75</v>
      </c>
      <c r="H194" s="43">
        <v>600</v>
      </c>
      <c r="I194" s="35">
        <v>695</v>
      </c>
      <c r="J194" s="35">
        <v>0</v>
      </c>
      <c r="K194" s="36"/>
      <c r="L194" s="36"/>
      <c r="M194" s="36"/>
      <c r="N194" s="36"/>
      <c r="O194" s="36"/>
      <c r="P194" s="36"/>
      <c r="Q194" s="36"/>
      <c r="R194" s="36"/>
      <c r="S194" s="36"/>
      <c r="T194" s="36"/>
    </row>
    <row r="195" spans="1:20" ht="15.75">
      <c r="A195" s="13">
        <v>47423</v>
      </c>
      <c r="B195" s="44">
        <v>30</v>
      </c>
      <c r="C195" s="35">
        <v>122.58</v>
      </c>
      <c r="D195" s="35">
        <v>297.94099999999997</v>
      </c>
      <c r="E195" s="41">
        <v>729.47900000000004</v>
      </c>
      <c r="F195" s="35">
        <v>1150</v>
      </c>
      <c r="G195" s="35">
        <v>100</v>
      </c>
      <c r="H195" s="43">
        <v>600</v>
      </c>
      <c r="I195" s="35">
        <v>695</v>
      </c>
      <c r="J195" s="35">
        <v>50</v>
      </c>
      <c r="K195" s="36"/>
      <c r="L195" s="36"/>
      <c r="M195" s="36"/>
      <c r="N195" s="36"/>
      <c r="O195" s="36"/>
      <c r="P195" s="36"/>
      <c r="Q195" s="36"/>
      <c r="R195" s="36"/>
      <c r="S195" s="36"/>
      <c r="T195" s="36"/>
    </row>
    <row r="196" spans="1:20" ht="15.75">
      <c r="A196" s="13">
        <v>47453</v>
      </c>
      <c r="B196" s="44">
        <v>31</v>
      </c>
      <c r="C196" s="35">
        <v>122.58</v>
      </c>
      <c r="D196" s="35">
        <v>297.94099999999997</v>
      </c>
      <c r="E196" s="41">
        <v>729.47900000000004</v>
      </c>
      <c r="F196" s="35">
        <v>1150</v>
      </c>
      <c r="G196" s="35">
        <v>100</v>
      </c>
      <c r="H196" s="43">
        <v>600</v>
      </c>
      <c r="I196" s="35">
        <v>695</v>
      </c>
      <c r="J196" s="35">
        <v>50</v>
      </c>
      <c r="K196" s="36"/>
      <c r="L196" s="36"/>
      <c r="M196" s="36"/>
      <c r="N196" s="36"/>
      <c r="O196" s="36"/>
      <c r="P196" s="36"/>
      <c r="Q196" s="36"/>
      <c r="R196" s="36"/>
      <c r="S196" s="36"/>
      <c r="T196" s="36"/>
    </row>
    <row r="197" spans="1:20" ht="15.75">
      <c r="A197" s="13">
        <v>47484</v>
      </c>
      <c r="B197" s="44">
        <v>31</v>
      </c>
      <c r="C197" s="35">
        <v>122.58</v>
      </c>
      <c r="D197" s="35">
        <v>297.94099999999997</v>
      </c>
      <c r="E197" s="41">
        <v>729.47900000000004</v>
      </c>
      <c r="F197" s="35">
        <v>1150</v>
      </c>
      <c r="G197" s="35">
        <v>100</v>
      </c>
      <c r="H197" s="43">
        <v>600</v>
      </c>
      <c r="I197" s="35">
        <v>695</v>
      </c>
      <c r="J197" s="35">
        <v>50</v>
      </c>
      <c r="K197" s="36"/>
      <c r="L197" s="36"/>
      <c r="M197" s="36"/>
      <c r="N197" s="36"/>
      <c r="O197" s="36"/>
      <c r="P197" s="36"/>
      <c r="Q197" s="36"/>
      <c r="R197" s="36"/>
      <c r="S197" s="36"/>
      <c r="T197" s="36"/>
    </row>
    <row r="198" spans="1:20" ht="15.75">
      <c r="A198" s="13">
        <v>47515</v>
      </c>
      <c r="B198" s="44">
        <v>28</v>
      </c>
      <c r="C198" s="35">
        <v>122.58</v>
      </c>
      <c r="D198" s="35">
        <v>297.94099999999997</v>
      </c>
      <c r="E198" s="41">
        <v>729.47900000000004</v>
      </c>
      <c r="F198" s="35">
        <v>1150</v>
      </c>
      <c r="G198" s="35">
        <v>100</v>
      </c>
      <c r="H198" s="43">
        <v>600</v>
      </c>
      <c r="I198" s="35">
        <v>695</v>
      </c>
      <c r="J198" s="35">
        <v>50</v>
      </c>
      <c r="K198" s="36"/>
      <c r="L198" s="36"/>
      <c r="M198" s="36"/>
      <c r="N198" s="36"/>
      <c r="O198" s="36"/>
      <c r="P198" s="36"/>
      <c r="Q198" s="36"/>
      <c r="R198" s="36"/>
      <c r="S198" s="36"/>
      <c r="T198" s="36"/>
    </row>
    <row r="199" spans="1:20" ht="15.75">
      <c r="A199" s="13">
        <v>47543</v>
      </c>
      <c r="B199" s="44">
        <v>31</v>
      </c>
      <c r="C199" s="35">
        <v>122.58</v>
      </c>
      <c r="D199" s="35">
        <v>297.94099999999997</v>
      </c>
      <c r="E199" s="41">
        <v>729.47900000000004</v>
      </c>
      <c r="F199" s="35">
        <v>1150</v>
      </c>
      <c r="G199" s="35">
        <v>100</v>
      </c>
      <c r="H199" s="43">
        <v>600</v>
      </c>
      <c r="I199" s="35">
        <v>695</v>
      </c>
      <c r="J199" s="35">
        <v>50</v>
      </c>
      <c r="K199" s="36"/>
      <c r="L199" s="36"/>
      <c r="M199" s="36"/>
      <c r="N199" s="36"/>
      <c r="O199" s="36"/>
      <c r="P199" s="36"/>
      <c r="Q199" s="36"/>
      <c r="R199" s="36"/>
      <c r="S199" s="36"/>
      <c r="T199" s="36"/>
    </row>
    <row r="200" spans="1:20" ht="15.75">
      <c r="A200" s="13">
        <v>47574</v>
      </c>
      <c r="B200" s="44">
        <v>30</v>
      </c>
      <c r="C200" s="35">
        <v>141.29300000000001</v>
      </c>
      <c r="D200" s="35">
        <v>267.99299999999999</v>
      </c>
      <c r="E200" s="41">
        <v>829.71400000000006</v>
      </c>
      <c r="F200" s="35">
        <v>1239</v>
      </c>
      <c r="G200" s="35">
        <v>100</v>
      </c>
      <c r="H200" s="43">
        <v>600</v>
      </c>
      <c r="I200" s="35">
        <v>695</v>
      </c>
      <c r="J200" s="35">
        <v>50</v>
      </c>
      <c r="K200" s="36"/>
      <c r="L200" s="36"/>
      <c r="M200" s="36"/>
      <c r="N200" s="36"/>
      <c r="O200" s="36"/>
      <c r="P200" s="36"/>
      <c r="Q200" s="36"/>
      <c r="R200" s="36"/>
      <c r="S200" s="36"/>
      <c r="T200" s="36"/>
    </row>
    <row r="201" spans="1:20" ht="15.75">
      <c r="A201" s="13">
        <v>47604</v>
      </c>
      <c r="B201" s="44">
        <v>31</v>
      </c>
      <c r="C201" s="35">
        <v>194.20500000000001</v>
      </c>
      <c r="D201" s="35">
        <v>267.46600000000001</v>
      </c>
      <c r="E201" s="41">
        <v>812.32899999999995</v>
      </c>
      <c r="F201" s="35">
        <v>1274</v>
      </c>
      <c r="G201" s="35">
        <v>75</v>
      </c>
      <c r="H201" s="43">
        <v>600</v>
      </c>
      <c r="I201" s="35">
        <v>695</v>
      </c>
      <c r="J201" s="35">
        <v>50</v>
      </c>
      <c r="K201" s="36"/>
      <c r="L201" s="36"/>
      <c r="M201" s="36"/>
      <c r="N201" s="36"/>
      <c r="O201" s="36"/>
      <c r="P201" s="36"/>
      <c r="Q201" s="36"/>
      <c r="R201" s="36"/>
      <c r="S201" s="36"/>
      <c r="T201" s="36"/>
    </row>
    <row r="202" spans="1:20" ht="15.75">
      <c r="A202" s="13">
        <v>47635</v>
      </c>
      <c r="B202" s="44">
        <v>30</v>
      </c>
      <c r="C202" s="35">
        <v>194.20500000000001</v>
      </c>
      <c r="D202" s="35">
        <v>267.46600000000001</v>
      </c>
      <c r="E202" s="41">
        <v>812.32899999999995</v>
      </c>
      <c r="F202" s="35">
        <v>1274</v>
      </c>
      <c r="G202" s="35">
        <v>50</v>
      </c>
      <c r="H202" s="43">
        <v>600</v>
      </c>
      <c r="I202" s="35">
        <v>695</v>
      </c>
      <c r="J202" s="35">
        <v>50</v>
      </c>
      <c r="K202" s="36"/>
      <c r="L202" s="36"/>
      <c r="M202" s="36"/>
      <c r="N202" s="36"/>
      <c r="O202" s="36"/>
      <c r="P202" s="36"/>
      <c r="Q202" s="36"/>
      <c r="R202" s="36"/>
      <c r="S202" s="36"/>
      <c r="T202" s="36"/>
    </row>
    <row r="203" spans="1:20" ht="15.75">
      <c r="A203" s="13">
        <v>47665</v>
      </c>
      <c r="B203" s="44">
        <v>31</v>
      </c>
      <c r="C203" s="35">
        <v>194.20500000000001</v>
      </c>
      <c r="D203" s="35">
        <v>267.46600000000001</v>
      </c>
      <c r="E203" s="41">
        <v>812.32899999999995</v>
      </c>
      <c r="F203" s="35">
        <v>1274</v>
      </c>
      <c r="G203" s="35">
        <v>50</v>
      </c>
      <c r="H203" s="43">
        <v>600</v>
      </c>
      <c r="I203" s="35">
        <v>695</v>
      </c>
      <c r="J203" s="35">
        <v>0</v>
      </c>
      <c r="K203" s="36"/>
      <c r="L203" s="36"/>
      <c r="M203" s="36"/>
      <c r="N203" s="36"/>
      <c r="O203" s="36"/>
      <c r="P203" s="36"/>
      <c r="Q203" s="36"/>
      <c r="R203" s="36"/>
      <c r="S203" s="36"/>
      <c r="T203" s="36"/>
    </row>
    <row r="204" spans="1:20" ht="15.75">
      <c r="A204" s="13">
        <v>47696</v>
      </c>
      <c r="B204" s="44">
        <v>31</v>
      </c>
      <c r="C204" s="35">
        <v>194.20500000000001</v>
      </c>
      <c r="D204" s="35">
        <v>267.46600000000001</v>
      </c>
      <c r="E204" s="41">
        <v>812.32899999999995</v>
      </c>
      <c r="F204" s="35">
        <v>1274</v>
      </c>
      <c r="G204" s="35">
        <v>50</v>
      </c>
      <c r="H204" s="43">
        <v>600</v>
      </c>
      <c r="I204" s="35">
        <v>695</v>
      </c>
      <c r="J204" s="35">
        <v>0</v>
      </c>
      <c r="K204" s="36"/>
      <c r="L204" s="36"/>
      <c r="M204" s="36"/>
      <c r="N204" s="36"/>
      <c r="O204" s="36"/>
      <c r="P204" s="36"/>
      <c r="Q204" s="36"/>
      <c r="R204" s="36"/>
      <c r="S204" s="36"/>
      <c r="T204" s="36"/>
    </row>
    <row r="205" spans="1:20" ht="15.75">
      <c r="A205" s="13">
        <v>47727</v>
      </c>
      <c r="B205" s="44">
        <v>30</v>
      </c>
      <c r="C205" s="35">
        <v>194.20500000000001</v>
      </c>
      <c r="D205" s="35">
        <v>267.46600000000001</v>
      </c>
      <c r="E205" s="41">
        <v>812.32899999999995</v>
      </c>
      <c r="F205" s="35">
        <v>1274</v>
      </c>
      <c r="G205" s="35">
        <v>50</v>
      </c>
      <c r="H205" s="43">
        <v>600</v>
      </c>
      <c r="I205" s="35">
        <v>695</v>
      </c>
      <c r="J205" s="35">
        <v>0</v>
      </c>
      <c r="K205" s="36"/>
      <c r="L205" s="36"/>
      <c r="M205" s="36"/>
      <c r="N205" s="36"/>
      <c r="O205" s="36"/>
      <c r="P205" s="36"/>
      <c r="Q205" s="36"/>
      <c r="R205" s="36"/>
      <c r="S205" s="36"/>
      <c r="T205" s="36"/>
    </row>
    <row r="206" spans="1:20" ht="15.75">
      <c r="A206" s="13">
        <v>47757</v>
      </c>
      <c r="B206" s="44">
        <v>31</v>
      </c>
      <c r="C206" s="35">
        <v>131.881</v>
      </c>
      <c r="D206" s="35">
        <v>277.16699999999997</v>
      </c>
      <c r="E206" s="41">
        <v>829.952</v>
      </c>
      <c r="F206" s="35">
        <v>1239</v>
      </c>
      <c r="G206" s="35">
        <v>75</v>
      </c>
      <c r="H206" s="43">
        <v>600</v>
      </c>
      <c r="I206" s="35">
        <v>695</v>
      </c>
      <c r="J206" s="35">
        <v>0</v>
      </c>
      <c r="K206" s="36"/>
      <c r="L206" s="36"/>
      <c r="M206" s="36"/>
      <c r="N206" s="36"/>
      <c r="O206" s="36"/>
      <c r="P206" s="36"/>
      <c r="Q206" s="36"/>
      <c r="R206" s="36"/>
      <c r="S206" s="36"/>
      <c r="T206" s="36"/>
    </row>
    <row r="207" spans="1:20" ht="15.75">
      <c r="A207" s="13">
        <v>47788</v>
      </c>
      <c r="B207" s="44">
        <v>30</v>
      </c>
      <c r="C207" s="35">
        <v>122.58</v>
      </c>
      <c r="D207" s="35">
        <v>297.94099999999997</v>
      </c>
      <c r="E207" s="41">
        <v>729.47900000000004</v>
      </c>
      <c r="F207" s="35">
        <v>1150</v>
      </c>
      <c r="G207" s="35">
        <v>100</v>
      </c>
      <c r="H207" s="43">
        <v>600</v>
      </c>
      <c r="I207" s="35">
        <v>695</v>
      </c>
      <c r="J207" s="35">
        <v>50</v>
      </c>
      <c r="K207" s="36"/>
      <c r="L207" s="36"/>
      <c r="M207" s="36"/>
      <c r="N207" s="36"/>
      <c r="O207" s="36"/>
      <c r="P207" s="36"/>
      <c r="Q207" s="36"/>
      <c r="R207" s="36"/>
      <c r="S207" s="36"/>
      <c r="T207" s="36"/>
    </row>
    <row r="208" spans="1:20" ht="15.75">
      <c r="A208" s="13">
        <v>47818</v>
      </c>
      <c r="B208" s="44">
        <v>31</v>
      </c>
      <c r="C208" s="35">
        <v>122.58</v>
      </c>
      <c r="D208" s="35">
        <v>297.94099999999997</v>
      </c>
      <c r="E208" s="41">
        <v>729.47900000000004</v>
      </c>
      <c r="F208" s="35">
        <v>1150</v>
      </c>
      <c r="G208" s="35">
        <v>100</v>
      </c>
      <c r="H208" s="43">
        <v>600</v>
      </c>
      <c r="I208" s="35">
        <v>695</v>
      </c>
      <c r="J208" s="35">
        <v>50</v>
      </c>
      <c r="K208" s="36"/>
      <c r="L208" s="36"/>
      <c r="M208" s="36"/>
      <c r="N208" s="36"/>
      <c r="O208" s="36"/>
      <c r="P208" s="36"/>
      <c r="Q208" s="36"/>
      <c r="R208" s="36"/>
      <c r="S208" s="36"/>
      <c r="T208" s="36"/>
    </row>
    <row r="209" spans="1:20" ht="15.75">
      <c r="A209" s="13">
        <v>47849</v>
      </c>
      <c r="B209" s="44">
        <v>31</v>
      </c>
      <c r="C209" s="35">
        <v>122.58</v>
      </c>
      <c r="D209" s="35">
        <v>297.94099999999997</v>
      </c>
      <c r="E209" s="41">
        <v>729.47900000000004</v>
      </c>
      <c r="F209" s="35">
        <v>1150</v>
      </c>
      <c r="G209" s="35">
        <v>100</v>
      </c>
      <c r="H209" s="43">
        <v>600</v>
      </c>
      <c r="I209" s="35">
        <v>695</v>
      </c>
      <c r="J209" s="35">
        <v>50</v>
      </c>
      <c r="K209" s="36"/>
      <c r="L209" s="36"/>
      <c r="M209" s="36"/>
      <c r="N209" s="36"/>
      <c r="O209" s="36"/>
      <c r="P209" s="36"/>
      <c r="Q209" s="36"/>
      <c r="R209" s="36"/>
      <c r="S209" s="36"/>
      <c r="T209" s="36"/>
    </row>
    <row r="210" spans="1:20" ht="15.75">
      <c r="A210" s="13">
        <v>47880</v>
      </c>
      <c r="B210" s="44">
        <v>28</v>
      </c>
      <c r="C210" s="35">
        <v>122.58</v>
      </c>
      <c r="D210" s="35">
        <v>297.94099999999997</v>
      </c>
      <c r="E210" s="41">
        <v>729.47900000000004</v>
      </c>
      <c r="F210" s="35">
        <v>1150</v>
      </c>
      <c r="G210" s="35">
        <v>100</v>
      </c>
      <c r="H210" s="43">
        <v>600</v>
      </c>
      <c r="I210" s="35">
        <v>695</v>
      </c>
      <c r="J210" s="35">
        <v>50</v>
      </c>
      <c r="K210" s="36"/>
      <c r="L210" s="36"/>
      <c r="M210" s="36"/>
      <c r="N210" s="36"/>
      <c r="O210" s="36"/>
      <c r="P210" s="36"/>
      <c r="Q210" s="36"/>
      <c r="R210" s="36"/>
      <c r="S210" s="36"/>
      <c r="T210" s="36"/>
    </row>
    <row r="211" spans="1:20" ht="15.75">
      <c r="A211" s="13">
        <v>47908</v>
      </c>
      <c r="B211" s="44">
        <v>31</v>
      </c>
      <c r="C211" s="35">
        <v>122.58</v>
      </c>
      <c r="D211" s="35">
        <v>297.94099999999997</v>
      </c>
      <c r="E211" s="41">
        <v>729.47900000000004</v>
      </c>
      <c r="F211" s="35">
        <v>1150</v>
      </c>
      <c r="G211" s="35">
        <v>100</v>
      </c>
      <c r="H211" s="43">
        <v>600</v>
      </c>
      <c r="I211" s="35">
        <v>695</v>
      </c>
      <c r="J211" s="35">
        <v>50</v>
      </c>
      <c r="K211" s="36"/>
      <c r="L211" s="36"/>
      <c r="M211" s="36"/>
      <c r="N211" s="36"/>
      <c r="O211" s="36"/>
      <c r="P211" s="36"/>
      <c r="Q211" s="36"/>
      <c r="R211" s="36"/>
      <c r="S211" s="36"/>
      <c r="T211" s="36"/>
    </row>
    <row r="212" spans="1:20" ht="15.75">
      <c r="A212" s="13">
        <v>47939</v>
      </c>
      <c r="B212" s="44">
        <v>30</v>
      </c>
      <c r="C212" s="35">
        <v>141.29300000000001</v>
      </c>
      <c r="D212" s="35">
        <v>267.99299999999999</v>
      </c>
      <c r="E212" s="41">
        <v>829.71400000000006</v>
      </c>
      <c r="F212" s="35">
        <v>1239</v>
      </c>
      <c r="G212" s="35">
        <v>100</v>
      </c>
      <c r="H212" s="43">
        <v>600</v>
      </c>
      <c r="I212" s="35">
        <v>695</v>
      </c>
      <c r="J212" s="35">
        <v>50</v>
      </c>
      <c r="K212" s="36"/>
      <c r="L212" s="36"/>
      <c r="M212" s="36"/>
      <c r="N212" s="36"/>
      <c r="O212" s="36"/>
      <c r="P212" s="36"/>
      <c r="Q212" s="36"/>
      <c r="R212" s="36"/>
      <c r="S212" s="36"/>
      <c r="T212" s="36"/>
    </row>
    <row r="213" spans="1:20" ht="15.75">
      <c r="A213" s="13">
        <v>47969</v>
      </c>
      <c r="B213" s="44">
        <v>31</v>
      </c>
      <c r="C213" s="35">
        <v>194.20500000000001</v>
      </c>
      <c r="D213" s="35">
        <v>267.46600000000001</v>
      </c>
      <c r="E213" s="41">
        <v>812.32899999999995</v>
      </c>
      <c r="F213" s="35">
        <v>1274</v>
      </c>
      <c r="G213" s="35">
        <v>75</v>
      </c>
      <c r="H213" s="43">
        <v>600</v>
      </c>
      <c r="I213" s="35">
        <v>695</v>
      </c>
      <c r="J213" s="35">
        <v>50</v>
      </c>
      <c r="K213" s="36"/>
      <c r="L213" s="36"/>
      <c r="M213" s="36"/>
      <c r="N213" s="36"/>
      <c r="O213" s="36"/>
      <c r="P213" s="36"/>
      <c r="Q213" s="36"/>
      <c r="R213" s="36"/>
      <c r="S213" s="36"/>
      <c r="T213" s="36"/>
    </row>
    <row r="214" spans="1:20" ht="15.75">
      <c r="A214" s="13">
        <v>48000</v>
      </c>
      <c r="B214" s="44">
        <v>30</v>
      </c>
      <c r="C214" s="35">
        <v>194.20500000000001</v>
      </c>
      <c r="D214" s="35">
        <v>267.46600000000001</v>
      </c>
      <c r="E214" s="41">
        <v>812.32899999999995</v>
      </c>
      <c r="F214" s="35">
        <v>1274</v>
      </c>
      <c r="G214" s="35">
        <v>50</v>
      </c>
      <c r="H214" s="43">
        <v>600</v>
      </c>
      <c r="I214" s="35">
        <v>695</v>
      </c>
      <c r="J214" s="35">
        <v>50</v>
      </c>
      <c r="K214" s="36"/>
      <c r="L214" s="36"/>
      <c r="M214" s="36"/>
      <c r="N214" s="36"/>
      <c r="O214" s="36"/>
      <c r="P214" s="36"/>
      <c r="Q214" s="36"/>
      <c r="R214" s="36"/>
      <c r="S214" s="36"/>
      <c r="T214" s="36"/>
    </row>
    <row r="215" spans="1:20" ht="15.75">
      <c r="A215" s="13">
        <v>48030</v>
      </c>
      <c r="B215" s="44">
        <v>31</v>
      </c>
      <c r="C215" s="35">
        <v>194.20500000000001</v>
      </c>
      <c r="D215" s="35">
        <v>267.46600000000001</v>
      </c>
      <c r="E215" s="41">
        <v>812.32899999999995</v>
      </c>
      <c r="F215" s="35">
        <v>1274</v>
      </c>
      <c r="G215" s="35">
        <v>50</v>
      </c>
      <c r="H215" s="43">
        <v>600</v>
      </c>
      <c r="I215" s="35">
        <v>695</v>
      </c>
      <c r="J215" s="35">
        <v>0</v>
      </c>
      <c r="K215" s="36"/>
      <c r="L215" s="36"/>
      <c r="M215" s="36"/>
      <c r="N215" s="36"/>
      <c r="O215" s="36"/>
      <c r="P215" s="36"/>
      <c r="Q215" s="36"/>
      <c r="R215" s="36"/>
      <c r="S215" s="36"/>
      <c r="T215" s="36"/>
    </row>
    <row r="216" spans="1:20" ht="15.75">
      <c r="A216" s="13">
        <v>48061</v>
      </c>
      <c r="B216" s="44">
        <v>31</v>
      </c>
      <c r="C216" s="35">
        <v>194.20500000000001</v>
      </c>
      <c r="D216" s="35">
        <v>267.46600000000001</v>
      </c>
      <c r="E216" s="41">
        <v>812.32899999999995</v>
      </c>
      <c r="F216" s="35">
        <v>1274</v>
      </c>
      <c r="G216" s="35">
        <v>50</v>
      </c>
      <c r="H216" s="43">
        <v>600</v>
      </c>
      <c r="I216" s="35">
        <v>695</v>
      </c>
      <c r="J216" s="35">
        <v>0</v>
      </c>
      <c r="K216" s="36"/>
      <c r="L216" s="36"/>
      <c r="M216" s="36"/>
      <c r="N216" s="36"/>
      <c r="O216" s="36"/>
      <c r="P216" s="36"/>
      <c r="Q216" s="36"/>
      <c r="R216" s="36"/>
      <c r="S216" s="36"/>
      <c r="T216" s="36"/>
    </row>
    <row r="217" spans="1:20" ht="15.75">
      <c r="A217" s="13">
        <v>48092</v>
      </c>
      <c r="B217" s="44">
        <v>30</v>
      </c>
      <c r="C217" s="35">
        <v>194.20500000000001</v>
      </c>
      <c r="D217" s="35">
        <v>267.46600000000001</v>
      </c>
      <c r="E217" s="41">
        <v>812.32899999999995</v>
      </c>
      <c r="F217" s="35">
        <v>1274</v>
      </c>
      <c r="G217" s="35">
        <v>50</v>
      </c>
      <c r="H217" s="43">
        <v>600</v>
      </c>
      <c r="I217" s="35">
        <v>695</v>
      </c>
      <c r="J217" s="35">
        <v>0</v>
      </c>
      <c r="K217" s="36"/>
      <c r="L217" s="36"/>
      <c r="M217" s="36"/>
      <c r="N217" s="36"/>
      <c r="O217" s="36"/>
      <c r="P217" s="36"/>
      <c r="Q217" s="36"/>
      <c r="R217" s="36"/>
      <c r="S217" s="36"/>
      <c r="T217" s="36"/>
    </row>
    <row r="218" spans="1:20" ht="15.75">
      <c r="A218" s="13">
        <v>48122</v>
      </c>
      <c r="B218" s="44">
        <v>31</v>
      </c>
      <c r="C218" s="35">
        <v>131.881</v>
      </c>
      <c r="D218" s="35">
        <v>277.16699999999997</v>
      </c>
      <c r="E218" s="41">
        <v>829.952</v>
      </c>
      <c r="F218" s="35">
        <v>1239</v>
      </c>
      <c r="G218" s="35">
        <v>75</v>
      </c>
      <c r="H218" s="43">
        <v>600</v>
      </c>
      <c r="I218" s="35">
        <v>695</v>
      </c>
      <c r="J218" s="35">
        <v>0</v>
      </c>
      <c r="K218" s="36"/>
      <c r="L218" s="36"/>
      <c r="M218" s="36"/>
      <c r="N218" s="36"/>
      <c r="O218" s="36"/>
      <c r="P218" s="36"/>
      <c r="Q218" s="36"/>
      <c r="R218" s="36"/>
      <c r="S218" s="36"/>
      <c r="T218" s="36"/>
    </row>
    <row r="219" spans="1:20" ht="15.75">
      <c r="A219" s="13">
        <v>48153</v>
      </c>
      <c r="B219" s="44">
        <v>30</v>
      </c>
      <c r="C219" s="35">
        <v>122.58</v>
      </c>
      <c r="D219" s="35">
        <v>297.94099999999997</v>
      </c>
      <c r="E219" s="41">
        <v>729.47900000000004</v>
      </c>
      <c r="F219" s="35">
        <v>1150</v>
      </c>
      <c r="G219" s="35">
        <v>100</v>
      </c>
      <c r="H219" s="43">
        <v>600</v>
      </c>
      <c r="I219" s="35">
        <v>695</v>
      </c>
      <c r="J219" s="35">
        <v>50</v>
      </c>
      <c r="K219" s="36"/>
      <c r="L219" s="36"/>
      <c r="M219" s="36"/>
      <c r="N219" s="36"/>
      <c r="O219" s="36"/>
      <c r="P219" s="36"/>
      <c r="Q219" s="36"/>
      <c r="R219" s="36"/>
      <c r="S219" s="36"/>
      <c r="T219" s="36"/>
    </row>
    <row r="220" spans="1:20" ht="15.75">
      <c r="A220" s="13">
        <v>48183</v>
      </c>
      <c r="B220" s="44">
        <v>31</v>
      </c>
      <c r="C220" s="35">
        <v>122.58</v>
      </c>
      <c r="D220" s="35">
        <v>297.94099999999997</v>
      </c>
      <c r="E220" s="41">
        <v>729.47900000000004</v>
      </c>
      <c r="F220" s="35">
        <v>1150</v>
      </c>
      <c r="G220" s="35">
        <v>100</v>
      </c>
      <c r="H220" s="43">
        <v>600</v>
      </c>
      <c r="I220" s="35">
        <v>695</v>
      </c>
      <c r="J220" s="35">
        <v>50</v>
      </c>
      <c r="K220" s="36"/>
      <c r="L220" s="36"/>
      <c r="M220" s="36"/>
      <c r="N220" s="36"/>
      <c r="O220" s="36"/>
      <c r="P220" s="36"/>
      <c r="Q220" s="36"/>
      <c r="R220" s="36"/>
      <c r="S220" s="36"/>
      <c r="T220" s="36"/>
    </row>
    <row r="221" spans="1:20" ht="15.75">
      <c r="A221" s="13">
        <v>48214</v>
      </c>
      <c r="B221" s="44">
        <v>31</v>
      </c>
      <c r="C221" s="35">
        <v>122.58</v>
      </c>
      <c r="D221" s="35">
        <v>297.94099999999997</v>
      </c>
      <c r="E221" s="41">
        <v>729.47900000000004</v>
      </c>
      <c r="F221" s="35">
        <v>1150</v>
      </c>
      <c r="G221" s="35">
        <v>100</v>
      </c>
      <c r="H221" s="43">
        <v>600</v>
      </c>
      <c r="I221" s="35">
        <v>695</v>
      </c>
      <c r="J221" s="35">
        <v>50</v>
      </c>
      <c r="K221" s="36"/>
      <c r="L221" s="36"/>
      <c r="M221" s="36"/>
      <c r="N221" s="36"/>
      <c r="O221" s="36"/>
      <c r="P221" s="36"/>
      <c r="Q221" s="36"/>
      <c r="R221" s="36"/>
      <c r="S221" s="36"/>
      <c r="T221" s="36"/>
    </row>
    <row r="222" spans="1:20" ht="15.75">
      <c r="A222" s="13">
        <v>48245</v>
      </c>
      <c r="B222" s="44">
        <v>29</v>
      </c>
      <c r="C222" s="35">
        <v>122.58</v>
      </c>
      <c r="D222" s="35">
        <v>297.94099999999997</v>
      </c>
      <c r="E222" s="41">
        <v>729.47900000000004</v>
      </c>
      <c r="F222" s="35">
        <v>1150</v>
      </c>
      <c r="G222" s="35">
        <v>100</v>
      </c>
      <c r="H222" s="43">
        <v>600</v>
      </c>
      <c r="I222" s="35">
        <v>695</v>
      </c>
      <c r="J222" s="35">
        <v>50</v>
      </c>
      <c r="K222" s="36"/>
      <c r="L222" s="36"/>
      <c r="M222" s="36"/>
      <c r="N222" s="36"/>
      <c r="O222" s="36"/>
      <c r="P222" s="36"/>
      <c r="Q222" s="36"/>
      <c r="R222" s="36"/>
      <c r="S222" s="36"/>
      <c r="T222" s="36"/>
    </row>
    <row r="223" spans="1:20" ht="15.75">
      <c r="A223" s="13">
        <v>48274</v>
      </c>
      <c r="B223" s="44">
        <v>31</v>
      </c>
      <c r="C223" s="35">
        <v>122.58</v>
      </c>
      <c r="D223" s="35">
        <v>297.94099999999997</v>
      </c>
      <c r="E223" s="41">
        <v>729.47900000000004</v>
      </c>
      <c r="F223" s="35">
        <v>1150</v>
      </c>
      <c r="G223" s="35">
        <v>100</v>
      </c>
      <c r="H223" s="43">
        <v>600</v>
      </c>
      <c r="I223" s="35">
        <v>695</v>
      </c>
      <c r="J223" s="35">
        <v>50</v>
      </c>
      <c r="K223" s="36"/>
      <c r="L223" s="36"/>
      <c r="M223" s="36"/>
      <c r="N223" s="36"/>
      <c r="O223" s="36"/>
      <c r="P223" s="36"/>
      <c r="Q223" s="36"/>
      <c r="R223" s="36"/>
      <c r="S223" s="36"/>
      <c r="T223" s="36"/>
    </row>
    <row r="224" spans="1:20" ht="15.75">
      <c r="A224" s="13">
        <v>48305</v>
      </c>
      <c r="B224" s="44">
        <v>30</v>
      </c>
      <c r="C224" s="35">
        <v>141.29300000000001</v>
      </c>
      <c r="D224" s="35">
        <v>267.99299999999999</v>
      </c>
      <c r="E224" s="41">
        <v>829.71400000000006</v>
      </c>
      <c r="F224" s="35">
        <v>1239</v>
      </c>
      <c r="G224" s="35">
        <v>100</v>
      </c>
      <c r="H224" s="43">
        <v>600</v>
      </c>
      <c r="I224" s="35">
        <v>695</v>
      </c>
      <c r="J224" s="35">
        <v>50</v>
      </c>
      <c r="K224" s="36"/>
      <c r="L224" s="36"/>
      <c r="M224" s="36"/>
      <c r="N224" s="36"/>
      <c r="O224" s="36"/>
      <c r="P224" s="36"/>
      <c r="Q224" s="36"/>
      <c r="R224" s="36"/>
      <c r="S224" s="36"/>
      <c r="T224" s="36"/>
    </row>
    <row r="225" spans="1:20" ht="15.75">
      <c r="A225" s="13">
        <v>48335</v>
      </c>
      <c r="B225" s="44">
        <v>31</v>
      </c>
      <c r="C225" s="35">
        <v>194.20500000000001</v>
      </c>
      <c r="D225" s="35">
        <v>267.46600000000001</v>
      </c>
      <c r="E225" s="41">
        <v>812.32899999999995</v>
      </c>
      <c r="F225" s="35">
        <v>1274</v>
      </c>
      <c r="G225" s="35">
        <v>75</v>
      </c>
      <c r="H225" s="43">
        <v>600</v>
      </c>
      <c r="I225" s="35">
        <v>695</v>
      </c>
      <c r="J225" s="35">
        <v>50</v>
      </c>
      <c r="K225" s="36"/>
      <c r="L225" s="36"/>
      <c r="M225" s="36"/>
      <c r="N225" s="36"/>
      <c r="O225" s="36"/>
      <c r="P225" s="36"/>
      <c r="Q225" s="36"/>
      <c r="R225" s="36"/>
      <c r="S225" s="36"/>
      <c r="T225" s="36"/>
    </row>
    <row r="226" spans="1:20" ht="15.75">
      <c r="A226" s="13">
        <v>48366</v>
      </c>
      <c r="B226" s="44">
        <v>30</v>
      </c>
      <c r="C226" s="35">
        <v>194.20500000000001</v>
      </c>
      <c r="D226" s="35">
        <v>267.46600000000001</v>
      </c>
      <c r="E226" s="41">
        <v>812.32899999999995</v>
      </c>
      <c r="F226" s="35">
        <v>1274</v>
      </c>
      <c r="G226" s="35">
        <v>50</v>
      </c>
      <c r="H226" s="43">
        <v>600</v>
      </c>
      <c r="I226" s="35">
        <v>695</v>
      </c>
      <c r="J226" s="35">
        <v>50</v>
      </c>
      <c r="K226" s="36"/>
      <c r="L226" s="36"/>
      <c r="M226" s="36"/>
      <c r="N226" s="36"/>
      <c r="O226" s="36"/>
      <c r="P226" s="36"/>
      <c r="Q226" s="36"/>
      <c r="R226" s="36"/>
      <c r="S226" s="36"/>
      <c r="T226" s="36"/>
    </row>
    <row r="227" spans="1:20" ht="15.75">
      <c r="A227" s="13">
        <v>48396</v>
      </c>
      <c r="B227" s="44">
        <v>31</v>
      </c>
      <c r="C227" s="35">
        <v>194.20500000000001</v>
      </c>
      <c r="D227" s="35">
        <v>267.46600000000001</v>
      </c>
      <c r="E227" s="41">
        <v>812.32899999999995</v>
      </c>
      <c r="F227" s="35">
        <v>1274</v>
      </c>
      <c r="G227" s="35">
        <v>50</v>
      </c>
      <c r="H227" s="43">
        <v>600</v>
      </c>
      <c r="I227" s="35">
        <v>695</v>
      </c>
      <c r="J227" s="35">
        <v>0</v>
      </c>
      <c r="K227" s="36"/>
      <c r="L227" s="36"/>
      <c r="M227" s="36"/>
      <c r="N227" s="36"/>
      <c r="O227" s="36"/>
      <c r="P227" s="36"/>
      <c r="Q227" s="36"/>
      <c r="R227" s="36"/>
      <c r="S227" s="36"/>
      <c r="T227" s="36"/>
    </row>
    <row r="228" spans="1:20" ht="15.75">
      <c r="A228" s="13">
        <v>48427</v>
      </c>
      <c r="B228" s="44">
        <v>31</v>
      </c>
      <c r="C228" s="35">
        <v>194.20500000000001</v>
      </c>
      <c r="D228" s="35">
        <v>267.46600000000001</v>
      </c>
      <c r="E228" s="41">
        <v>812.32899999999995</v>
      </c>
      <c r="F228" s="35">
        <v>1274</v>
      </c>
      <c r="G228" s="35">
        <v>50</v>
      </c>
      <c r="H228" s="43">
        <v>600</v>
      </c>
      <c r="I228" s="35">
        <v>695</v>
      </c>
      <c r="J228" s="35">
        <v>0</v>
      </c>
      <c r="K228" s="36"/>
      <c r="L228" s="36"/>
      <c r="M228" s="36"/>
      <c r="N228" s="36"/>
      <c r="O228" s="36"/>
      <c r="P228" s="36"/>
      <c r="Q228" s="36"/>
      <c r="R228" s="36"/>
      <c r="S228" s="36"/>
      <c r="T228" s="36"/>
    </row>
    <row r="229" spans="1:20" ht="15.75">
      <c r="A229" s="13">
        <v>48458</v>
      </c>
      <c r="B229" s="44">
        <v>30</v>
      </c>
      <c r="C229" s="35">
        <v>194.20500000000001</v>
      </c>
      <c r="D229" s="35">
        <v>267.46600000000001</v>
      </c>
      <c r="E229" s="41">
        <v>812.32899999999995</v>
      </c>
      <c r="F229" s="35">
        <v>1274</v>
      </c>
      <c r="G229" s="35">
        <v>50</v>
      </c>
      <c r="H229" s="43">
        <v>600</v>
      </c>
      <c r="I229" s="35">
        <v>695</v>
      </c>
      <c r="J229" s="35">
        <v>0</v>
      </c>
      <c r="K229" s="36"/>
      <c r="L229" s="36"/>
      <c r="M229" s="36"/>
      <c r="N229" s="36"/>
      <c r="O229" s="36"/>
      <c r="P229" s="36"/>
      <c r="Q229" s="36"/>
      <c r="R229" s="36"/>
      <c r="S229" s="36"/>
      <c r="T229" s="36"/>
    </row>
    <row r="230" spans="1:20" ht="15.75">
      <c r="A230" s="13">
        <v>48488</v>
      </c>
      <c r="B230" s="44">
        <v>31</v>
      </c>
      <c r="C230" s="35">
        <v>131.881</v>
      </c>
      <c r="D230" s="35">
        <v>277.16699999999997</v>
      </c>
      <c r="E230" s="41">
        <v>829.952</v>
      </c>
      <c r="F230" s="35">
        <v>1239</v>
      </c>
      <c r="G230" s="35">
        <v>75</v>
      </c>
      <c r="H230" s="43">
        <v>600</v>
      </c>
      <c r="I230" s="35">
        <v>695</v>
      </c>
      <c r="J230" s="35">
        <v>0</v>
      </c>
      <c r="K230" s="36"/>
      <c r="L230" s="36"/>
      <c r="M230" s="36"/>
      <c r="N230" s="36"/>
      <c r="O230" s="36"/>
      <c r="P230" s="36"/>
      <c r="Q230" s="36"/>
      <c r="R230" s="36"/>
      <c r="S230" s="36"/>
      <c r="T230" s="36"/>
    </row>
    <row r="231" spans="1:20" ht="15.75">
      <c r="A231" s="13">
        <v>48519</v>
      </c>
      <c r="B231" s="44">
        <v>30</v>
      </c>
      <c r="C231" s="35">
        <v>122.58</v>
      </c>
      <c r="D231" s="35">
        <v>297.94099999999997</v>
      </c>
      <c r="E231" s="41">
        <v>729.47900000000004</v>
      </c>
      <c r="F231" s="35">
        <v>1150</v>
      </c>
      <c r="G231" s="35">
        <v>100</v>
      </c>
      <c r="H231" s="43">
        <v>600</v>
      </c>
      <c r="I231" s="35">
        <v>695</v>
      </c>
      <c r="J231" s="35">
        <v>50</v>
      </c>
      <c r="K231" s="36"/>
      <c r="L231" s="36"/>
      <c r="M231" s="36"/>
      <c r="N231" s="36"/>
      <c r="O231" s="36"/>
      <c r="P231" s="36"/>
      <c r="Q231" s="36"/>
      <c r="R231" s="36"/>
      <c r="S231" s="36"/>
      <c r="T231" s="36"/>
    </row>
    <row r="232" spans="1:20" ht="15.75">
      <c r="A232" s="13">
        <v>48549</v>
      </c>
      <c r="B232" s="44">
        <v>31</v>
      </c>
      <c r="C232" s="35">
        <v>122.58</v>
      </c>
      <c r="D232" s="35">
        <v>297.94099999999997</v>
      </c>
      <c r="E232" s="41">
        <v>729.47900000000004</v>
      </c>
      <c r="F232" s="35">
        <v>1150</v>
      </c>
      <c r="G232" s="35">
        <v>100</v>
      </c>
      <c r="H232" s="43">
        <v>600</v>
      </c>
      <c r="I232" s="35">
        <v>695</v>
      </c>
      <c r="J232" s="35">
        <v>50</v>
      </c>
      <c r="K232" s="36"/>
      <c r="L232" s="36"/>
      <c r="M232" s="36"/>
      <c r="N232" s="36"/>
      <c r="O232" s="36"/>
      <c r="P232" s="36"/>
      <c r="Q232" s="36"/>
      <c r="R232" s="36"/>
      <c r="S232" s="36"/>
      <c r="T232" s="36"/>
    </row>
    <row r="233" spans="1:20" ht="15.75">
      <c r="A233" s="13">
        <v>48580</v>
      </c>
      <c r="B233" s="44">
        <v>31</v>
      </c>
      <c r="C233" s="35">
        <v>122.58</v>
      </c>
      <c r="D233" s="35">
        <v>297.94099999999997</v>
      </c>
      <c r="E233" s="41">
        <v>729.47900000000004</v>
      </c>
      <c r="F233" s="35">
        <v>1150</v>
      </c>
      <c r="G233" s="35">
        <v>100</v>
      </c>
      <c r="H233" s="43">
        <v>600</v>
      </c>
      <c r="I233" s="35">
        <v>695</v>
      </c>
      <c r="J233" s="35">
        <v>50</v>
      </c>
      <c r="K233" s="36"/>
      <c r="L233" s="36"/>
      <c r="M233" s="36"/>
      <c r="N233" s="36"/>
      <c r="O233" s="36"/>
      <c r="P233" s="36"/>
      <c r="Q233" s="36"/>
      <c r="R233" s="36"/>
      <c r="S233" s="36"/>
      <c r="T233" s="36"/>
    </row>
    <row r="234" spans="1:20" ht="15.75">
      <c r="A234" s="13">
        <v>48611</v>
      </c>
      <c r="B234" s="44">
        <v>28</v>
      </c>
      <c r="C234" s="35">
        <v>122.58</v>
      </c>
      <c r="D234" s="35">
        <v>297.94099999999997</v>
      </c>
      <c r="E234" s="41">
        <v>729.47900000000004</v>
      </c>
      <c r="F234" s="35">
        <v>1150</v>
      </c>
      <c r="G234" s="35">
        <v>100</v>
      </c>
      <c r="H234" s="43">
        <v>600</v>
      </c>
      <c r="I234" s="35">
        <v>695</v>
      </c>
      <c r="J234" s="35">
        <v>50</v>
      </c>
      <c r="K234" s="36"/>
      <c r="L234" s="36"/>
      <c r="M234" s="36"/>
      <c r="N234" s="36"/>
      <c r="O234" s="36"/>
      <c r="P234" s="36"/>
      <c r="Q234" s="36"/>
      <c r="R234" s="36"/>
      <c r="S234" s="36"/>
      <c r="T234" s="36"/>
    </row>
    <row r="235" spans="1:20" ht="15.75">
      <c r="A235" s="13">
        <v>48639</v>
      </c>
      <c r="B235" s="44">
        <v>31</v>
      </c>
      <c r="C235" s="35">
        <v>122.58</v>
      </c>
      <c r="D235" s="35">
        <v>297.94099999999997</v>
      </c>
      <c r="E235" s="41">
        <v>729.47900000000004</v>
      </c>
      <c r="F235" s="35">
        <v>1150</v>
      </c>
      <c r="G235" s="35">
        <v>100</v>
      </c>
      <c r="H235" s="43">
        <v>600</v>
      </c>
      <c r="I235" s="35">
        <v>695</v>
      </c>
      <c r="J235" s="35">
        <v>50</v>
      </c>
      <c r="K235" s="36"/>
      <c r="L235" s="36"/>
      <c r="M235" s="36"/>
      <c r="N235" s="36"/>
      <c r="O235" s="36"/>
      <c r="P235" s="36"/>
      <c r="Q235" s="36"/>
      <c r="R235" s="36"/>
      <c r="S235" s="36"/>
      <c r="T235" s="36"/>
    </row>
    <row r="236" spans="1:20" ht="15.75">
      <c r="A236" s="13">
        <v>48670</v>
      </c>
      <c r="B236" s="44">
        <v>30</v>
      </c>
      <c r="C236" s="35">
        <v>141.29300000000001</v>
      </c>
      <c r="D236" s="35">
        <v>267.99299999999999</v>
      </c>
      <c r="E236" s="41">
        <v>829.71400000000006</v>
      </c>
      <c r="F236" s="35">
        <v>1239</v>
      </c>
      <c r="G236" s="35">
        <v>100</v>
      </c>
      <c r="H236" s="43">
        <v>600</v>
      </c>
      <c r="I236" s="35">
        <v>695</v>
      </c>
      <c r="J236" s="35">
        <v>50</v>
      </c>
      <c r="K236" s="36"/>
      <c r="L236" s="36"/>
      <c r="M236" s="36"/>
      <c r="N236" s="36"/>
      <c r="O236" s="36"/>
      <c r="P236" s="36"/>
      <c r="Q236" s="36"/>
      <c r="R236" s="36"/>
      <c r="S236" s="36"/>
      <c r="T236" s="36"/>
    </row>
    <row r="237" spans="1:20" ht="15.75">
      <c r="A237" s="13">
        <v>48700</v>
      </c>
      <c r="B237" s="44">
        <v>31</v>
      </c>
      <c r="C237" s="35">
        <v>194.20500000000001</v>
      </c>
      <c r="D237" s="35">
        <v>267.46600000000001</v>
      </c>
      <c r="E237" s="41">
        <v>812.32899999999995</v>
      </c>
      <c r="F237" s="35">
        <v>1274</v>
      </c>
      <c r="G237" s="35">
        <v>75</v>
      </c>
      <c r="H237" s="43">
        <v>600</v>
      </c>
      <c r="I237" s="35">
        <v>695</v>
      </c>
      <c r="J237" s="35">
        <v>50</v>
      </c>
      <c r="K237" s="36"/>
      <c r="L237" s="36"/>
      <c r="M237" s="36"/>
      <c r="N237" s="36"/>
      <c r="O237" s="36"/>
      <c r="P237" s="36"/>
      <c r="Q237" s="36"/>
      <c r="R237" s="36"/>
      <c r="S237" s="36"/>
      <c r="T237" s="36"/>
    </row>
    <row r="238" spans="1:20" ht="15.75">
      <c r="A238" s="13">
        <v>48731</v>
      </c>
      <c r="B238" s="44">
        <v>30</v>
      </c>
      <c r="C238" s="35">
        <v>194.20500000000001</v>
      </c>
      <c r="D238" s="35">
        <v>267.46600000000001</v>
      </c>
      <c r="E238" s="41">
        <v>812.32899999999995</v>
      </c>
      <c r="F238" s="35">
        <v>1274</v>
      </c>
      <c r="G238" s="35">
        <v>50</v>
      </c>
      <c r="H238" s="43">
        <v>600</v>
      </c>
      <c r="I238" s="35">
        <v>695</v>
      </c>
      <c r="J238" s="35">
        <v>50</v>
      </c>
      <c r="K238" s="36"/>
      <c r="L238" s="36"/>
      <c r="M238" s="36"/>
      <c r="N238" s="36"/>
      <c r="O238" s="36"/>
      <c r="P238" s="36"/>
      <c r="Q238" s="36"/>
      <c r="R238" s="36"/>
      <c r="S238" s="36"/>
      <c r="T238" s="36"/>
    </row>
    <row r="239" spans="1:20" ht="15.75">
      <c r="A239" s="13">
        <v>48761</v>
      </c>
      <c r="B239" s="44">
        <v>31</v>
      </c>
      <c r="C239" s="35">
        <v>194.20500000000001</v>
      </c>
      <c r="D239" s="35">
        <v>267.46600000000001</v>
      </c>
      <c r="E239" s="41">
        <v>812.32899999999995</v>
      </c>
      <c r="F239" s="35">
        <v>1274</v>
      </c>
      <c r="G239" s="35">
        <v>50</v>
      </c>
      <c r="H239" s="43">
        <v>600</v>
      </c>
      <c r="I239" s="35">
        <v>695</v>
      </c>
      <c r="J239" s="35">
        <v>0</v>
      </c>
      <c r="K239" s="36"/>
      <c r="L239" s="36"/>
      <c r="M239" s="36"/>
      <c r="N239" s="36"/>
      <c r="O239" s="36"/>
      <c r="P239" s="36"/>
      <c r="Q239" s="36"/>
      <c r="R239" s="36"/>
      <c r="S239" s="36"/>
      <c r="T239" s="36"/>
    </row>
    <row r="240" spans="1:20" ht="15.75">
      <c r="A240" s="13">
        <v>48792</v>
      </c>
      <c r="B240" s="44">
        <v>31</v>
      </c>
      <c r="C240" s="35">
        <v>194.20500000000001</v>
      </c>
      <c r="D240" s="35">
        <v>267.46600000000001</v>
      </c>
      <c r="E240" s="41">
        <v>812.32899999999995</v>
      </c>
      <c r="F240" s="35">
        <v>1274</v>
      </c>
      <c r="G240" s="35">
        <v>50</v>
      </c>
      <c r="H240" s="43">
        <v>600</v>
      </c>
      <c r="I240" s="35">
        <v>695</v>
      </c>
      <c r="J240" s="35">
        <v>0</v>
      </c>
      <c r="K240" s="36"/>
      <c r="L240" s="36"/>
      <c r="M240" s="36"/>
      <c r="N240" s="36"/>
      <c r="O240" s="36"/>
      <c r="P240" s="36"/>
      <c r="Q240" s="36"/>
      <c r="R240" s="36"/>
      <c r="S240" s="36"/>
      <c r="T240" s="36"/>
    </row>
    <row r="241" spans="1:20" ht="15.75">
      <c r="A241" s="13">
        <v>48823</v>
      </c>
      <c r="B241" s="44">
        <v>30</v>
      </c>
      <c r="C241" s="35">
        <v>194.20500000000001</v>
      </c>
      <c r="D241" s="35">
        <v>267.46600000000001</v>
      </c>
      <c r="E241" s="41">
        <v>812.32899999999995</v>
      </c>
      <c r="F241" s="35">
        <v>1274</v>
      </c>
      <c r="G241" s="35">
        <v>50</v>
      </c>
      <c r="H241" s="43">
        <v>600</v>
      </c>
      <c r="I241" s="35">
        <v>695</v>
      </c>
      <c r="J241" s="35">
        <v>0</v>
      </c>
      <c r="K241" s="36"/>
      <c r="L241" s="36"/>
      <c r="M241" s="36"/>
      <c r="N241" s="36"/>
      <c r="O241" s="36"/>
      <c r="P241" s="36"/>
      <c r="Q241" s="36"/>
      <c r="R241" s="36"/>
      <c r="S241" s="36"/>
      <c r="T241" s="36"/>
    </row>
    <row r="242" spans="1:20" ht="15.75">
      <c r="A242" s="13">
        <v>48853</v>
      </c>
      <c r="B242" s="44">
        <v>31</v>
      </c>
      <c r="C242" s="35">
        <v>131.881</v>
      </c>
      <c r="D242" s="35">
        <v>277.16699999999997</v>
      </c>
      <c r="E242" s="41">
        <v>829.952</v>
      </c>
      <c r="F242" s="35">
        <v>1239</v>
      </c>
      <c r="G242" s="35">
        <v>75</v>
      </c>
      <c r="H242" s="43">
        <v>600</v>
      </c>
      <c r="I242" s="35">
        <v>695</v>
      </c>
      <c r="J242" s="35">
        <v>0</v>
      </c>
      <c r="K242" s="36"/>
      <c r="L242" s="36"/>
      <c r="M242" s="36"/>
      <c r="N242" s="36"/>
      <c r="O242" s="36"/>
      <c r="P242" s="36"/>
      <c r="Q242" s="36"/>
      <c r="R242" s="36"/>
      <c r="S242" s="36"/>
      <c r="T242" s="36"/>
    </row>
    <row r="243" spans="1:20" ht="15.75">
      <c r="A243" s="13">
        <v>48884</v>
      </c>
      <c r="B243" s="44">
        <v>30</v>
      </c>
      <c r="C243" s="35">
        <v>122.58</v>
      </c>
      <c r="D243" s="35">
        <v>297.94099999999997</v>
      </c>
      <c r="E243" s="41">
        <v>729.47900000000004</v>
      </c>
      <c r="F243" s="35">
        <v>1150</v>
      </c>
      <c r="G243" s="35">
        <v>100</v>
      </c>
      <c r="H243" s="43">
        <v>600</v>
      </c>
      <c r="I243" s="35">
        <v>695</v>
      </c>
      <c r="J243" s="35">
        <v>50</v>
      </c>
      <c r="K243" s="36"/>
      <c r="L243" s="36"/>
      <c r="M243" s="36"/>
      <c r="N243" s="36"/>
      <c r="O243" s="36"/>
      <c r="P243" s="36"/>
      <c r="Q243" s="36"/>
      <c r="R243" s="36"/>
      <c r="S243" s="36"/>
      <c r="T243" s="36"/>
    </row>
    <row r="244" spans="1:20" ht="15.75">
      <c r="A244" s="13">
        <v>48914</v>
      </c>
      <c r="B244" s="44">
        <v>31</v>
      </c>
      <c r="C244" s="35">
        <v>122.58</v>
      </c>
      <c r="D244" s="35">
        <v>297.94099999999997</v>
      </c>
      <c r="E244" s="41">
        <v>729.47900000000004</v>
      </c>
      <c r="F244" s="35">
        <v>1150</v>
      </c>
      <c r="G244" s="35">
        <v>100</v>
      </c>
      <c r="H244" s="43">
        <v>600</v>
      </c>
      <c r="I244" s="35">
        <v>695</v>
      </c>
      <c r="J244" s="35">
        <v>50</v>
      </c>
      <c r="K244" s="36"/>
      <c r="L244" s="36"/>
      <c r="M244" s="36"/>
      <c r="N244" s="36"/>
      <c r="O244" s="36"/>
      <c r="P244" s="36"/>
      <c r="Q244" s="36"/>
      <c r="R244" s="36"/>
      <c r="S244" s="36"/>
      <c r="T244" s="36"/>
    </row>
    <row r="245" spans="1:20" ht="15.75">
      <c r="A245" s="13">
        <v>48945</v>
      </c>
      <c r="B245" s="44">
        <v>31</v>
      </c>
      <c r="C245" s="35">
        <v>122.58</v>
      </c>
      <c r="D245" s="35">
        <v>297.94099999999997</v>
      </c>
      <c r="E245" s="41">
        <v>729.47900000000004</v>
      </c>
      <c r="F245" s="35">
        <v>1150</v>
      </c>
      <c r="G245" s="35">
        <v>100</v>
      </c>
      <c r="H245" s="43">
        <v>600</v>
      </c>
      <c r="I245" s="35">
        <v>695</v>
      </c>
      <c r="J245" s="35">
        <v>50</v>
      </c>
      <c r="K245" s="36"/>
      <c r="L245" s="36"/>
      <c r="M245" s="36"/>
      <c r="N245" s="36"/>
      <c r="O245" s="36"/>
      <c r="P245" s="36"/>
      <c r="Q245" s="36"/>
      <c r="R245" s="36"/>
      <c r="S245" s="36"/>
      <c r="T245" s="36"/>
    </row>
    <row r="246" spans="1:20" ht="15.75">
      <c r="A246" s="13">
        <v>48976</v>
      </c>
      <c r="B246" s="44">
        <v>28</v>
      </c>
      <c r="C246" s="35">
        <v>122.58</v>
      </c>
      <c r="D246" s="35">
        <v>297.94099999999997</v>
      </c>
      <c r="E246" s="41">
        <v>729.47900000000004</v>
      </c>
      <c r="F246" s="35">
        <v>1150</v>
      </c>
      <c r="G246" s="35">
        <v>100</v>
      </c>
      <c r="H246" s="43">
        <v>600</v>
      </c>
      <c r="I246" s="35">
        <v>695</v>
      </c>
      <c r="J246" s="35">
        <v>50</v>
      </c>
      <c r="K246" s="36"/>
      <c r="L246" s="36"/>
      <c r="M246" s="36"/>
      <c r="N246" s="36"/>
      <c r="O246" s="36"/>
      <c r="P246" s="36"/>
      <c r="Q246" s="36"/>
      <c r="R246" s="36"/>
      <c r="S246" s="36"/>
      <c r="T246" s="36"/>
    </row>
    <row r="247" spans="1:20" ht="15.75">
      <c r="A247" s="13">
        <v>49004</v>
      </c>
      <c r="B247" s="44">
        <v>31</v>
      </c>
      <c r="C247" s="35">
        <v>122.58</v>
      </c>
      <c r="D247" s="35">
        <v>297.94099999999997</v>
      </c>
      <c r="E247" s="41">
        <v>729.47900000000004</v>
      </c>
      <c r="F247" s="35">
        <v>1150</v>
      </c>
      <c r="G247" s="35">
        <v>100</v>
      </c>
      <c r="H247" s="43">
        <v>600</v>
      </c>
      <c r="I247" s="35">
        <v>695</v>
      </c>
      <c r="J247" s="35">
        <v>50</v>
      </c>
      <c r="K247" s="36"/>
      <c r="L247" s="36"/>
      <c r="M247" s="36"/>
      <c r="N247" s="36"/>
      <c r="O247" s="36"/>
      <c r="P247" s="36"/>
      <c r="Q247" s="36"/>
      <c r="R247" s="36"/>
      <c r="S247" s="36"/>
      <c r="T247" s="36"/>
    </row>
    <row r="248" spans="1:20" ht="15.75">
      <c r="A248" s="13">
        <v>49035</v>
      </c>
      <c r="B248" s="44">
        <v>30</v>
      </c>
      <c r="C248" s="35">
        <v>141.29300000000001</v>
      </c>
      <c r="D248" s="35">
        <v>267.99299999999999</v>
      </c>
      <c r="E248" s="41">
        <v>829.71400000000006</v>
      </c>
      <c r="F248" s="35">
        <v>1239</v>
      </c>
      <c r="G248" s="35">
        <v>100</v>
      </c>
      <c r="H248" s="43">
        <v>600</v>
      </c>
      <c r="I248" s="35">
        <v>695</v>
      </c>
      <c r="J248" s="35">
        <v>50</v>
      </c>
      <c r="K248" s="36"/>
      <c r="L248" s="36"/>
      <c r="M248" s="36"/>
      <c r="N248" s="36"/>
      <c r="O248" s="36"/>
      <c r="P248" s="36"/>
      <c r="Q248" s="36"/>
      <c r="R248" s="36"/>
      <c r="S248" s="36"/>
      <c r="T248" s="36"/>
    </row>
    <row r="249" spans="1:20" ht="15.75">
      <c r="A249" s="13">
        <v>49065</v>
      </c>
      <c r="B249" s="44">
        <v>31</v>
      </c>
      <c r="C249" s="35">
        <v>194.20500000000001</v>
      </c>
      <c r="D249" s="35">
        <v>267.46600000000001</v>
      </c>
      <c r="E249" s="41">
        <v>812.32899999999995</v>
      </c>
      <c r="F249" s="35">
        <v>1274</v>
      </c>
      <c r="G249" s="35">
        <v>75</v>
      </c>
      <c r="H249" s="43">
        <v>600</v>
      </c>
      <c r="I249" s="35">
        <v>695</v>
      </c>
      <c r="J249" s="35">
        <v>50</v>
      </c>
      <c r="K249" s="36"/>
      <c r="L249" s="36"/>
      <c r="M249" s="36"/>
      <c r="N249" s="36"/>
      <c r="O249" s="36"/>
      <c r="P249" s="36"/>
      <c r="Q249" s="36"/>
      <c r="R249" s="36"/>
      <c r="S249" s="36"/>
      <c r="T249" s="36"/>
    </row>
    <row r="250" spans="1:20" ht="15.75">
      <c r="A250" s="13">
        <v>49096</v>
      </c>
      <c r="B250" s="44">
        <v>30</v>
      </c>
      <c r="C250" s="35">
        <v>194.20500000000001</v>
      </c>
      <c r="D250" s="35">
        <v>267.46600000000001</v>
      </c>
      <c r="E250" s="41">
        <v>812.32899999999995</v>
      </c>
      <c r="F250" s="35">
        <v>1274</v>
      </c>
      <c r="G250" s="35">
        <v>50</v>
      </c>
      <c r="H250" s="43">
        <v>600</v>
      </c>
      <c r="I250" s="35">
        <v>695</v>
      </c>
      <c r="J250" s="35">
        <v>50</v>
      </c>
      <c r="K250" s="36"/>
      <c r="L250" s="36"/>
      <c r="M250" s="36"/>
      <c r="N250" s="36"/>
      <c r="O250" s="36"/>
      <c r="P250" s="36"/>
      <c r="Q250" s="36"/>
      <c r="R250" s="36"/>
      <c r="S250" s="36"/>
      <c r="T250" s="36"/>
    </row>
    <row r="251" spans="1:20" ht="15.75">
      <c r="A251" s="13">
        <v>49126</v>
      </c>
      <c r="B251" s="44">
        <v>31</v>
      </c>
      <c r="C251" s="35">
        <v>194.20500000000001</v>
      </c>
      <c r="D251" s="35">
        <v>267.46600000000001</v>
      </c>
      <c r="E251" s="41">
        <v>812.32899999999995</v>
      </c>
      <c r="F251" s="35">
        <v>1274</v>
      </c>
      <c r="G251" s="35">
        <v>50</v>
      </c>
      <c r="H251" s="43">
        <v>600</v>
      </c>
      <c r="I251" s="35">
        <v>695</v>
      </c>
      <c r="J251" s="35">
        <v>0</v>
      </c>
      <c r="K251" s="36"/>
      <c r="L251" s="36"/>
      <c r="M251" s="36"/>
      <c r="N251" s="36"/>
      <c r="O251" s="36"/>
      <c r="P251" s="36"/>
      <c r="Q251" s="36"/>
      <c r="R251" s="36"/>
      <c r="S251" s="36"/>
      <c r="T251" s="36"/>
    </row>
    <row r="252" spans="1:20" ht="15.75">
      <c r="A252" s="13">
        <v>49157</v>
      </c>
      <c r="B252" s="44">
        <v>31</v>
      </c>
      <c r="C252" s="35">
        <v>194.20500000000001</v>
      </c>
      <c r="D252" s="35">
        <v>267.46600000000001</v>
      </c>
      <c r="E252" s="41">
        <v>812.32899999999995</v>
      </c>
      <c r="F252" s="35">
        <v>1274</v>
      </c>
      <c r="G252" s="35">
        <v>50</v>
      </c>
      <c r="H252" s="43">
        <v>600</v>
      </c>
      <c r="I252" s="35">
        <v>695</v>
      </c>
      <c r="J252" s="35">
        <v>0</v>
      </c>
      <c r="K252" s="36"/>
      <c r="L252" s="36"/>
      <c r="M252" s="36"/>
      <c r="N252" s="36"/>
      <c r="O252" s="36"/>
      <c r="P252" s="36"/>
      <c r="Q252" s="36"/>
      <c r="R252" s="36"/>
      <c r="S252" s="36"/>
      <c r="T252" s="36"/>
    </row>
    <row r="253" spans="1:20" ht="15.75">
      <c r="A253" s="13">
        <v>49188</v>
      </c>
      <c r="B253" s="44">
        <v>30</v>
      </c>
      <c r="C253" s="35">
        <v>194.20500000000001</v>
      </c>
      <c r="D253" s="35">
        <v>267.46600000000001</v>
      </c>
      <c r="E253" s="41">
        <v>812.32899999999995</v>
      </c>
      <c r="F253" s="35">
        <v>1274</v>
      </c>
      <c r="G253" s="35">
        <v>50</v>
      </c>
      <c r="H253" s="43">
        <v>600</v>
      </c>
      <c r="I253" s="35">
        <v>695</v>
      </c>
      <c r="J253" s="35">
        <v>0</v>
      </c>
      <c r="K253" s="36"/>
      <c r="L253" s="36"/>
      <c r="M253" s="36"/>
      <c r="N253" s="36"/>
      <c r="O253" s="36"/>
      <c r="P253" s="36"/>
      <c r="Q253" s="36"/>
      <c r="R253" s="36"/>
      <c r="S253" s="36"/>
      <c r="T253" s="36"/>
    </row>
    <row r="254" spans="1:20" ht="15.75">
      <c r="A254" s="13">
        <v>49218</v>
      </c>
      <c r="B254" s="44">
        <v>31</v>
      </c>
      <c r="C254" s="35">
        <v>131.881</v>
      </c>
      <c r="D254" s="35">
        <v>277.16699999999997</v>
      </c>
      <c r="E254" s="41">
        <v>829.952</v>
      </c>
      <c r="F254" s="35">
        <v>1239</v>
      </c>
      <c r="G254" s="35">
        <v>75</v>
      </c>
      <c r="H254" s="43">
        <v>600</v>
      </c>
      <c r="I254" s="35">
        <v>695</v>
      </c>
      <c r="J254" s="35">
        <v>0</v>
      </c>
      <c r="K254" s="36"/>
      <c r="L254" s="36"/>
      <c r="M254" s="36"/>
      <c r="N254" s="36"/>
      <c r="O254" s="36"/>
      <c r="P254" s="36"/>
      <c r="Q254" s="36"/>
      <c r="R254" s="36"/>
      <c r="S254" s="36"/>
      <c r="T254" s="36"/>
    </row>
    <row r="255" spans="1:20" ht="15.75">
      <c r="A255" s="13">
        <v>49249</v>
      </c>
      <c r="B255" s="44">
        <v>30</v>
      </c>
      <c r="C255" s="35">
        <v>122.58</v>
      </c>
      <c r="D255" s="35">
        <v>297.94099999999997</v>
      </c>
      <c r="E255" s="41">
        <v>729.47900000000004</v>
      </c>
      <c r="F255" s="35">
        <v>1150</v>
      </c>
      <c r="G255" s="35">
        <v>100</v>
      </c>
      <c r="H255" s="43">
        <v>600</v>
      </c>
      <c r="I255" s="35">
        <v>695</v>
      </c>
      <c r="J255" s="35">
        <v>50</v>
      </c>
      <c r="K255" s="36"/>
      <c r="L255" s="36"/>
      <c r="M255" s="36"/>
      <c r="N255" s="36"/>
      <c r="O255" s="36"/>
      <c r="P255" s="36"/>
      <c r="Q255" s="36"/>
      <c r="R255" s="36"/>
      <c r="S255" s="36"/>
      <c r="T255" s="36"/>
    </row>
    <row r="256" spans="1:20" ht="15.75">
      <c r="A256" s="13">
        <v>49279</v>
      </c>
      <c r="B256" s="44">
        <v>31</v>
      </c>
      <c r="C256" s="35">
        <v>122.58</v>
      </c>
      <c r="D256" s="35">
        <v>297.94099999999997</v>
      </c>
      <c r="E256" s="41">
        <v>729.47900000000004</v>
      </c>
      <c r="F256" s="35">
        <v>1150</v>
      </c>
      <c r="G256" s="35">
        <v>100</v>
      </c>
      <c r="H256" s="43">
        <v>600</v>
      </c>
      <c r="I256" s="35">
        <v>695</v>
      </c>
      <c r="J256" s="35">
        <v>50</v>
      </c>
      <c r="K256" s="36"/>
      <c r="L256" s="36"/>
      <c r="M256" s="36"/>
      <c r="N256" s="36"/>
      <c r="O256" s="36"/>
      <c r="P256" s="36"/>
      <c r="Q256" s="36"/>
      <c r="R256" s="36"/>
      <c r="S256" s="36"/>
      <c r="T256" s="36"/>
    </row>
    <row r="257" spans="1:20" ht="15.75">
      <c r="A257" s="13">
        <v>49310</v>
      </c>
      <c r="B257" s="44">
        <v>31</v>
      </c>
      <c r="C257" s="35">
        <v>122.58</v>
      </c>
      <c r="D257" s="35">
        <v>297.94099999999997</v>
      </c>
      <c r="E257" s="41">
        <v>729.47900000000004</v>
      </c>
      <c r="F257" s="35">
        <v>1150</v>
      </c>
      <c r="G257" s="35">
        <v>100</v>
      </c>
      <c r="H257" s="43">
        <v>600</v>
      </c>
      <c r="I257" s="35">
        <v>695</v>
      </c>
      <c r="J257" s="35">
        <v>50</v>
      </c>
      <c r="K257" s="36"/>
      <c r="L257" s="36"/>
      <c r="M257" s="36"/>
      <c r="N257" s="36"/>
      <c r="O257" s="36"/>
      <c r="P257" s="36"/>
      <c r="Q257" s="36"/>
      <c r="R257" s="36"/>
      <c r="S257" s="36"/>
      <c r="T257" s="36"/>
    </row>
    <row r="258" spans="1:20" ht="15.75">
      <c r="A258" s="13">
        <v>49341</v>
      </c>
      <c r="B258" s="44">
        <v>28</v>
      </c>
      <c r="C258" s="35">
        <v>122.58</v>
      </c>
      <c r="D258" s="35">
        <v>297.94099999999997</v>
      </c>
      <c r="E258" s="41">
        <v>729.47900000000004</v>
      </c>
      <c r="F258" s="35">
        <v>1150</v>
      </c>
      <c r="G258" s="35">
        <v>100</v>
      </c>
      <c r="H258" s="43">
        <v>600</v>
      </c>
      <c r="I258" s="35">
        <v>695</v>
      </c>
      <c r="J258" s="35">
        <v>50</v>
      </c>
      <c r="K258" s="36"/>
      <c r="L258" s="36"/>
      <c r="M258" s="36"/>
      <c r="N258" s="36"/>
      <c r="O258" s="36"/>
      <c r="P258" s="36"/>
      <c r="Q258" s="36"/>
      <c r="R258" s="36"/>
      <c r="S258" s="36"/>
      <c r="T258" s="36"/>
    </row>
    <row r="259" spans="1:20" ht="15.75">
      <c r="A259" s="13">
        <v>49369</v>
      </c>
      <c r="B259" s="44">
        <v>31</v>
      </c>
      <c r="C259" s="35">
        <v>122.58</v>
      </c>
      <c r="D259" s="35">
        <v>297.94099999999997</v>
      </c>
      <c r="E259" s="41">
        <v>729.47900000000004</v>
      </c>
      <c r="F259" s="35">
        <v>1150</v>
      </c>
      <c r="G259" s="35">
        <v>100</v>
      </c>
      <c r="H259" s="43">
        <v>600</v>
      </c>
      <c r="I259" s="35">
        <v>695</v>
      </c>
      <c r="J259" s="35">
        <v>50</v>
      </c>
      <c r="K259" s="36"/>
      <c r="L259" s="36"/>
      <c r="M259" s="36"/>
      <c r="N259" s="36"/>
      <c r="O259" s="36"/>
      <c r="P259" s="36"/>
      <c r="Q259" s="36"/>
      <c r="R259" s="36"/>
      <c r="S259" s="36"/>
      <c r="T259" s="36"/>
    </row>
    <row r="260" spans="1:20" ht="15.75">
      <c r="A260" s="13">
        <v>49400</v>
      </c>
      <c r="B260" s="44">
        <v>30</v>
      </c>
      <c r="C260" s="35">
        <v>141.29300000000001</v>
      </c>
      <c r="D260" s="35">
        <v>267.99299999999999</v>
      </c>
      <c r="E260" s="41">
        <v>829.71400000000006</v>
      </c>
      <c r="F260" s="35">
        <v>1239</v>
      </c>
      <c r="G260" s="35">
        <v>100</v>
      </c>
      <c r="H260" s="43">
        <v>600</v>
      </c>
      <c r="I260" s="35">
        <v>695</v>
      </c>
      <c r="J260" s="35">
        <v>50</v>
      </c>
      <c r="K260" s="36"/>
      <c r="L260" s="36"/>
      <c r="M260" s="36"/>
      <c r="N260" s="36"/>
      <c r="O260" s="36"/>
      <c r="P260" s="36"/>
      <c r="Q260" s="36"/>
      <c r="R260" s="36"/>
      <c r="S260" s="36"/>
      <c r="T260" s="36"/>
    </row>
    <row r="261" spans="1:20" ht="15.75">
      <c r="A261" s="13">
        <v>49430</v>
      </c>
      <c r="B261" s="44">
        <v>31</v>
      </c>
      <c r="C261" s="35">
        <v>194.20500000000001</v>
      </c>
      <c r="D261" s="35">
        <v>267.46600000000001</v>
      </c>
      <c r="E261" s="41">
        <v>812.32899999999995</v>
      </c>
      <c r="F261" s="35">
        <v>1274</v>
      </c>
      <c r="G261" s="35">
        <v>75</v>
      </c>
      <c r="H261" s="43">
        <v>600</v>
      </c>
      <c r="I261" s="35">
        <v>695</v>
      </c>
      <c r="J261" s="35">
        <v>50</v>
      </c>
      <c r="K261" s="36"/>
      <c r="L261" s="36"/>
      <c r="M261" s="36"/>
      <c r="N261" s="36"/>
      <c r="O261" s="36"/>
      <c r="P261" s="36"/>
      <c r="Q261" s="36"/>
      <c r="R261" s="36"/>
      <c r="S261" s="36"/>
      <c r="T261" s="36"/>
    </row>
    <row r="262" spans="1:20" ht="15.75">
      <c r="A262" s="14">
        <v>49461</v>
      </c>
      <c r="B262" s="44">
        <v>30</v>
      </c>
      <c r="C262" s="35">
        <v>194.20500000000001</v>
      </c>
      <c r="D262" s="35">
        <v>267.46600000000001</v>
      </c>
      <c r="E262" s="41">
        <v>812.32899999999995</v>
      </c>
      <c r="F262" s="35">
        <v>1274</v>
      </c>
      <c r="G262" s="35">
        <v>50</v>
      </c>
      <c r="H262" s="43">
        <v>600</v>
      </c>
      <c r="I262" s="35">
        <v>695</v>
      </c>
      <c r="J262" s="35">
        <v>50</v>
      </c>
      <c r="K262" s="36"/>
      <c r="L262" s="36"/>
      <c r="M262" s="36"/>
      <c r="N262" s="36"/>
      <c r="O262" s="36"/>
      <c r="P262" s="36"/>
      <c r="Q262" s="36"/>
      <c r="R262" s="36"/>
      <c r="S262" s="36"/>
      <c r="T262" s="36"/>
    </row>
    <row r="263" spans="1:20" ht="15.75">
      <c r="A263" s="14">
        <v>49491</v>
      </c>
      <c r="B263" s="44">
        <v>31</v>
      </c>
      <c r="C263" s="35">
        <v>194.20500000000001</v>
      </c>
      <c r="D263" s="35">
        <v>267.46600000000001</v>
      </c>
      <c r="E263" s="41">
        <v>812.32899999999995</v>
      </c>
      <c r="F263" s="35">
        <v>1274</v>
      </c>
      <c r="G263" s="35">
        <v>50</v>
      </c>
      <c r="H263" s="43">
        <v>600</v>
      </c>
      <c r="I263" s="35">
        <v>695</v>
      </c>
      <c r="J263" s="35">
        <v>0</v>
      </c>
      <c r="K263" s="36"/>
      <c r="L263" s="36"/>
      <c r="M263" s="36"/>
      <c r="N263" s="36"/>
      <c r="O263" s="36"/>
      <c r="P263" s="36"/>
      <c r="Q263" s="36"/>
      <c r="R263" s="36"/>
      <c r="S263" s="36"/>
      <c r="T263" s="36"/>
    </row>
    <row r="264" spans="1:20" ht="15.75">
      <c r="A264" s="14">
        <v>49522</v>
      </c>
      <c r="B264" s="44">
        <v>31</v>
      </c>
      <c r="C264" s="35">
        <v>194.20500000000001</v>
      </c>
      <c r="D264" s="35">
        <v>267.46600000000001</v>
      </c>
      <c r="E264" s="41">
        <v>812.32899999999995</v>
      </c>
      <c r="F264" s="35">
        <v>1274</v>
      </c>
      <c r="G264" s="35">
        <v>50</v>
      </c>
      <c r="H264" s="43">
        <v>600</v>
      </c>
      <c r="I264" s="35">
        <v>695</v>
      </c>
      <c r="J264" s="35">
        <v>0</v>
      </c>
      <c r="K264" s="36"/>
      <c r="L264" s="36"/>
      <c r="M264" s="36"/>
      <c r="N264" s="36"/>
      <c r="O264" s="36"/>
      <c r="P264" s="36"/>
      <c r="Q264" s="36"/>
      <c r="R264" s="36"/>
      <c r="S264" s="36"/>
      <c r="T264" s="36"/>
    </row>
    <row r="265" spans="1:20" ht="15.75">
      <c r="A265" s="14">
        <v>49553</v>
      </c>
      <c r="B265" s="44">
        <v>30</v>
      </c>
      <c r="C265" s="35">
        <v>194.20500000000001</v>
      </c>
      <c r="D265" s="35">
        <v>267.46600000000001</v>
      </c>
      <c r="E265" s="41">
        <v>812.32899999999995</v>
      </c>
      <c r="F265" s="35">
        <v>1274</v>
      </c>
      <c r="G265" s="35">
        <v>50</v>
      </c>
      <c r="H265" s="43">
        <v>600</v>
      </c>
      <c r="I265" s="35">
        <v>695</v>
      </c>
      <c r="J265" s="35">
        <v>0</v>
      </c>
      <c r="K265" s="36"/>
      <c r="L265" s="36"/>
      <c r="M265" s="36"/>
      <c r="N265" s="36"/>
      <c r="O265" s="36"/>
      <c r="P265" s="36"/>
      <c r="Q265" s="36"/>
      <c r="R265" s="36"/>
      <c r="S265" s="36"/>
      <c r="T265" s="36"/>
    </row>
    <row r="266" spans="1:20" ht="15.75">
      <c r="A266" s="14">
        <v>49583</v>
      </c>
      <c r="B266" s="44">
        <v>31</v>
      </c>
      <c r="C266" s="35">
        <v>131.881</v>
      </c>
      <c r="D266" s="35">
        <v>277.16699999999997</v>
      </c>
      <c r="E266" s="41">
        <v>829.952</v>
      </c>
      <c r="F266" s="35">
        <v>1239</v>
      </c>
      <c r="G266" s="35">
        <v>75</v>
      </c>
      <c r="H266" s="43">
        <v>600</v>
      </c>
      <c r="I266" s="35">
        <v>695</v>
      </c>
      <c r="J266" s="35">
        <v>0</v>
      </c>
      <c r="K266" s="36"/>
      <c r="L266" s="36"/>
      <c r="M266" s="36"/>
      <c r="N266" s="36"/>
      <c r="O266" s="36"/>
      <c r="P266" s="36"/>
      <c r="Q266" s="36"/>
      <c r="R266" s="36"/>
      <c r="S266" s="36"/>
      <c r="T266" s="36"/>
    </row>
    <row r="267" spans="1:20" ht="15.75">
      <c r="A267" s="14">
        <v>49614</v>
      </c>
      <c r="B267" s="44">
        <v>30</v>
      </c>
      <c r="C267" s="35">
        <v>122.58</v>
      </c>
      <c r="D267" s="35">
        <v>297.94099999999997</v>
      </c>
      <c r="E267" s="41">
        <v>729.47900000000004</v>
      </c>
      <c r="F267" s="35">
        <v>1150</v>
      </c>
      <c r="G267" s="35">
        <v>100</v>
      </c>
      <c r="H267" s="43">
        <v>600</v>
      </c>
      <c r="I267" s="35">
        <v>695</v>
      </c>
      <c r="J267" s="35">
        <v>50</v>
      </c>
      <c r="K267" s="36"/>
      <c r="L267" s="36"/>
      <c r="M267" s="36"/>
      <c r="N267" s="36"/>
      <c r="O267" s="36"/>
      <c r="P267" s="36"/>
      <c r="Q267" s="36"/>
      <c r="R267" s="36"/>
      <c r="S267" s="36"/>
      <c r="T267" s="36"/>
    </row>
    <row r="268" spans="1:20" ht="15.75">
      <c r="A268" s="14">
        <v>49644</v>
      </c>
      <c r="B268" s="44">
        <v>31</v>
      </c>
      <c r="C268" s="35">
        <v>122.58</v>
      </c>
      <c r="D268" s="35">
        <v>297.94099999999997</v>
      </c>
      <c r="E268" s="41">
        <v>729.47900000000004</v>
      </c>
      <c r="F268" s="35">
        <v>1150</v>
      </c>
      <c r="G268" s="35">
        <v>100</v>
      </c>
      <c r="H268" s="43">
        <v>600</v>
      </c>
      <c r="I268" s="35">
        <v>695</v>
      </c>
      <c r="J268" s="35">
        <v>50</v>
      </c>
      <c r="K268" s="36"/>
      <c r="L268" s="36"/>
      <c r="M268" s="36"/>
      <c r="N268" s="36"/>
      <c r="O268" s="36"/>
      <c r="P268" s="36"/>
      <c r="Q268" s="36"/>
      <c r="R268" s="36"/>
      <c r="S268" s="36"/>
      <c r="T268" s="36"/>
    </row>
    <row r="269" spans="1:20" ht="15.75">
      <c r="A269" s="14">
        <v>49675</v>
      </c>
      <c r="B269" s="44">
        <v>31</v>
      </c>
      <c r="C269" s="35">
        <v>122.58</v>
      </c>
      <c r="D269" s="35">
        <v>297.94099999999997</v>
      </c>
      <c r="E269" s="41">
        <v>729.47900000000004</v>
      </c>
      <c r="F269" s="35">
        <v>1150</v>
      </c>
      <c r="G269" s="35">
        <v>100</v>
      </c>
      <c r="H269" s="43">
        <v>600</v>
      </c>
      <c r="I269" s="35">
        <v>695</v>
      </c>
      <c r="J269" s="35">
        <v>50</v>
      </c>
      <c r="K269" s="36"/>
      <c r="L269" s="36"/>
      <c r="M269" s="36"/>
      <c r="N269" s="36"/>
      <c r="O269" s="36"/>
      <c r="P269" s="36"/>
      <c r="Q269" s="36"/>
      <c r="R269" s="36"/>
      <c r="S269" s="36"/>
      <c r="T269" s="36"/>
    </row>
    <row r="270" spans="1:20" ht="15.75">
      <c r="A270" s="14">
        <v>49706</v>
      </c>
      <c r="B270" s="44">
        <v>29</v>
      </c>
      <c r="C270" s="35">
        <v>122.58</v>
      </c>
      <c r="D270" s="35">
        <v>297.94099999999997</v>
      </c>
      <c r="E270" s="41">
        <v>729.47900000000004</v>
      </c>
      <c r="F270" s="35">
        <v>1150</v>
      </c>
      <c r="G270" s="35">
        <v>100</v>
      </c>
      <c r="H270" s="43">
        <v>600</v>
      </c>
      <c r="I270" s="35">
        <v>695</v>
      </c>
      <c r="J270" s="35">
        <v>50</v>
      </c>
      <c r="K270" s="36"/>
      <c r="L270" s="36"/>
      <c r="M270" s="36"/>
      <c r="N270" s="36"/>
      <c r="O270" s="36"/>
      <c r="P270" s="36"/>
      <c r="Q270" s="36"/>
      <c r="R270" s="36"/>
      <c r="S270" s="36"/>
      <c r="T270" s="36"/>
    </row>
    <row r="271" spans="1:20" ht="15.75">
      <c r="A271" s="14">
        <v>49735</v>
      </c>
      <c r="B271" s="44">
        <v>31</v>
      </c>
      <c r="C271" s="35">
        <v>122.58</v>
      </c>
      <c r="D271" s="35">
        <v>297.94099999999997</v>
      </c>
      <c r="E271" s="41">
        <v>729.47900000000004</v>
      </c>
      <c r="F271" s="35">
        <v>1150</v>
      </c>
      <c r="G271" s="35">
        <v>100</v>
      </c>
      <c r="H271" s="43">
        <v>600</v>
      </c>
      <c r="I271" s="35">
        <v>695</v>
      </c>
      <c r="J271" s="35">
        <v>50</v>
      </c>
      <c r="K271" s="36"/>
      <c r="L271" s="36"/>
      <c r="M271" s="36"/>
      <c r="N271" s="36"/>
      <c r="O271" s="36"/>
      <c r="P271" s="36"/>
      <c r="Q271" s="36"/>
      <c r="R271" s="36"/>
      <c r="S271" s="36"/>
      <c r="T271" s="36"/>
    </row>
    <row r="272" spans="1:20" ht="15.75">
      <c r="A272" s="14">
        <v>49766</v>
      </c>
      <c r="B272" s="44">
        <v>30</v>
      </c>
      <c r="C272" s="35">
        <v>141.29300000000001</v>
      </c>
      <c r="D272" s="35">
        <v>267.99299999999999</v>
      </c>
      <c r="E272" s="41">
        <v>829.71400000000006</v>
      </c>
      <c r="F272" s="35">
        <v>1239</v>
      </c>
      <c r="G272" s="35">
        <v>100</v>
      </c>
      <c r="H272" s="43">
        <v>600</v>
      </c>
      <c r="I272" s="35">
        <v>695</v>
      </c>
      <c r="J272" s="35">
        <v>50</v>
      </c>
      <c r="K272" s="36"/>
      <c r="L272" s="36"/>
      <c r="M272" s="36"/>
      <c r="N272" s="36"/>
      <c r="O272" s="36"/>
      <c r="P272" s="36"/>
      <c r="Q272" s="36"/>
      <c r="R272" s="36"/>
      <c r="S272" s="36"/>
      <c r="T272" s="36"/>
    </row>
    <row r="273" spans="1:20" ht="15.75">
      <c r="A273" s="14">
        <v>49796</v>
      </c>
      <c r="B273" s="44">
        <v>31</v>
      </c>
      <c r="C273" s="35">
        <v>194.20500000000001</v>
      </c>
      <c r="D273" s="35">
        <v>267.46600000000001</v>
      </c>
      <c r="E273" s="41">
        <v>812.32899999999995</v>
      </c>
      <c r="F273" s="35">
        <v>1274</v>
      </c>
      <c r="G273" s="35">
        <v>75</v>
      </c>
      <c r="H273" s="43">
        <v>600</v>
      </c>
      <c r="I273" s="35">
        <v>695</v>
      </c>
      <c r="J273" s="35">
        <v>50</v>
      </c>
      <c r="K273" s="36"/>
      <c r="L273" s="36"/>
      <c r="M273" s="36"/>
      <c r="N273" s="36"/>
      <c r="O273" s="36"/>
      <c r="P273" s="36"/>
      <c r="Q273" s="36"/>
      <c r="R273" s="36"/>
      <c r="S273" s="36"/>
      <c r="T273" s="36"/>
    </row>
    <row r="274" spans="1:20" ht="15.75">
      <c r="A274" s="14">
        <v>49827</v>
      </c>
      <c r="B274" s="44">
        <v>30</v>
      </c>
      <c r="C274" s="35">
        <v>194.20500000000001</v>
      </c>
      <c r="D274" s="35">
        <v>267.46600000000001</v>
      </c>
      <c r="E274" s="41">
        <v>812.32899999999995</v>
      </c>
      <c r="F274" s="35">
        <v>1274</v>
      </c>
      <c r="G274" s="35">
        <v>50</v>
      </c>
      <c r="H274" s="43">
        <v>600</v>
      </c>
      <c r="I274" s="35">
        <v>695</v>
      </c>
      <c r="J274" s="35">
        <v>50</v>
      </c>
      <c r="K274" s="36"/>
      <c r="L274" s="36"/>
      <c r="M274" s="36"/>
      <c r="N274" s="36"/>
      <c r="O274" s="36"/>
      <c r="P274" s="36"/>
      <c r="Q274" s="36"/>
      <c r="R274" s="36"/>
      <c r="S274" s="36"/>
      <c r="T274" s="36"/>
    </row>
    <row r="275" spans="1:20" ht="15.75">
      <c r="A275" s="14">
        <v>49857</v>
      </c>
      <c r="B275" s="44">
        <v>31</v>
      </c>
      <c r="C275" s="35">
        <v>194.20500000000001</v>
      </c>
      <c r="D275" s="35">
        <v>267.46600000000001</v>
      </c>
      <c r="E275" s="41">
        <v>812.32899999999995</v>
      </c>
      <c r="F275" s="35">
        <v>1274</v>
      </c>
      <c r="G275" s="35">
        <v>50</v>
      </c>
      <c r="H275" s="43">
        <v>600</v>
      </c>
      <c r="I275" s="35">
        <v>695</v>
      </c>
      <c r="J275" s="35">
        <v>0</v>
      </c>
      <c r="K275" s="36"/>
      <c r="L275" s="36"/>
      <c r="M275" s="36"/>
      <c r="N275" s="36"/>
      <c r="O275" s="36"/>
      <c r="P275" s="36"/>
      <c r="Q275" s="36"/>
      <c r="R275" s="36"/>
      <c r="S275" s="36"/>
      <c r="T275" s="36"/>
    </row>
    <row r="276" spans="1:20" ht="15.75">
      <c r="A276" s="14">
        <v>49888</v>
      </c>
      <c r="B276" s="44">
        <v>31</v>
      </c>
      <c r="C276" s="35">
        <v>194.20500000000001</v>
      </c>
      <c r="D276" s="35">
        <v>267.46600000000001</v>
      </c>
      <c r="E276" s="41">
        <v>812.32899999999995</v>
      </c>
      <c r="F276" s="35">
        <v>1274</v>
      </c>
      <c r="G276" s="35">
        <v>50</v>
      </c>
      <c r="H276" s="43">
        <v>600</v>
      </c>
      <c r="I276" s="35">
        <v>695</v>
      </c>
      <c r="J276" s="35">
        <v>0</v>
      </c>
      <c r="K276" s="36"/>
      <c r="L276" s="36"/>
      <c r="M276" s="36"/>
      <c r="N276" s="36"/>
      <c r="O276" s="36"/>
      <c r="P276" s="36"/>
      <c r="Q276" s="36"/>
      <c r="R276" s="36"/>
      <c r="S276" s="36"/>
      <c r="T276" s="36"/>
    </row>
    <row r="277" spans="1:20" ht="15.75">
      <c r="A277" s="14">
        <v>49919</v>
      </c>
      <c r="B277" s="44">
        <v>30</v>
      </c>
      <c r="C277" s="35">
        <v>194.20500000000001</v>
      </c>
      <c r="D277" s="35">
        <v>267.46600000000001</v>
      </c>
      <c r="E277" s="41">
        <v>812.32899999999995</v>
      </c>
      <c r="F277" s="35">
        <v>1274</v>
      </c>
      <c r="G277" s="35">
        <v>50</v>
      </c>
      <c r="H277" s="43">
        <v>600</v>
      </c>
      <c r="I277" s="35">
        <v>695</v>
      </c>
      <c r="J277" s="35">
        <v>0</v>
      </c>
      <c r="K277" s="36"/>
      <c r="L277" s="36"/>
      <c r="M277" s="36"/>
      <c r="N277" s="36"/>
      <c r="O277" s="36"/>
      <c r="P277" s="36"/>
      <c r="Q277" s="36"/>
      <c r="R277" s="36"/>
      <c r="S277" s="36"/>
      <c r="T277" s="36"/>
    </row>
    <row r="278" spans="1:20" ht="15.75">
      <c r="A278" s="14">
        <v>49949</v>
      </c>
      <c r="B278" s="44">
        <v>31</v>
      </c>
      <c r="C278" s="35">
        <v>131.881</v>
      </c>
      <c r="D278" s="35">
        <v>277.16699999999997</v>
      </c>
      <c r="E278" s="41">
        <v>829.952</v>
      </c>
      <c r="F278" s="35">
        <v>1239</v>
      </c>
      <c r="G278" s="35">
        <v>75</v>
      </c>
      <c r="H278" s="43">
        <v>600</v>
      </c>
      <c r="I278" s="35">
        <v>695</v>
      </c>
      <c r="J278" s="35">
        <v>0</v>
      </c>
      <c r="K278" s="36"/>
      <c r="L278" s="36"/>
      <c r="M278" s="36"/>
      <c r="N278" s="36"/>
      <c r="O278" s="36"/>
      <c r="P278" s="36"/>
      <c r="Q278" s="36"/>
      <c r="R278" s="36"/>
      <c r="S278" s="36"/>
      <c r="T278" s="36"/>
    </row>
    <row r="279" spans="1:20" ht="15.75">
      <c r="A279" s="14">
        <v>49980</v>
      </c>
      <c r="B279" s="44">
        <v>30</v>
      </c>
      <c r="C279" s="35">
        <v>122.58</v>
      </c>
      <c r="D279" s="35">
        <v>297.94099999999997</v>
      </c>
      <c r="E279" s="41">
        <v>729.47900000000004</v>
      </c>
      <c r="F279" s="35">
        <v>1150</v>
      </c>
      <c r="G279" s="35">
        <v>100</v>
      </c>
      <c r="H279" s="43">
        <v>600</v>
      </c>
      <c r="I279" s="35">
        <v>695</v>
      </c>
      <c r="J279" s="35">
        <v>50</v>
      </c>
      <c r="K279" s="36"/>
      <c r="L279" s="36"/>
      <c r="M279" s="36"/>
      <c r="N279" s="36"/>
      <c r="O279" s="36"/>
      <c r="P279" s="36"/>
      <c r="Q279" s="36"/>
      <c r="R279" s="36"/>
      <c r="S279" s="36"/>
      <c r="T279" s="36"/>
    </row>
    <row r="280" spans="1:20" ht="15.75">
      <c r="A280" s="14">
        <v>50010</v>
      </c>
      <c r="B280" s="44">
        <v>31</v>
      </c>
      <c r="C280" s="35">
        <v>122.58</v>
      </c>
      <c r="D280" s="35">
        <v>297.94099999999997</v>
      </c>
      <c r="E280" s="41">
        <v>729.47900000000004</v>
      </c>
      <c r="F280" s="35">
        <v>1150</v>
      </c>
      <c r="G280" s="35">
        <v>100</v>
      </c>
      <c r="H280" s="43">
        <v>600</v>
      </c>
      <c r="I280" s="35">
        <v>695</v>
      </c>
      <c r="J280" s="35">
        <v>50</v>
      </c>
      <c r="K280" s="36"/>
      <c r="L280" s="36"/>
      <c r="M280" s="36"/>
      <c r="N280" s="36"/>
      <c r="O280" s="36"/>
      <c r="P280" s="36"/>
      <c r="Q280" s="36"/>
      <c r="R280" s="36"/>
      <c r="S280" s="36"/>
      <c r="T280" s="36"/>
    </row>
    <row r="281" spans="1:20" ht="15.75">
      <c r="A281" s="14">
        <v>50041</v>
      </c>
      <c r="B281" s="44">
        <v>31</v>
      </c>
      <c r="C281" s="35">
        <v>122.58</v>
      </c>
      <c r="D281" s="35">
        <v>297.94099999999997</v>
      </c>
      <c r="E281" s="41">
        <v>729.47900000000004</v>
      </c>
      <c r="F281" s="35">
        <v>1150</v>
      </c>
      <c r="G281" s="35">
        <v>100</v>
      </c>
      <c r="H281" s="43">
        <v>600</v>
      </c>
      <c r="I281" s="35">
        <v>695</v>
      </c>
      <c r="J281" s="35">
        <v>50</v>
      </c>
      <c r="K281" s="36"/>
      <c r="L281" s="36"/>
      <c r="M281" s="36"/>
      <c r="N281" s="36"/>
      <c r="O281" s="36"/>
      <c r="P281" s="36"/>
      <c r="Q281" s="36"/>
      <c r="R281" s="36"/>
      <c r="S281" s="36"/>
      <c r="T281" s="36"/>
    </row>
    <row r="282" spans="1:20" ht="15.75">
      <c r="A282" s="14">
        <v>50072</v>
      </c>
      <c r="B282" s="44">
        <v>28</v>
      </c>
      <c r="C282" s="35">
        <v>122.58</v>
      </c>
      <c r="D282" s="35">
        <v>297.94099999999997</v>
      </c>
      <c r="E282" s="41">
        <v>729.47900000000004</v>
      </c>
      <c r="F282" s="35">
        <v>1150</v>
      </c>
      <c r="G282" s="35">
        <v>100</v>
      </c>
      <c r="H282" s="43">
        <v>600</v>
      </c>
      <c r="I282" s="35">
        <v>695</v>
      </c>
      <c r="J282" s="35">
        <v>50</v>
      </c>
      <c r="K282" s="36"/>
      <c r="L282" s="36"/>
      <c r="M282" s="36"/>
      <c r="N282" s="36"/>
      <c r="O282" s="36"/>
      <c r="P282" s="36"/>
      <c r="Q282" s="36"/>
      <c r="R282" s="36"/>
      <c r="S282" s="36"/>
      <c r="T282" s="36"/>
    </row>
    <row r="283" spans="1:20" ht="15.75">
      <c r="A283" s="14">
        <v>50100</v>
      </c>
      <c r="B283" s="44">
        <v>31</v>
      </c>
      <c r="C283" s="35">
        <v>122.58</v>
      </c>
      <c r="D283" s="35">
        <v>297.94099999999997</v>
      </c>
      <c r="E283" s="41">
        <v>729.47900000000004</v>
      </c>
      <c r="F283" s="35">
        <v>1150</v>
      </c>
      <c r="G283" s="35">
        <v>100</v>
      </c>
      <c r="H283" s="43">
        <v>600</v>
      </c>
      <c r="I283" s="35">
        <v>695</v>
      </c>
      <c r="J283" s="35">
        <v>50</v>
      </c>
      <c r="K283" s="36"/>
      <c r="L283" s="36"/>
      <c r="M283" s="36"/>
      <c r="N283" s="36"/>
      <c r="O283" s="36"/>
      <c r="P283" s="36"/>
      <c r="Q283" s="36"/>
      <c r="R283" s="36"/>
      <c r="S283" s="36"/>
      <c r="T283" s="36"/>
    </row>
    <row r="284" spans="1:20" ht="15.75">
      <c r="A284" s="14">
        <v>50131</v>
      </c>
      <c r="B284" s="44">
        <v>30</v>
      </c>
      <c r="C284" s="35">
        <v>141.29300000000001</v>
      </c>
      <c r="D284" s="35">
        <v>267.99299999999999</v>
      </c>
      <c r="E284" s="41">
        <v>829.71400000000006</v>
      </c>
      <c r="F284" s="35">
        <v>1239</v>
      </c>
      <c r="G284" s="35">
        <v>100</v>
      </c>
      <c r="H284" s="43">
        <v>600</v>
      </c>
      <c r="I284" s="35">
        <v>695</v>
      </c>
      <c r="J284" s="35">
        <v>50</v>
      </c>
      <c r="K284" s="36"/>
      <c r="L284" s="36"/>
      <c r="M284" s="36"/>
      <c r="N284" s="36"/>
      <c r="O284" s="36"/>
      <c r="P284" s="36"/>
      <c r="Q284" s="36"/>
      <c r="R284" s="36"/>
      <c r="S284" s="36"/>
      <c r="T284" s="36"/>
    </row>
    <row r="285" spans="1:20" ht="15.75">
      <c r="A285" s="14">
        <v>50161</v>
      </c>
      <c r="B285" s="44">
        <v>31</v>
      </c>
      <c r="C285" s="35">
        <v>194.20500000000001</v>
      </c>
      <c r="D285" s="35">
        <v>267.46600000000001</v>
      </c>
      <c r="E285" s="41">
        <v>812.32899999999995</v>
      </c>
      <c r="F285" s="35">
        <v>1274</v>
      </c>
      <c r="G285" s="35">
        <v>75</v>
      </c>
      <c r="H285" s="43">
        <v>600</v>
      </c>
      <c r="I285" s="35">
        <v>695</v>
      </c>
      <c r="J285" s="35">
        <v>50</v>
      </c>
      <c r="K285" s="36"/>
      <c r="L285" s="36"/>
      <c r="M285" s="36"/>
      <c r="N285" s="36"/>
      <c r="O285" s="36"/>
      <c r="P285" s="36"/>
      <c r="Q285" s="36"/>
      <c r="R285" s="36"/>
      <c r="S285" s="36"/>
      <c r="T285" s="36"/>
    </row>
    <row r="286" spans="1:20" ht="15.75">
      <c r="A286" s="14">
        <v>50192</v>
      </c>
      <c r="B286" s="44">
        <v>30</v>
      </c>
      <c r="C286" s="35">
        <v>194.20500000000001</v>
      </c>
      <c r="D286" s="35">
        <v>267.46600000000001</v>
      </c>
      <c r="E286" s="41">
        <v>812.32899999999995</v>
      </c>
      <c r="F286" s="35">
        <v>1274</v>
      </c>
      <c r="G286" s="35">
        <v>50</v>
      </c>
      <c r="H286" s="43">
        <v>600</v>
      </c>
      <c r="I286" s="35">
        <v>695</v>
      </c>
      <c r="J286" s="35">
        <v>50</v>
      </c>
      <c r="K286" s="36"/>
      <c r="L286" s="36"/>
      <c r="M286" s="36"/>
      <c r="N286" s="36"/>
      <c r="O286" s="36"/>
      <c r="P286" s="36"/>
      <c r="Q286" s="36"/>
      <c r="R286" s="36"/>
      <c r="S286" s="36"/>
      <c r="T286" s="36"/>
    </row>
    <row r="287" spans="1:20" ht="15.75">
      <c r="A287" s="14">
        <v>50222</v>
      </c>
      <c r="B287" s="44">
        <v>31</v>
      </c>
      <c r="C287" s="35">
        <v>194.20500000000001</v>
      </c>
      <c r="D287" s="35">
        <v>267.46600000000001</v>
      </c>
      <c r="E287" s="41">
        <v>812.32899999999995</v>
      </c>
      <c r="F287" s="35">
        <v>1274</v>
      </c>
      <c r="G287" s="35">
        <v>50</v>
      </c>
      <c r="H287" s="43">
        <v>600</v>
      </c>
      <c r="I287" s="35">
        <v>695</v>
      </c>
      <c r="J287" s="35">
        <v>0</v>
      </c>
      <c r="K287" s="36"/>
      <c r="L287" s="36"/>
      <c r="M287" s="36"/>
      <c r="N287" s="36"/>
      <c r="O287" s="36"/>
      <c r="P287" s="36"/>
      <c r="Q287" s="36"/>
      <c r="R287" s="36"/>
      <c r="S287" s="36"/>
      <c r="T287" s="36"/>
    </row>
    <row r="288" spans="1:20" ht="15.75">
      <c r="A288" s="14">
        <v>50253</v>
      </c>
      <c r="B288" s="44">
        <v>31</v>
      </c>
      <c r="C288" s="35">
        <v>194.20500000000001</v>
      </c>
      <c r="D288" s="35">
        <v>267.46600000000001</v>
      </c>
      <c r="E288" s="41">
        <v>812.32899999999995</v>
      </c>
      <c r="F288" s="35">
        <v>1274</v>
      </c>
      <c r="G288" s="35">
        <v>50</v>
      </c>
      <c r="H288" s="43">
        <v>600</v>
      </c>
      <c r="I288" s="35">
        <v>695</v>
      </c>
      <c r="J288" s="35">
        <v>0</v>
      </c>
      <c r="K288" s="36"/>
      <c r="L288" s="36"/>
      <c r="M288" s="36"/>
      <c r="N288" s="36"/>
      <c r="O288" s="36"/>
      <c r="P288" s="36"/>
      <c r="Q288" s="36"/>
      <c r="R288" s="36"/>
      <c r="S288" s="36"/>
      <c r="T288" s="36"/>
    </row>
    <row r="289" spans="1:20" ht="15.75">
      <c r="A289" s="14">
        <v>50284</v>
      </c>
      <c r="B289" s="44">
        <v>30</v>
      </c>
      <c r="C289" s="35">
        <v>194.20500000000001</v>
      </c>
      <c r="D289" s="35">
        <v>267.46600000000001</v>
      </c>
      <c r="E289" s="41">
        <v>812.32899999999995</v>
      </c>
      <c r="F289" s="35">
        <v>1274</v>
      </c>
      <c r="G289" s="35">
        <v>50</v>
      </c>
      <c r="H289" s="43">
        <v>600</v>
      </c>
      <c r="I289" s="35">
        <v>695</v>
      </c>
      <c r="J289" s="35">
        <v>0</v>
      </c>
      <c r="K289" s="36"/>
      <c r="L289" s="36"/>
      <c r="M289" s="36"/>
      <c r="N289" s="36"/>
      <c r="O289" s="36"/>
      <c r="P289" s="36"/>
      <c r="Q289" s="36"/>
      <c r="R289" s="36"/>
      <c r="S289" s="36"/>
      <c r="T289" s="36"/>
    </row>
    <row r="290" spans="1:20" ht="15.75">
      <c r="A290" s="14">
        <v>50314</v>
      </c>
      <c r="B290" s="44">
        <v>31</v>
      </c>
      <c r="C290" s="35">
        <v>131.881</v>
      </c>
      <c r="D290" s="35">
        <v>277.16699999999997</v>
      </c>
      <c r="E290" s="41">
        <v>829.952</v>
      </c>
      <c r="F290" s="35">
        <v>1239</v>
      </c>
      <c r="G290" s="35">
        <v>75</v>
      </c>
      <c r="H290" s="43">
        <v>600</v>
      </c>
      <c r="I290" s="35">
        <v>695</v>
      </c>
      <c r="J290" s="35">
        <v>0</v>
      </c>
      <c r="K290" s="36"/>
      <c r="L290" s="36"/>
      <c r="M290" s="36"/>
      <c r="N290" s="36"/>
      <c r="O290" s="36"/>
      <c r="P290" s="36"/>
      <c r="Q290" s="36"/>
      <c r="R290" s="36"/>
      <c r="S290" s="36"/>
      <c r="T290" s="36"/>
    </row>
    <row r="291" spans="1:20" ht="15.75">
      <c r="A291" s="14">
        <v>50345</v>
      </c>
      <c r="B291" s="44">
        <v>30</v>
      </c>
      <c r="C291" s="35">
        <v>122.58</v>
      </c>
      <c r="D291" s="35">
        <v>297.94099999999997</v>
      </c>
      <c r="E291" s="41">
        <v>729.47900000000004</v>
      </c>
      <c r="F291" s="35">
        <v>1150</v>
      </c>
      <c r="G291" s="35">
        <v>100</v>
      </c>
      <c r="H291" s="43">
        <v>600</v>
      </c>
      <c r="I291" s="35">
        <v>695</v>
      </c>
      <c r="J291" s="35">
        <v>50</v>
      </c>
      <c r="K291" s="36"/>
      <c r="L291" s="36"/>
      <c r="M291" s="36"/>
      <c r="N291" s="36"/>
      <c r="O291" s="36"/>
      <c r="P291" s="36"/>
      <c r="Q291" s="36"/>
      <c r="R291" s="36"/>
      <c r="S291" s="36"/>
      <c r="T291" s="36"/>
    </row>
    <row r="292" spans="1:20" ht="15.75">
      <c r="A292" s="14">
        <v>50375</v>
      </c>
      <c r="B292" s="44">
        <v>31</v>
      </c>
      <c r="C292" s="35">
        <v>122.58</v>
      </c>
      <c r="D292" s="35">
        <v>297.94099999999997</v>
      </c>
      <c r="E292" s="41">
        <v>729.47900000000004</v>
      </c>
      <c r="F292" s="35">
        <v>1150</v>
      </c>
      <c r="G292" s="35">
        <v>100</v>
      </c>
      <c r="H292" s="43">
        <v>600</v>
      </c>
      <c r="I292" s="35">
        <v>695</v>
      </c>
      <c r="J292" s="35">
        <v>50</v>
      </c>
      <c r="K292" s="36"/>
      <c r="L292" s="36"/>
      <c r="M292" s="36"/>
      <c r="N292" s="36"/>
      <c r="O292" s="36"/>
      <c r="P292" s="36"/>
      <c r="Q292" s="36"/>
      <c r="R292" s="36"/>
      <c r="S292" s="36"/>
      <c r="T292" s="36"/>
    </row>
    <row r="293" spans="1:20" ht="15.75">
      <c r="A293" s="13">
        <v>50436</v>
      </c>
      <c r="B293" s="44">
        <v>31</v>
      </c>
      <c r="C293" s="35">
        <v>122.58</v>
      </c>
      <c r="D293" s="35">
        <v>297.94099999999997</v>
      </c>
      <c r="E293" s="41">
        <v>729.47900000000004</v>
      </c>
      <c r="F293" s="35">
        <v>1150</v>
      </c>
      <c r="G293" s="35">
        <v>100</v>
      </c>
      <c r="H293" s="43">
        <v>600</v>
      </c>
      <c r="I293" s="35">
        <v>695</v>
      </c>
      <c r="J293" s="35">
        <v>50</v>
      </c>
      <c r="K293" s="36"/>
      <c r="L293" s="36"/>
      <c r="M293" s="36"/>
      <c r="N293" s="36"/>
      <c r="O293" s="36"/>
      <c r="P293" s="36"/>
      <c r="Q293" s="36"/>
      <c r="R293" s="36"/>
      <c r="S293" s="36"/>
      <c r="T293" s="36"/>
    </row>
    <row r="294" spans="1:20" ht="15.75">
      <c r="A294" s="13">
        <v>50464</v>
      </c>
      <c r="B294" s="44">
        <v>28</v>
      </c>
      <c r="C294" s="35">
        <v>122.58</v>
      </c>
      <c r="D294" s="35">
        <v>297.94099999999997</v>
      </c>
      <c r="E294" s="41">
        <v>729.47900000000004</v>
      </c>
      <c r="F294" s="35">
        <v>1150</v>
      </c>
      <c r="G294" s="35">
        <v>100</v>
      </c>
      <c r="H294" s="43">
        <v>600</v>
      </c>
      <c r="I294" s="35">
        <v>695</v>
      </c>
      <c r="J294" s="35">
        <v>50</v>
      </c>
      <c r="K294" s="36"/>
      <c r="L294" s="36"/>
      <c r="M294" s="36"/>
      <c r="N294" s="36"/>
      <c r="O294" s="36"/>
      <c r="P294" s="36"/>
      <c r="Q294" s="36"/>
      <c r="R294" s="36"/>
      <c r="S294" s="36"/>
      <c r="T294" s="36"/>
    </row>
    <row r="295" spans="1:20" ht="15.75">
      <c r="A295" s="13">
        <v>50495</v>
      </c>
      <c r="B295" s="44">
        <v>31</v>
      </c>
      <c r="C295" s="35">
        <v>122.58</v>
      </c>
      <c r="D295" s="35">
        <v>297.94099999999997</v>
      </c>
      <c r="E295" s="41">
        <v>729.47900000000004</v>
      </c>
      <c r="F295" s="35">
        <v>1150</v>
      </c>
      <c r="G295" s="35">
        <v>100</v>
      </c>
      <c r="H295" s="43">
        <v>600</v>
      </c>
      <c r="I295" s="35">
        <v>695</v>
      </c>
      <c r="J295" s="35">
        <v>50</v>
      </c>
      <c r="K295" s="36"/>
      <c r="L295" s="36"/>
      <c r="M295" s="36"/>
      <c r="N295" s="36"/>
      <c r="O295" s="36"/>
      <c r="P295" s="36"/>
      <c r="Q295" s="36"/>
      <c r="R295" s="36"/>
      <c r="S295" s="36"/>
      <c r="T295" s="36"/>
    </row>
    <row r="296" spans="1:20" ht="15.75">
      <c r="A296" s="13">
        <v>50525</v>
      </c>
      <c r="B296" s="44">
        <v>30</v>
      </c>
      <c r="C296" s="35">
        <v>141.29300000000001</v>
      </c>
      <c r="D296" s="35">
        <v>267.99299999999999</v>
      </c>
      <c r="E296" s="41">
        <v>829.71400000000006</v>
      </c>
      <c r="F296" s="35">
        <v>1239</v>
      </c>
      <c r="G296" s="35">
        <v>100</v>
      </c>
      <c r="H296" s="43">
        <v>600</v>
      </c>
      <c r="I296" s="35">
        <v>695</v>
      </c>
      <c r="J296" s="35">
        <v>50</v>
      </c>
      <c r="K296" s="36"/>
      <c r="L296" s="36"/>
      <c r="M296" s="36"/>
      <c r="N296" s="36"/>
      <c r="O296" s="36"/>
      <c r="P296" s="36"/>
      <c r="Q296" s="36"/>
      <c r="R296" s="36"/>
      <c r="S296" s="36"/>
      <c r="T296" s="36"/>
    </row>
    <row r="297" spans="1:20" ht="15.75">
      <c r="A297" s="13">
        <v>50556</v>
      </c>
      <c r="B297" s="44">
        <v>31</v>
      </c>
      <c r="C297" s="35">
        <v>194.20500000000001</v>
      </c>
      <c r="D297" s="35">
        <v>267.46600000000001</v>
      </c>
      <c r="E297" s="41">
        <v>812.32899999999995</v>
      </c>
      <c r="F297" s="35">
        <v>1274</v>
      </c>
      <c r="G297" s="35">
        <v>75</v>
      </c>
      <c r="H297" s="43">
        <v>600</v>
      </c>
      <c r="I297" s="35">
        <v>695</v>
      </c>
      <c r="J297" s="35">
        <v>50</v>
      </c>
      <c r="K297" s="36"/>
      <c r="L297" s="36"/>
      <c r="M297" s="36"/>
      <c r="N297" s="36"/>
      <c r="O297" s="36"/>
      <c r="P297" s="36"/>
      <c r="Q297" s="36"/>
      <c r="R297" s="36"/>
      <c r="S297" s="36"/>
      <c r="T297" s="36"/>
    </row>
    <row r="298" spans="1:20" ht="15.75">
      <c r="A298" s="13">
        <v>50586</v>
      </c>
      <c r="B298" s="44">
        <v>30</v>
      </c>
      <c r="C298" s="35">
        <v>194.20500000000001</v>
      </c>
      <c r="D298" s="35">
        <v>267.46600000000001</v>
      </c>
      <c r="E298" s="41">
        <v>812.32899999999995</v>
      </c>
      <c r="F298" s="35">
        <v>1274</v>
      </c>
      <c r="G298" s="35">
        <v>50</v>
      </c>
      <c r="H298" s="43">
        <v>600</v>
      </c>
      <c r="I298" s="35">
        <v>695</v>
      </c>
      <c r="J298" s="35">
        <v>50</v>
      </c>
      <c r="K298" s="36"/>
      <c r="L298" s="36"/>
      <c r="M298" s="36"/>
      <c r="N298" s="36"/>
      <c r="O298" s="36"/>
      <c r="P298" s="36"/>
      <c r="Q298" s="36"/>
      <c r="R298" s="36"/>
      <c r="S298" s="36"/>
      <c r="T298" s="36"/>
    </row>
    <row r="299" spans="1:20" ht="15.75">
      <c r="A299" s="13">
        <v>50617</v>
      </c>
      <c r="B299" s="44">
        <v>31</v>
      </c>
      <c r="C299" s="35">
        <v>194.20500000000001</v>
      </c>
      <c r="D299" s="35">
        <v>267.46600000000001</v>
      </c>
      <c r="E299" s="41">
        <v>812.32899999999995</v>
      </c>
      <c r="F299" s="35">
        <v>1274</v>
      </c>
      <c r="G299" s="35">
        <v>50</v>
      </c>
      <c r="H299" s="43">
        <v>600</v>
      </c>
      <c r="I299" s="35">
        <v>695</v>
      </c>
      <c r="J299" s="35">
        <v>0</v>
      </c>
      <c r="K299" s="36"/>
      <c r="L299" s="36"/>
      <c r="M299" s="36"/>
      <c r="N299" s="36"/>
      <c r="O299" s="36"/>
      <c r="P299" s="36"/>
      <c r="Q299" s="36"/>
      <c r="R299" s="36"/>
      <c r="S299" s="36"/>
      <c r="T299" s="36"/>
    </row>
    <row r="300" spans="1:20" ht="15.75">
      <c r="A300" s="13">
        <v>50648</v>
      </c>
      <c r="B300" s="44">
        <v>31</v>
      </c>
      <c r="C300" s="35">
        <v>194.20500000000001</v>
      </c>
      <c r="D300" s="35">
        <v>267.46600000000001</v>
      </c>
      <c r="E300" s="41">
        <v>812.32899999999995</v>
      </c>
      <c r="F300" s="35">
        <v>1274</v>
      </c>
      <c r="G300" s="35">
        <v>50</v>
      </c>
      <c r="H300" s="43">
        <v>600</v>
      </c>
      <c r="I300" s="35">
        <v>695</v>
      </c>
      <c r="J300" s="35">
        <v>0</v>
      </c>
      <c r="K300" s="36"/>
      <c r="L300" s="36"/>
      <c r="M300" s="36"/>
      <c r="N300" s="36"/>
      <c r="O300" s="36"/>
      <c r="P300" s="36"/>
      <c r="Q300" s="36"/>
      <c r="R300" s="36"/>
      <c r="S300" s="36"/>
      <c r="T300" s="36"/>
    </row>
    <row r="301" spans="1:20" ht="15.75">
      <c r="A301" s="13">
        <v>50678</v>
      </c>
      <c r="B301" s="44">
        <v>30</v>
      </c>
      <c r="C301" s="35">
        <v>194.20500000000001</v>
      </c>
      <c r="D301" s="35">
        <v>267.46600000000001</v>
      </c>
      <c r="E301" s="41">
        <v>812.32899999999995</v>
      </c>
      <c r="F301" s="35">
        <v>1274</v>
      </c>
      <c r="G301" s="35">
        <v>50</v>
      </c>
      <c r="H301" s="43">
        <v>600</v>
      </c>
      <c r="I301" s="35">
        <v>695</v>
      </c>
      <c r="J301" s="35">
        <v>0</v>
      </c>
      <c r="K301" s="36"/>
      <c r="L301" s="36"/>
      <c r="M301" s="36"/>
      <c r="N301" s="36"/>
      <c r="O301" s="36"/>
      <c r="P301" s="36"/>
      <c r="Q301" s="36"/>
      <c r="R301" s="36"/>
      <c r="S301" s="36"/>
      <c r="T301" s="36"/>
    </row>
    <row r="302" spans="1:20" ht="15.75">
      <c r="A302" s="13">
        <v>50709</v>
      </c>
      <c r="B302" s="44">
        <v>31</v>
      </c>
      <c r="C302" s="35">
        <v>131.881</v>
      </c>
      <c r="D302" s="35">
        <v>277.16699999999997</v>
      </c>
      <c r="E302" s="41">
        <v>829.952</v>
      </c>
      <c r="F302" s="35">
        <v>1239</v>
      </c>
      <c r="G302" s="35">
        <v>75</v>
      </c>
      <c r="H302" s="43">
        <v>600</v>
      </c>
      <c r="I302" s="35">
        <v>695</v>
      </c>
      <c r="J302" s="35">
        <v>0</v>
      </c>
      <c r="K302" s="36"/>
      <c r="L302" s="36"/>
      <c r="M302" s="36"/>
      <c r="N302" s="36"/>
      <c r="O302" s="36"/>
      <c r="P302" s="36"/>
      <c r="Q302" s="36"/>
      <c r="R302" s="36"/>
      <c r="S302" s="36"/>
      <c r="T302" s="36"/>
    </row>
    <row r="303" spans="1:20" ht="15.75">
      <c r="A303" s="13">
        <v>50739</v>
      </c>
      <c r="B303" s="44">
        <v>30</v>
      </c>
      <c r="C303" s="35">
        <v>122.58</v>
      </c>
      <c r="D303" s="35">
        <v>297.94099999999997</v>
      </c>
      <c r="E303" s="41">
        <v>729.47900000000004</v>
      </c>
      <c r="F303" s="35">
        <v>1150</v>
      </c>
      <c r="G303" s="35">
        <v>100</v>
      </c>
      <c r="H303" s="43">
        <v>600</v>
      </c>
      <c r="I303" s="35">
        <v>695</v>
      </c>
      <c r="J303" s="35">
        <v>50</v>
      </c>
      <c r="K303" s="36"/>
      <c r="L303" s="36"/>
      <c r="M303" s="36"/>
      <c r="N303" s="36"/>
      <c r="O303" s="36"/>
      <c r="P303" s="36"/>
      <c r="Q303" s="36"/>
      <c r="R303" s="36"/>
      <c r="S303" s="36"/>
      <c r="T303" s="36"/>
    </row>
    <row r="304" spans="1:20" ht="15.75">
      <c r="A304" s="13">
        <v>50770</v>
      </c>
      <c r="B304" s="44">
        <v>31</v>
      </c>
      <c r="C304" s="35">
        <v>122.58</v>
      </c>
      <c r="D304" s="35">
        <v>297.94099999999997</v>
      </c>
      <c r="E304" s="41">
        <v>729.47900000000004</v>
      </c>
      <c r="F304" s="35">
        <v>1150</v>
      </c>
      <c r="G304" s="35">
        <v>100</v>
      </c>
      <c r="H304" s="43">
        <v>600</v>
      </c>
      <c r="I304" s="35">
        <v>695</v>
      </c>
      <c r="J304" s="35">
        <v>50</v>
      </c>
      <c r="K304" s="36"/>
      <c r="L304" s="36"/>
      <c r="M304" s="36"/>
      <c r="N304" s="36"/>
      <c r="O304" s="36"/>
      <c r="P304" s="36"/>
      <c r="Q304" s="36"/>
      <c r="R304" s="36"/>
      <c r="S304" s="36"/>
      <c r="T304" s="36"/>
    </row>
    <row r="305" spans="1:20" ht="15.75">
      <c r="A305" s="13">
        <v>50801</v>
      </c>
      <c r="B305" s="44">
        <v>31</v>
      </c>
      <c r="C305" s="35">
        <v>122.58</v>
      </c>
      <c r="D305" s="35">
        <v>297.94099999999997</v>
      </c>
      <c r="E305" s="41">
        <v>729.47900000000004</v>
      </c>
      <c r="F305" s="35">
        <v>1150</v>
      </c>
      <c r="G305" s="35">
        <v>100</v>
      </c>
      <c r="H305" s="43">
        <v>600</v>
      </c>
      <c r="I305" s="35">
        <v>695</v>
      </c>
      <c r="J305" s="35">
        <v>50</v>
      </c>
      <c r="K305" s="36"/>
      <c r="L305" s="36"/>
      <c r="M305" s="36"/>
      <c r="N305" s="36"/>
      <c r="O305" s="36"/>
      <c r="P305" s="36"/>
      <c r="Q305" s="36"/>
      <c r="R305" s="36"/>
      <c r="S305" s="36"/>
      <c r="T305" s="36"/>
    </row>
    <row r="306" spans="1:20" ht="15.75">
      <c r="A306" s="13">
        <v>50829</v>
      </c>
      <c r="B306" s="44">
        <v>28</v>
      </c>
      <c r="C306" s="35">
        <v>122.58</v>
      </c>
      <c r="D306" s="35">
        <v>297.94099999999997</v>
      </c>
      <c r="E306" s="41">
        <v>729.47900000000004</v>
      </c>
      <c r="F306" s="35">
        <v>1150</v>
      </c>
      <c r="G306" s="35">
        <v>100</v>
      </c>
      <c r="H306" s="43">
        <v>600</v>
      </c>
      <c r="I306" s="35">
        <v>695</v>
      </c>
      <c r="J306" s="35">
        <v>50</v>
      </c>
      <c r="K306" s="36"/>
      <c r="L306" s="36"/>
      <c r="M306" s="36"/>
      <c r="N306" s="36"/>
      <c r="O306" s="36"/>
      <c r="P306" s="36"/>
      <c r="Q306" s="36"/>
      <c r="R306" s="36"/>
      <c r="S306" s="36"/>
      <c r="T306" s="36"/>
    </row>
    <row r="307" spans="1:20" ht="15.75">
      <c r="A307" s="13">
        <v>50860</v>
      </c>
      <c r="B307" s="44">
        <v>31</v>
      </c>
      <c r="C307" s="35">
        <v>122.58</v>
      </c>
      <c r="D307" s="35">
        <v>297.94099999999997</v>
      </c>
      <c r="E307" s="41">
        <v>729.47900000000004</v>
      </c>
      <c r="F307" s="35">
        <v>1150</v>
      </c>
      <c r="G307" s="35">
        <v>100</v>
      </c>
      <c r="H307" s="43">
        <v>600</v>
      </c>
      <c r="I307" s="35">
        <v>695</v>
      </c>
      <c r="J307" s="35">
        <v>50</v>
      </c>
      <c r="K307" s="36"/>
      <c r="L307" s="36"/>
      <c r="M307" s="36"/>
      <c r="N307" s="36"/>
      <c r="O307" s="36"/>
      <c r="P307" s="36"/>
      <c r="Q307" s="36"/>
      <c r="R307" s="36"/>
      <c r="S307" s="36"/>
      <c r="T307" s="36"/>
    </row>
    <row r="308" spans="1:20" ht="15.75">
      <c r="A308" s="13">
        <v>50890</v>
      </c>
      <c r="B308" s="44">
        <v>30</v>
      </c>
      <c r="C308" s="35">
        <v>141.29300000000001</v>
      </c>
      <c r="D308" s="35">
        <v>267.99299999999999</v>
      </c>
      <c r="E308" s="41">
        <v>829.71400000000006</v>
      </c>
      <c r="F308" s="35">
        <v>1239</v>
      </c>
      <c r="G308" s="35">
        <v>100</v>
      </c>
      <c r="H308" s="43">
        <v>600</v>
      </c>
      <c r="I308" s="35">
        <v>695</v>
      </c>
      <c r="J308" s="35">
        <v>50</v>
      </c>
      <c r="K308" s="36"/>
      <c r="L308" s="36"/>
      <c r="M308" s="36"/>
      <c r="N308" s="36"/>
      <c r="O308" s="36"/>
      <c r="P308" s="36"/>
      <c r="Q308" s="36"/>
      <c r="R308" s="36"/>
      <c r="S308" s="36"/>
      <c r="T308" s="36"/>
    </row>
    <row r="309" spans="1:20" ht="15.75">
      <c r="A309" s="13">
        <v>50921</v>
      </c>
      <c r="B309" s="44">
        <v>31</v>
      </c>
      <c r="C309" s="35">
        <v>194.20500000000001</v>
      </c>
      <c r="D309" s="35">
        <v>267.46600000000001</v>
      </c>
      <c r="E309" s="41">
        <v>812.32899999999995</v>
      </c>
      <c r="F309" s="35">
        <v>1274</v>
      </c>
      <c r="G309" s="35">
        <v>75</v>
      </c>
      <c r="H309" s="43">
        <v>600</v>
      </c>
      <c r="I309" s="35">
        <v>695</v>
      </c>
      <c r="J309" s="35">
        <v>50</v>
      </c>
      <c r="K309" s="36"/>
      <c r="L309" s="36"/>
      <c r="M309" s="36"/>
      <c r="N309" s="36"/>
      <c r="O309" s="36"/>
      <c r="P309" s="36"/>
      <c r="Q309" s="36"/>
      <c r="R309" s="36"/>
      <c r="S309" s="36"/>
      <c r="T309" s="36"/>
    </row>
    <row r="310" spans="1:20" ht="15.75">
      <c r="A310" s="13">
        <v>50951</v>
      </c>
      <c r="B310" s="44">
        <v>30</v>
      </c>
      <c r="C310" s="35">
        <v>194.20500000000001</v>
      </c>
      <c r="D310" s="35">
        <v>267.46600000000001</v>
      </c>
      <c r="E310" s="41">
        <v>812.32899999999995</v>
      </c>
      <c r="F310" s="35">
        <v>1274</v>
      </c>
      <c r="G310" s="35">
        <v>50</v>
      </c>
      <c r="H310" s="43">
        <v>600</v>
      </c>
      <c r="I310" s="35">
        <v>695</v>
      </c>
      <c r="J310" s="35">
        <v>50</v>
      </c>
      <c r="K310" s="36"/>
      <c r="L310" s="36"/>
      <c r="M310" s="36"/>
      <c r="N310" s="36"/>
      <c r="O310" s="36"/>
      <c r="P310" s="36"/>
      <c r="Q310" s="36"/>
      <c r="R310" s="36"/>
      <c r="S310" s="36"/>
      <c r="T310" s="36"/>
    </row>
    <row r="311" spans="1:20" ht="15.75">
      <c r="A311" s="13">
        <v>50982</v>
      </c>
      <c r="B311" s="44">
        <v>31</v>
      </c>
      <c r="C311" s="35">
        <v>194.20500000000001</v>
      </c>
      <c r="D311" s="35">
        <v>267.46600000000001</v>
      </c>
      <c r="E311" s="41">
        <v>812.32899999999995</v>
      </c>
      <c r="F311" s="35">
        <v>1274</v>
      </c>
      <c r="G311" s="35">
        <v>50</v>
      </c>
      <c r="H311" s="43">
        <v>600</v>
      </c>
      <c r="I311" s="35">
        <v>695</v>
      </c>
      <c r="J311" s="35">
        <v>0</v>
      </c>
      <c r="K311" s="36"/>
      <c r="L311" s="36"/>
      <c r="M311" s="36"/>
      <c r="N311" s="36"/>
      <c r="O311" s="36"/>
      <c r="P311" s="36"/>
      <c r="Q311" s="36"/>
      <c r="R311" s="36"/>
      <c r="S311" s="36"/>
      <c r="T311" s="36"/>
    </row>
    <row r="312" spans="1:20" ht="15.75">
      <c r="A312" s="13">
        <v>51013</v>
      </c>
      <c r="B312" s="44">
        <v>31</v>
      </c>
      <c r="C312" s="35">
        <v>194.20500000000001</v>
      </c>
      <c r="D312" s="35">
        <v>267.46600000000001</v>
      </c>
      <c r="E312" s="41">
        <v>812.32899999999995</v>
      </c>
      <c r="F312" s="35">
        <v>1274</v>
      </c>
      <c r="G312" s="35">
        <v>50</v>
      </c>
      <c r="H312" s="43">
        <v>600</v>
      </c>
      <c r="I312" s="35">
        <v>695</v>
      </c>
      <c r="J312" s="35">
        <v>0</v>
      </c>
      <c r="K312" s="36"/>
      <c r="L312" s="36"/>
      <c r="M312" s="36"/>
      <c r="N312" s="36"/>
      <c r="O312" s="36"/>
      <c r="P312" s="36"/>
      <c r="Q312" s="36"/>
      <c r="R312" s="36"/>
      <c r="S312" s="36"/>
      <c r="T312" s="36"/>
    </row>
    <row r="313" spans="1:20" ht="15.75">
      <c r="A313" s="13">
        <v>51043</v>
      </c>
      <c r="B313" s="44">
        <v>30</v>
      </c>
      <c r="C313" s="35">
        <v>194.20500000000001</v>
      </c>
      <c r="D313" s="35">
        <v>267.46600000000001</v>
      </c>
      <c r="E313" s="41">
        <v>812.32899999999995</v>
      </c>
      <c r="F313" s="35">
        <v>1274</v>
      </c>
      <c r="G313" s="35">
        <v>50</v>
      </c>
      <c r="H313" s="43">
        <v>600</v>
      </c>
      <c r="I313" s="35">
        <v>695</v>
      </c>
      <c r="J313" s="35">
        <v>0</v>
      </c>
      <c r="K313" s="36"/>
      <c r="L313" s="36"/>
      <c r="M313" s="36"/>
      <c r="N313" s="36"/>
      <c r="O313" s="36"/>
      <c r="P313" s="36"/>
      <c r="Q313" s="36"/>
      <c r="R313" s="36"/>
      <c r="S313" s="36"/>
      <c r="T313" s="36"/>
    </row>
    <row r="314" spans="1:20" ht="15.75">
      <c r="A314" s="13">
        <v>51074</v>
      </c>
      <c r="B314" s="44">
        <v>31</v>
      </c>
      <c r="C314" s="35">
        <v>131.881</v>
      </c>
      <c r="D314" s="35">
        <v>277.16699999999997</v>
      </c>
      <c r="E314" s="41">
        <v>829.952</v>
      </c>
      <c r="F314" s="35">
        <v>1239</v>
      </c>
      <c r="G314" s="35">
        <v>75</v>
      </c>
      <c r="H314" s="43">
        <v>600</v>
      </c>
      <c r="I314" s="35">
        <v>695</v>
      </c>
      <c r="J314" s="35">
        <v>0</v>
      </c>
      <c r="K314" s="36"/>
      <c r="L314" s="36"/>
      <c r="M314" s="36"/>
      <c r="N314" s="36"/>
      <c r="O314" s="36"/>
      <c r="P314" s="36"/>
      <c r="Q314" s="36"/>
      <c r="R314" s="36"/>
      <c r="S314" s="36"/>
      <c r="T314" s="36"/>
    </row>
    <row r="315" spans="1:20" ht="15.75">
      <c r="A315" s="13">
        <v>51104</v>
      </c>
      <c r="B315" s="44">
        <v>30</v>
      </c>
      <c r="C315" s="35">
        <v>122.58</v>
      </c>
      <c r="D315" s="35">
        <v>297.94099999999997</v>
      </c>
      <c r="E315" s="41">
        <v>729.47900000000004</v>
      </c>
      <c r="F315" s="35">
        <v>1150</v>
      </c>
      <c r="G315" s="35">
        <v>100</v>
      </c>
      <c r="H315" s="43">
        <v>600</v>
      </c>
      <c r="I315" s="35">
        <v>695</v>
      </c>
      <c r="J315" s="35">
        <v>50</v>
      </c>
      <c r="K315" s="36"/>
      <c r="L315" s="36"/>
      <c r="M315" s="36"/>
      <c r="N315" s="36"/>
      <c r="O315" s="36"/>
      <c r="P315" s="36"/>
      <c r="Q315" s="36"/>
      <c r="R315" s="36"/>
      <c r="S315" s="36"/>
      <c r="T315" s="36"/>
    </row>
    <row r="316" spans="1:20" ht="15.75">
      <c r="A316" s="13">
        <v>51135</v>
      </c>
      <c r="B316" s="44">
        <v>31</v>
      </c>
      <c r="C316" s="35">
        <v>122.58</v>
      </c>
      <c r="D316" s="35">
        <v>297.94099999999997</v>
      </c>
      <c r="E316" s="41">
        <v>729.47900000000004</v>
      </c>
      <c r="F316" s="35">
        <v>1150</v>
      </c>
      <c r="G316" s="35">
        <v>100</v>
      </c>
      <c r="H316" s="43">
        <v>600</v>
      </c>
      <c r="I316" s="35">
        <v>695</v>
      </c>
      <c r="J316" s="35">
        <v>50</v>
      </c>
      <c r="K316" s="36"/>
      <c r="L316" s="36"/>
      <c r="M316" s="36"/>
      <c r="N316" s="36"/>
      <c r="O316" s="36"/>
      <c r="P316" s="36"/>
      <c r="Q316" s="36"/>
      <c r="R316" s="36"/>
      <c r="S316" s="36"/>
      <c r="T316" s="36"/>
    </row>
    <row r="317" spans="1:20" ht="15.75">
      <c r="A317" s="13">
        <v>51166</v>
      </c>
      <c r="B317" s="44">
        <v>31</v>
      </c>
      <c r="C317" s="35">
        <v>122.58</v>
      </c>
      <c r="D317" s="35">
        <v>297.94099999999997</v>
      </c>
      <c r="E317" s="41">
        <v>729.47900000000004</v>
      </c>
      <c r="F317" s="35">
        <v>1150</v>
      </c>
      <c r="G317" s="35">
        <v>100</v>
      </c>
      <c r="H317" s="43">
        <v>600</v>
      </c>
      <c r="I317" s="35">
        <v>695</v>
      </c>
      <c r="J317" s="35">
        <v>50</v>
      </c>
      <c r="K317" s="36"/>
      <c r="L317" s="36"/>
      <c r="M317" s="36"/>
      <c r="N317" s="36"/>
      <c r="O317" s="36"/>
      <c r="P317" s="36"/>
      <c r="Q317" s="36"/>
      <c r="R317" s="36"/>
      <c r="S317" s="36"/>
      <c r="T317" s="36"/>
    </row>
    <row r="318" spans="1:20" ht="15.75">
      <c r="A318" s="13">
        <v>51194</v>
      </c>
      <c r="B318" s="44">
        <v>29</v>
      </c>
      <c r="C318" s="35">
        <v>122.58</v>
      </c>
      <c r="D318" s="35">
        <v>297.94099999999997</v>
      </c>
      <c r="E318" s="41">
        <v>729.47900000000004</v>
      </c>
      <c r="F318" s="35">
        <v>1150</v>
      </c>
      <c r="G318" s="35">
        <v>100</v>
      </c>
      <c r="H318" s="43">
        <v>600</v>
      </c>
      <c r="I318" s="35">
        <v>695</v>
      </c>
      <c r="J318" s="35">
        <v>50</v>
      </c>
      <c r="K318" s="36"/>
      <c r="L318" s="36"/>
      <c r="M318" s="36"/>
      <c r="N318" s="36"/>
      <c r="O318" s="36"/>
      <c r="P318" s="36"/>
      <c r="Q318" s="36"/>
      <c r="R318" s="36"/>
      <c r="S318" s="36"/>
      <c r="T318" s="36"/>
    </row>
    <row r="319" spans="1:20" ht="15.75">
      <c r="A319" s="13">
        <v>51226</v>
      </c>
      <c r="B319" s="44">
        <v>31</v>
      </c>
      <c r="C319" s="35">
        <v>122.58</v>
      </c>
      <c r="D319" s="35">
        <v>297.94099999999997</v>
      </c>
      <c r="E319" s="41">
        <v>729.47900000000004</v>
      </c>
      <c r="F319" s="35">
        <v>1150</v>
      </c>
      <c r="G319" s="35">
        <v>100</v>
      </c>
      <c r="H319" s="43">
        <v>600</v>
      </c>
      <c r="I319" s="35">
        <v>695</v>
      </c>
      <c r="J319" s="35">
        <v>50</v>
      </c>
      <c r="K319" s="36"/>
      <c r="L319" s="36"/>
      <c r="M319" s="36"/>
      <c r="N319" s="36"/>
      <c r="O319" s="36"/>
      <c r="P319" s="36"/>
      <c r="Q319" s="36"/>
      <c r="R319" s="36"/>
      <c r="S319" s="36"/>
      <c r="T319" s="36"/>
    </row>
    <row r="320" spans="1:20" ht="15.75">
      <c r="A320" s="13">
        <v>51256</v>
      </c>
      <c r="B320" s="44">
        <v>30</v>
      </c>
      <c r="C320" s="35">
        <v>141.29300000000001</v>
      </c>
      <c r="D320" s="35">
        <v>267.99299999999999</v>
      </c>
      <c r="E320" s="41">
        <v>829.71400000000006</v>
      </c>
      <c r="F320" s="35">
        <v>1239</v>
      </c>
      <c r="G320" s="35">
        <v>100</v>
      </c>
      <c r="H320" s="43">
        <v>600</v>
      </c>
      <c r="I320" s="35">
        <v>695</v>
      </c>
      <c r="J320" s="35">
        <v>50</v>
      </c>
      <c r="K320" s="36"/>
      <c r="L320" s="36"/>
      <c r="M320" s="36"/>
      <c r="N320" s="36"/>
      <c r="O320" s="36"/>
      <c r="P320" s="36"/>
      <c r="Q320" s="36"/>
      <c r="R320" s="36"/>
      <c r="S320" s="36"/>
      <c r="T320" s="36"/>
    </row>
    <row r="321" spans="1:20" ht="15.75">
      <c r="A321" s="13">
        <v>51287</v>
      </c>
      <c r="B321" s="44">
        <v>31</v>
      </c>
      <c r="C321" s="35">
        <v>194.20500000000001</v>
      </c>
      <c r="D321" s="35">
        <v>267.46600000000001</v>
      </c>
      <c r="E321" s="41">
        <v>812.32899999999995</v>
      </c>
      <c r="F321" s="35">
        <v>1274</v>
      </c>
      <c r="G321" s="35">
        <v>75</v>
      </c>
      <c r="H321" s="43">
        <v>600</v>
      </c>
      <c r="I321" s="35">
        <v>695</v>
      </c>
      <c r="J321" s="35">
        <v>50</v>
      </c>
      <c r="K321" s="36"/>
      <c r="L321" s="36"/>
      <c r="M321" s="36"/>
      <c r="N321" s="36"/>
      <c r="O321" s="36"/>
      <c r="P321" s="36"/>
      <c r="Q321" s="36"/>
      <c r="R321" s="36"/>
      <c r="S321" s="36"/>
      <c r="T321" s="36"/>
    </row>
    <row r="322" spans="1:20" ht="15.75">
      <c r="A322" s="13">
        <v>51317</v>
      </c>
      <c r="B322" s="44">
        <v>30</v>
      </c>
      <c r="C322" s="35">
        <v>194.20500000000001</v>
      </c>
      <c r="D322" s="35">
        <v>267.46600000000001</v>
      </c>
      <c r="E322" s="41">
        <v>812.32899999999995</v>
      </c>
      <c r="F322" s="35">
        <v>1274</v>
      </c>
      <c r="G322" s="35">
        <v>50</v>
      </c>
      <c r="H322" s="43">
        <v>600</v>
      </c>
      <c r="I322" s="35">
        <v>695</v>
      </c>
      <c r="J322" s="35">
        <v>50</v>
      </c>
      <c r="K322" s="36"/>
      <c r="L322" s="36"/>
      <c r="M322" s="36"/>
      <c r="N322" s="36"/>
      <c r="O322" s="36"/>
      <c r="P322" s="36"/>
      <c r="Q322" s="36"/>
      <c r="R322" s="36"/>
      <c r="S322" s="36"/>
      <c r="T322" s="36"/>
    </row>
    <row r="323" spans="1:20" ht="15.75">
      <c r="A323" s="13">
        <v>51348</v>
      </c>
      <c r="B323" s="44">
        <v>31</v>
      </c>
      <c r="C323" s="35">
        <v>194.20500000000001</v>
      </c>
      <c r="D323" s="35">
        <v>267.46600000000001</v>
      </c>
      <c r="E323" s="41">
        <v>812.32899999999995</v>
      </c>
      <c r="F323" s="35">
        <v>1274</v>
      </c>
      <c r="G323" s="35">
        <v>50</v>
      </c>
      <c r="H323" s="43">
        <v>600</v>
      </c>
      <c r="I323" s="35">
        <v>695</v>
      </c>
      <c r="J323" s="35">
        <v>0</v>
      </c>
      <c r="K323" s="36"/>
      <c r="L323" s="36"/>
      <c r="M323" s="36"/>
      <c r="N323" s="36"/>
      <c r="O323" s="36"/>
      <c r="P323" s="36"/>
      <c r="Q323" s="36"/>
      <c r="R323" s="36"/>
      <c r="S323" s="36"/>
      <c r="T323" s="36"/>
    </row>
    <row r="324" spans="1:20" ht="15.75">
      <c r="A324" s="13">
        <v>51379</v>
      </c>
      <c r="B324" s="44">
        <v>31</v>
      </c>
      <c r="C324" s="35">
        <v>194.20500000000001</v>
      </c>
      <c r="D324" s="35">
        <v>267.46600000000001</v>
      </c>
      <c r="E324" s="41">
        <v>812.32899999999995</v>
      </c>
      <c r="F324" s="35">
        <v>1274</v>
      </c>
      <c r="G324" s="35">
        <v>50</v>
      </c>
      <c r="H324" s="43">
        <v>600</v>
      </c>
      <c r="I324" s="35">
        <v>695</v>
      </c>
      <c r="J324" s="35">
        <v>0</v>
      </c>
      <c r="K324" s="36"/>
      <c r="L324" s="36"/>
      <c r="M324" s="36"/>
      <c r="N324" s="36"/>
      <c r="O324" s="36"/>
      <c r="P324" s="36"/>
      <c r="Q324" s="36"/>
      <c r="R324" s="36"/>
      <c r="S324" s="36"/>
      <c r="T324" s="36"/>
    </row>
    <row r="325" spans="1:20" ht="15.75">
      <c r="A325" s="13">
        <v>51409</v>
      </c>
      <c r="B325" s="44">
        <v>30</v>
      </c>
      <c r="C325" s="35">
        <v>194.20500000000001</v>
      </c>
      <c r="D325" s="35">
        <v>267.46600000000001</v>
      </c>
      <c r="E325" s="41">
        <v>812.32899999999995</v>
      </c>
      <c r="F325" s="35">
        <v>1274</v>
      </c>
      <c r="G325" s="35">
        <v>50</v>
      </c>
      <c r="H325" s="43">
        <v>600</v>
      </c>
      <c r="I325" s="35">
        <v>695</v>
      </c>
      <c r="J325" s="35">
        <v>0</v>
      </c>
      <c r="K325" s="36"/>
      <c r="L325" s="36"/>
      <c r="M325" s="36"/>
      <c r="N325" s="36"/>
      <c r="O325" s="36"/>
      <c r="P325" s="36"/>
      <c r="Q325" s="36"/>
      <c r="R325" s="36"/>
      <c r="S325" s="36"/>
      <c r="T325" s="36"/>
    </row>
    <row r="326" spans="1:20" ht="15.75">
      <c r="A326" s="13">
        <v>51440</v>
      </c>
      <c r="B326" s="44">
        <v>31</v>
      </c>
      <c r="C326" s="35">
        <v>131.881</v>
      </c>
      <c r="D326" s="35">
        <v>277.16699999999997</v>
      </c>
      <c r="E326" s="41">
        <v>829.952</v>
      </c>
      <c r="F326" s="35">
        <v>1239</v>
      </c>
      <c r="G326" s="35">
        <v>75</v>
      </c>
      <c r="H326" s="43">
        <v>600</v>
      </c>
      <c r="I326" s="35">
        <v>695</v>
      </c>
      <c r="J326" s="35">
        <v>0</v>
      </c>
      <c r="K326" s="36"/>
      <c r="L326" s="36"/>
      <c r="M326" s="36"/>
      <c r="N326" s="36"/>
      <c r="O326" s="36"/>
      <c r="P326" s="36"/>
      <c r="Q326" s="36"/>
      <c r="R326" s="36"/>
      <c r="S326" s="36"/>
      <c r="T326" s="36"/>
    </row>
    <row r="327" spans="1:20" ht="15.75">
      <c r="A327" s="13">
        <v>51470</v>
      </c>
      <c r="B327" s="44">
        <v>30</v>
      </c>
      <c r="C327" s="35">
        <v>122.58</v>
      </c>
      <c r="D327" s="35">
        <v>297.94099999999997</v>
      </c>
      <c r="E327" s="41">
        <v>729.47900000000004</v>
      </c>
      <c r="F327" s="35">
        <v>1150</v>
      </c>
      <c r="G327" s="35">
        <v>100</v>
      </c>
      <c r="H327" s="43">
        <v>600</v>
      </c>
      <c r="I327" s="35">
        <v>695</v>
      </c>
      <c r="J327" s="35">
        <v>50</v>
      </c>
      <c r="K327" s="36"/>
      <c r="L327" s="36"/>
      <c r="M327" s="36"/>
      <c r="N327" s="36"/>
      <c r="O327" s="36"/>
      <c r="P327" s="36"/>
      <c r="Q327" s="36"/>
      <c r="R327" s="36"/>
      <c r="S327" s="36"/>
      <c r="T327" s="36"/>
    </row>
    <row r="328" spans="1:20" ht="15.75">
      <c r="A328" s="13">
        <v>51501</v>
      </c>
      <c r="B328" s="44">
        <v>31</v>
      </c>
      <c r="C328" s="35">
        <v>122.58</v>
      </c>
      <c r="D328" s="35">
        <v>297.94099999999997</v>
      </c>
      <c r="E328" s="41">
        <v>729.47900000000004</v>
      </c>
      <c r="F328" s="35">
        <v>1150</v>
      </c>
      <c r="G328" s="35">
        <v>100</v>
      </c>
      <c r="H328" s="43">
        <v>600</v>
      </c>
      <c r="I328" s="35">
        <v>695</v>
      </c>
      <c r="J328" s="35">
        <v>50</v>
      </c>
      <c r="K328" s="36"/>
      <c r="L328" s="36"/>
      <c r="M328" s="36"/>
      <c r="N328" s="36"/>
      <c r="O328" s="36"/>
      <c r="P328" s="36"/>
      <c r="Q328" s="36"/>
      <c r="R328" s="36"/>
      <c r="S328" s="36"/>
      <c r="T328" s="36"/>
    </row>
    <row r="329" spans="1:20" ht="15.75">
      <c r="A329" s="13">
        <v>51532</v>
      </c>
      <c r="B329" s="44">
        <v>31</v>
      </c>
      <c r="C329" s="35">
        <v>122.58</v>
      </c>
      <c r="D329" s="35">
        <v>297.94099999999997</v>
      </c>
      <c r="E329" s="41">
        <v>729.47900000000004</v>
      </c>
      <c r="F329" s="35">
        <v>1150</v>
      </c>
      <c r="G329" s="35">
        <v>100</v>
      </c>
      <c r="H329" s="43">
        <v>600</v>
      </c>
      <c r="I329" s="35">
        <v>695</v>
      </c>
      <c r="J329" s="35">
        <v>50</v>
      </c>
      <c r="K329" s="36"/>
      <c r="L329" s="36"/>
      <c r="M329" s="36"/>
      <c r="N329" s="36"/>
      <c r="O329" s="36"/>
      <c r="P329" s="36"/>
      <c r="Q329" s="36"/>
      <c r="R329" s="36"/>
      <c r="S329" s="36"/>
      <c r="T329" s="36"/>
    </row>
    <row r="330" spans="1:20" ht="15.75">
      <c r="A330" s="13">
        <v>51560</v>
      </c>
      <c r="B330" s="44">
        <v>28</v>
      </c>
      <c r="C330" s="35">
        <v>122.58</v>
      </c>
      <c r="D330" s="35">
        <v>297.94099999999997</v>
      </c>
      <c r="E330" s="41">
        <v>729.47900000000004</v>
      </c>
      <c r="F330" s="35">
        <v>1150</v>
      </c>
      <c r="G330" s="35">
        <v>100</v>
      </c>
      <c r="H330" s="43">
        <v>600</v>
      </c>
      <c r="I330" s="35">
        <v>695</v>
      </c>
      <c r="J330" s="35">
        <v>50</v>
      </c>
      <c r="K330" s="36"/>
      <c r="L330" s="36"/>
      <c r="M330" s="36"/>
      <c r="N330" s="36"/>
      <c r="O330" s="36"/>
      <c r="P330" s="36"/>
      <c r="Q330" s="36"/>
      <c r="R330" s="36"/>
      <c r="S330" s="36"/>
      <c r="T330" s="36"/>
    </row>
    <row r="331" spans="1:20" ht="15.75">
      <c r="A331" s="13">
        <v>51591</v>
      </c>
      <c r="B331" s="44">
        <v>31</v>
      </c>
      <c r="C331" s="35">
        <v>122.58</v>
      </c>
      <c r="D331" s="35">
        <v>297.94099999999997</v>
      </c>
      <c r="E331" s="41">
        <v>729.47900000000004</v>
      </c>
      <c r="F331" s="35">
        <v>1150</v>
      </c>
      <c r="G331" s="35">
        <v>100</v>
      </c>
      <c r="H331" s="43">
        <v>600</v>
      </c>
      <c r="I331" s="35">
        <v>695</v>
      </c>
      <c r="J331" s="35">
        <v>50</v>
      </c>
      <c r="K331" s="36"/>
      <c r="L331" s="36"/>
      <c r="M331" s="36"/>
      <c r="N331" s="36"/>
      <c r="O331" s="36"/>
      <c r="P331" s="36"/>
      <c r="Q331" s="36"/>
      <c r="R331" s="36"/>
      <c r="S331" s="36"/>
      <c r="T331" s="36"/>
    </row>
    <row r="332" spans="1:20" ht="15.75">
      <c r="A332" s="13">
        <v>51621</v>
      </c>
      <c r="B332" s="44">
        <v>30</v>
      </c>
      <c r="C332" s="35">
        <v>141.29300000000001</v>
      </c>
      <c r="D332" s="35">
        <v>267.99299999999999</v>
      </c>
      <c r="E332" s="41">
        <v>829.71400000000006</v>
      </c>
      <c r="F332" s="35">
        <v>1239</v>
      </c>
      <c r="G332" s="35">
        <v>100</v>
      </c>
      <c r="H332" s="43">
        <v>600</v>
      </c>
      <c r="I332" s="35">
        <v>695</v>
      </c>
      <c r="J332" s="35">
        <v>50</v>
      </c>
      <c r="K332" s="36"/>
      <c r="L332" s="36"/>
      <c r="M332" s="36"/>
      <c r="N332" s="36"/>
      <c r="O332" s="36"/>
      <c r="P332" s="36"/>
      <c r="Q332" s="36"/>
      <c r="R332" s="36"/>
      <c r="S332" s="36"/>
      <c r="T332" s="36"/>
    </row>
    <row r="333" spans="1:20" ht="15.75">
      <c r="A333" s="13">
        <v>51652</v>
      </c>
      <c r="B333" s="44">
        <v>31</v>
      </c>
      <c r="C333" s="35">
        <v>194.20500000000001</v>
      </c>
      <c r="D333" s="35">
        <v>267.46600000000001</v>
      </c>
      <c r="E333" s="41">
        <v>812.32899999999995</v>
      </c>
      <c r="F333" s="35">
        <v>1274</v>
      </c>
      <c r="G333" s="35">
        <v>75</v>
      </c>
      <c r="H333" s="43">
        <v>600</v>
      </c>
      <c r="I333" s="35">
        <v>695</v>
      </c>
      <c r="J333" s="35">
        <v>50</v>
      </c>
      <c r="K333" s="36"/>
      <c r="L333" s="36"/>
      <c r="M333" s="36"/>
      <c r="N333" s="36"/>
      <c r="O333" s="36"/>
      <c r="P333" s="36"/>
      <c r="Q333" s="36"/>
      <c r="R333" s="36"/>
      <c r="S333" s="36"/>
      <c r="T333" s="36"/>
    </row>
    <row r="334" spans="1:20" ht="15.75">
      <c r="A334" s="13">
        <v>51682</v>
      </c>
      <c r="B334" s="44">
        <v>30</v>
      </c>
      <c r="C334" s="35">
        <v>194.20500000000001</v>
      </c>
      <c r="D334" s="35">
        <v>267.46600000000001</v>
      </c>
      <c r="E334" s="41">
        <v>812.32899999999995</v>
      </c>
      <c r="F334" s="35">
        <v>1274</v>
      </c>
      <c r="G334" s="35">
        <v>50</v>
      </c>
      <c r="H334" s="43">
        <v>600</v>
      </c>
      <c r="I334" s="35">
        <v>695</v>
      </c>
      <c r="J334" s="35">
        <v>50</v>
      </c>
      <c r="K334" s="36"/>
      <c r="L334" s="36"/>
      <c r="M334" s="36"/>
      <c r="N334" s="36"/>
      <c r="O334" s="36"/>
      <c r="P334" s="36"/>
      <c r="Q334" s="36"/>
      <c r="R334" s="36"/>
      <c r="S334" s="36"/>
      <c r="T334" s="36"/>
    </row>
    <row r="335" spans="1:20" ht="15.75">
      <c r="A335" s="13">
        <v>51713</v>
      </c>
      <c r="B335" s="44">
        <v>31</v>
      </c>
      <c r="C335" s="35">
        <v>194.20500000000001</v>
      </c>
      <c r="D335" s="35">
        <v>267.46600000000001</v>
      </c>
      <c r="E335" s="41">
        <v>812.32899999999995</v>
      </c>
      <c r="F335" s="35">
        <v>1274</v>
      </c>
      <c r="G335" s="35">
        <v>50</v>
      </c>
      <c r="H335" s="43">
        <v>600</v>
      </c>
      <c r="I335" s="35">
        <v>695</v>
      </c>
      <c r="J335" s="35">
        <v>0</v>
      </c>
      <c r="K335" s="36"/>
      <c r="L335" s="36"/>
      <c r="M335" s="36"/>
      <c r="N335" s="36"/>
      <c r="O335" s="36"/>
      <c r="P335" s="36"/>
      <c r="Q335" s="36"/>
      <c r="R335" s="36"/>
      <c r="S335" s="36"/>
      <c r="T335" s="36"/>
    </row>
    <row r="336" spans="1:20" ht="15.75">
      <c r="A336" s="13">
        <v>51744</v>
      </c>
      <c r="B336" s="44">
        <v>31</v>
      </c>
      <c r="C336" s="35">
        <v>194.20500000000001</v>
      </c>
      <c r="D336" s="35">
        <v>267.46600000000001</v>
      </c>
      <c r="E336" s="41">
        <v>812.32899999999995</v>
      </c>
      <c r="F336" s="35">
        <v>1274</v>
      </c>
      <c r="G336" s="35">
        <v>50</v>
      </c>
      <c r="H336" s="43">
        <v>600</v>
      </c>
      <c r="I336" s="35">
        <v>695</v>
      </c>
      <c r="J336" s="35">
        <v>0</v>
      </c>
      <c r="K336" s="36"/>
      <c r="L336" s="36"/>
      <c r="M336" s="36"/>
      <c r="N336" s="36"/>
      <c r="O336" s="36"/>
      <c r="P336" s="36"/>
      <c r="Q336" s="36"/>
      <c r="R336" s="36"/>
      <c r="S336" s="36"/>
      <c r="T336" s="36"/>
    </row>
    <row r="337" spans="1:20" ht="15.75">
      <c r="A337" s="13">
        <v>51774</v>
      </c>
      <c r="B337" s="44">
        <v>30</v>
      </c>
      <c r="C337" s="35">
        <v>194.20500000000001</v>
      </c>
      <c r="D337" s="35">
        <v>267.46600000000001</v>
      </c>
      <c r="E337" s="41">
        <v>812.32899999999995</v>
      </c>
      <c r="F337" s="35">
        <v>1274</v>
      </c>
      <c r="G337" s="35">
        <v>50</v>
      </c>
      <c r="H337" s="43">
        <v>600</v>
      </c>
      <c r="I337" s="35">
        <v>695</v>
      </c>
      <c r="J337" s="35">
        <v>0</v>
      </c>
      <c r="K337" s="36"/>
      <c r="L337" s="36"/>
      <c r="M337" s="36"/>
      <c r="N337" s="36"/>
      <c r="O337" s="36"/>
      <c r="P337" s="36"/>
      <c r="Q337" s="36"/>
      <c r="R337" s="36"/>
      <c r="S337" s="36"/>
      <c r="T337" s="36"/>
    </row>
    <row r="338" spans="1:20" ht="15.75">
      <c r="A338" s="13">
        <v>51805</v>
      </c>
      <c r="B338" s="44">
        <v>31</v>
      </c>
      <c r="C338" s="35">
        <v>131.881</v>
      </c>
      <c r="D338" s="35">
        <v>277.16699999999997</v>
      </c>
      <c r="E338" s="41">
        <v>829.952</v>
      </c>
      <c r="F338" s="35">
        <v>1239</v>
      </c>
      <c r="G338" s="35">
        <v>75</v>
      </c>
      <c r="H338" s="43">
        <v>600</v>
      </c>
      <c r="I338" s="35">
        <v>695</v>
      </c>
      <c r="J338" s="35">
        <v>0</v>
      </c>
      <c r="K338" s="36"/>
      <c r="L338" s="36"/>
      <c r="M338" s="36"/>
      <c r="N338" s="36"/>
      <c r="O338" s="36"/>
      <c r="P338" s="36"/>
      <c r="Q338" s="36"/>
      <c r="R338" s="36"/>
      <c r="S338" s="36"/>
      <c r="T338" s="36"/>
    </row>
    <row r="339" spans="1:20" ht="15.75">
      <c r="A339" s="13">
        <v>51835</v>
      </c>
      <c r="B339" s="44">
        <v>30</v>
      </c>
      <c r="C339" s="35">
        <v>122.58</v>
      </c>
      <c r="D339" s="35">
        <v>297.94099999999997</v>
      </c>
      <c r="E339" s="41">
        <v>729.47900000000004</v>
      </c>
      <c r="F339" s="35">
        <v>1150</v>
      </c>
      <c r="G339" s="35">
        <v>100</v>
      </c>
      <c r="H339" s="43">
        <v>600</v>
      </c>
      <c r="I339" s="35">
        <v>695</v>
      </c>
      <c r="J339" s="35">
        <v>50</v>
      </c>
      <c r="K339" s="36"/>
      <c r="L339" s="36"/>
      <c r="M339" s="36"/>
      <c r="N339" s="36"/>
      <c r="O339" s="36"/>
      <c r="P339" s="36"/>
      <c r="Q339" s="36"/>
      <c r="R339" s="36"/>
      <c r="S339" s="36"/>
      <c r="T339" s="36"/>
    </row>
    <row r="340" spans="1:20" ht="15.75">
      <c r="A340" s="13">
        <v>51866</v>
      </c>
      <c r="B340" s="44">
        <v>31</v>
      </c>
      <c r="C340" s="35">
        <v>122.58</v>
      </c>
      <c r="D340" s="35">
        <v>297.94099999999997</v>
      </c>
      <c r="E340" s="41">
        <v>729.47900000000004</v>
      </c>
      <c r="F340" s="35">
        <v>1150</v>
      </c>
      <c r="G340" s="35">
        <v>100</v>
      </c>
      <c r="H340" s="43">
        <v>600</v>
      </c>
      <c r="I340" s="35">
        <v>695</v>
      </c>
      <c r="J340" s="35">
        <v>50</v>
      </c>
      <c r="K340" s="36"/>
      <c r="L340" s="36"/>
      <c r="M340" s="36"/>
      <c r="N340" s="36"/>
      <c r="O340" s="36"/>
      <c r="P340" s="36"/>
      <c r="Q340" s="36"/>
      <c r="R340" s="36"/>
      <c r="S340" s="36"/>
      <c r="T340" s="36"/>
    </row>
    <row r="341" spans="1:20" ht="15.75">
      <c r="A341" s="13">
        <v>51897</v>
      </c>
      <c r="B341" s="44">
        <v>31</v>
      </c>
      <c r="C341" s="35">
        <v>122.58</v>
      </c>
      <c r="D341" s="35">
        <v>297.94099999999997</v>
      </c>
      <c r="E341" s="41">
        <v>729.47900000000004</v>
      </c>
      <c r="F341" s="35">
        <v>1150</v>
      </c>
      <c r="G341" s="35">
        <v>100</v>
      </c>
      <c r="H341" s="43">
        <v>600</v>
      </c>
      <c r="I341" s="35">
        <v>695</v>
      </c>
      <c r="J341" s="35">
        <v>50</v>
      </c>
      <c r="K341" s="36"/>
      <c r="L341" s="36"/>
      <c r="M341" s="36"/>
      <c r="N341" s="36"/>
      <c r="O341" s="36"/>
      <c r="P341" s="36"/>
      <c r="Q341" s="36"/>
      <c r="R341" s="36"/>
      <c r="S341" s="36"/>
      <c r="T341" s="36"/>
    </row>
    <row r="342" spans="1:20" ht="15.75">
      <c r="A342" s="13">
        <v>51925</v>
      </c>
      <c r="B342" s="44">
        <v>28</v>
      </c>
      <c r="C342" s="35">
        <v>122.58</v>
      </c>
      <c r="D342" s="35">
        <v>297.94099999999997</v>
      </c>
      <c r="E342" s="41">
        <v>729.47900000000004</v>
      </c>
      <c r="F342" s="35">
        <v>1150</v>
      </c>
      <c r="G342" s="35">
        <v>100</v>
      </c>
      <c r="H342" s="43">
        <v>600</v>
      </c>
      <c r="I342" s="35">
        <v>695</v>
      </c>
      <c r="J342" s="35">
        <v>50</v>
      </c>
      <c r="K342" s="36"/>
      <c r="L342" s="36"/>
      <c r="M342" s="36"/>
      <c r="N342" s="36"/>
      <c r="O342" s="36"/>
      <c r="P342" s="36"/>
      <c r="Q342" s="36"/>
      <c r="R342" s="36"/>
      <c r="S342" s="36"/>
      <c r="T342" s="36"/>
    </row>
    <row r="343" spans="1:20" ht="15.75">
      <c r="A343" s="13">
        <v>51956</v>
      </c>
      <c r="B343" s="44">
        <v>31</v>
      </c>
      <c r="C343" s="35">
        <v>122.58</v>
      </c>
      <c r="D343" s="35">
        <v>297.94099999999997</v>
      </c>
      <c r="E343" s="41">
        <v>729.47900000000004</v>
      </c>
      <c r="F343" s="35">
        <v>1150</v>
      </c>
      <c r="G343" s="35">
        <v>100</v>
      </c>
      <c r="H343" s="43">
        <v>600</v>
      </c>
      <c r="I343" s="35">
        <v>695</v>
      </c>
      <c r="J343" s="35">
        <v>50</v>
      </c>
      <c r="K343" s="36"/>
      <c r="L343" s="36"/>
      <c r="M343" s="36"/>
      <c r="N343" s="36"/>
      <c r="O343" s="36"/>
      <c r="P343" s="36"/>
      <c r="Q343" s="36"/>
      <c r="R343" s="36"/>
      <c r="S343" s="36"/>
      <c r="T343" s="36"/>
    </row>
    <row r="344" spans="1:20" ht="15.75">
      <c r="A344" s="13">
        <v>51986</v>
      </c>
      <c r="B344" s="44">
        <v>30</v>
      </c>
      <c r="C344" s="35">
        <v>141.29300000000001</v>
      </c>
      <c r="D344" s="35">
        <v>267.99299999999999</v>
      </c>
      <c r="E344" s="41">
        <v>829.71400000000006</v>
      </c>
      <c r="F344" s="35">
        <v>1239</v>
      </c>
      <c r="G344" s="35">
        <v>100</v>
      </c>
      <c r="H344" s="43">
        <v>600</v>
      </c>
      <c r="I344" s="35">
        <v>695</v>
      </c>
      <c r="J344" s="35">
        <v>50</v>
      </c>
      <c r="K344" s="36"/>
      <c r="L344" s="36"/>
      <c r="M344" s="36"/>
      <c r="N344" s="36"/>
      <c r="O344" s="36"/>
      <c r="P344" s="36"/>
      <c r="Q344" s="36"/>
      <c r="R344" s="36"/>
      <c r="S344" s="36"/>
      <c r="T344" s="36"/>
    </row>
    <row r="345" spans="1:20" ht="15.75">
      <c r="A345" s="13">
        <v>52017</v>
      </c>
      <c r="B345" s="44">
        <v>31</v>
      </c>
      <c r="C345" s="35">
        <v>194.20500000000001</v>
      </c>
      <c r="D345" s="35">
        <v>267.46600000000001</v>
      </c>
      <c r="E345" s="41">
        <v>812.32899999999995</v>
      </c>
      <c r="F345" s="35">
        <v>1274</v>
      </c>
      <c r="G345" s="35">
        <v>75</v>
      </c>
      <c r="H345" s="43">
        <v>600</v>
      </c>
      <c r="I345" s="35">
        <v>695</v>
      </c>
      <c r="J345" s="35">
        <v>50</v>
      </c>
      <c r="K345" s="36"/>
      <c r="L345" s="36"/>
      <c r="M345" s="36"/>
      <c r="N345" s="36"/>
      <c r="O345" s="36"/>
      <c r="P345" s="36"/>
      <c r="Q345" s="36"/>
      <c r="R345" s="36"/>
      <c r="S345" s="36"/>
      <c r="T345" s="36"/>
    </row>
    <row r="346" spans="1:20" ht="15.75">
      <c r="A346" s="13">
        <v>52047</v>
      </c>
      <c r="B346" s="44">
        <v>30</v>
      </c>
      <c r="C346" s="35">
        <v>194.20500000000001</v>
      </c>
      <c r="D346" s="35">
        <v>267.46600000000001</v>
      </c>
      <c r="E346" s="41">
        <v>812.32899999999995</v>
      </c>
      <c r="F346" s="35">
        <v>1274</v>
      </c>
      <c r="G346" s="35">
        <v>50</v>
      </c>
      <c r="H346" s="43">
        <v>600</v>
      </c>
      <c r="I346" s="35">
        <v>695</v>
      </c>
      <c r="J346" s="35">
        <v>50</v>
      </c>
      <c r="K346" s="36"/>
      <c r="L346" s="36"/>
      <c r="M346" s="36"/>
      <c r="N346" s="36"/>
      <c r="O346" s="36"/>
      <c r="P346" s="36"/>
      <c r="Q346" s="36"/>
      <c r="R346" s="36"/>
      <c r="S346" s="36"/>
      <c r="T346" s="36"/>
    </row>
    <row r="347" spans="1:20" ht="15.75">
      <c r="A347" s="13">
        <v>52078</v>
      </c>
      <c r="B347" s="44">
        <v>31</v>
      </c>
      <c r="C347" s="35">
        <v>194.20500000000001</v>
      </c>
      <c r="D347" s="35">
        <v>267.46600000000001</v>
      </c>
      <c r="E347" s="41">
        <v>812.32899999999995</v>
      </c>
      <c r="F347" s="35">
        <v>1274</v>
      </c>
      <c r="G347" s="35">
        <v>50</v>
      </c>
      <c r="H347" s="43">
        <v>600</v>
      </c>
      <c r="I347" s="35">
        <v>695</v>
      </c>
      <c r="J347" s="35">
        <v>0</v>
      </c>
      <c r="K347" s="36"/>
      <c r="L347" s="36"/>
      <c r="M347" s="36"/>
      <c r="N347" s="36"/>
      <c r="O347" s="36"/>
      <c r="P347" s="36"/>
      <c r="Q347" s="36"/>
      <c r="R347" s="36"/>
      <c r="S347" s="36"/>
      <c r="T347" s="36"/>
    </row>
    <row r="348" spans="1:20" ht="15.75">
      <c r="A348" s="13">
        <v>52109</v>
      </c>
      <c r="B348" s="44">
        <v>31</v>
      </c>
      <c r="C348" s="35">
        <v>194.20500000000001</v>
      </c>
      <c r="D348" s="35">
        <v>267.46600000000001</v>
      </c>
      <c r="E348" s="41">
        <v>812.32899999999995</v>
      </c>
      <c r="F348" s="35">
        <v>1274</v>
      </c>
      <c r="G348" s="35">
        <v>50</v>
      </c>
      <c r="H348" s="43">
        <v>600</v>
      </c>
      <c r="I348" s="35">
        <v>695</v>
      </c>
      <c r="J348" s="35">
        <v>0</v>
      </c>
      <c r="K348" s="36"/>
      <c r="L348" s="36"/>
      <c r="M348" s="36"/>
      <c r="N348" s="36"/>
      <c r="O348" s="36"/>
      <c r="P348" s="36"/>
      <c r="Q348" s="36"/>
      <c r="R348" s="36"/>
      <c r="S348" s="36"/>
      <c r="T348" s="36"/>
    </row>
    <row r="349" spans="1:20" ht="15.75">
      <c r="A349" s="13">
        <v>52139</v>
      </c>
      <c r="B349" s="44">
        <v>30</v>
      </c>
      <c r="C349" s="35">
        <v>194.20500000000001</v>
      </c>
      <c r="D349" s="35">
        <v>267.46600000000001</v>
      </c>
      <c r="E349" s="41">
        <v>812.32899999999995</v>
      </c>
      <c r="F349" s="35">
        <v>1274</v>
      </c>
      <c r="G349" s="35">
        <v>50</v>
      </c>
      <c r="H349" s="43">
        <v>600</v>
      </c>
      <c r="I349" s="35">
        <v>695</v>
      </c>
      <c r="J349" s="35">
        <v>0</v>
      </c>
      <c r="K349" s="36"/>
      <c r="L349" s="36"/>
      <c r="M349" s="36"/>
      <c r="N349" s="36"/>
      <c r="O349" s="36"/>
      <c r="P349" s="36"/>
      <c r="Q349" s="36"/>
      <c r="R349" s="36"/>
      <c r="S349" s="36"/>
      <c r="T349" s="36"/>
    </row>
    <row r="350" spans="1:20" ht="15.75">
      <c r="A350" s="13">
        <v>52170</v>
      </c>
      <c r="B350" s="44">
        <v>31</v>
      </c>
      <c r="C350" s="35">
        <v>131.881</v>
      </c>
      <c r="D350" s="35">
        <v>277.16699999999997</v>
      </c>
      <c r="E350" s="41">
        <v>829.952</v>
      </c>
      <c r="F350" s="35">
        <v>1239</v>
      </c>
      <c r="G350" s="35">
        <v>75</v>
      </c>
      <c r="H350" s="43">
        <v>600</v>
      </c>
      <c r="I350" s="35">
        <v>695</v>
      </c>
      <c r="J350" s="35">
        <v>0</v>
      </c>
      <c r="K350" s="36"/>
      <c r="L350" s="36"/>
      <c r="M350" s="36"/>
      <c r="N350" s="36"/>
      <c r="O350" s="36"/>
      <c r="P350" s="36"/>
      <c r="Q350" s="36"/>
      <c r="R350" s="36"/>
      <c r="S350" s="36"/>
      <c r="T350" s="36"/>
    </row>
    <row r="351" spans="1:20" ht="15.75">
      <c r="A351" s="13">
        <v>52200</v>
      </c>
      <c r="B351" s="44">
        <v>30</v>
      </c>
      <c r="C351" s="35">
        <v>122.58</v>
      </c>
      <c r="D351" s="35">
        <v>297.94099999999997</v>
      </c>
      <c r="E351" s="41">
        <v>729.47900000000004</v>
      </c>
      <c r="F351" s="35">
        <v>1150</v>
      </c>
      <c r="G351" s="35">
        <v>100</v>
      </c>
      <c r="H351" s="43">
        <v>600</v>
      </c>
      <c r="I351" s="35">
        <v>695</v>
      </c>
      <c r="J351" s="35">
        <v>50</v>
      </c>
      <c r="K351" s="36"/>
      <c r="L351" s="36"/>
      <c r="M351" s="36"/>
      <c r="N351" s="36"/>
      <c r="O351" s="36"/>
      <c r="P351" s="36"/>
      <c r="Q351" s="36"/>
      <c r="R351" s="36"/>
      <c r="S351" s="36"/>
      <c r="T351" s="36"/>
    </row>
    <row r="352" spans="1:20" ht="15.75">
      <c r="A352" s="13">
        <v>52231</v>
      </c>
      <c r="B352" s="44">
        <v>31</v>
      </c>
      <c r="C352" s="35">
        <v>122.58</v>
      </c>
      <c r="D352" s="35">
        <v>297.94099999999997</v>
      </c>
      <c r="E352" s="41">
        <v>729.47900000000004</v>
      </c>
      <c r="F352" s="35">
        <v>1150</v>
      </c>
      <c r="G352" s="35">
        <v>100</v>
      </c>
      <c r="H352" s="43">
        <v>600</v>
      </c>
      <c r="I352" s="35">
        <v>695</v>
      </c>
      <c r="J352" s="35">
        <v>50</v>
      </c>
      <c r="K352" s="36"/>
      <c r="L352" s="36"/>
      <c r="M352" s="36"/>
      <c r="N352" s="36"/>
      <c r="O352" s="36"/>
      <c r="P352" s="36"/>
      <c r="Q352" s="36"/>
      <c r="R352" s="36"/>
      <c r="S352" s="36"/>
      <c r="T352" s="36"/>
    </row>
    <row r="353" spans="1:20" ht="15.75">
      <c r="A353" s="13">
        <v>52262</v>
      </c>
      <c r="B353" s="44">
        <v>31</v>
      </c>
      <c r="C353" s="35">
        <v>122.58</v>
      </c>
      <c r="D353" s="35">
        <v>297.94099999999997</v>
      </c>
      <c r="E353" s="41">
        <v>729.47900000000004</v>
      </c>
      <c r="F353" s="35">
        <v>1150</v>
      </c>
      <c r="G353" s="35">
        <v>100</v>
      </c>
      <c r="H353" s="43">
        <v>600</v>
      </c>
      <c r="I353" s="35">
        <v>695</v>
      </c>
      <c r="J353" s="35">
        <v>50</v>
      </c>
      <c r="K353" s="36"/>
      <c r="L353" s="36"/>
      <c r="M353" s="36"/>
      <c r="N353" s="36"/>
      <c r="O353" s="36"/>
      <c r="P353" s="36"/>
      <c r="Q353" s="36"/>
      <c r="R353" s="36"/>
      <c r="S353" s="36"/>
      <c r="T353" s="36"/>
    </row>
    <row r="354" spans="1:20" ht="15.75">
      <c r="A354" s="13">
        <v>52290</v>
      </c>
      <c r="B354" s="44">
        <v>28</v>
      </c>
      <c r="C354" s="35">
        <v>122.58</v>
      </c>
      <c r="D354" s="35">
        <v>297.94099999999997</v>
      </c>
      <c r="E354" s="41">
        <v>729.47900000000004</v>
      </c>
      <c r="F354" s="35">
        <v>1150</v>
      </c>
      <c r="G354" s="35">
        <v>100</v>
      </c>
      <c r="H354" s="43">
        <v>600</v>
      </c>
      <c r="I354" s="35">
        <v>695</v>
      </c>
      <c r="J354" s="35">
        <v>50</v>
      </c>
      <c r="K354" s="36"/>
      <c r="L354" s="36"/>
      <c r="M354" s="36"/>
      <c r="N354" s="36"/>
      <c r="O354" s="36"/>
      <c r="P354" s="36"/>
      <c r="Q354" s="36"/>
      <c r="R354" s="36"/>
      <c r="S354" s="36"/>
      <c r="T354" s="36"/>
    </row>
    <row r="355" spans="1:20" ht="15.75">
      <c r="A355" s="13">
        <v>52321</v>
      </c>
      <c r="B355" s="44">
        <v>31</v>
      </c>
      <c r="C355" s="35">
        <v>122.58</v>
      </c>
      <c r="D355" s="35">
        <v>297.94099999999997</v>
      </c>
      <c r="E355" s="41">
        <v>729.47900000000004</v>
      </c>
      <c r="F355" s="35">
        <v>1150</v>
      </c>
      <c r="G355" s="35">
        <v>100</v>
      </c>
      <c r="H355" s="43">
        <v>600</v>
      </c>
      <c r="I355" s="35">
        <v>695</v>
      </c>
      <c r="J355" s="35">
        <v>50</v>
      </c>
      <c r="K355" s="36"/>
      <c r="L355" s="36"/>
      <c r="M355" s="36"/>
      <c r="N355" s="36"/>
      <c r="O355" s="36"/>
      <c r="P355" s="36"/>
      <c r="Q355" s="36"/>
      <c r="R355" s="36"/>
      <c r="S355" s="36"/>
      <c r="T355" s="36"/>
    </row>
    <row r="356" spans="1:20" ht="15.75">
      <c r="A356" s="13">
        <v>52351</v>
      </c>
      <c r="B356" s="44">
        <v>30</v>
      </c>
      <c r="C356" s="35">
        <v>141.29300000000001</v>
      </c>
      <c r="D356" s="35">
        <v>267.99299999999999</v>
      </c>
      <c r="E356" s="41">
        <v>829.71400000000006</v>
      </c>
      <c r="F356" s="35">
        <v>1239</v>
      </c>
      <c r="G356" s="35">
        <v>100</v>
      </c>
      <c r="H356" s="43">
        <v>600</v>
      </c>
      <c r="I356" s="35">
        <v>695</v>
      </c>
      <c r="J356" s="35">
        <v>50</v>
      </c>
      <c r="K356" s="36"/>
      <c r="L356" s="36"/>
      <c r="M356" s="36"/>
      <c r="N356" s="36"/>
      <c r="O356" s="36"/>
      <c r="P356" s="36"/>
      <c r="Q356" s="36"/>
      <c r="R356" s="36"/>
      <c r="S356" s="36"/>
      <c r="T356" s="36"/>
    </row>
    <row r="357" spans="1:20" ht="15.75">
      <c r="A357" s="13">
        <v>52382</v>
      </c>
      <c r="B357" s="44">
        <v>31</v>
      </c>
      <c r="C357" s="35">
        <v>194.20500000000001</v>
      </c>
      <c r="D357" s="35">
        <v>267.46600000000001</v>
      </c>
      <c r="E357" s="41">
        <v>812.32899999999995</v>
      </c>
      <c r="F357" s="35">
        <v>1274</v>
      </c>
      <c r="G357" s="35">
        <v>75</v>
      </c>
      <c r="H357" s="43">
        <v>600</v>
      </c>
      <c r="I357" s="35">
        <v>695</v>
      </c>
      <c r="J357" s="35">
        <v>50</v>
      </c>
      <c r="K357" s="36"/>
      <c r="L357" s="36"/>
      <c r="M357" s="36"/>
      <c r="N357" s="36"/>
      <c r="O357" s="36"/>
      <c r="P357" s="36"/>
      <c r="Q357" s="36"/>
      <c r="R357" s="36"/>
      <c r="S357" s="36"/>
      <c r="T357" s="36"/>
    </row>
    <row r="358" spans="1:20" ht="15.75">
      <c r="A358" s="13">
        <v>52412</v>
      </c>
      <c r="B358" s="44">
        <v>30</v>
      </c>
      <c r="C358" s="35">
        <v>194.20500000000001</v>
      </c>
      <c r="D358" s="35">
        <v>267.46600000000001</v>
      </c>
      <c r="E358" s="41">
        <v>812.32899999999995</v>
      </c>
      <c r="F358" s="35">
        <v>1274</v>
      </c>
      <c r="G358" s="35">
        <v>50</v>
      </c>
      <c r="H358" s="43">
        <v>600</v>
      </c>
      <c r="I358" s="35">
        <v>695</v>
      </c>
      <c r="J358" s="35">
        <v>50</v>
      </c>
      <c r="K358" s="36"/>
      <c r="L358" s="36"/>
      <c r="M358" s="36"/>
      <c r="N358" s="36"/>
      <c r="O358" s="36"/>
      <c r="P358" s="36"/>
      <c r="Q358" s="36"/>
      <c r="R358" s="36"/>
      <c r="S358" s="36"/>
      <c r="T358" s="36"/>
    </row>
    <row r="359" spans="1:20" ht="15.75">
      <c r="A359" s="13">
        <v>52443</v>
      </c>
      <c r="B359" s="44">
        <v>31</v>
      </c>
      <c r="C359" s="35">
        <v>194.20500000000001</v>
      </c>
      <c r="D359" s="35">
        <v>267.46600000000001</v>
      </c>
      <c r="E359" s="41">
        <v>812.32899999999995</v>
      </c>
      <c r="F359" s="35">
        <v>1274</v>
      </c>
      <c r="G359" s="35">
        <v>50</v>
      </c>
      <c r="H359" s="43">
        <v>600</v>
      </c>
      <c r="I359" s="35">
        <v>695</v>
      </c>
      <c r="J359" s="35">
        <v>0</v>
      </c>
      <c r="K359" s="36"/>
      <c r="L359" s="36"/>
      <c r="M359" s="36"/>
      <c r="N359" s="36"/>
      <c r="O359" s="36"/>
      <c r="P359" s="36"/>
      <c r="Q359" s="36"/>
      <c r="R359" s="36"/>
      <c r="S359" s="36"/>
      <c r="T359" s="36"/>
    </row>
    <row r="360" spans="1:20" ht="15.75">
      <c r="A360" s="13">
        <v>52474</v>
      </c>
      <c r="B360" s="44">
        <v>31</v>
      </c>
      <c r="C360" s="35">
        <v>194.20500000000001</v>
      </c>
      <c r="D360" s="35">
        <v>267.46600000000001</v>
      </c>
      <c r="E360" s="41">
        <v>812.32899999999995</v>
      </c>
      <c r="F360" s="35">
        <v>1274</v>
      </c>
      <c r="G360" s="35">
        <v>50</v>
      </c>
      <c r="H360" s="43">
        <v>600</v>
      </c>
      <c r="I360" s="35">
        <v>695</v>
      </c>
      <c r="J360" s="35">
        <v>0</v>
      </c>
      <c r="K360" s="36"/>
      <c r="L360" s="36"/>
      <c r="M360" s="36"/>
      <c r="N360" s="36"/>
      <c r="O360" s="36"/>
      <c r="P360" s="36"/>
      <c r="Q360" s="36"/>
      <c r="R360" s="36"/>
      <c r="S360" s="36"/>
      <c r="T360" s="36"/>
    </row>
    <row r="361" spans="1:20" ht="15.75">
      <c r="A361" s="13">
        <v>52504</v>
      </c>
      <c r="B361" s="44">
        <v>30</v>
      </c>
      <c r="C361" s="35">
        <v>194.20500000000001</v>
      </c>
      <c r="D361" s="35">
        <v>267.46600000000001</v>
      </c>
      <c r="E361" s="41">
        <v>812.32899999999995</v>
      </c>
      <c r="F361" s="35">
        <v>1274</v>
      </c>
      <c r="G361" s="35">
        <v>50</v>
      </c>
      <c r="H361" s="43">
        <v>600</v>
      </c>
      <c r="I361" s="35">
        <v>695</v>
      </c>
      <c r="J361" s="35">
        <v>0</v>
      </c>
      <c r="K361" s="36"/>
      <c r="L361" s="36"/>
      <c r="M361" s="36"/>
      <c r="N361" s="36"/>
      <c r="O361" s="36"/>
      <c r="P361" s="36"/>
      <c r="Q361" s="36"/>
      <c r="R361" s="36"/>
      <c r="S361" s="36"/>
      <c r="T361" s="36"/>
    </row>
    <row r="362" spans="1:20" ht="15.75">
      <c r="A362" s="13">
        <v>52535</v>
      </c>
      <c r="B362" s="44">
        <v>31</v>
      </c>
      <c r="C362" s="35">
        <v>131.881</v>
      </c>
      <c r="D362" s="35">
        <v>277.16699999999997</v>
      </c>
      <c r="E362" s="41">
        <v>829.952</v>
      </c>
      <c r="F362" s="35">
        <v>1239</v>
      </c>
      <c r="G362" s="35">
        <v>75</v>
      </c>
      <c r="H362" s="43">
        <v>600</v>
      </c>
      <c r="I362" s="35">
        <v>695</v>
      </c>
      <c r="J362" s="35">
        <v>0</v>
      </c>
      <c r="K362" s="36"/>
      <c r="L362" s="36"/>
      <c r="M362" s="36"/>
      <c r="N362" s="36"/>
      <c r="O362" s="36"/>
      <c r="P362" s="36"/>
      <c r="Q362" s="36"/>
      <c r="R362" s="36"/>
      <c r="S362" s="36"/>
      <c r="T362" s="36"/>
    </row>
    <row r="363" spans="1:20" ht="15.75">
      <c r="A363" s="13">
        <v>52565</v>
      </c>
      <c r="B363" s="44">
        <v>30</v>
      </c>
      <c r="C363" s="35">
        <v>122.58</v>
      </c>
      <c r="D363" s="35">
        <v>297.94099999999997</v>
      </c>
      <c r="E363" s="41">
        <v>729.47900000000004</v>
      </c>
      <c r="F363" s="35">
        <v>1150</v>
      </c>
      <c r="G363" s="35">
        <v>100</v>
      </c>
      <c r="H363" s="43">
        <v>600</v>
      </c>
      <c r="I363" s="35">
        <v>695</v>
      </c>
      <c r="J363" s="35">
        <v>50</v>
      </c>
      <c r="K363" s="36"/>
      <c r="L363" s="36"/>
      <c r="M363" s="36"/>
      <c r="N363" s="36"/>
      <c r="O363" s="36"/>
      <c r="P363" s="36"/>
      <c r="Q363" s="36"/>
      <c r="R363" s="36"/>
      <c r="S363" s="36"/>
      <c r="T363" s="36"/>
    </row>
    <row r="364" spans="1:20" ht="15.75">
      <c r="A364" s="13">
        <v>52596</v>
      </c>
      <c r="B364" s="44">
        <v>31</v>
      </c>
      <c r="C364" s="35">
        <v>122.58</v>
      </c>
      <c r="D364" s="35">
        <v>297.94099999999997</v>
      </c>
      <c r="E364" s="41">
        <v>729.47900000000004</v>
      </c>
      <c r="F364" s="35">
        <v>1150</v>
      </c>
      <c r="G364" s="35">
        <v>100</v>
      </c>
      <c r="H364" s="43">
        <v>600</v>
      </c>
      <c r="I364" s="35">
        <v>695</v>
      </c>
      <c r="J364" s="35">
        <v>50</v>
      </c>
      <c r="K364" s="36"/>
      <c r="L364" s="36"/>
      <c r="M364" s="36"/>
      <c r="N364" s="36"/>
      <c r="O364" s="36"/>
      <c r="P364" s="36"/>
      <c r="Q364" s="36"/>
      <c r="R364" s="36"/>
      <c r="S364" s="36"/>
      <c r="T364" s="36"/>
    </row>
    <row r="365" spans="1:20" ht="15.75">
      <c r="A365" s="13">
        <v>52627</v>
      </c>
      <c r="B365" s="44">
        <v>31</v>
      </c>
      <c r="C365" s="35">
        <v>122.58</v>
      </c>
      <c r="D365" s="35">
        <v>297.94099999999997</v>
      </c>
      <c r="E365" s="41">
        <v>729.47900000000004</v>
      </c>
      <c r="F365" s="35">
        <v>1150</v>
      </c>
      <c r="G365" s="35">
        <v>100</v>
      </c>
      <c r="H365" s="43">
        <v>600</v>
      </c>
      <c r="I365" s="35">
        <v>695</v>
      </c>
      <c r="J365" s="35">
        <v>50</v>
      </c>
      <c r="K365" s="36"/>
      <c r="L365" s="36"/>
      <c r="M365" s="36"/>
      <c r="N365" s="36"/>
      <c r="O365" s="36"/>
      <c r="P365" s="36"/>
      <c r="Q365" s="36"/>
      <c r="R365" s="36"/>
      <c r="S365" s="36"/>
      <c r="T365" s="36"/>
    </row>
    <row r="366" spans="1:20" ht="15.75">
      <c r="A366" s="13">
        <v>52655</v>
      </c>
      <c r="B366" s="44">
        <v>29</v>
      </c>
      <c r="C366" s="35">
        <v>122.58</v>
      </c>
      <c r="D366" s="35">
        <v>297.94099999999997</v>
      </c>
      <c r="E366" s="41">
        <v>729.47900000000004</v>
      </c>
      <c r="F366" s="35">
        <v>1150</v>
      </c>
      <c r="G366" s="35">
        <v>100</v>
      </c>
      <c r="H366" s="43">
        <v>600</v>
      </c>
      <c r="I366" s="35">
        <v>695</v>
      </c>
      <c r="J366" s="35">
        <v>50</v>
      </c>
      <c r="K366" s="36"/>
      <c r="L366" s="36"/>
      <c r="M366" s="36"/>
      <c r="N366" s="36"/>
      <c r="O366" s="36"/>
      <c r="P366" s="36"/>
      <c r="Q366" s="36"/>
      <c r="R366" s="36"/>
      <c r="S366" s="36"/>
      <c r="T366" s="36"/>
    </row>
    <row r="367" spans="1:20" ht="15.75">
      <c r="A367" s="13">
        <v>52687</v>
      </c>
      <c r="B367" s="44">
        <v>31</v>
      </c>
      <c r="C367" s="35">
        <v>122.58</v>
      </c>
      <c r="D367" s="35">
        <v>297.94099999999997</v>
      </c>
      <c r="E367" s="41">
        <v>729.47900000000004</v>
      </c>
      <c r="F367" s="35">
        <v>1150</v>
      </c>
      <c r="G367" s="35">
        <v>100</v>
      </c>
      <c r="H367" s="43">
        <v>600</v>
      </c>
      <c r="I367" s="35">
        <v>695</v>
      </c>
      <c r="J367" s="35">
        <v>50</v>
      </c>
      <c r="K367" s="36"/>
      <c r="L367" s="36"/>
      <c r="M367" s="36"/>
      <c r="N367" s="36"/>
      <c r="O367" s="36"/>
      <c r="P367" s="36"/>
      <c r="Q367" s="36"/>
      <c r="R367" s="36"/>
      <c r="S367" s="36"/>
      <c r="T367" s="36"/>
    </row>
    <row r="368" spans="1:20" ht="15.75">
      <c r="A368" s="13">
        <v>52717</v>
      </c>
      <c r="B368" s="44">
        <v>30</v>
      </c>
      <c r="C368" s="35">
        <v>141.29300000000001</v>
      </c>
      <c r="D368" s="35">
        <v>267.99299999999999</v>
      </c>
      <c r="E368" s="41">
        <v>829.71400000000006</v>
      </c>
      <c r="F368" s="35">
        <v>1239</v>
      </c>
      <c r="G368" s="35">
        <v>100</v>
      </c>
      <c r="H368" s="43">
        <v>600</v>
      </c>
      <c r="I368" s="35">
        <v>695</v>
      </c>
      <c r="J368" s="35">
        <v>50</v>
      </c>
      <c r="K368" s="36"/>
      <c r="L368" s="36"/>
      <c r="M368" s="36"/>
      <c r="N368" s="36"/>
      <c r="O368" s="36"/>
      <c r="P368" s="36"/>
      <c r="Q368" s="36"/>
      <c r="R368" s="36"/>
      <c r="S368" s="36"/>
      <c r="T368" s="36"/>
    </row>
    <row r="369" spans="1:20" ht="15.75">
      <c r="A369" s="13">
        <v>52748</v>
      </c>
      <c r="B369" s="44">
        <v>31</v>
      </c>
      <c r="C369" s="35">
        <v>194.20500000000001</v>
      </c>
      <c r="D369" s="35">
        <v>267.46600000000001</v>
      </c>
      <c r="E369" s="41">
        <v>812.32899999999995</v>
      </c>
      <c r="F369" s="35">
        <v>1274</v>
      </c>
      <c r="G369" s="35">
        <v>75</v>
      </c>
      <c r="H369" s="43">
        <v>600</v>
      </c>
      <c r="I369" s="35">
        <v>695</v>
      </c>
      <c r="J369" s="35">
        <v>50</v>
      </c>
      <c r="K369" s="36"/>
      <c r="L369" s="36"/>
      <c r="M369" s="36"/>
      <c r="N369" s="36"/>
      <c r="O369" s="36"/>
      <c r="P369" s="36"/>
      <c r="Q369" s="36"/>
      <c r="R369" s="36"/>
      <c r="S369" s="36"/>
      <c r="T369" s="36"/>
    </row>
    <row r="370" spans="1:20" ht="15.75">
      <c r="A370" s="13">
        <v>52778</v>
      </c>
      <c r="B370" s="44">
        <v>30</v>
      </c>
      <c r="C370" s="35">
        <v>194.20500000000001</v>
      </c>
      <c r="D370" s="35">
        <v>267.46600000000001</v>
      </c>
      <c r="E370" s="41">
        <v>812.32899999999995</v>
      </c>
      <c r="F370" s="35">
        <v>1274</v>
      </c>
      <c r="G370" s="35">
        <v>50</v>
      </c>
      <c r="H370" s="43">
        <v>600</v>
      </c>
      <c r="I370" s="35">
        <v>695</v>
      </c>
      <c r="J370" s="35">
        <v>50</v>
      </c>
      <c r="K370" s="36"/>
      <c r="L370" s="36"/>
      <c r="M370" s="36"/>
      <c r="N370" s="36"/>
      <c r="O370" s="36"/>
      <c r="P370" s="36"/>
      <c r="Q370" s="36"/>
      <c r="R370" s="36"/>
      <c r="S370" s="36"/>
      <c r="T370" s="36"/>
    </row>
    <row r="371" spans="1:20" ht="15.75">
      <c r="A371" s="13">
        <v>52809</v>
      </c>
      <c r="B371" s="44">
        <v>31</v>
      </c>
      <c r="C371" s="35">
        <v>194.20500000000001</v>
      </c>
      <c r="D371" s="35">
        <v>267.46600000000001</v>
      </c>
      <c r="E371" s="41">
        <v>812.32899999999995</v>
      </c>
      <c r="F371" s="35">
        <v>1274</v>
      </c>
      <c r="G371" s="35">
        <v>50</v>
      </c>
      <c r="H371" s="43">
        <v>600</v>
      </c>
      <c r="I371" s="35">
        <v>695</v>
      </c>
      <c r="J371" s="35">
        <v>0</v>
      </c>
      <c r="K371" s="36"/>
      <c r="L371" s="36"/>
      <c r="M371" s="36"/>
      <c r="N371" s="36"/>
      <c r="O371" s="36"/>
      <c r="P371" s="36"/>
      <c r="Q371" s="36"/>
      <c r="R371" s="36"/>
      <c r="S371" s="36"/>
      <c r="T371" s="36"/>
    </row>
    <row r="372" spans="1:20" ht="15.75">
      <c r="A372" s="13">
        <v>52840</v>
      </c>
      <c r="B372" s="44">
        <v>31</v>
      </c>
      <c r="C372" s="35">
        <v>194.20500000000001</v>
      </c>
      <c r="D372" s="35">
        <v>267.46600000000001</v>
      </c>
      <c r="E372" s="41">
        <v>812.32899999999995</v>
      </c>
      <c r="F372" s="35">
        <v>1274</v>
      </c>
      <c r="G372" s="35">
        <v>50</v>
      </c>
      <c r="H372" s="43">
        <v>600</v>
      </c>
      <c r="I372" s="35">
        <v>695</v>
      </c>
      <c r="J372" s="35">
        <v>0</v>
      </c>
      <c r="K372" s="36"/>
      <c r="L372" s="36"/>
      <c r="M372" s="36"/>
      <c r="N372" s="36"/>
      <c r="O372" s="36"/>
      <c r="P372" s="36"/>
      <c r="Q372" s="36"/>
      <c r="R372" s="36"/>
      <c r="S372" s="36"/>
      <c r="T372" s="36"/>
    </row>
    <row r="373" spans="1:20" ht="15.75">
      <c r="A373" s="13">
        <v>52870</v>
      </c>
      <c r="B373" s="44">
        <v>30</v>
      </c>
      <c r="C373" s="35">
        <v>194.20500000000001</v>
      </c>
      <c r="D373" s="35">
        <v>267.46600000000001</v>
      </c>
      <c r="E373" s="41">
        <v>812.32899999999995</v>
      </c>
      <c r="F373" s="35">
        <v>1274</v>
      </c>
      <c r="G373" s="35">
        <v>50</v>
      </c>
      <c r="H373" s="43">
        <v>600</v>
      </c>
      <c r="I373" s="35">
        <v>695</v>
      </c>
      <c r="J373" s="35">
        <v>0</v>
      </c>
      <c r="K373" s="36"/>
      <c r="L373" s="36"/>
      <c r="M373" s="36"/>
      <c r="N373" s="36"/>
      <c r="O373" s="36"/>
      <c r="P373" s="36"/>
      <c r="Q373" s="36"/>
      <c r="R373" s="36"/>
      <c r="S373" s="36"/>
      <c r="T373" s="36"/>
    </row>
    <row r="374" spans="1:20" ht="15.75">
      <c r="A374" s="13">
        <v>52901</v>
      </c>
      <c r="B374" s="44">
        <v>31</v>
      </c>
      <c r="C374" s="35">
        <v>131.881</v>
      </c>
      <c r="D374" s="35">
        <v>277.16699999999997</v>
      </c>
      <c r="E374" s="41">
        <v>829.952</v>
      </c>
      <c r="F374" s="35">
        <v>1239</v>
      </c>
      <c r="G374" s="35">
        <v>75</v>
      </c>
      <c r="H374" s="43">
        <v>600</v>
      </c>
      <c r="I374" s="35">
        <v>695</v>
      </c>
      <c r="J374" s="35">
        <v>0</v>
      </c>
      <c r="K374" s="36"/>
      <c r="L374" s="36"/>
      <c r="M374" s="36"/>
      <c r="N374" s="36"/>
      <c r="O374" s="36"/>
      <c r="P374" s="36"/>
      <c r="Q374" s="36"/>
      <c r="R374" s="36"/>
      <c r="S374" s="36"/>
      <c r="T374" s="36"/>
    </row>
    <row r="375" spans="1:20" ht="15.75">
      <c r="A375" s="13">
        <v>52931</v>
      </c>
      <c r="B375" s="44">
        <v>30</v>
      </c>
      <c r="C375" s="35">
        <v>122.58</v>
      </c>
      <c r="D375" s="35">
        <v>297.94099999999997</v>
      </c>
      <c r="E375" s="41">
        <v>729.47900000000004</v>
      </c>
      <c r="F375" s="35">
        <v>1150</v>
      </c>
      <c r="G375" s="35">
        <v>100</v>
      </c>
      <c r="H375" s="43">
        <v>600</v>
      </c>
      <c r="I375" s="35">
        <v>695</v>
      </c>
      <c r="J375" s="35">
        <v>50</v>
      </c>
      <c r="K375" s="36"/>
      <c r="L375" s="36"/>
      <c r="M375" s="36"/>
      <c r="N375" s="36"/>
      <c r="O375" s="36"/>
      <c r="P375" s="36"/>
      <c r="Q375" s="36"/>
      <c r="R375" s="36"/>
      <c r="S375" s="36"/>
      <c r="T375" s="36"/>
    </row>
    <row r="376" spans="1:20" ht="15.75">
      <c r="A376" s="13">
        <v>52962</v>
      </c>
      <c r="B376" s="44">
        <v>31</v>
      </c>
      <c r="C376" s="35">
        <v>122.58</v>
      </c>
      <c r="D376" s="35">
        <v>297.94099999999997</v>
      </c>
      <c r="E376" s="41">
        <v>729.47900000000004</v>
      </c>
      <c r="F376" s="35">
        <v>1150</v>
      </c>
      <c r="G376" s="35">
        <v>100</v>
      </c>
      <c r="H376" s="43">
        <v>600</v>
      </c>
      <c r="I376" s="35">
        <v>695</v>
      </c>
      <c r="J376" s="35">
        <v>50</v>
      </c>
      <c r="K376" s="36"/>
      <c r="L376" s="36"/>
      <c r="M376" s="36"/>
      <c r="N376" s="36"/>
      <c r="O376" s="36"/>
      <c r="P376" s="36"/>
      <c r="Q376" s="36"/>
      <c r="R376" s="36"/>
      <c r="S376" s="36"/>
      <c r="T376" s="36"/>
    </row>
    <row r="377" spans="1:20" ht="15.75">
      <c r="A377" s="13">
        <v>52993</v>
      </c>
      <c r="B377" s="44">
        <v>31</v>
      </c>
      <c r="C377" s="35">
        <v>122.58</v>
      </c>
      <c r="D377" s="35">
        <v>297.94099999999997</v>
      </c>
      <c r="E377" s="41">
        <v>729.47900000000004</v>
      </c>
      <c r="F377" s="35">
        <v>1150</v>
      </c>
      <c r="G377" s="35">
        <v>100</v>
      </c>
      <c r="H377" s="43">
        <v>600</v>
      </c>
      <c r="I377" s="35">
        <v>695</v>
      </c>
      <c r="J377" s="35">
        <v>50</v>
      </c>
      <c r="K377" s="36"/>
      <c r="L377" s="36"/>
      <c r="M377" s="36"/>
      <c r="N377" s="36"/>
      <c r="O377" s="36"/>
      <c r="P377" s="36"/>
      <c r="Q377" s="36"/>
      <c r="R377" s="36"/>
      <c r="S377" s="36"/>
      <c r="T377" s="36"/>
    </row>
    <row r="378" spans="1:20" ht="15.75">
      <c r="A378" s="13">
        <v>53021</v>
      </c>
      <c r="B378" s="44">
        <v>28</v>
      </c>
      <c r="C378" s="35">
        <v>122.58</v>
      </c>
      <c r="D378" s="35">
        <v>297.94099999999997</v>
      </c>
      <c r="E378" s="41">
        <v>729.47900000000004</v>
      </c>
      <c r="F378" s="35">
        <v>1150</v>
      </c>
      <c r="G378" s="35">
        <v>100</v>
      </c>
      <c r="H378" s="43">
        <v>600</v>
      </c>
      <c r="I378" s="35">
        <v>695</v>
      </c>
      <c r="J378" s="35">
        <v>50</v>
      </c>
      <c r="K378" s="36"/>
      <c r="L378" s="36"/>
      <c r="M378" s="36"/>
      <c r="N378" s="36"/>
      <c r="O378" s="36"/>
      <c r="P378" s="36"/>
      <c r="Q378" s="36"/>
      <c r="R378" s="36"/>
      <c r="S378" s="36"/>
      <c r="T378" s="36"/>
    </row>
    <row r="379" spans="1:20" ht="15.75">
      <c r="A379" s="13">
        <v>53052</v>
      </c>
      <c r="B379" s="44">
        <v>31</v>
      </c>
      <c r="C379" s="35">
        <v>122.58</v>
      </c>
      <c r="D379" s="35">
        <v>297.94099999999997</v>
      </c>
      <c r="E379" s="41">
        <v>729.47900000000004</v>
      </c>
      <c r="F379" s="35">
        <v>1150</v>
      </c>
      <c r="G379" s="35">
        <v>100</v>
      </c>
      <c r="H379" s="43">
        <v>600</v>
      </c>
      <c r="I379" s="35">
        <v>695</v>
      </c>
      <c r="J379" s="35">
        <v>50</v>
      </c>
      <c r="K379" s="36"/>
      <c r="L379" s="36"/>
      <c r="M379" s="36"/>
      <c r="N379" s="36"/>
      <c r="O379" s="36"/>
      <c r="P379" s="36"/>
      <c r="Q379" s="36"/>
      <c r="R379" s="36"/>
      <c r="S379" s="36"/>
      <c r="T379" s="36"/>
    </row>
    <row r="380" spans="1:20" ht="15.75">
      <c r="A380" s="13">
        <v>53082</v>
      </c>
      <c r="B380" s="44">
        <v>30</v>
      </c>
      <c r="C380" s="35">
        <v>141.29300000000001</v>
      </c>
      <c r="D380" s="35">
        <v>267.99299999999999</v>
      </c>
      <c r="E380" s="41">
        <v>829.71400000000006</v>
      </c>
      <c r="F380" s="35">
        <v>1239</v>
      </c>
      <c r="G380" s="35">
        <v>100</v>
      </c>
      <c r="H380" s="43">
        <v>600</v>
      </c>
      <c r="I380" s="35">
        <v>695</v>
      </c>
      <c r="J380" s="35">
        <v>50</v>
      </c>
      <c r="K380" s="36"/>
      <c r="L380" s="36"/>
      <c r="M380" s="36"/>
      <c r="N380" s="36"/>
      <c r="O380" s="36"/>
      <c r="P380" s="36"/>
      <c r="Q380" s="36"/>
      <c r="R380" s="36"/>
      <c r="S380" s="36"/>
      <c r="T380" s="36"/>
    </row>
    <row r="381" spans="1:20" ht="15.75">
      <c r="A381" s="13">
        <v>53113</v>
      </c>
      <c r="B381" s="44">
        <v>31</v>
      </c>
      <c r="C381" s="35">
        <v>194.20500000000001</v>
      </c>
      <c r="D381" s="35">
        <v>267.46600000000001</v>
      </c>
      <c r="E381" s="41">
        <v>812.32899999999995</v>
      </c>
      <c r="F381" s="35">
        <v>1274</v>
      </c>
      <c r="G381" s="35">
        <v>75</v>
      </c>
      <c r="H381" s="43">
        <v>600</v>
      </c>
      <c r="I381" s="35">
        <v>695</v>
      </c>
      <c r="J381" s="35">
        <v>50</v>
      </c>
      <c r="K381" s="36"/>
      <c r="L381" s="36"/>
      <c r="M381" s="36"/>
      <c r="N381" s="36"/>
      <c r="O381" s="36"/>
      <c r="P381" s="36"/>
      <c r="Q381" s="36"/>
      <c r="R381" s="36"/>
      <c r="S381" s="36"/>
      <c r="T381" s="36"/>
    </row>
    <row r="382" spans="1:20" ht="15.75">
      <c r="A382" s="13">
        <v>53143</v>
      </c>
      <c r="B382" s="44">
        <v>30</v>
      </c>
      <c r="C382" s="35">
        <v>194.20500000000001</v>
      </c>
      <c r="D382" s="35">
        <v>267.46600000000001</v>
      </c>
      <c r="E382" s="41">
        <v>812.32899999999995</v>
      </c>
      <c r="F382" s="35">
        <v>1274</v>
      </c>
      <c r="G382" s="35">
        <v>50</v>
      </c>
      <c r="H382" s="43">
        <v>600</v>
      </c>
      <c r="I382" s="35">
        <v>695</v>
      </c>
      <c r="J382" s="35">
        <v>50</v>
      </c>
      <c r="K382" s="36"/>
      <c r="L382" s="36"/>
      <c r="M382" s="36"/>
      <c r="N382" s="36"/>
      <c r="O382" s="36"/>
      <c r="P382" s="36"/>
      <c r="Q382" s="36"/>
      <c r="R382" s="36"/>
      <c r="S382" s="36"/>
      <c r="T382" s="36"/>
    </row>
    <row r="383" spans="1:20" ht="15.75">
      <c r="A383" s="13">
        <v>53174</v>
      </c>
      <c r="B383" s="44">
        <v>31</v>
      </c>
      <c r="C383" s="35">
        <v>194.20500000000001</v>
      </c>
      <c r="D383" s="35">
        <v>267.46600000000001</v>
      </c>
      <c r="E383" s="41">
        <v>812.32899999999995</v>
      </c>
      <c r="F383" s="35">
        <v>1274</v>
      </c>
      <c r="G383" s="35">
        <v>50</v>
      </c>
      <c r="H383" s="43">
        <v>600</v>
      </c>
      <c r="I383" s="35">
        <v>695</v>
      </c>
      <c r="J383" s="35">
        <v>0</v>
      </c>
      <c r="K383" s="36"/>
      <c r="L383" s="36"/>
      <c r="M383" s="36"/>
      <c r="N383" s="36"/>
      <c r="O383" s="36"/>
      <c r="P383" s="36"/>
      <c r="Q383" s="36"/>
      <c r="R383" s="36"/>
      <c r="S383" s="36"/>
      <c r="T383" s="36"/>
    </row>
    <row r="384" spans="1:20" ht="15.75">
      <c r="A384" s="13">
        <v>53205</v>
      </c>
      <c r="B384" s="44">
        <v>31</v>
      </c>
      <c r="C384" s="35">
        <v>194.20500000000001</v>
      </c>
      <c r="D384" s="35">
        <v>267.46600000000001</v>
      </c>
      <c r="E384" s="41">
        <v>812.32899999999995</v>
      </c>
      <c r="F384" s="35">
        <v>1274</v>
      </c>
      <c r="G384" s="35">
        <v>50</v>
      </c>
      <c r="H384" s="43">
        <v>600</v>
      </c>
      <c r="I384" s="35">
        <v>695</v>
      </c>
      <c r="J384" s="35">
        <v>0</v>
      </c>
      <c r="K384" s="36"/>
      <c r="L384" s="36"/>
      <c r="M384" s="36"/>
      <c r="N384" s="36"/>
      <c r="O384" s="36"/>
      <c r="P384" s="36"/>
      <c r="Q384" s="36"/>
      <c r="R384" s="36"/>
      <c r="S384" s="36"/>
      <c r="T384" s="36"/>
    </row>
    <row r="385" spans="1:20" ht="15.75">
      <c r="A385" s="13">
        <v>53235</v>
      </c>
      <c r="B385" s="44">
        <v>30</v>
      </c>
      <c r="C385" s="35">
        <v>194.20500000000001</v>
      </c>
      <c r="D385" s="35">
        <v>267.46600000000001</v>
      </c>
      <c r="E385" s="41">
        <v>812.32899999999995</v>
      </c>
      <c r="F385" s="35">
        <v>1274</v>
      </c>
      <c r="G385" s="35">
        <v>50</v>
      </c>
      <c r="H385" s="43">
        <v>600</v>
      </c>
      <c r="I385" s="35">
        <v>695</v>
      </c>
      <c r="J385" s="35">
        <v>0</v>
      </c>
      <c r="K385" s="36"/>
      <c r="L385" s="36"/>
      <c r="M385" s="36"/>
      <c r="N385" s="36"/>
      <c r="O385" s="36"/>
      <c r="P385" s="36"/>
      <c r="Q385" s="36"/>
      <c r="R385" s="36"/>
      <c r="S385" s="36"/>
      <c r="T385" s="36"/>
    </row>
    <row r="386" spans="1:20" ht="15.75">
      <c r="A386" s="13">
        <v>53266</v>
      </c>
      <c r="B386" s="44">
        <v>31</v>
      </c>
      <c r="C386" s="35">
        <v>131.881</v>
      </c>
      <c r="D386" s="35">
        <v>277.16699999999997</v>
      </c>
      <c r="E386" s="41">
        <v>829.952</v>
      </c>
      <c r="F386" s="35">
        <v>1239</v>
      </c>
      <c r="G386" s="35">
        <v>75</v>
      </c>
      <c r="H386" s="43">
        <v>600</v>
      </c>
      <c r="I386" s="35">
        <v>695</v>
      </c>
      <c r="J386" s="35">
        <v>0</v>
      </c>
      <c r="K386" s="36"/>
      <c r="L386" s="36"/>
      <c r="M386" s="36"/>
      <c r="N386" s="36"/>
      <c r="O386" s="36"/>
      <c r="P386" s="36"/>
      <c r="Q386" s="36"/>
      <c r="R386" s="36"/>
      <c r="S386" s="36"/>
      <c r="T386" s="36"/>
    </row>
    <row r="387" spans="1:20" ht="15.75">
      <c r="A387" s="13">
        <v>53296</v>
      </c>
      <c r="B387" s="44">
        <v>30</v>
      </c>
      <c r="C387" s="35">
        <v>122.58</v>
      </c>
      <c r="D387" s="35">
        <v>297.94099999999997</v>
      </c>
      <c r="E387" s="41">
        <v>729.47900000000004</v>
      </c>
      <c r="F387" s="35">
        <v>1150</v>
      </c>
      <c r="G387" s="35">
        <v>100</v>
      </c>
      <c r="H387" s="43">
        <v>600</v>
      </c>
      <c r="I387" s="35">
        <v>695</v>
      </c>
      <c r="J387" s="35">
        <v>50</v>
      </c>
      <c r="K387" s="36"/>
      <c r="L387" s="36"/>
      <c r="M387" s="36"/>
      <c r="N387" s="36"/>
      <c r="O387" s="36"/>
      <c r="P387" s="36"/>
      <c r="Q387" s="36"/>
      <c r="R387" s="36"/>
      <c r="S387" s="36"/>
      <c r="T387" s="36"/>
    </row>
    <row r="388" spans="1:20" ht="15.75">
      <c r="A388" s="13">
        <v>53327</v>
      </c>
      <c r="B388" s="44">
        <v>31</v>
      </c>
      <c r="C388" s="35">
        <v>122.58</v>
      </c>
      <c r="D388" s="35">
        <v>297.94099999999997</v>
      </c>
      <c r="E388" s="41">
        <v>729.47900000000004</v>
      </c>
      <c r="F388" s="35">
        <v>1150</v>
      </c>
      <c r="G388" s="35">
        <v>100</v>
      </c>
      <c r="H388" s="43">
        <v>600</v>
      </c>
      <c r="I388" s="35">
        <v>695</v>
      </c>
      <c r="J388" s="35">
        <v>50</v>
      </c>
      <c r="K388" s="36"/>
      <c r="L388" s="36"/>
      <c r="M388" s="36"/>
      <c r="N388" s="36"/>
      <c r="O388" s="36"/>
      <c r="P388" s="36"/>
      <c r="Q388" s="36"/>
      <c r="R388" s="36"/>
      <c r="S388" s="36"/>
      <c r="T388" s="36"/>
    </row>
    <row r="389" spans="1:20" ht="15.75">
      <c r="A389" s="13">
        <v>53358</v>
      </c>
      <c r="B389" s="44">
        <v>31</v>
      </c>
      <c r="C389" s="35">
        <v>122.58</v>
      </c>
      <c r="D389" s="35">
        <v>297.94099999999997</v>
      </c>
      <c r="E389" s="41">
        <v>729.47900000000004</v>
      </c>
      <c r="F389" s="35">
        <v>1150</v>
      </c>
      <c r="G389" s="35">
        <v>100</v>
      </c>
      <c r="H389" s="43">
        <v>600</v>
      </c>
      <c r="I389" s="35">
        <v>695</v>
      </c>
      <c r="J389" s="35">
        <v>50</v>
      </c>
      <c r="K389" s="36"/>
      <c r="L389" s="36"/>
      <c r="M389" s="36"/>
      <c r="N389" s="36"/>
      <c r="O389" s="36"/>
      <c r="P389" s="36"/>
      <c r="Q389" s="36"/>
      <c r="R389" s="36"/>
      <c r="S389" s="36"/>
      <c r="T389" s="36"/>
    </row>
    <row r="390" spans="1:20" ht="15.75">
      <c r="A390" s="13">
        <v>53386</v>
      </c>
      <c r="B390" s="44">
        <v>28</v>
      </c>
      <c r="C390" s="35">
        <v>122.58</v>
      </c>
      <c r="D390" s="35">
        <v>297.94099999999997</v>
      </c>
      <c r="E390" s="41">
        <v>729.47900000000004</v>
      </c>
      <c r="F390" s="35">
        <v>1150</v>
      </c>
      <c r="G390" s="35">
        <v>100</v>
      </c>
      <c r="H390" s="43">
        <v>600</v>
      </c>
      <c r="I390" s="35">
        <v>695</v>
      </c>
      <c r="J390" s="35">
        <v>50</v>
      </c>
      <c r="K390" s="36"/>
      <c r="L390" s="36"/>
      <c r="M390" s="36"/>
      <c r="N390" s="36"/>
      <c r="O390" s="36"/>
      <c r="P390" s="36"/>
      <c r="Q390" s="36"/>
      <c r="R390" s="36"/>
      <c r="S390" s="36"/>
      <c r="T390" s="36"/>
    </row>
    <row r="391" spans="1:20" ht="15.75">
      <c r="A391" s="13">
        <v>53417</v>
      </c>
      <c r="B391" s="44">
        <v>31</v>
      </c>
      <c r="C391" s="35">
        <v>122.58</v>
      </c>
      <c r="D391" s="35">
        <v>297.94099999999997</v>
      </c>
      <c r="E391" s="41">
        <v>729.47900000000004</v>
      </c>
      <c r="F391" s="35">
        <v>1150</v>
      </c>
      <c r="G391" s="35">
        <v>100</v>
      </c>
      <c r="H391" s="43">
        <v>600</v>
      </c>
      <c r="I391" s="35">
        <v>695</v>
      </c>
      <c r="J391" s="35">
        <v>50</v>
      </c>
      <c r="K391" s="36"/>
      <c r="L391" s="36"/>
      <c r="M391" s="36"/>
      <c r="N391" s="36"/>
      <c r="O391" s="36"/>
      <c r="P391" s="36"/>
      <c r="Q391" s="36"/>
      <c r="R391" s="36"/>
      <c r="S391" s="36"/>
      <c r="T391" s="36"/>
    </row>
    <row r="392" spans="1:20" ht="15.75">
      <c r="A392" s="13">
        <v>53447</v>
      </c>
      <c r="B392" s="44">
        <v>30</v>
      </c>
      <c r="C392" s="35">
        <v>141.29300000000001</v>
      </c>
      <c r="D392" s="35">
        <v>267.99299999999999</v>
      </c>
      <c r="E392" s="41">
        <v>829.71400000000006</v>
      </c>
      <c r="F392" s="35">
        <v>1239</v>
      </c>
      <c r="G392" s="35">
        <v>100</v>
      </c>
      <c r="H392" s="43">
        <v>600</v>
      </c>
      <c r="I392" s="35">
        <v>695</v>
      </c>
      <c r="J392" s="35">
        <v>50</v>
      </c>
      <c r="K392" s="36"/>
      <c r="L392" s="36"/>
      <c r="M392" s="36"/>
      <c r="N392" s="36"/>
      <c r="O392" s="36"/>
      <c r="P392" s="36"/>
      <c r="Q392" s="36"/>
      <c r="R392" s="36"/>
      <c r="S392" s="36"/>
      <c r="T392" s="36"/>
    </row>
    <row r="393" spans="1:20" ht="15.75">
      <c r="A393" s="13">
        <v>53478</v>
      </c>
      <c r="B393" s="44">
        <v>31</v>
      </c>
      <c r="C393" s="35">
        <v>194.20500000000001</v>
      </c>
      <c r="D393" s="35">
        <v>267.46600000000001</v>
      </c>
      <c r="E393" s="41">
        <v>812.32899999999995</v>
      </c>
      <c r="F393" s="35">
        <v>1274</v>
      </c>
      <c r="G393" s="35">
        <v>75</v>
      </c>
      <c r="H393" s="43">
        <v>600</v>
      </c>
      <c r="I393" s="35">
        <v>695</v>
      </c>
      <c r="J393" s="35">
        <v>50</v>
      </c>
      <c r="K393" s="36"/>
      <c r="L393" s="36"/>
      <c r="M393" s="36"/>
      <c r="N393" s="36"/>
      <c r="O393" s="36"/>
      <c r="P393" s="36"/>
      <c r="Q393" s="36"/>
      <c r="R393" s="36"/>
      <c r="S393" s="36"/>
      <c r="T393" s="36"/>
    </row>
    <row r="394" spans="1:20" ht="15.75">
      <c r="A394" s="13">
        <v>53508</v>
      </c>
      <c r="B394" s="44">
        <v>30</v>
      </c>
      <c r="C394" s="35">
        <v>194.20500000000001</v>
      </c>
      <c r="D394" s="35">
        <v>267.46600000000001</v>
      </c>
      <c r="E394" s="41">
        <v>812.32899999999995</v>
      </c>
      <c r="F394" s="35">
        <v>1274</v>
      </c>
      <c r="G394" s="35">
        <v>50</v>
      </c>
      <c r="H394" s="43">
        <v>600</v>
      </c>
      <c r="I394" s="35">
        <v>695</v>
      </c>
      <c r="J394" s="35">
        <v>50</v>
      </c>
      <c r="K394" s="36"/>
      <c r="L394" s="36"/>
      <c r="M394" s="36"/>
      <c r="N394" s="36"/>
      <c r="O394" s="36"/>
      <c r="P394" s="36"/>
      <c r="Q394" s="36"/>
      <c r="R394" s="36"/>
      <c r="S394" s="36"/>
      <c r="T394" s="36"/>
    </row>
    <row r="395" spans="1:20" ht="15.75">
      <c r="A395" s="13">
        <v>53539</v>
      </c>
      <c r="B395" s="44">
        <v>31</v>
      </c>
      <c r="C395" s="35">
        <v>194.20500000000001</v>
      </c>
      <c r="D395" s="35">
        <v>267.46600000000001</v>
      </c>
      <c r="E395" s="41">
        <v>812.32899999999995</v>
      </c>
      <c r="F395" s="35">
        <v>1274</v>
      </c>
      <c r="G395" s="35">
        <v>50</v>
      </c>
      <c r="H395" s="43">
        <v>600</v>
      </c>
      <c r="I395" s="35">
        <v>695</v>
      </c>
      <c r="J395" s="35">
        <v>0</v>
      </c>
      <c r="K395" s="36"/>
      <c r="L395" s="36"/>
      <c r="M395" s="36"/>
      <c r="N395" s="36"/>
      <c r="O395" s="36"/>
      <c r="P395" s="36"/>
      <c r="Q395" s="36"/>
      <c r="R395" s="36"/>
      <c r="S395" s="36"/>
      <c r="T395" s="36"/>
    </row>
    <row r="396" spans="1:20" ht="15.75">
      <c r="A396" s="13">
        <v>53570</v>
      </c>
      <c r="B396" s="44">
        <v>31</v>
      </c>
      <c r="C396" s="35">
        <v>194.20500000000001</v>
      </c>
      <c r="D396" s="35">
        <v>267.46600000000001</v>
      </c>
      <c r="E396" s="41">
        <v>812.32899999999995</v>
      </c>
      <c r="F396" s="35">
        <v>1274</v>
      </c>
      <c r="G396" s="35">
        <v>50</v>
      </c>
      <c r="H396" s="43">
        <v>600</v>
      </c>
      <c r="I396" s="35">
        <v>695</v>
      </c>
      <c r="J396" s="35">
        <v>0</v>
      </c>
      <c r="K396" s="36"/>
      <c r="L396" s="36"/>
      <c r="M396" s="36"/>
      <c r="N396" s="36"/>
      <c r="O396" s="36"/>
      <c r="P396" s="36"/>
      <c r="Q396" s="36"/>
      <c r="R396" s="36"/>
      <c r="S396" s="36"/>
      <c r="T396" s="36"/>
    </row>
    <row r="397" spans="1:20" ht="15.75">
      <c r="A397" s="13">
        <v>53600</v>
      </c>
      <c r="B397" s="44">
        <v>30</v>
      </c>
      <c r="C397" s="35">
        <v>194.20500000000001</v>
      </c>
      <c r="D397" s="35">
        <v>267.46600000000001</v>
      </c>
      <c r="E397" s="41">
        <v>812.32899999999995</v>
      </c>
      <c r="F397" s="35">
        <v>1274</v>
      </c>
      <c r="G397" s="35">
        <v>50</v>
      </c>
      <c r="H397" s="43">
        <v>600</v>
      </c>
      <c r="I397" s="35">
        <v>695</v>
      </c>
      <c r="J397" s="35">
        <v>0</v>
      </c>
      <c r="K397" s="36"/>
      <c r="L397" s="36"/>
      <c r="M397" s="36"/>
      <c r="N397" s="36"/>
      <c r="O397" s="36"/>
      <c r="P397" s="36"/>
      <c r="Q397" s="36"/>
      <c r="R397" s="36"/>
      <c r="S397" s="36"/>
      <c r="T397" s="36"/>
    </row>
    <row r="398" spans="1:20" ht="15.75">
      <c r="A398" s="13">
        <v>53631</v>
      </c>
      <c r="B398" s="44">
        <v>31</v>
      </c>
      <c r="C398" s="35">
        <v>131.881</v>
      </c>
      <c r="D398" s="35">
        <v>277.16699999999997</v>
      </c>
      <c r="E398" s="41">
        <v>829.952</v>
      </c>
      <c r="F398" s="35">
        <v>1239</v>
      </c>
      <c r="G398" s="35">
        <v>75</v>
      </c>
      <c r="H398" s="43">
        <v>600</v>
      </c>
      <c r="I398" s="35">
        <v>695</v>
      </c>
      <c r="J398" s="35">
        <v>0</v>
      </c>
      <c r="K398" s="36"/>
      <c r="L398" s="36"/>
      <c r="M398" s="36"/>
      <c r="N398" s="36"/>
      <c r="O398" s="36"/>
      <c r="P398" s="36"/>
      <c r="Q398" s="36"/>
      <c r="R398" s="36"/>
      <c r="S398" s="36"/>
      <c r="T398" s="36"/>
    </row>
    <row r="399" spans="1:20" ht="15.75">
      <c r="A399" s="13">
        <v>53661</v>
      </c>
      <c r="B399" s="44">
        <v>30</v>
      </c>
      <c r="C399" s="35">
        <v>122.58</v>
      </c>
      <c r="D399" s="35">
        <v>297.94099999999997</v>
      </c>
      <c r="E399" s="41">
        <v>729.47900000000004</v>
      </c>
      <c r="F399" s="35">
        <v>1150</v>
      </c>
      <c r="G399" s="35">
        <v>100</v>
      </c>
      <c r="H399" s="43">
        <v>600</v>
      </c>
      <c r="I399" s="35">
        <v>695</v>
      </c>
      <c r="J399" s="35">
        <v>50</v>
      </c>
      <c r="K399" s="36"/>
      <c r="L399" s="36"/>
      <c r="M399" s="36"/>
      <c r="N399" s="36"/>
      <c r="O399" s="36"/>
      <c r="P399" s="36"/>
      <c r="Q399" s="36"/>
      <c r="R399" s="36"/>
      <c r="S399" s="36"/>
      <c r="T399" s="36"/>
    </row>
    <row r="400" spans="1:20" ht="15.75">
      <c r="A400" s="13">
        <v>53692</v>
      </c>
      <c r="B400" s="44">
        <v>31</v>
      </c>
      <c r="C400" s="35">
        <v>122.58</v>
      </c>
      <c r="D400" s="35">
        <v>297.94099999999997</v>
      </c>
      <c r="E400" s="41">
        <v>729.47900000000004</v>
      </c>
      <c r="F400" s="35">
        <v>1150</v>
      </c>
      <c r="G400" s="35">
        <v>100</v>
      </c>
      <c r="H400" s="43">
        <v>600</v>
      </c>
      <c r="I400" s="35">
        <v>695</v>
      </c>
      <c r="J400" s="35">
        <v>50</v>
      </c>
      <c r="K400" s="36"/>
      <c r="L400" s="36"/>
      <c r="M400" s="36"/>
      <c r="N400" s="36"/>
      <c r="O400" s="36"/>
      <c r="P400" s="36"/>
      <c r="Q400" s="36"/>
      <c r="R400" s="36"/>
      <c r="S400" s="36"/>
      <c r="T400" s="36"/>
    </row>
    <row r="401" spans="1:20" ht="15.75">
      <c r="A401" s="13">
        <v>53723</v>
      </c>
      <c r="B401" s="44">
        <v>31</v>
      </c>
      <c r="C401" s="35">
        <v>122.58</v>
      </c>
      <c r="D401" s="35">
        <v>297.94099999999997</v>
      </c>
      <c r="E401" s="41">
        <v>729.47900000000004</v>
      </c>
      <c r="F401" s="35">
        <v>1150</v>
      </c>
      <c r="G401" s="35">
        <v>100</v>
      </c>
      <c r="H401" s="43">
        <v>600</v>
      </c>
      <c r="I401" s="35">
        <v>695</v>
      </c>
      <c r="J401" s="35">
        <v>50</v>
      </c>
      <c r="K401" s="36"/>
      <c r="L401" s="36"/>
      <c r="M401" s="36"/>
      <c r="N401" s="36"/>
      <c r="O401" s="36"/>
      <c r="P401" s="36"/>
      <c r="Q401" s="36"/>
      <c r="R401" s="36"/>
      <c r="S401" s="36"/>
      <c r="T401" s="36"/>
    </row>
    <row r="402" spans="1:20" ht="15.75">
      <c r="A402" s="13">
        <v>53751</v>
      </c>
      <c r="B402" s="44">
        <v>28</v>
      </c>
      <c r="C402" s="35">
        <v>122.58</v>
      </c>
      <c r="D402" s="35">
        <v>297.94099999999997</v>
      </c>
      <c r="E402" s="41">
        <v>729.47900000000004</v>
      </c>
      <c r="F402" s="35">
        <v>1150</v>
      </c>
      <c r="G402" s="35">
        <v>100</v>
      </c>
      <c r="H402" s="43">
        <v>600</v>
      </c>
      <c r="I402" s="35">
        <v>695</v>
      </c>
      <c r="J402" s="35">
        <v>50</v>
      </c>
      <c r="K402" s="36"/>
      <c r="L402" s="36"/>
      <c r="M402" s="36"/>
      <c r="N402" s="36"/>
      <c r="O402" s="36"/>
      <c r="P402" s="36"/>
      <c r="Q402" s="36"/>
      <c r="R402" s="36"/>
      <c r="S402" s="36"/>
      <c r="T402" s="36"/>
    </row>
    <row r="403" spans="1:20" ht="15.75">
      <c r="A403" s="13">
        <v>53782</v>
      </c>
      <c r="B403" s="44">
        <v>31</v>
      </c>
      <c r="C403" s="35">
        <v>122.58</v>
      </c>
      <c r="D403" s="35">
        <v>297.94099999999997</v>
      </c>
      <c r="E403" s="41">
        <v>729.47900000000004</v>
      </c>
      <c r="F403" s="35">
        <v>1150</v>
      </c>
      <c r="G403" s="35">
        <v>100</v>
      </c>
      <c r="H403" s="43">
        <v>600</v>
      </c>
      <c r="I403" s="35">
        <v>695</v>
      </c>
      <c r="J403" s="35">
        <v>50</v>
      </c>
      <c r="K403" s="36"/>
      <c r="L403" s="36"/>
      <c r="M403" s="36"/>
      <c r="N403" s="36"/>
      <c r="O403" s="36"/>
      <c r="P403" s="36"/>
      <c r="Q403" s="36"/>
      <c r="R403" s="36"/>
      <c r="S403" s="36"/>
      <c r="T403" s="36"/>
    </row>
    <row r="404" spans="1:20" ht="15.75">
      <c r="A404" s="13">
        <v>53812</v>
      </c>
      <c r="B404" s="44">
        <v>30</v>
      </c>
      <c r="C404" s="35">
        <v>141.29300000000001</v>
      </c>
      <c r="D404" s="35">
        <v>267.99299999999999</v>
      </c>
      <c r="E404" s="41">
        <v>829.71400000000006</v>
      </c>
      <c r="F404" s="35">
        <v>1239</v>
      </c>
      <c r="G404" s="35">
        <v>100</v>
      </c>
      <c r="H404" s="43">
        <v>600</v>
      </c>
      <c r="I404" s="35">
        <v>695</v>
      </c>
      <c r="J404" s="35">
        <v>50</v>
      </c>
      <c r="K404" s="36"/>
      <c r="L404" s="36"/>
      <c r="M404" s="36"/>
      <c r="N404" s="36"/>
      <c r="O404" s="36"/>
      <c r="P404" s="36"/>
      <c r="Q404" s="36"/>
      <c r="R404" s="36"/>
      <c r="S404" s="36"/>
      <c r="T404" s="36"/>
    </row>
    <row r="405" spans="1:20" ht="15.75">
      <c r="A405" s="13">
        <v>53843</v>
      </c>
      <c r="B405" s="44">
        <v>31</v>
      </c>
      <c r="C405" s="35">
        <v>194.20500000000001</v>
      </c>
      <c r="D405" s="35">
        <v>267.46600000000001</v>
      </c>
      <c r="E405" s="41">
        <v>812.32899999999995</v>
      </c>
      <c r="F405" s="35">
        <v>1274</v>
      </c>
      <c r="G405" s="35">
        <v>75</v>
      </c>
      <c r="H405" s="43">
        <v>600</v>
      </c>
      <c r="I405" s="35">
        <v>695</v>
      </c>
      <c r="J405" s="35">
        <v>50</v>
      </c>
      <c r="K405" s="36"/>
      <c r="L405" s="36"/>
      <c r="M405" s="36"/>
      <c r="N405" s="36"/>
      <c r="O405" s="36"/>
      <c r="P405" s="36"/>
      <c r="Q405" s="36"/>
      <c r="R405" s="36"/>
      <c r="S405" s="36"/>
      <c r="T405" s="36"/>
    </row>
    <row r="406" spans="1:20" ht="15.75">
      <c r="A406" s="13">
        <v>53873</v>
      </c>
      <c r="B406" s="44">
        <v>30</v>
      </c>
      <c r="C406" s="35">
        <v>194.20500000000001</v>
      </c>
      <c r="D406" s="35">
        <v>267.46600000000001</v>
      </c>
      <c r="E406" s="41">
        <v>812.32899999999995</v>
      </c>
      <c r="F406" s="35">
        <v>1274</v>
      </c>
      <c r="G406" s="35">
        <v>50</v>
      </c>
      <c r="H406" s="43">
        <v>600</v>
      </c>
      <c r="I406" s="35">
        <v>695</v>
      </c>
      <c r="J406" s="35">
        <v>50</v>
      </c>
      <c r="K406" s="36"/>
      <c r="L406" s="36"/>
      <c r="M406" s="36"/>
      <c r="N406" s="36"/>
      <c r="O406" s="36"/>
      <c r="P406" s="36"/>
      <c r="Q406" s="36"/>
      <c r="R406" s="36"/>
      <c r="S406" s="36"/>
      <c r="T406" s="36"/>
    </row>
    <row r="407" spans="1:20" ht="15.75">
      <c r="A407" s="13">
        <v>53904</v>
      </c>
      <c r="B407" s="44">
        <v>31</v>
      </c>
      <c r="C407" s="35">
        <v>194.20500000000001</v>
      </c>
      <c r="D407" s="35">
        <v>267.46600000000001</v>
      </c>
      <c r="E407" s="41">
        <v>812.32899999999995</v>
      </c>
      <c r="F407" s="35">
        <v>1274</v>
      </c>
      <c r="G407" s="35">
        <v>50</v>
      </c>
      <c r="H407" s="43">
        <v>600</v>
      </c>
      <c r="I407" s="35">
        <v>695</v>
      </c>
      <c r="J407" s="35">
        <v>0</v>
      </c>
      <c r="K407" s="36"/>
      <c r="L407" s="36"/>
      <c r="M407" s="36"/>
      <c r="N407" s="36"/>
      <c r="O407" s="36"/>
      <c r="P407" s="36"/>
      <c r="Q407" s="36"/>
      <c r="R407" s="36"/>
      <c r="S407" s="36"/>
      <c r="T407" s="36"/>
    </row>
    <row r="408" spans="1:20" ht="15.75">
      <c r="A408" s="13">
        <v>53935</v>
      </c>
      <c r="B408" s="44">
        <v>31</v>
      </c>
      <c r="C408" s="35">
        <v>194.20500000000001</v>
      </c>
      <c r="D408" s="35">
        <v>267.46600000000001</v>
      </c>
      <c r="E408" s="41">
        <v>812.32899999999995</v>
      </c>
      <c r="F408" s="35">
        <v>1274</v>
      </c>
      <c r="G408" s="35">
        <v>50</v>
      </c>
      <c r="H408" s="43">
        <v>600</v>
      </c>
      <c r="I408" s="35">
        <v>695</v>
      </c>
      <c r="J408" s="35">
        <v>0</v>
      </c>
      <c r="K408" s="36"/>
      <c r="L408" s="36"/>
      <c r="M408" s="36"/>
      <c r="N408" s="36"/>
      <c r="O408" s="36"/>
      <c r="P408" s="36"/>
      <c r="Q408" s="36"/>
      <c r="R408" s="36"/>
      <c r="S408" s="36"/>
      <c r="T408" s="36"/>
    </row>
    <row r="409" spans="1:20" ht="15.75">
      <c r="A409" s="13">
        <v>53965</v>
      </c>
      <c r="B409" s="44">
        <v>30</v>
      </c>
      <c r="C409" s="35">
        <v>194.20500000000001</v>
      </c>
      <c r="D409" s="35">
        <v>267.46600000000001</v>
      </c>
      <c r="E409" s="41">
        <v>812.32899999999995</v>
      </c>
      <c r="F409" s="35">
        <v>1274</v>
      </c>
      <c r="G409" s="35">
        <v>50</v>
      </c>
      <c r="H409" s="43">
        <v>600</v>
      </c>
      <c r="I409" s="35">
        <v>695</v>
      </c>
      <c r="J409" s="35">
        <v>0</v>
      </c>
      <c r="K409" s="36"/>
      <c r="L409" s="36"/>
      <c r="M409" s="36"/>
      <c r="N409" s="36"/>
      <c r="O409" s="36"/>
      <c r="P409" s="36"/>
      <c r="Q409" s="36"/>
      <c r="R409" s="36"/>
      <c r="S409" s="36"/>
      <c r="T409" s="36"/>
    </row>
    <row r="410" spans="1:20" ht="15.75">
      <c r="A410" s="13">
        <v>53996</v>
      </c>
      <c r="B410" s="44">
        <v>31</v>
      </c>
      <c r="C410" s="35">
        <v>131.881</v>
      </c>
      <c r="D410" s="35">
        <v>277.16699999999997</v>
      </c>
      <c r="E410" s="41">
        <v>829.952</v>
      </c>
      <c r="F410" s="35">
        <v>1239</v>
      </c>
      <c r="G410" s="35">
        <v>75</v>
      </c>
      <c r="H410" s="43">
        <v>600</v>
      </c>
      <c r="I410" s="35">
        <v>695</v>
      </c>
      <c r="J410" s="35">
        <v>0</v>
      </c>
      <c r="K410" s="36"/>
      <c r="L410" s="36"/>
      <c r="M410" s="36"/>
      <c r="N410" s="36"/>
      <c r="O410" s="36"/>
      <c r="P410" s="36"/>
      <c r="Q410" s="36"/>
      <c r="R410" s="36"/>
      <c r="S410" s="36"/>
      <c r="T410" s="36"/>
    </row>
    <row r="411" spans="1:20" ht="15.75">
      <c r="A411" s="13">
        <v>54026</v>
      </c>
      <c r="B411" s="44">
        <v>30</v>
      </c>
      <c r="C411" s="35">
        <v>122.58</v>
      </c>
      <c r="D411" s="35">
        <v>297.94099999999997</v>
      </c>
      <c r="E411" s="41">
        <v>729.47900000000004</v>
      </c>
      <c r="F411" s="35">
        <v>1150</v>
      </c>
      <c r="G411" s="35">
        <v>100</v>
      </c>
      <c r="H411" s="43">
        <v>600</v>
      </c>
      <c r="I411" s="35">
        <v>695</v>
      </c>
      <c r="J411" s="35">
        <v>50</v>
      </c>
      <c r="K411" s="36"/>
      <c r="L411" s="36"/>
      <c r="M411" s="36"/>
      <c r="N411" s="36"/>
      <c r="O411" s="36"/>
      <c r="P411" s="36"/>
      <c r="Q411" s="36"/>
      <c r="R411" s="36"/>
      <c r="S411" s="36"/>
      <c r="T411" s="36"/>
    </row>
    <row r="412" spans="1:20" ht="15.75">
      <c r="A412" s="13">
        <v>54057</v>
      </c>
      <c r="B412" s="44">
        <v>31</v>
      </c>
      <c r="C412" s="35">
        <v>122.58</v>
      </c>
      <c r="D412" s="35">
        <v>297.94099999999997</v>
      </c>
      <c r="E412" s="41">
        <v>729.47900000000004</v>
      </c>
      <c r="F412" s="35">
        <v>1150</v>
      </c>
      <c r="G412" s="35">
        <v>100</v>
      </c>
      <c r="H412" s="43">
        <v>600</v>
      </c>
      <c r="I412" s="35">
        <v>695</v>
      </c>
      <c r="J412" s="35">
        <v>50</v>
      </c>
      <c r="K412" s="36"/>
      <c r="L412" s="36"/>
      <c r="M412" s="36"/>
      <c r="N412" s="36"/>
      <c r="O412" s="36"/>
      <c r="P412" s="36"/>
      <c r="Q412" s="36"/>
      <c r="R412" s="36"/>
      <c r="S412" s="36"/>
      <c r="T412" s="36"/>
    </row>
    <row r="413" spans="1:20" ht="15.75">
      <c r="A413" s="13">
        <v>54088</v>
      </c>
      <c r="B413" s="44">
        <v>31</v>
      </c>
      <c r="C413" s="35">
        <v>122.58</v>
      </c>
      <c r="D413" s="35">
        <v>297.94099999999997</v>
      </c>
      <c r="E413" s="41">
        <v>729.47900000000004</v>
      </c>
      <c r="F413" s="35">
        <v>1150</v>
      </c>
      <c r="G413" s="35">
        <v>100</v>
      </c>
      <c r="H413" s="43">
        <v>600</v>
      </c>
      <c r="I413" s="35">
        <v>695</v>
      </c>
      <c r="J413" s="35">
        <v>50</v>
      </c>
      <c r="K413" s="36"/>
      <c r="L413" s="36"/>
      <c r="M413" s="36"/>
      <c r="N413" s="36"/>
      <c r="O413" s="36"/>
      <c r="P413" s="36"/>
      <c r="Q413" s="36"/>
      <c r="R413" s="36"/>
      <c r="S413" s="36"/>
      <c r="T413" s="36"/>
    </row>
    <row r="414" spans="1:20" ht="15.75">
      <c r="A414" s="13">
        <v>54116</v>
      </c>
      <c r="B414" s="44">
        <v>29</v>
      </c>
      <c r="C414" s="35">
        <v>122.58</v>
      </c>
      <c r="D414" s="35">
        <v>297.94099999999997</v>
      </c>
      <c r="E414" s="41">
        <v>729.47900000000004</v>
      </c>
      <c r="F414" s="35">
        <v>1150</v>
      </c>
      <c r="G414" s="35">
        <v>100</v>
      </c>
      <c r="H414" s="43">
        <v>600</v>
      </c>
      <c r="I414" s="35">
        <v>695</v>
      </c>
      <c r="J414" s="35">
        <v>50</v>
      </c>
      <c r="K414" s="36"/>
      <c r="L414" s="36"/>
      <c r="M414" s="36"/>
      <c r="N414" s="36"/>
      <c r="O414" s="36"/>
      <c r="P414" s="36"/>
      <c r="Q414" s="36"/>
      <c r="R414" s="36"/>
      <c r="S414" s="36"/>
      <c r="T414" s="36"/>
    </row>
    <row r="415" spans="1:20" ht="15.75">
      <c r="A415" s="13">
        <v>54148</v>
      </c>
      <c r="B415" s="44">
        <v>31</v>
      </c>
      <c r="C415" s="35">
        <v>122.58</v>
      </c>
      <c r="D415" s="35">
        <v>297.94099999999997</v>
      </c>
      <c r="E415" s="41">
        <v>729.47900000000004</v>
      </c>
      <c r="F415" s="35">
        <v>1150</v>
      </c>
      <c r="G415" s="35">
        <v>100</v>
      </c>
      <c r="H415" s="43">
        <v>600</v>
      </c>
      <c r="I415" s="35">
        <v>695</v>
      </c>
      <c r="J415" s="35">
        <v>50</v>
      </c>
      <c r="K415" s="36"/>
      <c r="L415" s="36"/>
      <c r="M415" s="36"/>
      <c r="N415" s="36"/>
      <c r="O415" s="36"/>
      <c r="P415" s="36"/>
      <c r="Q415" s="36"/>
      <c r="R415" s="36"/>
      <c r="S415" s="36"/>
      <c r="T415" s="36"/>
    </row>
    <row r="416" spans="1:20" ht="15.75">
      <c r="A416" s="13">
        <v>54178</v>
      </c>
      <c r="B416" s="44">
        <v>30</v>
      </c>
      <c r="C416" s="35">
        <v>141.29300000000001</v>
      </c>
      <c r="D416" s="35">
        <v>267.99299999999999</v>
      </c>
      <c r="E416" s="41">
        <v>829.71400000000006</v>
      </c>
      <c r="F416" s="35">
        <v>1239</v>
      </c>
      <c r="G416" s="35">
        <v>100</v>
      </c>
      <c r="H416" s="43">
        <v>600</v>
      </c>
      <c r="I416" s="35">
        <v>695</v>
      </c>
      <c r="J416" s="35">
        <v>50</v>
      </c>
      <c r="K416" s="36"/>
      <c r="L416" s="36"/>
      <c r="M416" s="36"/>
      <c r="N416" s="36"/>
      <c r="O416" s="36"/>
      <c r="P416" s="36"/>
      <c r="Q416" s="36"/>
      <c r="R416" s="36"/>
      <c r="S416" s="36"/>
      <c r="T416" s="36"/>
    </row>
    <row r="417" spans="1:20" ht="15.75">
      <c r="A417" s="13">
        <v>54209</v>
      </c>
      <c r="B417" s="44">
        <v>31</v>
      </c>
      <c r="C417" s="35">
        <v>194.20500000000001</v>
      </c>
      <c r="D417" s="35">
        <v>267.46600000000001</v>
      </c>
      <c r="E417" s="41">
        <v>812.32899999999995</v>
      </c>
      <c r="F417" s="35">
        <v>1274</v>
      </c>
      <c r="G417" s="35">
        <v>75</v>
      </c>
      <c r="H417" s="43">
        <v>600</v>
      </c>
      <c r="I417" s="35">
        <v>695</v>
      </c>
      <c r="J417" s="35">
        <v>50</v>
      </c>
      <c r="K417" s="36"/>
      <c r="L417" s="36"/>
      <c r="M417" s="36"/>
      <c r="N417" s="36"/>
      <c r="O417" s="36"/>
      <c r="P417" s="36"/>
      <c r="Q417" s="36"/>
      <c r="R417" s="36"/>
      <c r="S417" s="36"/>
      <c r="T417" s="36"/>
    </row>
    <row r="418" spans="1:20" ht="15.75">
      <c r="A418" s="13">
        <v>54239</v>
      </c>
      <c r="B418" s="44">
        <v>30</v>
      </c>
      <c r="C418" s="35">
        <v>194.20500000000001</v>
      </c>
      <c r="D418" s="35">
        <v>267.46600000000001</v>
      </c>
      <c r="E418" s="41">
        <v>812.32899999999995</v>
      </c>
      <c r="F418" s="35">
        <v>1274</v>
      </c>
      <c r="G418" s="35">
        <v>50</v>
      </c>
      <c r="H418" s="43">
        <v>600</v>
      </c>
      <c r="I418" s="35">
        <v>695</v>
      </c>
      <c r="J418" s="35">
        <v>50</v>
      </c>
      <c r="K418" s="36"/>
      <c r="L418" s="36"/>
      <c r="M418" s="36"/>
      <c r="N418" s="36"/>
      <c r="O418" s="36"/>
      <c r="P418" s="36"/>
      <c r="Q418" s="36"/>
      <c r="R418" s="36"/>
      <c r="S418" s="36"/>
      <c r="T418" s="36"/>
    </row>
    <row r="419" spans="1:20" ht="15.75">
      <c r="A419" s="13">
        <v>54270</v>
      </c>
      <c r="B419" s="44">
        <v>31</v>
      </c>
      <c r="C419" s="35">
        <v>194.20500000000001</v>
      </c>
      <c r="D419" s="35">
        <v>267.46600000000001</v>
      </c>
      <c r="E419" s="41">
        <v>812.32899999999995</v>
      </c>
      <c r="F419" s="35">
        <v>1274</v>
      </c>
      <c r="G419" s="35">
        <v>50</v>
      </c>
      <c r="H419" s="43">
        <v>600</v>
      </c>
      <c r="I419" s="35">
        <v>695</v>
      </c>
      <c r="J419" s="35">
        <v>0</v>
      </c>
      <c r="K419" s="36"/>
      <c r="L419" s="36"/>
      <c r="M419" s="36"/>
      <c r="N419" s="36"/>
      <c r="O419" s="36"/>
      <c r="P419" s="36"/>
      <c r="Q419" s="36"/>
      <c r="R419" s="36"/>
      <c r="S419" s="36"/>
      <c r="T419" s="36"/>
    </row>
    <row r="420" spans="1:20" ht="15.75">
      <c r="A420" s="13">
        <v>54301</v>
      </c>
      <c r="B420" s="44">
        <v>31</v>
      </c>
      <c r="C420" s="35">
        <v>194.20500000000001</v>
      </c>
      <c r="D420" s="35">
        <v>267.46600000000001</v>
      </c>
      <c r="E420" s="41">
        <v>812.32899999999995</v>
      </c>
      <c r="F420" s="35">
        <v>1274</v>
      </c>
      <c r="G420" s="35">
        <v>50</v>
      </c>
      <c r="H420" s="43">
        <v>600</v>
      </c>
      <c r="I420" s="35">
        <v>695</v>
      </c>
      <c r="J420" s="35">
        <v>0</v>
      </c>
      <c r="K420" s="36"/>
      <c r="L420" s="36"/>
      <c r="M420" s="36"/>
      <c r="N420" s="36"/>
      <c r="O420" s="36"/>
      <c r="P420" s="36"/>
      <c r="Q420" s="36"/>
      <c r="R420" s="36"/>
      <c r="S420" s="36"/>
      <c r="T420" s="36"/>
    </row>
    <row r="421" spans="1:20" ht="15.75">
      <c r="A421" s="13">
        <v>54331</v>
      </c>
      <c r="B421" s="44">
        <v>30</v>
      </c>
      <c r="C421" s="35">
        <v>194.20500000000001</v>
      </c>
      <c r="D421" s="35">
        <v>267.46600000000001</v>
      </c>
      <c r="E421" s="41">
        <v>812.32899999999995</v>
      </c>
      <c r="F421" s="35">
        <v>1274</v>
      </c>
      <c r="G421" s="35">
        <v>50</v>
      </c>
      <c r="H421" s="43">
        <v>600</v>
      </c>
      <c r="I421" s="35">
        <v>695</v>
      </c>
      <c r="J421" s="35">
        <v>0</v>
      </c>
      <c r="K421" s="36"/>
      <c r="L421" s="36"/>
      <c r="M421" s="36"/>
      <c r="N421" s="36"/>
      <c r="O421" s="36"/>
      <c r="P421" s="36"/>
      <c r="Q421" s="36"/>
      <c r="R421" s="36"/>
      <c r="S421" s="36"/>
      <c r="T421" s="36"/>
    </row>
    <row r="422" spans="1:20" ht="15.75">
      <c r="A422" s="13">
        <v>54362</v>
      </c>
      <c r="B422" s="44">
        <v>31</v>
      </c>
      <c r="C422" s="35">
        <v>131.881</v>
      </c>
      <c r="D422" s="35">
        <v>277.16699999999997</v>
      </c>
      <c r="E422" s="41">
        <v>829.952</v>
      </c>
      <c r="F422" s="35">
        <v>1239</v>
      </c>
      <c r="G422" s="35">
        <v>75</v>
      </c>
      <c r="H422" s="43">
        <v>600</v>
      </c>
      <c r="I422" s="35">
        <v>695</v>
      </c>
      <c r="J422" s="35">
        <v>0</v>
      </c>
      <c r="K422" s="36"/>
      <c r="L422" s="36"/>
      <c r="M422" s="36"/>
      <c r="N422" s="36"/>
      <c r="O422" s="36"/>
      <c r="P422" s="36"/>
      <c r="Q422" s="36"/>
      <c r="R422" s="36"/>
      <c r="S422" s="36"/>
      <c r="T422" s="36"/>
    </row>
    <row r="423" spans="1:20" ht="15.75">
      <c r="A423" s="13">
        <v>54392</v>
      </c>
      <c r="B423" s="44">
        <v>30</v>
      </c>
      <c r="C423" s="35">
        <v>122.58</v>
      </c>
      <c r="D423" s="35">
        <v>297.94099999999997</v>
      </c>
      <c r="E423" s="41">
        <v>729.47900000000004</v>
      </c>
      <c r="F423" s="35">
        <v>1150</v>
      </c>
      <c r="G423" s="35">
        <v>100</v>
      </c>
      <c r="H423" s="43">
        <v>600</v>
      </c>
      <c r="I423" s="35">
        <v>695</v>
      </c>
      <c r="J423" s="35">
        <v>50</v>
      </c>
      <c r="K423" s="36"/>
      <c r="L423" s="36"/>
      <c r="M423" s="36"/>
      <c r="N423" s="36"/>
      <c r="O423" s="36"/>
      <c r="P423" s="36"/>
      <c r="Q423" s="36"/>
      <c r="R423" s="36"/>
      <c r="S423" s="36"/>
      <c r="T423" s="36"/>
    </row>
    <row r="424" spans="1:20" ht="15.75">
      <c r="A424" s="13">
        <v>54423</v>
      </c>
      <c r="B424" s="44">
        <v>31</v>
      </c>
      <c r="C424" s="35">
        <v>122.58</v>
      </c>
      <c r="D424" s="35">
        <v>297.94099999999997</v>
      </c>
      <c r="E424" s="41">
        <v>729.47900000000004</v>
      </c>
      <c r="F424" s="35">
        <v>1150</v>
      </c>
      <c r="G424" s="35">
        <v>100</v>
      </c>
      <c r="H424" s="43">
        <v>600</v>
      </c>
      <c r="I424" s="35">
        <v>695</v>
      </c>
      <c r="J424" s="35">
        <v>50</v>
      </c>
      <c r="K424" s="36"/>
      <c r="L424" s="36"/>
      <c r="M424" s="36"/>
      <c r="N424" s="36"/>
      <c r="O424" s="36"/>
      <c r="P424" s="36"/>
      <c r="Q424" s="36"/>
      <c r="R424" s="36"/>
      <c r="S424" s="36"/>
      <c r="T424" s="36"/>
    </row>
    <row r="425" spans="1:20" ht="15.75">
      <c r="A425" s="13">
        <v>54454</v>
      </c>
      <c r="B425" s="44">
        <v>31</v>
      </c>
      <c r="C425" s="35">
        <v>122.58</v>
      </c>
      <c r="D425" s="35">
        <v>297.94099999999997</v>
      </c>
      <c r="E425" s="41">
        <v>729.47900000000004</v>
      </c>
      <c r="F425" s="35">
        <v>1150</v>
      </c>
      <c r="G425" s="35">
        <v>100</v>
      </c>
      <c r="H425" s="43">
        <v>600</v>
      </c>
      <c r="I425" s="35">
        <v>695</v>
      </c>
      <c r="J425" s="35">
        <v>50</v>
      </c>
      <c r="K425" s="36"/>
      <c r="L425" s="36"/>
      <c r="M425" s="36"/>
      <c r="N425" s="36"/>
      <c r="O425" s="36"/>
      <c r="P425" s="36"/>
      <c r="Q425" s="36"/>
      <c r="R425" s="36"/>
      <c r="S425" s="36"/>
      <c r="T425" s="36"/>
    </row>
    <row r="426" spans="1:20" ht="15.75">
      <c r="A426" s="13">
        <v>54482</v>
      </c>
      <c r="B426" s="44">
        <v>28</v>
      </c>
      <c r="C426" s="35">
        <v>122.58</v>
      </c>
      <c r="D426" s="35">
        <v>297.94099999999997</v>
      </c>
      <c r="E426" s="41">
        <v>729.47900000000004</v>
      </c>
      <c r="F426" s="35">
        <v>1150</v>
      </c>
      <c r="G426" s="35">
        <v>100</v>
      </c>
      <c r="H426" s="43">
        <v>600</v>
      </c>
      <c r="I426" s="35">
        <v>695</v>
      </c>
      <c r="J426" s="35">
        <v>50</v>
      </c>
      <c r="K426" s="36"/>
      <c r="L426" s="36"/>
      <c r="M426" s="36"/>
      <c r="N426" s="36"/>
      <c r="O426" s="36"/>
      <c r="P426" s="36"/>
      <c r="Q426" s="36"/>
      <c r="R426" s="36"/>
      <c r="S426" s="36"/>
      <c r="T426" s="36"/>
    </row>
    <row r="427" spans="1:20" ht="15.75">
      <c r="A427" s="13">
        <v>54513</v>
      </c>
      <c r="B427" s="44">
        <v>31</v>
      </c>
      <c r="C427" s="35">
        <v>122.58</v>
      </c>
      <c r="D427" s="35">
        <v>297.94099999999997</v>
      </c>
      <c r="E427" s="41">
        <v>729.47900000000004</v>
      </c>
      <c r="F427" s="35">
        <v>1150</v>
      </c>
      <c r="G427" s="35">
        <v>100</v>
      </c>
      <c r="H427" s="43">
        <v>600</v>
      </c>
      <c r="I427" s="35">
        <v>695</v>
      </c>
      <c r="J427" s="35">
        <v>50</v>
      </c>
      <c r="K427" s="36"/>
      <c r="L427" s="36"/>
      <c r="M427" s="36"/>
      <c r="N427" s="36"/>
      <c r="O427" s="36"/>
      <c r="P427" s="36"/>
      <c r="Q427" s="36"/>
      <c r="R427" s="36"/>
      <c r="S427" s="36"/>
      <c r="T427" s="36"/>
    </row>
    <row r="428" spans="1:20" ht="15.75">
      <c r="A428" s="13">
        <v>54543</v>
      </c>
      <c r="B428" s="44">
        <v>30</v>
      </c>
      <c r="C428" s="35">
        <v>141.29300000000001</v>
      </c>
      <c r="D428" s="35">
        <v>267.99299999999999</v>
      </c>
      <c r="E428" s="41">
        <v>829.71400000000006</v>
      </c>
      <c r="F428" s="35">
        <v>1239</v>
      </c>
      <c r="G428" s="35">
        <v>100</v>
      </c>
      <c r="H428" s="43">
        <v>600</v>
      </c>
      <c r="I428" s="35">
        <v>695</v>
      </c>
      <c r="J428" s="35">
        <v>50</v>
      </c>
      <c r="K428" s="36"/>
      <c r="L428" s="36"/>
      <c r="M428" s="36"/>
      <c r="N428" s="36"/>
      <c r="O428" s="36"/>
      <c r="P428" s="36"/>
      <c r="Q428" s="36"/>
      <c r="R428" s="36"/>
      <c r="S428" s="36"/>
      <c r="T428" s="36"/>
    </row>
    <row r="429" spans="1:20" ht="15.75">
      <c r="A429" s="13">
        <v>54574</v>
      </c>
      <c r="B429" s="44">
        <v>31</v>
      </c>
      <c r="C429" s="35">
        <v>194.20500000000001</v>
      </c>
      <c r="D429" s="35">
        <v>267.46600000000001</v>
      </c>
      <c r="E429" s="41">
        <v>812.32899999999995</v>
      </c>
      <c r="F429" s="35">
        <v>1274</v>
      </c>
      <c r="G429" s="35">
        <v>75</v>
      </c>
      <c r="H429" s="43">
        <v>600</v>
      </c>
      <c r="I429" s="35">
        <v>695</v>
      </c>
      <c r="J429" s="35">
        <v>50</v>
      </c>
      <c r="K429" s="36"/>
      <c r="L429" s="36"/>
      <c r="M429" s="36"/>
      <c r="N429" s="36"/>
      <c r="O429" s="36"/>
      <c r="P429" s="36"/>
      <c r="Q429" s="36"/>
      <c r="R429" s="36"/>
      <c r="S429" s="36"/>
      <c r="T429" s="36"/>
    </row>
    <row r="430" spans="1:20" ht="15.75">
      <c r="A430" s="13">
        <v>54604</v>
      </c>
      <c r="B430" s="44">
        <v>30</v>
      </c>
      <c r="C430" s="35">
        <v>194.20500000000001</v>
      </c>
      <c r="D430" s="35">
        <v>267.46600000000001</v>
      </c>
      <c r="E430" s="41">
        <v>812.32899999999995</v>
      </c>
      <c r="F430" s="35">
        <v>1274</v>
      </c>
      <c r="G430" s="35">
        <v>50</v>
      </c>
      <c r="H430" s="43">
        <v>600</v>
      </c>
      <c r="I430" s="35">
        <v>695</v>
      </c>
      <c r="J430" s="35">
        <v>50</v>
      </c>
      <c r="K430" s="36"/>
      <c r="L430" s="36"/>
      <c r="M430" s="36"/>
      <c r="N430" s="36"/>
      <c r="O430" s="36"/>
      <c r="P430" s="36"/>
      <c r="Q430" s="36"/>
      <c r="R430" s="36"/>
      <c r="S430" s="36"/>
      <c r="T430" s="36"/>
    </row>
    <row r="431" spans="1:20" ht="15.75">
      <c r="A431" s="13">
        <v>54635</v>
      </c>
      <c r="B431" s="44">
        <v>31</v>
      </c>
      <c r="C431" s="35">
        <v>194.20500000000001</v>
      </c>
      <c r="D431" s="35">
        <v>267.46600000000001</v>
      </c>
      <c r="E431" s="41">
        <v>812.32899999999995</v>
      </c>
      <c r="F431" s="35">
        <v>1274</v>
      </c>
      <c r="G431" s="35">
        <v>50</v>
      </c>
      <c r="H431" s="43">
        <v>600</v>
      </c>
      <c r="I431" s="35">
        <v>695</v>
      </c>
      <c r="J431" s="35">
        <v>0</v>
      </c>
      <c r="K431" s="36"/>
      <c r="L431" s="36"/>
      <c r="M431" s="36"/>
      <c r="N431" s="36"/>
      <c r="O431" s="36"/>
      <c r="P431" s="36"/>
      <c r="Q431" s="36"/>
      <c r="R431" s="36"/>
      <c r="S431" s="36"/>
      <c r="T431" s="36"/>
    </row>
    <row r="432" spans="1:20" ht="15.75">
      <c r="A432" s="13">
        <v>54666</v>
      </c>
      <c r="B432" s="44">
        <v>31</v>
      </c>
      <c r="C432" s="35">
        <v>194.20500000000001</v>
      </c>
      <c r="D432" s="35">
        <v>267.46600000000001</v>
      </c>
      <c r="E432" s="41">
        <v>812.32899999999995</v>
      </c>
      <c r="F432" s="35">
        <v>1274</v>
      </c>
      <c r="G432" s="35">
        <v>50</v>
      </c>
      <c r="H432" s="43">
        <v>600</v>
      </c>
      <c r="I432" s="35">
        <v>695</v>
      </c>
      <c r="J432" s="35">
        <v>0</v>
      </c>
      <c r="K432" s="36"/>
      <c r="L432" s="36"/>
      <c r="M432" s="36"/>
      <c r="N432" s="36"/>
      <c r="O432" s="36"/>
      <c r="P432" s="36"/>
      <c r="Q432" s="36"/>
      <c r="R432" s="36"/>
      <c r="S432" s="36"/>
      <c r="T432" s="36"/>
    </row>
    <row r="433" spans="1:20" ht="15.75">
      <c r="A433" s="13">
        <v>54696</v>
      </c>
      <c r="B433" s="44">
        <v>30</v>
      </c>
      <c r="C433" s="35">
        <v>194.20500000000001</v>
      </c>
      <c r="D433" s="35">
        <v>267.46600000000001</v>
      </c>
      <c r="E433" s="41">
        <v>812.32899999999995</v>
      </c>
      <c r="F433" s="35">
        <v>1274</v>
      </c>
      <c r="G433" s="35">
        <v>50</v>
      </c>
      <c r="H433" s="43">
        <v>600</v>
      </c>
      <c r="I433" s="35">
        <v>695</v>
      </c>
      <c r="J433" s="35">
        <v>0</v>
      </c>
      <c r="K433" s="36"/>
      <c r="L433" s="36"/>
      <c r="M433" s="36"/>
      <c r="N433" s="36"/>
      <c r="O433" s="36"/>
      <c r="P433" s="36"/>
      <c r="Q433" s="36"/>
      <c r="R433" s="36"/>
      <c r="S433" s="36"/>
      <c r="T433" s="36"/>
    </row>
    <row r="434" spans="1:20" ht="15.75">
      <c r="A434" s="13">
        <v>54727</v>
      </c>
      <c r="B434" s="44">
        <v>31</v>
      </c>
      <c r="C434" s="35">
        <v>131.881</v>
      </c>
      <c r="D434" s="35">
        <v>277.16699999999997</v>
      </c>
      <c r="E434" s="41">
        <v>829.952</v>
      </c>
      <c r="F434" s="35">
        <v>1239</v>
      </c>
      <c r="G434" s="35">
        <v>75</v>
      </c>
      <c r="H434" s="43">
        <v>600</v>
      </c>
      <c r="I434" s="35">
        <v>695</v>
      </c>
      <c r="J434" s="35">
        <v>0</v>
      </c>
      <c r="K434" s="36"/>
      <c r="L434" s="36"/>
      <c r="M434" s="36"/>
      <c r="N434" s="36"/>
      <c r="O434" s="36"/>
      <c r="P434" s="36"/>
      <c r="Q434" s="36"/>
      <c r="R434" s="36"/>
      <c r="S434" s="36"/>
      <c r="T434" s="36"/>
    </row>
    <row r="435" spans="1:20" ht="15.75">
      <c r="A435" s="13">
        <v>54757</v>
      </c>
      <c r="B435" s="44">
        <v>30</v>
      </c>
      <c r="C435" s="35">
        <v>122.58</v>
      </c>
      <c r="D435" s="35">
        <v>297.94099999999997</v>
      </c>
      <c r="E435" s="41">
        <v>729.47900000000004</v>
      </c>
      <c r="F435" s="35">
        <v>1150</v>
      </c>
      <c r="G435" s="35">
        <v>100</v>
      </c>
      <c r="H435" s="43">
        <v>600</v>
      </c>
      <c r="I435" s="35">
        <v>695</v>
      </c>
      <c r="J435" s="35">
        <v>50</v>
      </c>
      <c r="K435" s="36"/>
      <c r="L435" s="36"/>
      <c r="M435" s="36"/>
      <c r="N435" s="36"/>
      <c r="O435" s="36"/>
      <c r="P435" s="36"/>
      <c r="Q435" s="36"/>
      <c r="R435" s="36"/>
      <c r="S435" s="36"/>
      <c r="T435" s="36"/>
    </row>
    <row r="436" spans="1:20" ht="15.75">
      <c r="A436" s="13">
        <v>54788</v>
      </c>
      <c r="B436" s="44">
        <v>31</v>
      </c>
      <c r="C436" s="35">
        <v>122.58</v>
      </c>
      <c r="D436" s="35">
        <v>297.94099999999997</v>
      </c>
      <c r="E436" s="41">
        <v>729.47900000000004</v>
      </c>
      <c r="F436" s="35">
        <v>1150</v>
      </c>
      <c r="G436" s="35">
        <v>100</v>
      </c>
      <c r="H436" s="43">
        <v>600</v>
      </c>
      <c r="I436" s="35">
        <v>695</v>
      </c>
      <c r="J436" s="35">
        <v>50</v>
      </c>
      <c r="K436" s="36"/>
      <c r="L436" s="36"/>
      <c r="M436" s="36"/>
      <c r="N436" s="36"/>
      <c r="O436" s="36"/>
      <c r="P436" s="36"/>
      <c r="Q436" s="36"/>
      <c r="R436" s="36"/>
      <c r="S436" s="36"/>
      <c r="T436" s="36"/>
    </row>
    <row r="437" spans="1:20" ht="15.75">
      <c r="A437" s="13">
        <v>54819</v>
      </c>
      <c r="B437" s="44">
        <v>31</v>
      </c>
      <c r="C437" s="35">
        <v>122.58</v>
      </c>
      <c r="D437" s="35">
        <v>297.94099999999997</v>
      </c>
      <c r="E437" s="41">
        <v>729.47900000000004</v>
      </c>
      <c r="F437" s="35">
        <v>1150</v>
      </c>
      <c r="G437" s="35">
        <v>100</v>
      </c>
      <c r="H437" s="43">
        <v>600</v>
      </c>
      <c r="I437" s="35">
        <v>695</v>
      </c>
      <c r="J437" s="35">
        <v>50</v>
      </c>
      <c r="K437" s="36"/>
      <c r="L437" s="36"/>
      <c r="M437" s="36"/>
      <c r="N437" s="36"/>
      <c r="O437" s="36"/>
      <c r="P437" s="36"/>
      <c r="Q437" s="36"/>
      <c r="R437" s="36"/>
      <c r="S437" s="36"/>
      <c r="T437" s="36"/>
    </row>
    <row r="438" spans="1:20" ht="15.75">
      <c r="A438" s="13">
        <v>54847</v>
      </c>
      <c r="B438" s="44">
        <v>28</v>
      </c>
      <c r="C438" s="35">
        <v>122.58</v>
      </c>
      <c r="D438" s="35">
        <v>297.94099999999997</v>
      </c>
      <c r="E438" s="41">
        <v>729.47900000000004</v>
      </c>
      <c r="F438" s="35">
        <v>1150</v>
      </c>
      <c r="G438" s="35">
        <v>100</v>
      </c>
      <c r="H438" s="43">
        <v>600</v>
      </c>
      <c r="I438" s="35">
        <v>695</v>
      </c>
      <c r="J438" s="35">
        <v>50</v>
      </c>
      <c r="K438" s="36"/>
      <c r="L438" s="36"/>
      <c r="M438" s="36"/>
      <c r="N438" s="36"/>
      <c r="O438" s="36"/>
      <c r="P438" s="36"/>
      <c r="Q438" s="36"/>
      <c r="R438" s="36"/>
      <c r="S438" s="36"/>
      <c r="T438" s="36"/>
    </row>
    <row r="439" spans="1:20" ht="15.75">
      <c r="A439" s="13">
        <v>54878</v>
      </c>
      <c r="B439" s="44">
        <v>31</v>
      </c>
      <c r="C439" s="35">
        <v>122.58</v>
      </c>
      <c r="D439" s="35">
        <v>297.94099999999997</v>
      </c>
      <c r="E439" s="41">
        <v>729.47900000000004</v>
      </c>
      <c r="F439" s="35">
        <v>1150</v>
      </c>
      <c r="G439" s="35">
        <v>100</v>
      </c>
      <c r="H439" s="43">
        <v>600</v>
      </c>
      <c r="I439" s="35">
        <v>695</v>
      </c>
      <c r="J439" s="35">
        <v>50</v>
      </c>
      <c r="K439" s="36"/>
      <c r="L439" s="36"/>
      <c r="M439" s="36"/>
      <c r="N439" s="36"/>
      <c r="O439" s="36"/>
      <c r="P439" s="36"/>
      <c r="Q439" s="36"/>
      <c r="R439" s="36"/>
      <c r="S439" s="36"/>
      <c r="T439" s="36"/>
    </row>
    <row r="440" spans="1:20" ht="15.75">
      <c r="A440" s="13">
        <v>54908</v>
      </c>
      <c r="B440" s="44">
        <v>30</v>
      </c>
      <c r="C440" s="35">
        <v>141.29300000000001</v>
      </c>
      <c r="D440" s="35">
        <v>267.99299999999999</v>
      </c>
      <c r="E440" s="41">
        <v>829.71400000000006</v>
      </c>
      <c r="F440" s="35">
        <v>1239</v>
      </c>
      <c r="G440" s="35">
        <v>100</v>
      </c>
      <c r="H440" s="43">
        <v>600</v>
      </c>
      <c r="I440" s="35">
        <v>695</v>
      </c>
      <c r="J440" s="35">
        <v>50</v>
      </c>
      <c r="K440" s="36"/>
      <c r="L440" s="36"/>
      <c r="M440" s="36"/>
      <c r="N440" s="36"/>
      <c r="O440" s="36"/>
      <c r="P440" s="36"/>
      <c r="Q440" s="36"/>
      <c r="R440" s="36"/>
      <c r="S440" s="36"/>
      <c r="T440" s="36"/>
    </row>
    <row r="441" spans="1:20" ht="15.75">
      <c r="A441" s="13">
        <v>54939</v>
      </c>
      <c r="B441" s="44">
        <v>31</v>
      </c>
      <c r="C441" s="35">
        <v>194.20500000000001</v>
      </c>
      <c r="D441" s="35">
        <v>267.46600000000001</v>
      </c>
      <c r="E441" s="41">
        <v>812.32899999999995</v>
      </c>
      <c r="F441" s="35">
        <v>1274</v>
      </c>
      <c r="G441" s="35">
        <v>75</v>
      </c>
      <c r="H441" s="43">
        <v>600</v>
      </c>
      <c r="I441" s="35">
        <v>695</v>
      </c>
      <c r="J441" s="35">
        <v>50</v>
      </c>
      <c r="K441" s="36"/>
      <c r="L441" s="36"/>
      <c r="M441" s="36"/>
      <c r="N441" s="36"/>
      <c r="O441" s="36"/>
      <c r="P441" s="36"/>
      <c r="Q441" s="36"/>
      <c r="R441" s="36"/>
      <c r="S441" s="36"/>
      <c r="T441" s="36"/>
    </row>
    <row r="442" spans="1:20" ht="15.75">
      <c r="A442" s="13">
        <v>54969</v>
      </c>
      <c r="B442" s="44">
        <v>30</v>
      </c>
      <c r="C442" s="35">
        <v>194.20500000000001</v>
      </c>
      <c r="D442" s="35">
        <v>267.46600000000001</v>
      </c>
      <c r="E442" s="41">
        <v>812.32899999999995</v>
      </c>
      <c r="F442" s="35">
        <v>1274</v>
      </c>
      <c r="G442" s="35">
        <v>50</v>
      </c>
      <c r="H442" s="43">
        <v>600</v>
      </c>
      <c r="I442" s="35">
        <v>695</v>
      </c>
      <c r="J442" s="35">
        <v>50</v>
      </c>
      <c r="K442" s="36"/>
      <c r="L442" s="36"/>
      <c r="M442" s="36"/>
      <c r="N442" s="36"/>
      <c r="O442" s="36"/>
      <c r="P442" s="36"/>
      <c r="Q442" s="36"/>
      <c r="R442" s="36"/>
      <c r="S442" s="36"/>
      <c r="T442" s="36"/>
    </row>
    <row r="443" spans="1:20" ht="15.75">
      <c r="A443" s="13">
        <v>55000</v>
      </c>
      <c r="B443" s="44">
        <v>31</v>
      </c>
      <c r="C443" s="35">
        <v>194.20500000000001</v>
      </c>
      <c r="D443" s="35">
        <v>267.46600000000001</v>
      </c>
      <c r="E443" s="41">
        <v>812.32899999999995</v>
      </c>
      <c r="F443" s="35">
        <v>1274</v>
      </c>
      <c r="G443" s="35">
        <v>50</v>
      </c>
      <c r="H443" s="43">
        <v>600</v>
      </c>
      <c r="I443" s="35">
        <v>695</v>
      </c>
      <c r="J443" s="35">
        <v>0</v>
      </c>
      <c r="K443" s="36"/>
      <c r="L443" s="36"/>
      <c r="M443" s="36"/>
      <c r="N443" s="36"/>
      <c r="O443" s="36"/>
      <c r="P443" s="36"/>
      <c r="Q443" s="36"/>
      <c r="R443" s="36"/>
      <c r="S443" s="36"/>
      <c r="T443" s="36"/>
    </row>
    <row r="444" spans="1:20" ht="15.75">
      <c r="A444" s="13">
        <v>55031</v>
      </c>
      <c r="B444" s="44">
        <v>31</v>
      </c>
      <c r="C444" s="35">
        <v>194.20500000000001</v>
      </c>
      <c r="D444" s="35">
        <v>267.46600000000001</v>
      </c>
      <c r="E444" s="41">
        <v>812.32899999999995</v>
      </c>
      <c r="F444" s="35">
        <v>1274</v>
      </c>
      <c r="G444" s="35">
        <v>50</v>
      </c>
      <c r="H444" s="43">
        <v>600</v>
      </c>
      <c r="I444" s="35">
        <v>695</v>
      </c>
      <c r="J444" s="35">
        <v>0</v>
      </c>
      <c r="K444" s="36"/>
      <c r="L444" s="36"/>
      <c r="M444" s="36"/>
      <c r="N444" s="36"/>
      <c r="O444" s="36"/>
      <c r="P444" s="36"/>
      <c r="Q444" s="36"/>
      <c r="R444" s="36"/>
      <c r="S444" s="36"/>
      <c r="T444" s="36"/>
    </row>
    <row r="445" spans="1:20" ht="15.75">
      <c r="A445" s="13">
        <v>55061</v>
      </c>
      <c r="B445" s="44">
        <v>30</v>
      </c>
      <c r="C445" s="35">
        <v>194.20500000000001</v>
      </c>
      <c r="D445" s="35">
        <v>267.46600000000001</v>
      </c>
      <c r="E445" s="41">
        <v>812.32899999999995</v>
      </c>
      <c r="F445" s="35">
        <v>1274</v>
      </c>
      <c r="G445" s="35">
        <v>50</v>
      </c>
      <c r="H445" s="43">
        <v>600</v>
      </c>
      <c r="I445" s="35">
        <v>695</v>
      </c>
      <c r="J445" s="35">
        <v>0</v>
      </c>
      <c r="K445" s="36"/>
      <c r="L445" s="36"/>
      <c r="M445" s="36"/>
      <c r="N445" s="36"/>
      <c r="O445" s="36"/>
      <c r="P445" s="36"/>
      <c r="Q445" s="36"/>
      <c r="R445" s="36"/>
      <c r="S445" s="36"/>
      <c r="T445" s="36"/>
    </row>
    <row r="446" spans="1:20" ht="15.75">
      <c r="A446" s="13">
        <v>55092</v>
      </c>
      <c r="B446" s="44">
        <v>31</v>
      </c>
      <c r="C446" s="35">
        <v>131.881</v>
      </c>
      <c r="D446" s="35">
        <v>277.16699999999997</v>
      </c>
      <c r="E446" s="41">
        <v>829.952</v>
      </c>
      <c r="F446" s="35">
        <v>1239</v>
      </c>
      <c r="G446" s="35">
        <v>75</v>
      </c>
      <c r="H446" s="43">
        <v>600</v>
      </c>
      <c r="I446" s="35">
        <v>695</v>
      </c>
      <c r="J446" s="35">
        <v>0</v>
      </c>
      <c r="K446" s="36"/>
      <c r="L446" s="36"/>
      <c r="M446" s="36"/>
      <c r="N446" s="36"/>
      <c r="O446" s="36"/>
      <c r="P446" s="36"/>
      <c r="Q446" s="36"/>
      <c r="R446" s="36"/>
      <c r="S446" s="36"/>
      <c r="T446" s="36"/>
    </row>
    <row r="447" spans="1:20" ht="15.75">
      <c r="A447" s="13">
        <v>55122</v>
      </c>
      <c r="B447" s="44">
        <v>30</v>
      </c>
      <c r="C447" s="35">
        <v>122.58</v>
      </c>
      <c r="D447" s="35">
        <v>297.94099999999997</v>
      </c>
      <c r="E447" s="41">
        <v>729.47900000000004</v>
      </c>
      <c r="F447" s="35">
        <v>1150</v>
      </c>
      <c r="G447" s="35">
        <v>100</v>
      </c>
      <c r="H447" s="43">
        <v>600</v>
      </c>
      <c r="I447" s="35">
        <v>695</v>
      </c>
      <c r="J447" s="35">
        <v>50</v>
      </c>
      <c r="K447" s="36"/>
      <c r="L447" s="36"/>
      <c r="M447" s="36"/>
      <c r="N447" s="36"/>
      <c r="O447" s="36"/>
      <c r="P447" s="36"/>
      <c r="Q447" s="36"/>
      <c r="R447" s="36"/>
      <c r="S447" s="36"/>
      <c r="T447" s="36"/>
    </row>
    <row r="448" spans="1:20" ht="15.75">
      <c r="A448" s="13">
        <v>55153</v>
      </c>
      <c r="B448" s="44">
        <v>31</v>
      </c>
      <c r="C448" s="35">
        <v>122.58</v>
      </c>
      <c r="D448" s="35">
        <v>297.94099999999997</v>
      </c>
      <c r="E448" s="41">
        <v>729.47900000000004</v>
      </c>
      <c r="F448" s="35">
        <v>1150</v>
      </c>
      <c r="G448" s="35">
        <v>100</v>
      </c>
      <c r="H448" s="43">
        <v>600</v>
      </c>
      <c r="I448" s="35">
        <v>695</v>
      </c>
      <c r="J448" s="35">
        <v>50</v>
      </c>
      <c r="K448" s="36"/>
      <c r="L448" s="36"/>
      <c r="M448" s="36"/>
      <c r="N448" s="36"/>
      <c r="O448" s="36"/>
      <c r="P448" s="36"/>
      <c r="Q448" s="36"/>
      <c r="R448" s="36"/>
      <c r="S448" s="36"/>
      <c r="T448" s="36"/>
    </row>
    <row r="449" spans="1:20" ht="15.75">
      <c r="A449" s="13">
        <v>55184</v>
      </c>
      <c r="B449" s="44">
        <v>31</v>
      </c>
      <c r="C449" s="35">
        <v>122.58</v>
      </c>
      <c r="D449" s="35">
        <v>297.94099999999997</v>
      </c>
      <c r="E449" s="41">
        <v>729.47900000000004</v>
      </c>
      <c r="F449" s="35">
        <v>1150</v>
      </c>
      <c r="G449" s="35">
        <v>100</v>
      </c>
      <c r="H449" s="43">
        <v>600</v>
      </c>
      <c r="I449" s="35">
        <v>695</v>
      </c>
      <c r="J449" s="35">
        <v>50</v>
      </c>
      <c r="K449" s="36"/>
      <c r="L449" s="36"/>
      <c r="M449" s="36"/>
      <c r="N449" s="36"/>
      <c r="O449" s="36"/>
      <c r="P449" s="36"/>
      <c r="Q449" s="36"/>
      <c r="R449" s="36"/>
      <c r="S449" s="36"/>
      <c r="T449" s="36"/>
    </row>
    <row r="450" spans="1:20" ht="15.75">
      <c r="A450" s="13">
        <v>55212</v>
      </c>
      <c r="B450" s="44">
        <v>28</v>
      </c>
      <c r="C450" s="35">
        <v>122.58</v>
      </c>
      <c r="D450" s="35">
        <v>297.94099999999997</v>
      </c>
      <c r="E450" s="41">
        <v>729.47900000000004</v>
      </c>
      <c r="F450" s="35">
        <v>1150</v>
      </c>
      <c r="G450" s="35">
        <v>100</v>
      </c>
      <c r="H450" s="43">
        <v>600</v>
      </c>
      <c r="I450" s="35">
        <v>695</v>
      </c>
      <c r="J450" s="35">
        <v>50</v>
      </c>
      <c r="K450" s="36"/>
      <c r="L450" s="36"/>
      <c r="M450" s="36"/>
      <c r="N450" s="36"/>
      <c r="O450" s="36"/>
      <c r="P450" s="36"/>
      <c r="Q450" s="36"/>
      <c r="R450" s="36"/>
      <c r="S450" s="36"/>
      <c r="T450" s="36"/>
    </row>
    <row r="451" spans="1:20" ht="15.75">
      <c r="A451" s="13">
        <v>55243</v>
      </c>
      <c r="B451" s="44">
        <v>31</v>
      </c>
      <c r="C451" s="35">
        <v>122.58</v>
      </c>
      <c r="D451" s="35">
        <v>297.94099999999997</v>
      </c>
      <c r="E451" s="41">
        <v>729.47900000000004</v>
      </c>
      <c r="F451" s="35">
        <v>1150</v>
      </c>
      <c r="G451" s="35">
        <v>100</v>
      </c>
      <c r="H451" s="43">
        <v>600</v>
      </c>
      <c r="I451" s="35">
        <v>695</v>
      </c>
      <c r="J451" s="35">
        <v>50</v>
      </c>
      <c r="K451" s="36"/>
      <c r="L451" s="36"/>
      <c r="M451" s="36"/>
      <c r="N451" s="36"/>
      <c r="O451" s="36"/>
      <c r="P451" s="36"/>
      <c r="Q451" s="36"/>
      <c r="R451" s="36"/>
      <c r="S451" s="36"/>
      <c r="T451" s="36"/>
    </row>
    <row r="452" spans="1:20" ht="15.75">
      <c r="A452" s="13">
        <v>55273</v>
      </c>
      <c r="B452" s="44">
        <v>30</v>
      </c>
      <c r="C452" s="35">
        <v>141.29300000000001</v>
      </c>
      <c r="D452" s="35">
        <v>267.99299999999999</v>
      </c>
      <c r="E452" s="41">
        <v>829.71400000000006</v>
      </c>
      <c r="F452" s="35">
        <v>1239</v>
      </c>
      <c r="G452" s="35">
        <v>100</v>
      </c>
      <c r="H452" s="43">
        <v>600</v>
      </c>
      <c r="I452" s="35">
        <v>695</v>
      </c>
      <c r="J452" s="35">
        <v>50</v>
      </c>
      <c r="K452" s="36"/>
      <c r="L452" s="36"/>
      <c r="M452" s="36"/>
      <c r="N452" s="36"/>
      <c r="O452" s="36"/>
      <c r="P452" s="36"/>
      <c r="Q452" s="36"/>
      <c r="R452" s="36"/>
      <c r="S452" s="36"/>
      <c r="T452" s="36"/>
    </row>
    <row r="453" spans="1:20" ht="15.75">
      <c r="A453" s="13">
        <v>55304</v>
      </c>
      <c r="B453" s="44">
        <v>31</v>
      </c>
      <c r="C453" s="35">
        <v>194.20500000000001</v>
      </c>
      <c r="D453" s="35">
        <v>267.46600000000001</v>
      </c>
      <c r="E453" s="41">
        <v>812.32899999999995</v>
      </c>
      <c r="F453" s="35">
        <v>1274</v>
      </c>
      <c r="G453" s="35">
        <v>75</v>
      </c>
      <c r="H453" s="43">
        <v>600</v>
      </c>
      <c r="I453" s="35">
        <v>695</v>
      </c>
      <c r="J453" s="35">
        <v>50</v>
      </c>
      <c r="K453" s="36"/>
      <c r="L453" s="36"/>
      <c r="M453" s="36"/>
      <c r="N453" s="36"/>
      <c r="O453" s="36"/>
      <c r="P453" s="36"/>
      <c r="Q453" s="36"/>
      <c r="R453" s="36"/>
      <c r="S453" s="36"/>
      <c r="T453" s="36"/>
    </row>
    <row r="454" spans="1:20" ht="15.75">
      <c r="A454" s="13">
        <v>55334</v>
      </c>
      <c r="B454" s="44">
        <v>30</v>
      </c>
      <c r="C454" s="35">
        <v>194.20500000000001</v>
      </c>
      <c r="D454" s="35">
        <v>267.46600000000001</v>
      </c>
      <c r="E454" s="41">
        <v>812.32899999999995</v>
      </c>
      <c r="F454" s="35">
        <v>1274</v>
      </c>
      <c r="G454" s="35">
        <v>50</v>
      </c>
      <c r="H454" s="43">
        <v>600</v>
      </c>
      <c r="I454" s="35">
        <v>695</v>
      </c>
      <c r="J454" s="35">
        <v>50</v>
      </c>
      <c r="K454" s="36"/>
      <c r="L454" s="36"/>
      <c r="M454" s="36"/>
      <c r="N454" s="36"/>
      <c r="O454" s="36"/>
      <c r="P454" s="36"/>
      <c r="Q454" s="36"/>
      <c r="R454" s="36"/>
      <c r="S454" s="36"/>
      <c r="T454" s="36"/>
    </row>
    <row r="455" spans="1:20" ht="15.75">
      <c r="A455" s="13">
        <v>55365</v>
      </c>
      <c r="B455" s="44">
        <v>31</v>
      </c>
      <c r="C455" s="35">
        <v>194.20500000000001</v>
      </c>
      <c r="D455" s="35">
        <v>267.46600000000001</v>
      </c>
      <c r="E455" s="41">
        <v>812.32899999999995</v>
      </c>
      <c r="F455" s="35">
        <v>1274</v>
      </c>
      <c r="G455" s="35">
        <v>50</v>
      </c>
      <c r="H455" s="43">
        <v>600</v>
      </c>
      <c r="I455" s="35">
        <v>695</v>
      </c>
      <c r="J455" s="35">
        <v>0</v>
      </c>
      <c r="K455" s="36"/>
      <c r="L455" s="36"/>
      <c r="M455" s="36"/>
      <c r="N455" s="36"/>
      <c r="O455" s="36"/>
      <c r="P455" s="36"/>
      <c r="Q455" s="36"/>
      <c r="R455" s="36"/>
      <c r="S455" s="36"/>
      <c r="T455" s="36"/>
    </row>
    <row r="456" spans="1:20" ht="15.75">
      <c r="A456" s="13">
        <v>55396</v>
      </c>
      <c r="B456" s="44">
        <v>31</v>
      </c>
      <c r="C456" s="35">
        <v>194.20500000000001</v>
      </c>
      <c r="D456" s="35">
        <v>267.46600000000001</v>
      </c>
      <c r="E456" s="41">
        <v>812.32899999999995</v>
      </c>
      <c r="F456" s="35">
        <v>1274</v>
      </c>
      <c r="G456" s="35">
        <v>50</v>
      </c>
      <c r="H456" s="43">
        <v>600</v>
      </c>
      <c r="I456" s="35">
        <v>695</v>
      </c>
      <c r="J456" s="35">
        <v>0</v>
      </c>
      <c r="K456" s="36"/>
      <c r="L456" s="36"/>
      <c r="M456" s="36"/>
      <c r="N456" s="36"/>
      <c r="O456" s="36"/>
      <c r="P456" s="36"/>
      <c r="Q456" s="36"/>
      <c r="R456" s="36"/>
      <c r="S456" s="36"/>
      <c r="T456" s="36"/>
    </row>
    <row r="457" spans="1:20" ht="15.75">
      <c r="A457" s="13">
        <v>55426</v>
      </c>
      <c r="B457" s="44">
        <v>30</v>
      </c>
      <c r="C457" s="35">
        <v>194.20500000000001</v>
      </c>
      <c r="D457" s="35">
        <v>267.46600000000001</v>
      </c>
      <c r="E457" s="41">
        <v>812.32899999999995</v>
      </c>
      <c r="F457" s="35">
        <v>1274</v>
      </c>
      <c r="G457" s="35">
        <v>50</v>
      </c>
      <c r="H457" s="43">
        <v>600</v>
      </c>
      <c r="I457" s="35">
        <v>695</v>
      </c>
      <c r="J457" s="35">
        <v>0</v>
      </c>
      <c r="K457" s="36"/>
      <c r="L457" s="36"/>
      <c r="M457" s="36"/>
      <c r="N457" s="36"/>
      <c r="O457" s="36"/>
      <c r="P457" s="36"/>
      <c r="Q457" s="36"/>
      <c r="R457" s="36"/>
      <c r="S457" s="36"/>
      <c r="T457" s="36"/>
    </row>
    <row r="458" spans="1:20" ht="15.75">
      <c r="A458" s="13">
        <v>55457</v>
      </c>
      <c r="B458" s="44">
        <v>31</v>
      </c>
      <c r="C458" s="35">
        <v>131.881</v>
      </c>
      <c r="D458" s="35">
        <v>277.16699999999997</v>
      </c>
      <c r="E458" s="41">
        <v>829.952</v>
      </c>
      <c r="F458" s="35">
        <v>1239</v>
      </c>
      <c r="G458" s="35">
        <v>75</v>
      </c>
      <c r="H458" s="43">
        <v>600</v>
      </c>
      <c r="I458" s="35">
        <v>695</v>
      </c>
      <c r="J458" s="35">
        <v>0</v>
      </c>
      <c r="K458" s="36"/>
      <c r="L458" s="36"/>
      <c r="M458" s="36"/>
      <c r="N458" s="36"/>
      <c r="O458" s="36"/>
      <c r="P458" s="36"/>
      <c r="Q458" s="36"/>
      <c r="R458" s="36"/>
      <c r="S458" s="36"/>
      <c r="T458" s="36"/>
    </row>
    <row r="459" spans="1:20" ht="15.75">
      <c r="A459" s="13">
        <v>55487</v>
      </c>
      <c r="B459" s="44">
        <v>30</v>
      </c>
      <c r="C459" s="35">
        <v>122.58</v>
      </c>
      <c r="D459" s="35">
        <v>297.94099999999997</v>
      </c>
      <c r="E459" s="41">
        <v>729.47900000000004</v>
      </c>
      <c r="F459" s="35">
        <v>1150</v>
      </c>
      <c r="G459" s="35">
        <v>100</v>
      </c>
      <c r="H459" s="43">
        <v>600</v>
      </c>
      <c r="I459" s="35">
        <v>695</v>
      </c>
      <c r="J459" s="35">
        <v>50</v>
      </c>
      <c r="K459" s="36"/>
      <c r="L459" s="36"/>
      <c r="M459" s="36"/>
      <c r="N459" s="36"/>
      <c r="O459" s="36"/>
      <c r="P459" s="36"/>
      <c r="Q459" s="36"/>
      <c r="R459" s="36"/>
      <c r="S459" s="36"/>
      <c r="T459" s="36"/>
    </row>
    <row r="460" spans="1:20" ht="15.75">
      <c r="A460" s="13">
        <v>55518</v>
      </c>
      <c r="B460" s="44">
        <v>31</v>
      </c>
      <c r="C460" s="35">
        <v>122.58</v>
      </c>
      <c r="D460" s="35">
        <v>297.94099999999997</v>
      </c>
      <c r="E460" s="41">
        <v>729.47900000000004</v>
      </c>
      <c r="F460" s="35">
        <v>1150</v>
      </c>
      <c r="G460" s="35">
        <v>100</v>
      </c>
      <c r="H460" s="43">
        <v>600</v>
      </c>
      <c r="I460" s="35">
        <v>695</v>
      </c>
      <c r="J460" s="35">
        <v>50</v>
      </c>
      <c r="K460" s="36"/>
      <c r="L460" s="36"/>
      <c r="M460" s="36"/>
      <c r="N460" s="36"/>
      <c r="O460" s="36"/>
      <c r="P460" s="36"/>
      <c r="Q460" s="36"/>
      <c r="R460" s="36"/>
      <c r="S460" s="36"/>
      <c r="T460" s="36"/>
    </row>
    <row r="461" spans="1:20" ht="15.75">
      <c r="A461" s="13">
        <v>55549</v>
      </c>
      <c r="B461" s="44">
        <v>31</v>
      </c>
      <c r="C461" s="35">
        <v>122.58</v>
      </c>
      <c r="D461" s="35">
        <v>297.94099999999997</v>
      </c>
      <c r="E461" s="41">
        <v>729.47900000000004</v>
      </c>
      <c r="F461" s="35">
        <v>1150</v>
      </c>
      <c r="G461" s="35">
        <v>100</v>
      </c>
      <c r="H461" s="43">
        <v>600</v>
      </c>
      <c r="I461" s="35">
        <v>695</v>
      </c>
      <c r="J461" s="35">
        <v>50</v>
      </c>
      <c r="K461" s="36"/>
      <c r="L461" s="36"/>
      <c r="M461" s="36"/>
      <c r="N461" s="36"/>
      <c r="O461" s="36"/>
      <c r="P461" s="36"/>
      <c r="Q461" s="36"/>
      <c r="R461" s="36"/>
      <c r="S461" s="36"/>
      <c r="T461" s="36"/>
    </row>
    <row r="462" spans="1:20" ht="15.75">
      <c r="A462" s="13">
        <v>55577</v>
      </c>
      <c r="B462" s="44">
        <v>29</v>
      </c>
      <c r="C462" s="35">
        <v>122.58</v>
      </c>
      <c r="D462" s="35">
        <v>297.94099999999997</v>
      </c>
      <c r="E462" s="41">
        <v>729.47900000000004</v>
      </c>
      <c r="F462" s="35">
        <v>1150</v>
      </c>
      <c r="G462" s="35">
        <v>100</v>
      </c>
      <c r="H462" s="43">
        <v>600</v>
      </c>
      <c r="I462" s="35">
        <v>695</v>
      </c>
      <c r="J462" s="35">
        <v>50</v>
      </c>
      <c r="K462" s="36"/>
      <c r="L462" s="36"/>
      <c r="M462" s="36"/>
      <c r="N462" s="36"/>
      <c r="O462" s="36"/>
      <c r="P462" s="36"/>
      <c r="Q462" s="36"/>
      <c r="R462" s="36"/>
      <c r="S462" s="36"/>
      <c r="T462" s="36"/>
    </row>
    <row r="463" spans="1:20" ht="15.75">
      <c r="A463" s="13">
        <v>55609</v>
      </c>
      <c r="B463" s="44">
        <v>31</v>
      </c>
      <c r="C463" s="35">
        <v>122.58</v>
      </c>
      <c r="D463" s="35">
        <v>297.94099999999997</v>
      </c>
      <c r="E463" s="41">
        <v>729.47900000000004</v>
      </c>
      <c r="F463" s="35">
        <v>1150</v>
      </c>
      <c r="G463" s="35">
        <v>100</v>
      </c>
      <c r="H463" s="43">
        <v>600</v>
      </c>
      <c r="I463" s="35">
        <v>695</v>
      </c>
      <c r="J463" s="35">
        <v>50</v>
      </c>
      <c r="K463" s="36"/>
      <c r="L463" s="36"/>
      <c r="M463" s="36"/>
      <c r="N463" s="36"/>
      <c r="O463" s="36"/>
      <c r="P463" s="36"/>
      <c r="Q463" s="36"/>
      <c r="R463" s="36"/>
      <c r="S463" s="36"/>
      <c r="T463" s="36"/>
    </row>
    <row r="464" spans="1:20" ht="15.75">
      <c r="A464" s="13">
        <v>55639</v>
      </c>
      <c r="B464" s="44">
        <v>30</v>
      </c>
      <c r="C464" s="35">
        <v>141.29300000000001</v>
      </c>
      <c r="D464" s="35">
        <v>267.99299999999999</v>
      </c>
      <c r="E464" s="41">
        <v>829.71400000000006</v>
      </c>
      <c r="F464" s="35">
        <v>1239</v>
      </c>
      <c r="G464" s="35">
        <v>100</v>
      </c>
      <c r="H464" s="43">
        <v>600</v>
      </c>
      <c r="I464" s="35">
        <v>695</v>
      </c>
      <c r="J464" s="35">
        <v>50</v>
      </c>
      <c r="K464" s="36"/>
      <c r="L464" s="36"/>
      <c r="M464" s="36"/>
      <c r="N464" s="36"/>
      <c r="O464" s="36"/>
      <c r="P464" s="36"/>
      <c r="Q464" s="36"/>
      <c r="R464" s="36"/>
      <c r="S464" s="36"/>
      <c r="T464" s="36"/>
    </row>
    <row r="465" spans="1:20" ht="15.75">
      <c r="A465" s="13">
        <v>55670</v>
      </c>
      <c r="B465" s="44">
        <v>31</v>
      </c>
      <c r="C465" s="35">
        <v>194.20500000000001</v>
      </c>
      <c r="D465" s="35">
        <v>267.46600000000001</v>
      </c>
      <c r="E465" s="41">
        <v>812.32899999999995</v>
      </c>
      <c r="F465" s="35">
        <v>1274</v>
      </c>
      <c r="G465" s="35">
        <v>75</v>
      </c>
      <c r="H465" s="43">
        <v>600</v>
      </c>
      <c r="I465" s="35">
        <v>695</v>
      </c>
      <c r="J465" s="35">
        <v>50</v>
      </c>
      <c r="K465" s="36"/>
      <c r="L465" s="36"/>
      <c r="M465" s="36"/>
      <c r="N465" s="36"/>
      <c r="O465" s="36"/>
      <c r="P465" s="36"/>
      <c r="Q465" s="36"/>
      <c r="R465" s="36"/>
      <c r="S465" s="36"/>
      <c r="T465" s="36"/>
    </row>
    <row r="466" spans="1:20" ht="15.75">
      <c r="A466" s="13">
        <v>55700</v>
      </c>
      <c r="B466" s="44">
        <v>30</v>
      </c>
      <c r="C466" s="35">
        <v>194.20500000000001</v>
      </c>
      <c r="D466" s="35">
        <v>267.46600000000001</v>
      </c>
      <c r="E466" s="41">
        <v>812.32899999999995</v>
      </c>
      <c r="F466" s="35">
        <v>1274</v>
      </c>
      <c r="G466" s="35">
        <v>50</v>
      </c>
      <c r="H466" s="43">
        <v>600</v>
      </c>
      <c r="I466" s="35">
        <v>695</v>
      </c>
      <c r="J466" s="35">
        <v>50</v>
      </c>
      <c r="K466" s="36"/>
      <c r="L466" s="36"/>
      <c r="M466" s="36"/>
      <c r="N466" s="36"/>
      <c r="O466" s="36"/>
      <c r="P466" s="36"/>
      <c r="Q466" s="36"/>
      <c r="R466" s="36"/>
      <c r="S466" s="36"/>
      <c r="T466" s="36"/>
    </row>
    <row r="467" spans="1:20" ht="15.75">
      <c r="A467" s="13">
        <v>55731</v>
      </c>
      <c r="B467" s="44">
        <v>31</v>
      </c>
      <c r="C467" s="35">
        <v>194.20500000000001</v>
      </c>
      <c r="D467" s="35">
        <v>267.46600000000001</v>
      </c>
      <c r="E467" s="41">
        <v>812.32899999999995</v>
      </c>
      <c r="F467" s="35">
        <v>1274</v>
      </c>
      <c r="G467" s="35">
        <v>50</v>
      </c>
      <c r="H467" s="43">
        <v>600</v>
      </c>
      <c r="I467" s="35">
        <v>695</v>
      </c>
      <c r="J467" s="35">
        <v>0</v>
      </c>
      <c r="K467" s="36"/>
      <c r="L467" s="36"/>
      <c r="M467" s="36"/>
      <c r="N467" s="36"/>
      <c r="O467" s="36"/>
      <c r="P467" s="36"/>
      <c r="Q467" s="36"/>
      <c r="R467" s="36"/>
      <c r="S467" s="36"/>
      <c r="T467" s="36"/>
    </row>
    <row r="468" spans="1:20" ht="15.75">
      <c r="A468" s="13">
        <v>55762</v>
      </c>
      <c r="B468" s="44">
        <v>31</v>
      </c>
      <c r="C468" s="35">
        <v>194.20500000000001</v>
      </c>
      <c r="D468" s="35">
        <v>267.46600000000001</v>
      </c>
      <c r="E468" s="41">
        <v>812.32899999999995</v>
      </c>
      <c r="F468" s="35">
        <v>1274</v>
      </c>
      <c r="G468" s="35">
        <v>50</v>
      </c>
      <c r="H468" s="43">
        <v>600</v>
      </c>
      <c r="I468" s="35">
        <v>695</v>
      </c>
      <c r="J468" s="35">
        <v>0</v>
      </c>
      <c r="K468" s="36"/>
      <c r="L468" s="36"/>
      <c r="M468" s="36"/>
      <c r="N468" s="36"/>
      <c r="O468" s="36"/>
      <c r="P468" s="36"/>
      <c r="Q468" s="36"/>
      <c r="R468" s="36"/>
      <c r="S468" s="36"/>
      <c r="T468" s="36"/>
    </row>
    <row r="469" spans="1:20" ht="15.75">
      <c r="A469" s="13">
        <v>55792</v>
      </c>
      <c r="B469" s="44">
        <v>30</v>
      </c>
      <c r="C469" s="35">
        <v>194.20500000000001</v>
      </c>
      <c r="D469" s="35">
        <v>267.46600000000001</v>
      </c>
      <c r="E469" s="41">
        <v>812.32899999999995</v>
      </c>
      <c r="F469" s="35">
        <v>1274</v>
      </c>
      <c r="G469" s="35">
        <v>50</v>
      </c>
      <c r="H469" s="43">
        <v>600</v>
      </c>
      <c r="I469" s="35">
        <v>695</v>
      </c>
      <c r="J469" s="35">
        <v>0</v>
      </c>
      <c r="K469" s="36"/>
      <c r="L469" s="36"/>
      <c r="M469" s="36"/>
      <c r="N469" s="36"/>
      <c r="O469" s="36"/>
      <c r="P469" s="36"/>
      <c r="Q469" s="36"/>
      <c r="R469" s="36"/>
      <c r="S469" s="36"/>
      <c r="T469" s="36"/>
    </row>
    <row r="470" spans="1:20" ht="15.75">
      <c r="A470" s="13">
        <v>55823</v>
      </c>
      <c r="B470" s="44">
        <v>31</v>
      </c>
      <c r="C470" s="35">
        <v>131.881</v>
      </c>
      <c r="D470" s="35">
        <v>277.16699999999997</v>
      </c>
      <c r="E470" s="41">
        <v>829.952</v>
      </c>
      <c r="F470" s="35">
        <v>1239</v>
      </c>
      <c r="G470" s="35">
        <v>75</v>
      </c>
      <c r="H470" s="43">
        <v>600</v>
      </c>
      <c r="I470" s="35">
        <v>695</v>
      </c>
      <c r="J470" s="35">
        <v>0</v>
      </c>
      <c r="K470" s="36"/>
      <c r="L470" s="36"/>
      <c r="M470" s="36"/>
      <c r="N470" s="36"/>
      <c r="O470" s="36"/>
      <c r="P470" s="36"/>
      <c r="Q470" s="36"/>
      <c r="R470" s="36"/>
      <c r="S470" s="36"/>
      <c r="T470" s="36"/>
    </row>
    <row r="471" spans="1:20" ht="15.75">
      <c r="A471" s="13">
        <v>55853</v>
      </c>
      <c r="B471" s="44">
        <v>30</v>
      </c>
      <c r="C471" s="35">
        <v>122.58</v>
      </c>
      <c r="D471" s="35">
        <v>297.94099999999997</v>
      </c>
      <c r="E471" s="41">
        <v>729.47900000000004</v>
      </c>
      <c r="F471" s="35">
        <v>1150</v>
      </c>
      <c r="G471" s="35">
        <v>100</v>
      </c>
      <c r="H471" s="43">
        <v>600</v>
      </c>
      <c r="I471" s="35">
        <v>695</v>
      </c>
      <c r="J471" s="35">
        <v>50</v>
      </c>
      <c r="K471" s="36"/>
      <c r="L471" s="36"/>
      <c r="M471" s="36"/>
      <c r="N471" s="36"/>
      <c r="O471" s="36"/>
      <c r="P471" s="36"/>
      <c r="Q471" s="36"/>
      <c r="R471" s="36"/>
      <c r="S471" s="36"/>
      <c r="T471" s="36"/>
    </row>
    <row r="472" spans="1:20" ht="15.75">
      <c r="A472" s="13">
        <v>55884</v>
      </c>
      <c r="B472" s="44">
        <v>31</v>
      </c>
      <c r="C472" s="35">
        <v>122.58</v>
      </c>
      <c r="D472" s="35">
        <v>297.94099999999997</v>
      </c>
      <c r="E472" s="41">
        <v>729.47900000000004</v>
      </c>
      <c r="F472" s="35">
        <v>1150</v>
      </c>
      <c r="G472" s="35">
        <v>100</v>
      </c>
      <c r="H472" s="43">
        <v>600</v>
      </c>
      <c r="I472" s="35">
        <v>695</v>
      </c>
      <c r="J472" s="35">
        <v>50</v>
      </c>
      <c r="K472" s="36"/>
      <c r="L472" s="36"/>
      <c r="M472" s="36"/>
      <c r="N472" s="36"/>
      <c r="O472" s="36"/>
      <c r="P472" s="36"/>
      <c r="Q472" s="36"/>
      <c r="R472" s="36"/>
      <c r="S472" s="36"/>
      <c r="T472" s="36"/>
    </row>
    <row r="473" spans="1:20" ht="15.75">
      <c r="A473" s="13">
        <v>55915</v>
      </c>
      <c r="B473" s="44">
        <v>31</v>
      </c>
      <c r="C473" s="35">
        <v>122.58</v>
      </c>
      <c r="D473" s="35">
        <v>297.94099999999997</v>
      </c>
      <c r="E473" s="41">
        <v>729.47900000000004</v>
      </c>
      <c r="F473" s="35">
        <v>1150</v>
      </c>
      <c r="G473" s="35">
        <v>100</v>
      </c>
      <c r="H473" s="43">
        <v>600</v>
      </c>
      <c r="I473" s="35">
        <v>695</v>
      </c>
      <c r="J473" s="35">
        <v>50</v>
      </c>
      <c r="K473" s="36"/>
      <c r="L473" s="36"/>
      <c r="M473" s="36"/>
      <c r="N473" s="36"/>
      <c r="O473" s="36"/>
      <c r="P473" s="36"/>
      <c r="Q473" s="36"/>
      <c r="R473" s="36"/>
      <c r="S473" s="36"/>
      <c r="T473" s="36"/>
    </row>
    <row r="474" spans="1:20" ht="15.75">
      <c r="A474" s="13">
        <v>55943</v>
      </c>
      <c r="B474" s="44">
        <v>28</v>
      </c>
      <c r="C474" s="35">
        <v>122.58</v>
      </c>
      <c r="D474" s="35">
        <v>297.94099999999997</v>
      </c>
      <c r="E474" s="41">
        <v>729.47900000000004</v>
      </c>
      <c r="F474" s="35">
        <v>1150</v>
      </c>
      <c r="G474" s="35">
        <v>100</v>
      </c>
      <c r="H474" s="43">
        <v>600</v>
      </c>
      <c r="I474" s="35">
        <v>695</v>
      </c>
      <c r="J474" s="35">
        <v>50</v>
      </c>
      <c r="K474" s="36"/>
      <c r="L474" s="36"/>
      <c r="M474" s="36"/>
      <c r="N474" s="36"/>
      <c r="O474" s="36"/>
      <c r="P474" s="36"/>
      <c r="Q474" s="36"/>
      <c r="R474" s="36"/>
      <c r="S474" s="36"/>
      <c r="T474" s="36"/>
    </row>
    <row r="475" spans="1:20" ht="15.75">
      <c r="A475" s="13">
        <v>55974</v>
      </c>
      <c r="B475" s="44">
        <v>31</v>
      </c>
      <c r="C475" s="35">
        <v>122.58</v>
      </c>
      <c r="D475" s="35">
        <v>297.94099999999997</v>
      </c>
      <c r="E475" s="41">
        <v>729.47900000000004</v>
      </c>
      <c r="F475" s="35">
        <v>1150</v>
      </c>
      <c r="G475" s="35">
        <v>100</v>
      </c>
      <c r="H475" s="43">
        <v>600</v>
      </c>
      <c r="I475" s="35">
        <v>695</v>
      </c>
      <c r="J475" s="35">
        <v>50</v>
      </c>
      <c r="K475" s="36"/>
      <c r="L475" s="36"/>
      <c r="M475" s="36"/>
      <c r="N475" s="36"/>
      <c r="O475" s="36"/>
      <c r="P475" s="36"/>
      <c r="Q475" s="36"/>
      <c r="R475" s="36"/>
      <c r="S475" s="36"/>
      <c r="T475" s="36"/>
    </row>
    <row r="476" spans="1:20" ht="15.75">
      <c r="A476" s="13">
        <v>56004</v>
      </c>
      <c r="B476" s="44">
        <v>30</v>
      </c>
      <c r="C476" s="35">
        <v>141.29300000000001</v>
      </c>
      <c r="D476" s="35">
        <v>267.99299999999999</v>
      </c>
      <c r="E476" s="41">
        <v>829.71400000000006</v>
      </c>
      <c r="F476" s="35">
        <v>1239</v>
      </c>
      <c r="G476" s="35">
        <v>100</v>
      </c>
      <c r="H476" s="43">
        <v>600</v>
      </c>
      <c r="I476" s="35">
        <v>695</v>
      </c>
      <c r="J476" s="35">
        <v>50</v>
      </c>
      <c r="K476" s="36"/>
      <c r="L476" s="36"/>
      <c r="M476" s="36"/>
      <c r="N476" s="36"/>
      <c r="O476" s="36"/>
      <c r="P476" s="36"/>
      <c r="Q476" s="36"/>
      <c r="R476" s="36"/>
      <c r="S476" s="36"/>
      <c r="T476" s="36"/>
    </row>
    <row r="477" spans="1:20" ht="15.75">
      <c r="A477" s="13">
        <v>56035</v>
      </c>
      <c r="B477" s="44">
        <v>31</v>
      </c>
      <c r="C477" s="35">
        <v>194.20500000000001</v>
      </c>
      <c r="D477" s="35">
        <v>267.46600000000001</v>
      </c>
      <c r="E477" s="41">
        <v>812.32899999999995</v>
      </c>
      <c r="F477" s="35">
        <v>1274</v>
      </c>
      <c r="G477" s="35">
        <v>75</v>
      </c>
      <c r="H477" s="43">
        <v>600</v>
      </c>
      <c r="I477" s="35">
        <v>695</v>
      </c>
      <c r="J477" s="35">
        <v>50</v>
      </c>
      <c r="K477" s="36"/>
      <c r="L477" s="36"/>
      <c r="M477" s="36"/>
      <c r="N477" s="36"/>
      <c r="O477" s="36"/>
      <c r="P477" s="36"/>
      <c r="Q477" s="36"/>
      <c r="R477" s="36"/>
      <c r="S477" s="36"/>
      <c r="T477" s="36"/>
    </row>
    <row r="478" spans="1:20" ht="15.75">
      <c r="A478" s="13">
        <v>56065</v>
      </c>
      <c r="B478" s="44">
        <v>30</v>
      </c>
      <c r="C478" s="35">
        <v>194.20500000000001</v>
      </c>
      <c r="D478" s="35">
        <v>267.46600000000001</v>
      </c>
      <c r="E478" s="41">
        <v>812.32899999999995</v>
      </c>
      <c r="F478" s="35">
        <v>1274</v>
      </c>
      <c r="G478" s="35">
        <v>50</v>
      </c>
      <c r="H478" s="43">
        <v>600</v>
      </c>
      <c r="I478" s="35">
        <v>695</v>
      </c>
      <c r="J478" s="35">
        <v>50</v>
      </c>
      <c r="K478" s="36"/>
      <c r="L478" s="36"/>
      <c r="M478" s="36"/>
      <c r="N478" s="36"/>
      <c r="O478" s="36"/>
      <c r="P478" s="36"/>
      <c r="Q478" s="36"/>
      <c r="R478" s="36"/>
      <c r="S478" s="36"/>
      <c r="T478" s="36"/>
    </row>
    <row r="479" spans="1:20" ht="15.75">
      <c r="A479" s="13">
        <v>56096</v>
      </c>
      <c r="B479" s="44">
        <v>31</v>
      </c>
      <c r="C479" s="35">
        <v>194.20500000000001</v>
      </c>
      <c r="D479" s="35">
        <v>267.46600000000001</v>
      </c>
      <c r="E479" s="41">
        <v>812.32899999999995</v>
      </c>
      <c r="F479" s="35">
        <v>1274</v>
      </c>
      <c r="G479" s="35">
        <v>50</v>
      </c>
      <c r="H479" s="43">
        <v>600</v>
      </c>
      <c r="I479" s="35">
        <v>695</v>
      </c>
      <c r="J479" s="35">
        <v>0</v>
      </c>
      <c r="K479" s="36"/>
      <c r="L479" s="36"/>
      <c r="M479" s="36"/>
      <c r="N479" s="36"/>
      <c r="O479" s="36"/>
      <c r="P479" s="36"/>
      <c r="Q479" s="36"/>
      <c r="R479" s="36"/>
      <c r="S479" s="36"/>
      <c r="T479" s="36"/>
    </row>
    <row r="480" spans="1:20" ht="15.75">
      <c r="A480" s="13">
        <v>56127</v>
      </c>
      <c r="B480" s="44">
        <v>31</v>
      </c>
      <c r="C480" s="35">
        <v>194.20500000000001</v>
      </c>
      <c r="D480" s="35">
        <v>267.46600000000001</v>
      </c>
      <c r="E480" s="41">
        <v>812.32899999999995</v>
      </c>
      <c r="F480" s="35">
        <v>1274</v>
      </c>
      <c r="G480" s="35">
        <v>50</v>
      </c>
      <c r="H480" s="43">
        <v>600</v>
      </c>
      <c r="I480" s="35">
        <v>695</v>
      </c>
      <c r="J480" s="35">
        <v>0</v>
      </c>
      <c r="K480" s="36"/>
      <c r="L480" s="36"/>
      <c r="M480" s="36"/>
      <c r="N480" s="36"/>
      <c r="O480" s="36"/>
      <c r="P480" s="36"/>
      <c r="Q480" s="36"/>
      <c r="R480" s="36"/>
      <c r="S480" s="36"/>
      <c r="T480" s="36"/>
    </row>
    <row r="481" spans="1:20" ht="15.75">
      <c r="A481" s="13">
        <v>56157</v>
      </c>
      <c r="B481" s="44">
        <v>30</v>
      </c>
      <c r="C481" s="35">
        <v>194.20500000000001</v>
      </c>
      <c r="D481" s="35">
        <v>267.46600000000001</v>
      </c>
      <c r="E481" s="41">
        <v>812.32899999999995</v>
      </c>
      <c r="F481" s="35">
        <v>1274</v>
      </c>
      <c r="G481" s="35">
        <v>50</v>
      </c>
      <c r="H481" s="43">
        <v>600</v>
      </c>
      <c r="I481" s="35">
        <v>695</v>
      </c>
      <c r="J481" s="35">
        <v>0</v>
      </c>
      <c r="K481" s="36"/>
      <c r="L481" s="36"/>
      <c r="M481" s="36"/>
      <c r="N481" s="36"/>
      <c r="O481" s="36"/>
      <c r="P481" s="36"/>
      <c r="Q481" s="36"/>
      <c r="R481" s="36"/>
      <c r="S481" s="36"/>
      <c r="T481" s="36"/>
    </row>
    <row r="482" spans="1:20" ht="15.75">
      <c r="A482" s="13">
        <v>56188</v>
      </c>
      <c r="B482" s="44">
        <v>31</v>
      </c>
      <c r="C482" s="35">
        <v>131.881</v>
      </c>
      <c r="D482" s="35">
        <v>277.16699999999997</v>
      </c>
      <c r="E482" s="41">
        <v>829.952</v>
      </c>
      <c r="F482" s="35">
        <v>1239</v>
      </c>
      <c r="G482" s="35">
        <v>75</v>
      </c>
      <c r="H482" s="43">
        <v>600</v>
      </c>
      <c r="I482" s="35">
        <v>695</v>
      </c>
      <c r="J482" s="35">
        <v>0</v>
      </c>
      <c r="K482" s="36"/>
      <c r="L482" s="36"/>
      <c r="M482" s="36"/>
      <c r="N482" s="36"/>
      <c r="O482" s="36"/>
      <c r="P482" s="36"/>
      <c r="Q482" s="36"/>
      <c r="R482" s="36"/>
      <c r="S482" s="36"/>
      <c r="T482" s="36"/>
    </row>
    <row r="483" spans="1:20" ht="15.75">
      <c r="A483" s="13">
        <v>56218</v>
      </c>
      <c r="B483" s="44">
        <v>30</v>
      </c>
      <c r="C483" s="35">
        <v>122.58</v>
      </c>
      <c r="D483" s="35">
        <v>297.94099999999997</v>
      </c>
      <c r="E483" s="41">
        <v>729.47900000000004</v>
      </c>
      <c r="F483" s="35">
        <v>1150</v>
      </c>
      <c r="G483" s="35">
        <v>100</v>
      </c>
      <c r="H483" s="43">
        <v>600</v>
      </c>
      <c r="I483" s="35">
        <v>695</v>
      </c>
      <c r="J483" s="35">
        <v>50</v>
      </c>
      <c r="K483" s="36"/>
      <c r="L483" s="36"/>
      <c r="M483" s="36"/>
      <c r="N483" s="36"/>
      <c r="O483" s="36"/>
      <c r="P483" s="36"/>
      <c r="Q483" s="36"/>
      <c r="R483" s="36"/>
      <c r="S483" s="36"/>
      <c r="T483" s="36"/>
    </row>
    <row r="484" spans="1:20" ht="15.75">
      <c r="A484" s="13">
        <v>56249</v>
      </c>
      <c r="B484" s="44">
        <v>31</v>
      </c>
      <c r="C484" s="35">
        <v>122.58</v>
      </c>
      <c r="D484" s="35">
        <v>297.94099999999997</v>
      </c>
      <c r="E484" s="41">
        <v>729.47900000000004</v>
      </c>
      <c r="F484" s="35">
        <v>1150</v>
      </c>
      <c r="G484" s="35">
        <v>100</v>
      </c>
      <c r="H484" s="43">
        <v>600</v>
      </c>
      <c r="I484" s="35">
        <v>695</v>
      </c>
      <c r="J484" s="35">
        <v>50</v>
      </c>
      <c r="K484" s="36"/>
      <c r="L484" s="36"/>
      <c r="M484" s="36"/>
      <c r="N484" s="36"/>
      <c r="O484" s="36"/>
      <c r="P484" s="36"/>
      <c r="Q484" s="36"/>
      <c r="R484" s="36"/>
      <c r="S484" s="36"/>
      <c r="T484" s="36"/>
    </row>
    <row r="485" spans="1:20" ht="15.75">
      <c r="A485" s="13">
        <v>56280</v>
      </c>
      <c r="B485" s="44">
        <v>31</v>
      </c>
      <c r="C485" s="35">
        <v>122.58</v>
      </c>
      <c r="D485" s="35">
        <v>297.94099999999997</v>
      </c>
      <c r="E485" s="41">
        <v>729.47900000000004</v>
      </c>
      <c r="F485" s="35">
        <v>1150</v>
      </c>
      <c r="G485" s="35">
        <v>100</v>
      </c>
      <c r="H485" s="43">
        <v>600</v>
      </c>
      <c r="I485" s="35">
        <v>695</v>
      </c>
      <c r="J485" s="35">
        <v>50</v>
      </c>
      <c r="K485" s="36"/>
      <c r="L485" s="36"/>
      <c r="M485" s="36"/>
      <c r="N485" s="36"/>
      <c r="O485" s="36"/>
      <c r="P485" s="36"/>
      <c r="Q485" s="36"/>
      <c r="R485" s="36"/>
      <c r="S485" s="36"/>
      <c r="T485" s="36"/>
    </row>
    <row r="486" spans="1:20" ht="15.75">
      <c r="A486" s="13">
        <v>56308</v>
      </c>
      <c r="B486" s="44">
        <v>28</v>
      </c>
      <c r="C486" s="35">
        <v>122.58</v>
      </c>
      <c r="D486" s="35">
        <v>297.94099999999997</v>
      </c>
      <c r="E486" s="41">
        <v>729.47900000000004</v>
      </c>
      <c r="F486" s="35">
        <v>1150</v>
      </c>
      <c r="G486" s="35">
        <v>100</v>
      </c>
      <c r="H486" s="43">
        <v>600</v>
      </c>
      <c r="I486" s="35">
        <v>695</v>
      </c>
      <c r="J486" s="35">
        <v>50</v>
      </c>
      <c r="K486" s="36"/>
      <c r="L486" s="36"/>
      <c r="M486" s="36"/>
      <c r="N486" s="36"/>
      <c r="O486" s="36"/>
      <c r="P486" s="36"/>
      <c r="Q486" s="36"/>
      <c r="R486" s="36"/>
      <c r="S486" s="36"/>
      <c r="T486" s="36"/>
    </row>
    <row r="487" spans="1:20" ht="15.75">
      <c r="A487" s="13">
        <v>56339</v>
      </c>
      <c r="B487" s="44">
        <v>31</v>
      </c>
      <c r="C487" s="35">
        <v>122.58</v>
      </c>
      <c r="D487" s="35">
        <v>297.94099999999997</v>
      </c>
      <c r="E487" s="41">
        <v>729.47900000000004</v>
      </c>
      <c r="F487" s="35">
        <v>1150</v>
      </c>
      <c r="G487" s="35">
        <v>100</v>
      </c>
      <c r="H487" s="43">
        <v>600</v>
      </c>
      <c r="I487" s="35">
        <v>695</v>
      </c>
      <c r="J487" s="35">
        <v>50</v>
      </c>
      <c r="K487" s="36"/>
      <c r="L487" s="36"/>
      <c r="M487" s="36"/>
      <c r="N487" s="36"/>
      <c r="O487" s="36"/>
      <c r="P487" s="36"/>
      <c r="Q487" s="36"/>
      <c r="R487" s="36"/>
      <c r="S487" s="36"/>
      <c r="T487" s="36"/>
    </row>
    <row r="488" spans="1:20" ht="15.75">
      <c r="A488" s="13">
        <v>56369</v>
      </c>
      <c r="B488" s="44">
        <v>30</v>
      </c>
      <c r="C488" s="35">
        <v>141.29300000000001</v>
      </c>
      <c r="D488" s="35">
        <v>267.99299999999999</v>
      </c>
      <c r="E488" s="41">
        <v>829.71400000000006</v>
      </c>
      <c r="F488" s="35">
        <v>1239</v>
      </c>
      <c r="G488" s="35">
        <v>100</v>
      </c>
      <c r="H488" s="43">
        <v>600</v>
      </c>
      <c r="I488" s="35">
        <v>695</v>
      </c>
      <c r="J488" s="35">
        <v>50</v>
      </c>
      <c r="K488" s="36"/>
      <c r="L488" s="36"/>
      <c r="M488" s="36"/>
      <c r="N488" s="36"/>
      <c r="O488" s="36"/>
      <c r="P488" s="36"/>
      <c r="Q488" s="36"/>
      <c r="R488" s="36"/>
      <c r="S488" s="36"/>
      <c r="T488" s="36"/>
    </row>
    <row r="489" spans="1:20" ht="15.75">
      <c r="A489" s="13">
        <v>56400</v>
      </c>
      <c r="B489" s="44">
        <v>31</v>
      </c>
      <c r="C489" s="35">
        <v>194.20500000000001</v>
      </c>
      <c r="D489" s="35">
        <v>267.46600000000001</v>
      </c>
      <c r="E489" s="41">
        <v>812.32899999999995</v>
      </c>
      <c r="F489" s="35">
        <v>1274</v>
      </c>
      <c r="G489" s="35">
        <v>75</v>
      </c>
      <c r="H489" s="43">
        <v>600</v>
      </c>
      <c r="I489" s="35">
        <v>695</v>
      </c>
      <c r="J489" s="35">
        <v>50</v>
      </c>
      <c r="K489" s="36"/>
      <c r="L489" s="36"/>
      <c r="M489" s="36"/>
      <c r="N489" s="36"/>
      <c r="O489" s="36"/>
      <c r="P489" s="36"/>
      <c r="Q489" s="36"/>
      <c r="R489" s="36"/>
      <c r="S489" s="36"/>
      <c r="T489" s="36"/>
    </row>
    <row r="490" spans="1:20" ht="15.75">
      <c r="A490" s="13">
        <v>56430</v>
      </c>
      <c r="B490" s="44">
        <v>30</v>
      </c>
      <c r="C490" s="35">
        <v>194.20500000000001</v>
      </c>
      <c r="D490" s="35">
        <v>267.46600000000001</v>
      </c>
      <c r="E490" s="41">
        <v>812.32899999999995</v>
      </c>
      <c r="F490" s="35">
        <v>1274</v>
      </c>
      <c r="G490" s="35">
        <v>50</v>
      </c>
      <c r="H490" s="43">
        <v>600</v>
      </c>
      <c r="I490" s="35">
        <v>695</v>
      </c>
      <c r="J490" s="35">
        <v>50</v>
      </c>
      <c r="K490" s="36"/>
      <c r="L490" s="36"/>
      <c r="M490" s="36"/>
      <c r="N490" s="36"/>
      <c r="O490" s="36"/>
      <c r="P490" s="36"/>
      <c r="Q490" s="36"/>
      <c r="R490" s="36"/>
      <c r="S490" s="36"/>
      <c r="T490" s="36"/>
    </row>
    <row r="491" spans="1:20" ht="15.75">
      <c r="A491" s="13">
        <v>56461</v>
      </c>
      <c r="B491" s="44">
        <v>31</v>
      </c>
      <c r="C491" s="35">
        <v>194.20500000000001</v>
      </c>
      <c r="D491" s="35">
        <v>267.46600000000001</v>
      </c>
      <c r="E491" s="41">
        <v>812.32899999999995</v>
      </c>
      <c r="F491" s="35">
        <v>1274</v>
      </c>
      <c r="G491" s="35">
        <v>50</v>
      </c>
      <c r="H491" s="43">
        <v>600</v>
      </c>
      <c r="I491" s="35">
        <v>695</v>
      </c>
      <c r="J491" s="35">
        <v>0</v>
      </c>
      <c r="K491" s="36"/>
      <c r="L491" s="36"/>
      <c r="M491" s="36"/>
      <c r="N491" s="36"/>
      <c r="O491" s="36"/>
      <c r="P491" s="36"/>
      <c r="Q491" s="36"/>
      <c r="R491" s="36"/>
      <c r="S491" s="36"/>
      <c r="T491" s="36"/>
    </row>
    <row r="492" spans="1:20" ht="15.75">
      <c r="A492" s="13">
        <v>56492</v>
      </c>
      <c r="B492" s="44">
        <v>31</v>
      </c>
      <c r="C492" s="35">
        <v>194.20500000000001</v>
      </c>
      <c r="D492" s="35">
        <v>267.46600000000001</v>
      </c>
      <c r="E492" s="41">
        <v>812.32899999999995</v>
      </c>
      <c r="F492" s="35">
        <v>1274</v>
      </c>
      <c r="G492" s="35">
        <v>50</v>
      </c>
      <c r="H492" s="43">
        <v>600</v>
      </c>
      <c r="I492" s="35">
        <v>695</v>
      </c>
      <c r="J492" s="35">
        <v>0</v>
      </c>
      <c r="K492" s="36"/>
      <c r="L492" s="36"/>
      <c r="M492" s="36"/>
      <c r="N492" s="36"/>
      <c r="O492" s="36"/>
      <c r="P492" s="36"/>
      <c r="Q492" s="36"/>
      <c r="R492" s="36"/>
      <c r="S492" s="36"/>
      <c r="T492" s="36"/>
    </row>
    <row r="493" spans="1:20" ht="15.75">
      <c r="A493" s="13">
        <v>56522</v>
      </c>
      <c r="B493" s="44">
        <v>30</v>
      </c>
      <c r="C493" s="35">
        <v>194.20500000000001</v>
      </c>
      <c r="D493" s="35">
        <v>267.46600000000001</v>
      </c>
      <c r="E493" s="41">
        <v>812.32899999999995</v>
      </c>
      <c r="F493" s="35">
        <v>1274</v>
      </c>
      <c r="G493" s="35">
        <v>50</v>
      </c>
      <c r="H493" s="43">
        <v>600</v>
      </c>
      <c r="I493" s="35">
        <v>695</v>
      </c>
      <c r="J493" s="35">
        <v>0</v>
      </c>
      <c r="K493" s="36"/>
      <c r="L493" s="36"/>
      <c r="M493" s="36"/>
      <c r="N493" s="36"/>
      <c r="O493" s="36"/>
      <c r="P493" s="36"/>
      <c r="Q493" s="36"/>
      <c r="R493" s="36"/>
      <c r="S493" s="36"/>
      <c r="T493" s="36"/>
    </row>
    <row r="494" spans="1:20" ht="15.75">
      <c r="A494" s="13">
        <v>56553</v>
      </c>
      <c r="B494" s="44">
        <v>31</v>
      </c>
      <c r="C494" s="35">
        <v>131.881</v>
      </c>
      <c r="D494" s="35">
        <v>277.16699999999997</v>
      </c>
      <c r="E494" s="41">
        <v>829.952</v>
      </c>
      <c r="F494" s="35">
        <v>1239</v>
      </c>
      <c r="G494" s="35">
        <v>75</v>
      </c>
      <c r="H494" s="43">
        <v>600</v>
      </c>
      <c r="I494" s="35">
        <v>695</v>
      </c>
      <c r="J494" s="35">
        <v>0</v>
      </c>
      <c r="K494" s="36"/>
      <c r="L494" s="36"/>
      <c r="M494" s="36"/>
      <c r="N494" s="36"/>
      <c r="O494" s="36"/>
      <c r="P494" s="36"/>
      <c r="Q494" s="36"/>
      <c r="R494" s="36"/>
      <c r="S494" s="36"/>
      <c r="T494" s="36"/>
    </row>
    <row r="495" spans="1:20" ht="15.75">
      <c r="A495" s="13">
        <v>56583</v>
      </c>
      <c r="B495" s="44">
        <v>30</v>
      </c>
      <c r="C495" s="35">
        <v>122.58</v>
      </c>
      <c r="D495" s="35">
        <v>297.94099999999997</v>
      </c>
      <c r="E495" s="41">
        <v>729.47900000000004</v>
      </c>
      <c r="F495" s="35">
        <v>1150</v>
      </c>
      <c r="G495" s="35">
        <v>100</v>
      </c>
      <c r="H495" s="43">
        <v>600</v>
      </c>
      <c r="I495" s="35">
        <v>695</v>
      </c>
      <c r="J495" s="35">
        <v>50</v>
      </c>
      <c r="K495" s="36"/>
      <c r="L495" s="36"/>
      <c r="M495" s="36"/>
      <c r="N495" s="36"/>
      <c r="O495" s="36"/>
      <c r="P495" s="36"/>
      <c r="Q495" s="36"/>
      <c r="R495" s="36"/>
      <c r="S495" s="36"/>
      <c r="T495" s="36"/>
    </row>
    <row r="496" spans="1:20" ht="15.75">
      <c r="A496" s="13">
        <v>56614</v>
      </c>
      <c r="B496" s="44">
        <v>31</v>
      </c>
      <c r="C496" s="35">
        <v>122.58</v>
      </c>
      <c r="D496" s="35">
        <v>297.94099999999997</v>
      </c>
      <c r="E496" s="41">
        <v>729.47900000000004</v>
      </c>
      <c r="F496" s="35">
        <v>1150</v>
      </c>
      <c r="G496" s="35">
        <v>100</v>
      </c>
      <c r="H496" s="43">
        <v>600</v>
      </c>
      <c r="I496" s="35">
        <v>695</v>
      </c>
      <c r="J496" s="35">
        <v>50</v>
      </c>
      <c r="K496" s="36"/>
      <c r="L496" s="36"/>
      <c r="M496" s="36"/>
      <c r="N496" s="36"/>
      <c r="O496" s="36"/>
      <c r="P496" s="36"/>
      <c r="Q496" s="36"/>
      <c r="R496" s="36"/>
      <c r="S496" s="36"/>
      <c r="T496" s="36"/>
    </row>
    <row r="497" spans="1:20" ht="15.75">
      <c r="A497" s="13">
        <v>56645</v>
      </c>
      <c r="B497" s="44">
        <v>31</v>
      </c>
      <c r="C497" s="35">
        <v>122.58</v>
      </c>
      <c r="D497" s="35">
        <v>297.94099999999997</v>
      </c>
      <c r="E497" s="41">
        <v>729.47900000000004</v>
      </c>
      <c r="F497" s="35">
        <v>1150</v>
      </c>
      <c r="G497" s="35">
        <v>100</v>
      </c>
      <c r="H497" s="43">
        <v>600</v>
      </c>
      <c r="I497" s="35">
        <v>695</v>
      </c>
      <c r="J497" s="35">
        <v>50</v>
      </c>
      <c r="K497" s="36"/>
      <c r="L497" s="36"/>
      <c r="M497" s="36"/>
      <c r="N497" s="36"/>
      <c r="O497" s="36"/>
      <c r="P497" s="36"/>
      <c r="Q497" s="36"/>
      <c r="R497" s="36"/>
      <c r="S497" s="36"/>
      <c r="T497" s="36"/>
    </row>
    <row r="498" spans="1:20" ht="15.75">
      <c r="A498" s="13">
        <v>56673</v>
      </c>
      <c r="B498" s="44">
        <v>28</v>
      </c>
      <c r="C498" s="35">
        <v>122.58</v>
      </c>
      <c r="D498" s="35">
        <v>297.94099999999997</v>
      </c>
      <c r="E498" s="41">
        <v>729.47900000000004</v>
      </c>
      <c r="F498" s="35">
        <v>1150</v>
      </c>
      <c r="G498" s="35">
        <v>100</v>
      </c>
      <c r="H498" s="43">
        <v>600</v>
      </c>
      <c r="I498" s="35">
        <v>695</v>
      </c>
      <c r="J498" s="35">
        <v>50</v>
      </c>
      <c r="K498" s="36"/>
      <c r="L498" s="36"/>
      <c r="M498" s="36"/>
      <c r="N498" s="36"/>
      <c r="O498" s="36"/>
      <c r="P498" s="36"/>
      <c r="Q498" s="36"/>
      <c r="R498" s="36"/>
      <c r="S498" s="36"/>
      <c r="T498" s="36"/>
    </row>
    <row r="499" spans="1:20" ht="15.75">
      <c r="A499" s="13">
        <v>56704</v>
      </c>
      <c r="B499" s="44">
        <v>31</v>
      </c>
      <c r="C499" s="35">
        <v>122.58</v>
      </c>
      <c r="D499" s="35">
        <v>297.94099999999997</v>
      </c>
      <c r="E499" s="41">
        <v>729.47900000000004</v>
      </c>
      <c r="F499" s="35">
        <v>1150</v>
      </c>
      <c r="G499" s="35">
        <v>100</v>
      </c>
      <c r="H499" s="43">
        <v>600</v>
      </c>
      <c r="I499" s="35">
        <v>695</v>
      </c>
      <c r="J499" s="35">
        <v>50</v>
      </c>
      <c r="K499" s="36"/>
      <c r="L499" s="36"/>
      <c r="M499" s="36"/>
      <c r="N499" s="36"/>
      <c r="O499" s="36"/>
      <c r="P499" s="36"/>
      <c r="Q499" s="36"/>
      <c r="R499" s="36"/>
      <c r="S499" s="36"/>
      <c r="T499" s="36"/>
    </row>
    <row r="500" spans="1:20" ht="15.75">
      <c r="A500" s="13">
        <v>56734</v>
      </c>
      <c r="B500" s="44">
        <v>30</v>
      </c>
      <c r="C500" s="35">
        <v>141.29300000000001</v>
      </c>
      <c r="D500" s="35">
        <v>267.99299999999999</v>
      </c>
      <c r="E500" s="41">
        <v>829.71400000000006</v>
      </c>
      <c r="F500" s="35">
        <v>1239</v>
      </c>
      <c r="G500" s="35">
        <v>100</v>
      </c>
      <c r="H500" s="43">
        <v>600</v>
      </c>
      <c r="I500" s="35">
        <v>695</v>
      </c>
      <c r="J500" s="35">
        <v>50</v>
      </c>
      <c r="K500" s="36"/>
      <c r="L500" s="36"/>
      <c r="M500" s="36"/>
      <c r="N500" s="36"/>
      <c r="O500" s="36"/>
      <c r="P500" s="36"/>
      <c r="Q500" s="36"/>
      <c r="R500" s="36"/>
      <c r="S500" s="36"/>
      <c r="T500" s="36"/>
    </row>
    <row r="501" spans="1:20" ht="15.75">
      <c r="A501" s="13">
        <v>56765</v>
      </c>
      <c r="B501" s="44">
        <v>31</v>
      </c>
      <c r="C501" s="35">
        <v>194.20500000000001</v>
      </c>
      <c r="D501" s="35">
        <v>267.46600000000001</v>
      </c>
      <c r="E501" s="41">
        <v>812.32899999999995</v>
      </c>
      <c r="F501" s="35">
        <v>1274</v>
      </c>
      <c r="G501" s="35">
        <v>75</v>
      </c>
      <c r="H501" s="43">
        <v>600</v>
      </c>
      <c r="I501" s="35">
        <v>695</v>
      </c>
      <c r="J501" s="35">
        <v>50</v>
      </c>
      <c r="K501" s="36"/>
      <c r="L501" s="36"/>
      <c r="M501" s="36"/>
      <c r="N501" s="36"/>
      <c r="O501" s="36"/>
      <c r="P501" s="36"/>
      <c r="Q501" s="36"/>
      <c r="R501" s="36"/>
      <c r="S501" s="36"/>
      <c r="T501" s="36"/>
    </row>
    <row r="502" spans="1:20" ht="15.75">
      <c r="A502" s="13">
        <v>56795</v>
      </c>
      <c r="B502" s="44">
        <v>30</v>
      </c>
      <c r="C502" s="35">
        <v>194.20500000000001</v>
      </c>
      <c r="D502" s="35">
        <v>267.46600000000001</v>
      </c>
      <c r="E502" s="41">
        <v>812.32899999999995</v>
      </c>
      <c r="F502" s="35">
        <v>1274</v>
      </c>
      <c r="G502" s="35">
        <v>50</v>
      </c>
      <c r="H502" s="43">
        <v>600</v>
      </c>
      <c r="I502" s="35">
        <v>695</v>
      </c>
      <c r="J502" s="35">
        <v>50</v>
      </c>
      <c r="K502" s="36"/>
      <c r="L502" s="36"/>
      <c r="M502" s="36"/>
      <c r="N502" s="36"/>
      <c r="O502" s="36"/>
      <c r="P502" s="36"/>
      <c r="Q502" s="36"/>
      <c r="R502" s="36"/>
      <c r="S502" s="36"/>
      <c r="T502" s="36"/>
    </row>
    <row r="503" spans="1:20" ht="15.75">
      <c r="A503" s="13">
        <v>56826</v>
      </c>
      <c r="B503" s="44">
        <v>31</v>
      </c>
      <c r="C503" s="35">
        <v>194.20500000000001</v>
      </c>
      <c r="D503" s="35">
        <v>267.46600000000001</v>
      </c>
      <c r="E503" s="41">
        <v>812.32899999999995</v>
      </c>
      <c r="F503" s="35">
        <v>1274</v>
      </c>
      <c r="G503" s="35">
        <v>50</v>
      </c>
      <c r="H503" s="43">
        <v>600</v>
      </c>
      <c r="I503" s="35">
        <v>695</v>
      </c>
      <c r="J503" s="35">
        <v>0</v>
      </c>
      <c r="K503" s="36"/>
      <c r="L503" s="36"/>
      <c r="M503" s="36"/>
      <c r="N503" s="36"/>
      <c r="O503" s="36"/>
      <c r="P503" s="36"/>
      <c r="Q503" s="36"/>
      <c r="R503" s="36"/>
      <c r="S503" s="36"/>
      <c r="T503" s="36"/>
    </row>
    <row r="504" spans="1:20" ht="15.75">
      <c r="A504" s="13">
        <v>56857</v>
      </c>
      <c r="B504" s="44">
        <v>31</v>
      </c>
      <c r="C504" s="35">
        <v>194.20500000000001</v>
      </c>
      <c r="D504" s="35">
        <v>267.46600000000001</v>
      </c>
      <c r="E504" s="41">
        <v>812.32899999999995</v>
      </c>
      <c r="F504" s="35">
        <v>1274</v>
      </c>
      <c r="G504" s="35">
        <v>50</v>
      </c>
      <c r="H504" s="43">
        <v>600</v>
      </c>
      <c r="I504" s="35">
        <v>695</v>
      </c>
      <c r="J504" s="35">
        <v>0</v>
      </c>
      <c r="K504" s="36"/>
      <c r="L504" s="36"/>
      <c r="M504" s="36"/>
      <c r="N504" s="36"/>
      <c r="O504" s="36"/>
      <c r="P504" s="36"/>
      <c r="Q504" s="36"/>
      <c r="R504" s="36"/>
      <c r="S504" s="36"/>
      <c r="T504" s="36"/>
    </row>
    <row r="505" spans="1:20" ht="15.75">
      <c r="A505" s="13">
        <v>56887</v>
      </c>
      <c r="B505" s="44">
        <v>30</v>
      </c>
      <c r="C505" s="35">
        <v>194.20500000000001</v>
      </c>
      <c r="D505" s="35">
        <v>267.46600000000001</v>
      </c>
      <c r="E505" s="41">
        <v>812.32899999999995</v>
      </c>
      <c r="F505" s="35">
        <v>1274</v>
      </c>
      <c r="G505" s="35">
        <v>50</v>
      </c>
      <c r="H505" s="43">
        <v>600</v>
      </c>
      <c r="I505" s="35">
        <v>695</v>
      </c>
      <c r="J505" s="35">
        <v>0</v>
      </c>
      <c r="K505" s="36"/>
      <c r="L505" s="36"/>
      <c r="M505" s="36"/>
      <c r="N505" s="36"/>
      <c r="O505" s="36"/>
      <c r="P505" s="36"/>
      <c r="Q505" s="36"/>
      <c r="R505" s="36"/>
      <c r="S505" s="36"/>
      <c r="T505" s="36"/>
    </row>
    <row r="506" spans="1:20" ht="15.75">
      <c r="A506" s="13">
        <v>56918</v>
      </c>
      <c r="B506" s="44">
        <v>31</v>
      </c>
      <c r="C506" s="35">
        <v>131.881</v>
      </c>
      <c r="D506" s="35">
        <v>277.16699999999997</v>
      </c>
      <c r="E506" s="41">
        <v>829.952</v>
      </c>
      <c r="F506" s="35">
        <v>1239</v>
      </c>
      <c r="G506" s="35">
        <v>75</v>
      </c>
      <c r="H506" s="43">
        <v>600</v>
      </c>
      <c r="I506" s="35">
        <v>695</v>
      </c>
      <c r="J506" s="35">
        <v>0</v>
      </c>
      <c r="K506" s="36"/>
      <c r="L506" s="36"/>
      <c r="M506" s="36"/>
      <c r="N506" s="36"/>
      <c r="O506" s="36"/>
      <c r="P506" s="36"/>
      <c r="Q506" s="36"/>
      <c r="R506" s="36"/>
      <c r="S506" s="36"/>
      <c r="T506" s="36"/>
    </row>
    <row r="507" spans="1:20" ht="15.75">
      <c r="A507" s="13">
        <v>56948</v>
      </c>
      <c r="B507" s="44">
        <v>30</v>
      </c>
      <c r="C507" s="35">
        <v>122.58</v>
      </c>
      <c r="D507" s="35">
        <v>297.94099999999997</v>
      </c>
      <c r="E507" s="41">
        <v>729.47900000000004</v>
      </c>
      <c r="F507" s="35">
        <v>1150</v>
      </c>
      <c r="G507" s="35">
        <v>100</v>
      </c>
      <c r="H507" s="43">
        <v>600</v>
      </c>
      <c r="I507" s="35">
        <v>695</v>
      </c>
      <c r="J507" s="35">
        <v>50</v>
      </c>
      <c r="K507" s="36"/>
      <c r="L507" s="36"/>
      <c r="M507" s="36"/>
      <c r="N507" s="36"/>
      <c r="O507" s="36"/>
      <c r="P507" s="36"/>
      <c r="Q507" s="36"/>
      <c r="R507" s="36"/>
      <c r="S507" s="36"/>
      <c r="T507" s="36"/>
    </row>
    <row r="508" spans="1:20" ht="15.75">
      <c r="A508" s="13">
        <v>56979</v>
      </c>
      <c r="B508" s="44">
        <v>31</v>
      </c>
      <c r="C508" s="35">
        <v>122.58</v>
      </c>
      <c r="D508" s="35">
        <v>297.94099999999997</v>
      </c>
      <c r="E508" s="41">
        <v>729.47900000000004</v>
      </c>
      <c r="F508" s="35">
        <v>1150</v>
      </c>
      <c r="G508" s="35">
        <v>100</v>
      </c>
      <c r="H508" s="43">
        <v>600</v>
      </c>
      <c r="I508" s="35">
        <v>695</v>
      </c>
      <c r="J508" s="35">
        <v>50</v>
      </c>
      <c r="K508" s="36"/>
      <c r="L508" s="36"/>
      <c r="M508" s="36"/>
      <c r="N508" s="36"/>
      <c r="O508" s="36"/>
      <c r="P508" s="36"/>
      <c r="Q508" s="36"/>
      <c r="R508" s="36"/>
      <c r="S508" s="36"/>
      <c r="T508" s="36"/>
    </row>
    <row r="509" spans="1:20" ht="15.75">
      <c r="A509" s="13">
        <v>57010</v>
      </c>
      <c r="B509" s="44">
        <v>31</v>
      </c>
      <c r="C509" s="35">
        <v>122.58</v>
      </c>
      <c r="D509" s="35">
        <v>297.94099999999997</v>
      </c>
      <c r="E509" s="41">
        <v>729.47900000000004</v>
      </c>
      <c r="F509" s="35">
        <v>1150</v>
      </c>
      <c r="G509" s="35">
        <v>100</v>
      </c>
      <c r="H509" s="43">
        <v>600</v>
      </c>
      <c r="I509" s="35">
        <v>695</v>
      </c>
      <c r="J509" s="35">
        <v>50</v>
      </c>
      <c r="K509" s="36"/>
      <c r="L509" s="36"/>
      <c r="M509" s="36"/>
      <c r="N509" s="36"/>
      <c r="O509" s="36"/>
      <c r="P509" s="36"/>
      <c r="Q509" s="36"/>
      <c r="R509" s="36"/>
      <c r="S509" s="36"/>
      <c r="T509" s="36"/>
    </row>
    <row r="510" spans="1:20" ht="15.75">
      <c r="A510" s="13">
        <v>57038</v>
      </c>
      <c r="B510" s="44">
        <v>29</v>
      </c>
      <c r="C510" s="35">
        <v>122.58</v>
      </c>
      <c r="D510" s="35">
        <v>297.94099999999997</v>
      </c>
      <c r="E510" s="41">
        <v>729.47900000000004</v>
      </c>
      <c r="F510" s="35">
        <v>1150</v>
      </c>
      <c r="G510" s="35">
        <v>100</v>
      </c>
      <c r="H510" s="43">
        <v>600</v>
      </c>
      <c r="I510" s="35">
        <v>695</v>
      </c>
      <c r="J510" s="35">
        <v>50</v>
      </c>
      <c r="K510" s="36"/>
      <c r="L510" s="36"/>
      <c r="M510" s="36"/>
      <c r="N510" s="36"/>
      <c r="O510" s="36"/>
      <c r="P510" s="36"/>
      <c r="Q510" s="36"/>
      <c r="R510" s="36"/>
      <c r="S510" s="36"/>
      <c r="T510" s="36"/>
    </row>
    <row r="511" spans="1:20" ht="15.75">
      <c r="A511" s="13">
        <v>57070</v>
      </c>
      <c r="B511" s="44">
        <v>31</v>
      </c>
      <c r="C511" s="35">
        <v>122.58</v>
      </c>
      <c r="D511" s="35">
        <v>297.94099999999997</v>
      </c>
      <c r="E511" s="41">
        <v>729.47900000000004</v>
      </c>
      <c r="F511" s="35">
        <v>1150</v>
      </c>
      <c r="G511" s="35">
        <v>100</v>
      </c>
      <c r="H511" s="43">
        <v>600</v>
      </c>
      <c r="I511" s="35">
        <v>695</v>
      </c>
      <c r="J511" s="35">
        <v>50</v>
      </c>
      <c r="K511" s="36"/>
      <c r="L511" s="36"/>
      <c r="M511" s="36"/>
      <c r="N511" s="36"/>
      <c r="O511" s="36"/>
      <c r="P511" s="36"/>
      <c r="Q511" s="36"/>
      <c r="R511" s="36"/>
      <c r="S511" s="36"/>
      <c r="T511" s="36"/>
    </row>
    <row r="512" spans="1:20" ht="15.75">
      <c r="A512" s="13">
        <v>57100</v>
      </c>
      <c r="B512" s="44">
        <v>30</v>
      </c>
      <c r="C512" s="35">
        <v>141.29300000000001</v>
      </c>
      <c r="D512" s="35">
        <v>267.99299999999999</v>
      </c>
      <c r="E512" s="41">
        <v>829.71400000000006</v>
      </c>
      <c r="F512" s="35">
        <v>1239</v>
      </c>
      <c r="G512" s="35">
        <v>100</v>
      </c>
      <c r="H512" s="43">
        <v>600</v>
      </c>
      <c r="I512" s="35">
        <v>695</v>
      </c>
      <c r="J512" s="35">
        <v>50</v>
      </c>
      <c r="K512" s="36"/>
      <c r="L512" s="36"/>
      <c r="M512" s="36"/>
      <c r="N512" s="36"/>
      <c r="O512" s="36"/>
      <c r="P512" s="36"/>
      <c r="Q512" s="36"/>
      <c r="R512" s="36"/>
      <c r="S512" s="36"/>
      <c r="T512" s="36"/>
    </row>
    <row r="513" spans="1:20" ht="15.75">
      <c r="A513" s="13">
        <v>57131</v>
      </c>
      <c r="B513" s="44">
        <v>31</v>
      </c>
      <c r="C513" s="35">
        <v>194.20500000000001</v>
      </c>
      <c r="D513" s="35">
        <v>267.46600000000001</v>
      </c>
      <c r="E513" s="41">
        <v>812.32899999999995</v>
      </c>
      <c r="F513" s="35">
        <v>1274</v>
      </c>
      <c r="G513" s="35">
        <v>75</v>
      </c>
      <c r="H513" s="43">
        <v>600</v>
      </c>
      <c r="I513" s="35">
        <v>695</v>
      </c>
      <c r="J513" s="35">
        <v>50</v>
      </c>
      <c r="K513" s="36"/>
      <c r="L513" s="36"/>
      <c r="M513" s="36"/>
      <c r="N513" s="36"/>
      <c r="O513" s="36"/>
      <c r="P513" s="36"/>
      <c r="Q513" s="36"/>
      <c r="R513" s="36"/>
      <c r="S513" s="36"/>
      <c r="T513" s="36"/>
    </row>
    <row r="514" spans="1:20" ht="15.75">
      <c r="A514" s="13">
        <v>57161</v>
      </c>
      <c r="B514" s="44">
        <v>30</v>
      </c>
      <c r="C514" s="35">
        <v>194.20500000000001</v>
      </c>
      <c r="D514" s="35">
        <v>267.46600000000001</v>
      </c>
      <c r="E514" s="41">
        <v>812.32899999999995</v>
      </c>
      <c r="F514" s="35">
        <v>1274</v>
      </c>
      <c r="G514" s="35">
        <v>50</v>
      </c>
      <c r="H514" s="43">
        <v>600</v>
      </c>
      <c r="I514" s="35">
        <v>695</v>
      </c>
      <c r="J514" s="35">
        <v>50</v>
      </c>
      <c r="K514" s="36"/>
      <c r="L514" s="36"/>
      <c r="M514" s="36"/>
      <c r="N514" s="36"/>
      <c r="O514" s="36"/>
      <c r="P514" s="36"/>
      <c r="Q514" s="36"/>
      <c r="R514" s="36"/>
      <c r="S514" s="36"/>
      <c r="T514" s="36"/>
    </row>
    <row r="515" spans="1:20" ht="15.75">
      <c r="A515" s="13">
        <v>57192</v>
      </c>
      <c r="B515" s="44">
        <v>31</v>
      </c>
      <c r="C515" s="35">
        <v>194.20500000000001</v>
      </c>
      <c r="D515" s="35">
        <v>267.46600000000001</v>
      </c>
      <c r="E515" s="41">
        <v>812.32899999999995</v>
      </c>
      <c r="F515" s="35">
        <v>1274</v>
      </c>
      <c r="G515" s="35">
        <v>50</v>
      </c>
      <c r="H515" s="43">
        <v>600</v>
      </c>
      <c r="I515" s="35">
        <v>695</v>
      </c>
      <c r="J515" s="35">
        <v>0</v>
      </c>
      <c r="K515" s="36"/>
      <c r="L515" s="36"/>
      <c r="M515" s="36"/>
      <c r="N515" s="36"/>
      <c r="O515" s="36"/>
      <c r="P515" s="36"/>
      <c r="Q515" s="36"/>
      <c r="R515" s="36"/>
      <c r="S515" s="36"/>
      <c r="T515" s="36"/>
    </row>
    <row r="516" spans="1:20" ht="15.75">
      <c r="A516" s="13">
        <v>57223</v>
      </c>
      <c r="B516" s="44">
        <v>31</v>
      </c>
      <c r="C516" s="35">
        <v>194.20500000000001</v>
      </c>
      <c r="D516" s="35">
        <v>267.46600000000001</v>
      </c>
      <c r="E516" s="41">
        <v>812.32899999999995</v>
      </c>
      <c r="F516" s="35">
        <v>1274</v>
      </c>
      <c r="G516" s="35">
        <v>50</v>
      </c>
      <c r="H516" s="43">
        <v>600</v>
      </c>
      <c r="I516" s="35">
        <v>695</v>
      </c>
      <c r="J516" s="35">
        <v>0</v>
      </c>
      <c r="K516" s="36"/>
      <c r="L516" s="36"/>
      <c r="M516" s="36"/>
      <c r="N516" s="36"/>
      <c r="O516" s="36"/>
      <c r="P516" s="36"/>
      <c r="Q516" s="36"/>
      <c r="R516" s="36"/>
      <c r="S516" s="36"/>
      <c r="T516" s="36"/>
    </row>
    <row r="517" spans="1:20" ht="15.75">
      <c r="A517" s="13">
        <v>57253</v>
      </c>
      <c r="B517" s="44">
        <v>30</v>
      </c>
      <c r="C517" s="35">
        <v>194.20500000000001</v>
      </c>
      <c r="D517" s="35">
        <v>267.46600000000001</v>
      </c>
      <c r="E517" s="41">
        <v>812.32899999999995</v>
      </c>
      <c r="F517" s="35">
        <v>1274</v>
      </c>
      <c r="G517" s="35">
        <v>50</v>
      </c>
      <c r="H517" s="43">
        <v>600</v>
      </c>
      <c r="I517" s="35">
        <v>695</v>
      </c>
      <c r="J517" s="35">
        <v>0</v>
      </c>
      <c r="K517" s="36"/>
      <c r="L517" s="36"/>
      <c r="M517" s="36"/>
      <c r="N517" s="36"/>
      <c r="O517" s="36"/>
      <c r="P517" s="36"/>
      <c r="Q517" s="36"/>
      <c r="R517" s="36"/>
      <c r="S517" s="36"/>
      <c r="T517" s="36"/>
    </row>
    <row r="518" spans="1:20" ht="15.75">
      <c r="A518" s="13">
        <v>57284</v>
      </c>
      <c r="B518" s="44">
        <v>31</v>
      </c>
      <c r="C518" s="35">
        <v>131.881</v>
      </c>
      <c r="D518" s="35">
        <v>277.16699999999997</v>
      </c>
      <c r="E518" s="41">
        <v>829.952</v>
      </c>
      <c r="F518" s="35">
        <v>1239</v>
      </c>
      <c r="G518" s="35">
        <v>75</v>
      </c>
      <c r="H518" s="43">
        <v>600</v>
      </c>
      <c r="I518" s="35">
        <v>695</v>
      </c>
      <c r="J518" s="35">
        <v>0</v>
      </c>
      <c r="K518" s="36"/>
      <c r="L518" s="36"/>
      <c r="M518" s="36"/>
      <c r="N518" s="36"/>
      <c r="O518" s="36"/>
      <c r="P518" s="36"/>
      <c r="Q518" s="36"/>
      <c r="R518" s="36"/>
      <c r="S518" s="36"/>
      <c r="T518" s="36"/>
    </row>
    <row r="519" spans="1:20" ht="15.75">
      <c r="A519" s="13">
        <v>57314</v>
      </c>
      <c r="B519" s="44">
        <v>30</v>
      </c>
      <c r="C519" s="35">
        <v>122.58</v>
      </c>
      <c r="D519" s="35">
        <v>297.94099999999997</v>
      </c>
      <c r="E519" s="41">
        <v>729.47900000000004</v>
      </c>
      <c r="F519" s="35">
        <v>1150</v>
      </c>
      <c r="G519" s="35">
        <v>100</v>
      </c>
      <c r="H519" s="43">
        <v>600</v>
      </c>
      <c r="I519" s="35">
        <v>695</v>
      </c>
      <c r="J519" s="35">
        <v>50</v>
      </c>
      <c r="K519" s="36"/>
      <c r="L519" s="36"/>
      <c r="M519" s="36"/>
      <c r="N519" s="36"/>
      <c r="O519" s="36"/>
      <c r="P519" s="36"/>
      <c r="Q519" s="36"/>
      <c r="R519" s="36"/>
      <c r="S519" s="36"/>
      <c r="T519" s="36"/>
    </row>
    <row r="520" spans="1:20" ht="15.75">
      <c r="A520" s="13">
        <v>57345</v>
      </c>
      <c r="B520" s="44">
        <v>31</v>
      </c>
      <c r="C520" s="35">
        <v>122.58</v>
      </c>
      <c r="D520" s="35">
        <v>297.94099999999997</v>
      </c>
      <c r="E520" s="41">
        <v>729.47900000000004</v>
      </c>
      <c r="F520" s="35">
        <v>1150</v>
      </c>
      <c r="G520" s="35">
        <v>100</v>
      </c>
      <c r="H520" s="43">
        <v>600</v>
      </c>
      <c r="I520" s="35">
        <v>695</v>
      </c>
      <c r="J520" s="35">
        <v>50</v>
      </c>
      <c r="K520" s="36"/>
      <c r="L520" s="36"/>
      <c r="M520" s="36"/>
      <c r="N520" s="36"/>
      <c r="O520" s="36"/>
      <c r="P520" s="36"/>
      <c r="Q520" s="36"/>
      <c r="R520" s="36"/>
      <c r="S520" s="36"/>
      <c r="T520" s="36"/>
    </row>
    <row r="521" spans="1:20" ht="15.75">
      <c r="A521" s="13">
        <v>57376</v>
      </c>
      <c r="B521" s="44">
        <v>31</v>
      </c>
      <c r="C521" s="35">
        <v>122.58</v>
      </c>
      <c r="D521" s="35">
        <v>297.94099999999997</v>
      </c>
      <c r="E521" s="41">
        <v>729.47900000000004</v>
      </c>
      <c r="F521" s="35">
        <v>1150</v>
      </c>
      <c r="G521" s="35">
        <v>100</v>
      </c>
      <c r="H521" s="43">
        <v>600</v>
      </c>
      <c r="I521" s="35">
        <v>695</v>
      </c>
      <c r="J521" s="35">
        <v>50</v>
      </c>
      <c r="K521" s="36"/>
      <c r="L521" s="36"/>
      <c r="M521" s="36"/>
      <c r="N521" s="36"/>
      <c r="O521" s="36"/>
      <c r="P521" s="36"/>
      <c r="Q521" s="36"/>
      <c r="R521" s="36"/>
      <c r="S521" s="36"/>
      <c r="T521" s="36"/>
    </row>
    <row r="522" spans="1:20" ht="15.75">
      <c r="A522" s="13">
        <v>57404</v>
      </c>
      <c r="B522" s="44">
        <v>28</v>
      </c>
      <c r="C522" s="35">
        <v>122.58</v>
      </c>
      <c r="D522" s="35">
        <v>297.94099999999997</v>
      </c>
      <c r="E522" s="41">
        <v>729.47900000000004</v>
      </c>
      <c r="F522" s="35">
        <v>1150</v>
      </c>
      <c r="G522" s="35">
        <v>100</v>
      </c>
      <c r="H522" s="43">
        <v>600</v>
      </c>
      <c r="I522" s="35">
        <v>695</v>
      </c>
      <c r="J522" s="35">
        <v>50</v>
      </c>
      <c r="K522" s="36"/>
      <c r="L522" s="36"/>
      <c r="M522" s="36"/>
      <c r="N522" s="36"/>
      <c r="O522" s="36"/>
      <c r="P522" s="36"/>
      <c r="Q522" s="36"/>
      <c r="R522" s="36"/>
      <c r="S522" s="36"/>
      <c r="T522" s="36"/>
    </row>
    <row r="523" spans="1:20" ht="15.75">
      <c r="A523" s="13">
        <v>57435</v>
      </c>
      <c r="B523" s="44">
        <v>31</v>
      </c>
      <c r="C523" s="35">
        <v>122.58</v>
      </c>
      <c r="D523" s="35">
        <v>297.94099999999997</v>
      </c>
      <c r="E523" s="41">
        <v>729.47900000000004</v>
      </c>
      <c r="F523" s="35">
        <v>1150</v>
      </c>
      <c r="G523" s="35">
        <v>100</v>
      </c>
      <c r="H523" s="43">
        <v>600</v>
      </c>
      <c r="I523" s="35">
        <v>695</v>
      </c>
      <c r="J523" s="35">
        <v>50</v>
      </c>
      <c r="K523" s="36"/>
      <c r="L523" s="36"/>
      <c r="M523" s="36"/>
      <c r="N523" s="36"/>
      <c r="O523" s="36"/>
      <c r="P523" s="36"/>
      <c r="Q523" s="36"/>
      <c r="R523" s="36"/>
      <c r="S523" s="36"/>
      <c r="T523" s="36"/>
    </row>
    <row r="524" spans="1:20" ht="15.75">
      <c r="A524" s="13">
        <v>57465</v>
      </c>
      <c r="B524" s="44">
        <v>30</v>
      </c>
      <c r="C524" s="35">
        <v>141.29300000000001</v>
      </c>
      <c r="D524" s="35">
        <v>267.99299999999999</v>
      </c>
      <c r="E524" s="41">
        <v>829.71400000000006</v>
      </c>
      <c r="F524" s="35">
        <v>1239</v>
      </c>
      <c r="G524" s="35">
        <v>100</v>
      </c>
      <c r="H524" s="43">
        <v>600</v>
      </c>
      <c r="I524" s="35">
        <v>695</v>
      </c>
      <c r="J524" s="35">
        <v>50</v>
      </c>
      <c r="K524" s="36"/>
      <c r="L524" s="36"/>
      <c r="M524" s="36"/>
      <c r="N524" s="36"/>
      <c r="O524" s="36"/>
      <c r="P524" s="36"/>
      <c r="Q524" s="36"/>
      <c r="R524" s="36"/>
      <c r="S524" s="36"/>
      <c r="T524" s="36"/>
    </row>
    <row r="525" spans="1:20" ht="15.75">
      <c r="A525" s="13">
        <v>57496</v>
      </c>
      <c r="B525" s="44">
        <v>31</v>
      </c>
      <c r="C525" s="35">
        <v>194.20500000000001</v>
      </c>
      <c r="D525" s="35">
        <v>267.46600000000001</v>
      </c>
      <c r="E525" s="41">
        <v>812.32899999999995</v>
      </c>
      <c r="F525" s="35">
        <v>1274</v>
      </c>
      <c r="G525" s="35">
        <v>75</v>
      </c>
      <c r="H525" s="43">
        <v>600</v>
      </c>
      <c r="I525" s="35">
        <v>695</v>
      </c>
      <c r="J525" s="35">
        <v>50</v>
      </c>
      <c r="K525" s="36"/>
      <c r="L525" s="36"/>
      <c r="M525" s="36"/>
      <c r="N525" s="36"/>
      <c r="O525" s="36"/>
      <c r="P525" s="36"/>
      <c r="Q525" s="36"/>
      <c r="R525" s="36"/>
      <c r="S525" s="36"/>
      <c r="T525" s="36"/>
    </row>
    <row r="526" spans="1:20" ht="15.75">
      <c r="A526" s="13">
        <v>57526</v>
      </c>
      <c r="B526" s="44">
        <v>30</v>
      </c>
      <c r="C526" s="35">
        <v>194.20500000000001</v>
      </c>
      <c r="D526" s="35">
        <v>267.46600000000001</v>
      </c>
      <c r="E526" s="41">
        <v>812.32899999999995</v>
      </c>
      <c r="F526" s="35">
        <v>1274</v>
      </c>
      <c r="G526" s="35">
        <v>50</v>
      </c>
      <c r="H526" s="43">
        <v>600</v>
      </c>
      <c r="I526" s="35">
        <v>695</v>
      </c>
      <c r="J526" s="35">
        <v>50</v>
      </c>
      <c r="K526" s="36"/>
      <c r="L526" s="36"/>
      <c r="M526" s="36"/>
      <c r="N526" s="36"/>
      <c r="O526" s="36"/>
      <c r="P526" s="36"/>
      <c r="Q526" s="36"/>
      <c r="R526" s="36"/>
      <c r="S526" s="36"/>
      <c r="T526" s="36"/>
    </row>
    <row r="527" spans="1:20" ht="15.75">
      <c r="A527" s="13">
        <v>57557</v>
      </c>
      <c r="B527" s="44">
        <v>31</v>
      </c>
      <c r="C527" s="35">
        <v>194.20500000000001</v>
      </c>
      <c r="D527" s="35">
        <v>267.46600000000001</v>
      </c>
      <c r="E527" s="41">
        <v>812.32899999999995</v>
      </c>
      <c r="F527" s="35">
        <v>1274</v>
      </c>
      <c r="G527" s="35">
        <v>50</v>
      </c>
      <c r="H527" s="43">
        <v>600</v>
      </c>
      <c r="I527" s="35">
        <v>695</v>
      </c>
      <c r="J527" s="35">
        <v>0</v>
      </c>
      <c r="K527" s="36"/>
      <c r="L527" s="36"/>
      <c r="M527" s="36"/>
      <c r="N527" s="36"/>
      <c r="O527" s="36"/>
      <c r="P527" s="36"/>
      <c r="Q527" s="36"/>
      <c r="R527" s="36"/>
      <c r="S527" s="36"/>
      <c r="T527" s="36"/>
    </row>
    <row r="528" spans="1:20" ht="15.75">
      <c r="A528" s="13">
        <v>57588</v>
      </c>
      <c r="B528" s="44">
        <v>31</v>
      </c>
      <c r="C528" s="35">
        <v>194.20500000000001</v>
      </c>
      <c r="D528" s="35">
        <v>267.46600000000001</v>
      </c>
      <c r="E528" s="41">
        <v>812.32899999999995</v>
      </c>
      <c r="F528" s="35">
        <v>1274</v>
      </c>
      <c r="G528" s="35">
        <v>50</v>
      </c>
      <c r="H528" s="43">
        <v>600</v>
      </c>
      <c r="I528" s="35">
        <v>695</v>
      </c>
      <c r="J528" s="35">
        <v>0</v>
      </c>
      <c r="K528" s="36"/>
      <c r="L528" s="36"/>
      <c r="M528" s="36"/>
      <c r="N528" s="36"/>
      <c r="O528" s="36"/>
      <c r="P528" s="36"/>
      <c r="Q528" s="36"/>
      <c r="R528" s="36"/>
      <c r="S528" s="36"/>
      <c r="T528" s="36"/>
    </row>
    <row r="529" spans="1:20" ht="15.75">
      <c r="A529" s="13">
        <v>57618</v>
      </c>
      <c r="B529" s="44">
        <v>30</v>
      </c>
      <c r="C529" s="35">
        <v>194.20500000000001</v>
      </c>
      <c r="D529" s="35">
        <v>267.46600000000001</v>
      </c>
      <c r="E529" s="41">
        <v>812.32899999999995</v>
      </c>
      <c r="F529" s="35">
        <v>1274</v>
      </c>
      <c r="G529" s="35">
        <v>50</v>
      </c>
      <c r="H529" s="43">
        <v>600</v>
      </c>
      <c r="I529" s="35">
        <v>695</v>
      </c>
      <c r="J529" s="35">
        <v>0</v>
      </c>
      <c r="K529" s="36"/>
      <c r="L529" s="36"/>
      <c r="M529" s="36"/>
      <c r="N529" s="36"/>
      <c r="O529" s="36"/>
      <c r="P529" s="36"/>
      <c r="Q529" s="36"/>
      <c r="R529" s="36"/>
      <c r="S529" s="36"/>
      <c r="T529" s="36"/>
    </row>
    <row r="530" spans="1:20" ht="15.75">
      <c r="A530" s="13">
        <v>57649</v>
      </c>
      <c r="B530" s="44">
        <v>31</v>
      </c>
      <c r="C530" s="35">
        <v>131.881</v>
      </c>
      <c r="D530" s="35">
        <v>277.16699999999997</v>
      </c>
      <c r="E530" s="41">
        <v>829.952</v>
      </c>
      <c r="F530" s="35">
        <v>1239</v>
      </c>
      <c r="G530" s="35">
        <v>75</v>
      </c>
      <c r="H530" s="43">
        <v>600</v>
      </c>
      <c r="I530" s="35">
        <v>695</v>
      </c>
      <c r="J530" s="35">
        <v>0</v>
      </c>
      <c r="K530" s="36"/>
      <c r="L530" s="36"/>
      <c r="M530" s="36"/>
      <c r="N530" s="36"/>
      <c r="O530" s="36"/>
      <c r="P530" s="36"/>
      <c r="Q530" s="36"/>
      <c r="R530" s="36"/>
      <c r="S530" s="36"/>
      <c r="T530" s="36"/>
    </row>
    <row r="531" spans="1:20" ht="15.75">
      <c r="A531" s="13">
        <v>57679</v>
      </c>
      <c r="B531" s="44">
        <v>30</v>
      </c>
      <c r="C531" s="35">
        <v>122.58</v>
      </c>
      <c r="D531" s="35">
        <v>297.94099999999997</v>
      </c>
      <c r="E531" s="41">
        <v>729.47900000000004</v>
      </c>
      <c r="F531" s="35">
        <v>1150</v>
      </c>
      <c r="G531" s="35">
        <v>100</v>
      </c>
      <c r="H531" s="43">
        <v>600</v>
      </c>
      <c r="I531" s="35">
        <v>695</v>
      </c>
      <c r="J531" s="35">
        <v>50</v>
      </c>
      <c r="K531" s="36"/>
      <c r="L531" s="36"/>
      <c r="M531" s="36"/>
      <c r="N531" s="36"/>
      <c r="O531" s="36"/>
      <c r="P531" s="36"/>
      <c r="Q531" s="36"/>
      <c r="R531" s="36"/>
      <c r="S531" s="36"/>
      <c r="T531" s="36"/>
    </row>
    <row r="532" spans="1:20" ht="15.75">
      <c r="A532" s="13">
        <v>57710</v>
      </c>
      <c r="B532" s="44">
        <v>31</v>
      </c>
      <c r="C532" s="35">
        <v>122.58</v>
      </c>
      <c r="D532" s="35">
        <v>297.94099999999997</v>
      </c>
      <c r="E532" s="41">
        <v>729.47900000000004</v>
      </c>
      <c r="F532" s="35">
        <v>1150</v>
      </c>
      <c r="G532" s="35">
        <v>100</v>
      </c>
      <c r="H532" s="43">
        <v>600</v>
      </c>
      <c r="I532" s="35">
        <v>695</v>
      </c>
      <c r="J532" s="35">
        <v>50</v>
      </c>
      <c r="K532" s="36"/>
      <c r="L532" s="36"/>
      <c r="M532" s="36"/>
      <c r="N532" s="36"/>
      <c r="O532" s="36"/>
      <c r="P532" s="36"/>
      <c r="Q532" s="36"/>
      <c r="R532" s="36"/>
      <c r="S532" s="36"/>
      <c r="T532" s="36"/>
    </row>
    <row r="533" spans="1:20" ht="15.75">
      <c r="A533" s="13">
        <v>57741</v>
      </c>
      <c r="B533" s="44">
        <v>31</v>
      </c>
      <c r="C533" s="35">
        <v>122.58</v>
      </c>
      <c r="D533" s="35">
        <v>297.94099999999997</v>
      </c>
      <c r="E533" s="41">
        <v>729.47900000000004</v>
      </c>
      <c r="F533" s="35">
        <v>1150</v>
      </c>
      <c r="G533" s="35">
        <v>100</v>
      </c>
      <c r="H533" s="43">
        <v>600</v>
      </c>
      <c r="I533" s="35">
        <v>695</v>
      </c>
      <c r="J533" s="35">
        <v>50</v>
      </c>
      <c r="K533" s="36"/>
      <c r="L533" s="36"/>
      <c r="M533" s="36"/>
      <c r="N533" s="36"/>
      <c r="O533" s="36"/>
      <c r="P533" s="36"/>
      <c r="Q533" s="36"/>
      <c r="R533" s="36"/>
      <c r="S533" s="36"/>
      <c r="T533" s="36"/>
    </row>
    <row r="534" spans="1:20" ht="15.75">
      <c r="A534" s="13">
        <v>57769</v>
      </c>
      <c r="B534" s="44">
        <v>28</v>
      </c>
      <c r="C534" s="35">
        <v>122.58</v>
      </c>
      <c r="D534" s="35">
        <v>297.94099999999997</v>
      </c>
      <c r="E534" s="41">
        <v>729.47900000000004</v>
      </c>
      <c r="F534" s="35">
        <v>1150</v>
      </c>
      <c r="G534" s="35">
        <v>100</v>
      </c>
      <c r="H534" s="43">
        <v>600</v>
      </c>
      <c r="I534" s="35">
        <v>695</v>
      </c>
      <c r="J534" s="35">
        <v>50</v>
      </c>
      <c r="K534" s="36"/>
      <c r="L534" s="36"/>
      <c r="M534" s="36"/>
      <c r="N534" s="36"/>
      <c r="O534" s="36"/>
      <c r="P534" s="36"/>
      <c r="Q534" s="36"/>
      <c r="R534" s="36"/>
      <c r="S534" s="36"/>
      <c r="T534" s="36"/>
    </row>
    <row r="535" spans="1:20" ht="15.75">
      <c r="A535" s="13">
        <v>57800</v>
      </c>
      <c r="B535" s="44">
        <v>31</v>
      </c>
      <c r="C535" s="35">
        <v>122.58</v>
      </c>
      <c r="D535" s="35">
        <v>297.94099999999997</v>
      </c>
      <c r="E535" s="41">
        <v>729.47900000000004</v>
      </c>
      <c r="F535" s="35">
        <v>1150</v>
      </c>
      <c r="G535" s="35">
        <v>100</v>
      </c>
      <c r="H535" s="43">
        <v>600</v>
      </c>
      <c r="I535" s="35">
        <v>695</v>
      </c>
      <c r="J535" s="35">
        <v>50</v>
      </c>
      <c r="K535" s="36"/>
      <c r="L535" s="36"/>
      <c r="M535" s="36"/>
      <c r="N535" s="36"/>
      <c r="O535" s="36"/>
      <c r="P535" s="36"/>
      <c r="Q535" s="36"/>
      <c r="R535" s="36"/>
      <c r="S535" s="36"/>
      <c r="T535" s="36"/>
    </row>
    <row r="536" spans="1:20" ht="15.75">
      <c r="A536" s="13">
        <v>57830</v>
      </c>
      <c r="B536" s="44">
        <v>30</v>
      </c>
      <c r="C536" s="35">
        <v>141.29300000000001</v>
      </c>
      <c r="D536" s="35">
        <v>267.99299999999999</v>
      </c>
      <c r="E536" s="41">
        <v>829.71400000000006</v>
      </c>
      <c r="F536" s="35">
        <v>1239</v>
      </c>
      <c r="G536" s="35">
        <v>100</v>
      </c>
      <c r="H536" s="43">
        <v>600</v>
      </c>
      <c r="I536" s="35">
        <v>695</v>
      </c>
      <c r="J536" s="35">
        <v>50</v>
      </c>
      <c r="K536" s="36"/>
      <c r="L536" s="36"/>
      <c r="M536" s="36"/>
      <c r="N536" s="36"/>
      <c r="O536" s="36"/>
      <c r="P536" s="36"/>
      <c r="Q536" s="36"/>
      <c r="R536" s="36"/>
      <c r="S536" s="36"/>
      <c r="T536" s="36"/>
    </row>
    <row r="537" spans="1:20" ht="15.75">
      <c r="A537" s="13">
        <v>57861</v>
      </c>
      <c r="B537" s="44">
        <v>31</v>
      </c>
      <c r="C537" s="35">
        <v>194.20500000000001</v>
      </c>
      <c r="D537" s="35">
        <v>267.46600000000001</v>
      </c>
      <c r="E537" s="41">
        <v>812.32899999999995</v>
      </c>
      <c r="F537" s="35">
        <v>1274</v>
      </c>
      <c r="G537" s="35">
        <v>75</v>
      </c>
      <c r="H537" s="43">
        <v>600</v>
      </c>
      <c r="I537" s="35">
        <v>695</v>
      </c>
      <c r="J537" s="35">
        <v>50</v>
      </c>
      <c r="K537" s="36"/>
      <c r="L537" s="36"/>
      <c r="M537" s="36"/>
      <c r="N537" s="36"/>
      <c r="O537" s="36"/>
      <c r="P537" s="36"/>
      <c r="Q537" s="36"/>
      <c r="R537" s="36"/>
      <c r="S537" s="36"/>
      <c r="T537" s="36"/>
    </row>
    <row r="538" spans="1:20" ht="15.75">
      <c r="A538" s="13">
        <v>57891</v>
      </c>
      <c r="B538" s="44">
        <v>30</v>
      </c>
      <c r="C538" s="35">
        <v>194.20500000000001</v>
      </c>
      <c r="D538" s="35">
        <v>267.46600000000001</v>
      </c>
      <c r="E538" s="41">
        <v>812.32899999999995</v>
      </c>
      <c r="F538" s="35">
        <v>1274</v>
      </c>
      <c r="G538" s="35">
        <v>50</v>
      </c>
      <c r="H538" s="43">
        <v>600</v>
      </c>
      <c r="I538" s="35">
        <v>695</v>
      </c>
      <c r="J538" s="35">
        <v>50</v>
      </c>
      <c r="K538" s="36"/>
      <c r="L538" s="36"/>
      <c r="M538" s="36"/>
      <c r="N538" s="36"/>
      <c r="O538" s="36"/>
      <c r="P538" s="36"/>
      <c r="Q538" s="36"/>
      <c r="R538" s="36"/>
      <c r="S538" s="36"/>
      <c r="T538" s="36"/>
    </row>
    <row r="539" spans="1:20" ht="15.75">
      <c r="A539" s="13">
        <v>57922</v>
      </c>
      <c r="B539" s="44">
        <v>31</v>
      </c>
      <c r="C539" s="35">
        <v>194.20500000000001</v>
      </c>
      <c r="D539" s="35">
        <v>267.46600000000001</v>
      </c>
      <c r="E539" s="41">
        <v>812.32899999999995</v>
      </c>
      <c r="F539" s="35">
        <v>1274</v>
      </c>
      <c r="G539" s="35">
        <v>50</v>
      </c>
      <c r="H539" s="43">
        <v>600</v>
      </c>
      <c r="I539" s="35">
        <v>695</v>
      </c>
      <c r="J539" s="35">
        <v>0</v>
      </c>
      <c r="K539" s="36"/>
      <c r="L539" s="36"/>
      <c r="M539" s="36"/>
      <c r="N539" s="36"/>
      <c r="O539" s="36"/>
      <c r="P539" s="36"/>
      <c r="Q539" s="36"/>
      <c r="R539" s="36"/>
      <c r="S539" s="36"/>
      <c r="T539" s="36"/>
    </row>
    <row r="540" spans="1:20" ht="15.75">
      <c r="A540" s="13">
        <v>57953</v>
      </c>
      <c r="B540" s="44">
        <v>31</v>
      </c>
      <c r="C540" s="35">
        <v>194.20500000000001</v>
      </c>
      <c r="D540" s="35">
        <v>267.46600000000001</v>
      </c>
      <c r="E540" s="41">
        <v>812.32899999999995</v>
      </c>
      <c r="F540" s="35">
        <v>1274</v>
      </c>
      <c r="G540" s="35">
        <v>50</v>
      </c>
      <c r="H540" s="43">
        <v>600</v>
      </c>
      <c r="I540" s="35">
        <v>695</v>
      </c>
      <c r="J540" s="35">
        <v>0</v>
      </c>
      <c r="K540" s="36"/>
      <c r="L540" s="36"/>
      <c r="M540" s="36"/>
      <c r="N540" s="36"/>
      <c r="O540" s="36"/>
      <c r="P540" s="36"/>
      <c r="Q540" s="36"/>
      <c r="R540" s="36"/>
      <c r="S540" s="36"/>
      <c r="T540" s="36"/>
    </row>
    <row r="541" spans="1:20" ht="15.75">
      <c r="A541" s="13">
        <v>57983</v>
      </c>
      <c r="B541" s="44">
        <v>30</v>
      </c>
      <c r="C541" s="35">
        <v>194.20500000000001</v>
      </c>
      <c r="D541" s="35">
        <v>267.46600000000001</v>
      </c>
      <c r="E541" s="41">
        <v>812.32899999999995</v>
      </c>
      <c r="F541" s="35">
        <v>1274</v>
      </c>
      <c r="G541" s="35">
        <v>50</v>
      </c>
      <c r="H541" s="43">
        <v>600</v>
      </c>
      <c r="I541" s="35">
        <v>695</v>
      </c>
      <c r="J541" s="35">
        <v>0</v>
      </c>
      <c r="K541" s="36"/>
      <c r="L541" s="36"/>
      <c r="M541" s="36"/>
      <c r="N541" s="36"/>
      <c r="O541" s="36"/>
      <c r="P541" s="36"/>
      <c r="Q541" s="36"/>
      <c r="R541" s="36"/>
      <c r="S541" s="36"/>
      <c r="T541" s="36"/>
    </row>
    <row r="542" spans="1:20" ht="15.75">
      <c r="A542" s="13">
        <v>58014</v>
      </c>
      <c r="B542" s="44">
        <v>31</v>
      </c>
      <c r="C542" s="35">
        <v>131.881</v>
      </c>
      <c r="D542" s="35">
        <v>277.16699999999997</v>
      </c>
      <c r="E542" s="41">
        <v>829.952</v>
      </c>
      <c r="F542" s="35">
        <v>1239</v>
      </c>
      <c r="G542" s="35">
        <v>75</v>
      </c>
      <c r="H542" s="43">
        <v>600</v>
      </c>
      <c r="I542" s="35">
        <v>695</v>
      </c>
      <c r="J542" s="35">
        <v>0</v>
      </c>
      <c r="K542" s="36"/>
      <c r="L542" s="36"/>
      <c r="M542" s="36"/>
      <c r="N542" s="36"/>
      <c r="O542" s="36"/>
      <c r="P542" s="36"/>
      <c r="Q542" s="36"/>
      <c r="R542" s="36"/>
      <c r="S542" s="36"/>
      <c r="T542" s="36"/>
    </row>
    <row r="543" spans="1:20" ht="15.75">
      <c r="A543" s="13">
        <v>58044</v>
      </c>
      <c r="B543" s="44">
        <v>30</v>
      </c>
      <c r="C543" s="35">
        <v>122.58</v>
      </c>
      <c r="D543" s="35">
        <v>297.94099999999997</v>
      </c>
      <c r="E543" s="41">
        <v>729.47900000000004</v>
      </c>
      <c r="F543" s="35">
        <v>1150</v>
      </c>
      <c r="G543" s="35">
        <v>100</v>
      </c>
      <c r="H543" s="43">
        <v>600</v>
      </c>
      <c r="I543" s="35">
        <v>695</v>
      </c>
      <c r="J543" s="35">
        <v>50</v>
      </c>
      <c r="K543" s="36"/>
      <c r="L543" s="36"/>
      <c r="M543" s="36"/>
      <c r="N543" s="36"/>
      <c r="O543" s="36"/>
      <c r="P543" s="36"/>
      <c r="Q543" s="36"/>
      <c r="R543" s="36"/>
      <c r="S543" s="36"/>
      <c r="T543" s="36"/>
    </row>
    <row r="544" spans="1:20" ht="15.75">
      <c r="A544" s="13">
        <v>58075</v>
      </c>
      <c r="B544" s="44">
        <v>31</v>
      </c>
      <c r="C544" s="35">
        <v>122.58</v>
      </c>
      <c r="D544" s="35">
        <v>297.94099999999997</v>
      </c>
      <c r="E544" s="41">
        <v>729.47900000000004</v>
      </c>
      <c r="F544" s="35">
        <v>1150</v>
      </c>
      <c r="G544" s="35">
        <v>100</v>
      </c>
      <c r="H544" s="43">
        <v>600</v>
      </c>
      <c r="I544" s="35">
        <v>695</v>
      </c>
      <c r="J544" s="35">
        <v>50</v>
      </c>
      <c r="K544" s="36"/>
      <c r="L544" s="36"/>
      <c r="M544" s="36"/>
      <c r="N544" s="36"/>
      <c r="O544" s="36"/>
      <c r="P544" s="36"/>
      <c r="Q544" s="36"/>
      <c r="R544" s="36"/>
      <c r="S544" s="36"/>
      <c r="T544" s="36"/>
    </row>
    <row r="545" spans="1:20" ht="15.75">
      <c r="A545" s="13">
        <v>58106</v>
      </c>
      <c r="B545" s="44">
        <v>31</v>
      </c>
      <c r="C545" s="35">
        <v>122.58</v>
      </c>
      <c r="D545" s="35">
        <v>297.94099999999997</v>
      </c>
      <c r="E545" s="41">
        <v>729.47900000000004</v>
      </c>
      <c r="F545" s="35">
        <v>1150</v>
      </c>
      <c r="G545" s="35">
        <v>100</v>
      </c>
      <c r="H545" s="43">
        <v>600</v>
      </c>
      <c r="I545" s="35">
        <v>695</v>
      </c>
      <c r="J545" s="35">
        <v>50</v>
      </c>
      <c r="K545" s="36"/>
      <c r="L545" s="36"/>
      <c r="M545" s="36"/>
      <c r="N545" s="36"/>
      <c r="O545" s="36"/>
      <c r="P545" s="36"/>
      <c r="Q545" s="36"/>
      <c r="R545" s="36"/>
      <c r="S545" s="36"/>
      <c r="T545" s="36"/>
    </row>
    <row r="546" spans="1:20" ht="15.75">
      <c r="A546" s="13">
        <v>58134</v>
      </c>
      <c r="B546" s="44">
        <v>28</v>
      </c>
      <c r="C546" s="35">
        <v>122.58</v>
      </c>
      <c r="D546" s="35">
        <v>297.94099999999997</v>
      </c>
      <c r="E546" s="41">
        <v>729.47900000000004</v>
      </c>
      <c r="F546" s="35">
        <v>1150</v>
      </c>
      <c r="G546" s="35">
        <v>100</v>
      </c>
      <c r="H546" s="43">
        <v>600</v>
      </c>
      <c r="I546" s="35">
        <v>695</v>
      </c>
      <c r="J546" s="35">
        <v>50</v>
      </c>
      <c r="K546" s="36"/>
      <c r="L546" s="36"/>
      <c r="M546" s="36"/>
      <c r="N546" s="36"/>
      <c r="O546" s="36"/>
      <c r="P546" s="36"/>
      <c r="Q546" s="36"/>
      <c r="R546" s="36"/>
      <c r="S546" s="36"/>
      <c r="T546" s="36"/>
    </row>
    <row r="547" spans="1:20" ht="15.75">
      <c r="A547" s="13">
        <v>58165</v>
      </c>
      <c r="B547" s="44">
        <v>31</v>
      </c>
      <c r="C547" s="35">
        <v>122.58</v>
      </c>
      <c r="D547" s="35">
        <v>297.94099999999997</v>
      </c>
      <c r="E547" s="41">
        <v>729.47900000000004</v>
      </c>
      <c r="F547" s="35">
        <v>1150</v>
      </c>
      <c r="G547" s="35">
        <v>100</v>
      </c>
      <c r="H547" s="43">
        <v>600</v>
      </c>
      <c r="I547" s="35">
        <v>695</v>
      </c>
      <c r="J547" s="35">
        <v>50</v>
      </c>
      <c r="K547" s="36"/>
      <c r="L547" s="36"/>
      <c r="M547" s="36"/>
      <c r="N547" s="36"/>
      <c r="O547" s="36"/>
      <c r="P547" s="36"/>
      <c r="Q547" s="36"/>
      <c r="R547" s="36"/>
      <c r="S547" s="36"/>
      <c r="T547" s="36"/>
    </row>
    <row r="548" spans="1:20" ht="15.75">
      <c r="A548" s="13">
        <v>58195</v>
      </c>
      <c r="B548" s="44">
        <v>30</v>
      </c>
      <c r="C548" s="35">
        <v>141.29300000000001</v>
      </c>
      <c r="D548" s="35">
        <v>267.99299999999999</v>
      </c>
      <c r="E548" s="41">
        <v>829.71400000000006</v>
      </c>
      <c r="F548" s="35">
        <v>1239</v>
      </c>
      <c r="G548" s="35">
        <v>100</v>
      </c>
      <c r="H548" s="43">
        <v>600</v>
      </c>
      <c r="I548" s="35">
        <v>695</v>
      </c>
      <c r="J548" s="35">
        <v>50</v>
      </c>
      <c r="K548" s="36"/>
      <c r="L548" s="36"/>
      <c r="M548" s="36"/>
      <c r="N548" s="36"/>
      <c r="O548" s="36"/>
      <c r="P548" s="36"/>
      <c r="Q548" s="36"/>
      <c r="R548" s="36"/>
      <c r="S548" s="36"/>
      <c r="T548" s="36"/>
    </row>
    <row r="549" spans="1:20" ht="15.75">
      <c r="A549" s="13">
        <v>58226</v>
      </c>
      <c r="B549" s="44">
        <v>31</v>
      </c>
      <c r="C549" s="35">
        <v>194.20500000000001</v>
      </c>
      <c r="D549" s="35">
        <v>267.46600000000001</v>
      </c>
      <c r="E549" s="41">
        <v>812.32899999999995</v>
      </c>
      <c r="F549" s="35">
        <v>1274</v>
      </c>
      <c r="G549" s="35">
        <v>75</v>
      </c>
      <c r="H549" s="43">
        <v>600</v>
      </c>
      <c r="I549" s="35">
        <v>695</v>
      </c>
      <c r="J549" s="35">
        <v>50</v>
      </c>
      <c r="K549" s="36"/>
      <c r="L549" s="36"/>
      <c r="M549" s="36"/>
      <c r="N549" s="36"/>
      <c r="O549" s="36"/>
      <c r="P549" s="36"/>
      <c r="Q549" s="36"/>
      <c r="R549" s="36"/>
      <c r="S549" s="36"/>
      <c r="T549" s="36"/>
    </row>
    <row r="550" spans="1:20" ht="15.75">
      <c r="A550" s="13">
        <v>58256</v>
      </c>
      <c r="B550" s="44">
        <v>30</v>
      </c>
      <c r="C550" s="35">
        <v>194.20500000000001</v>
      </c>
      <c r="D550" s="35">
        <v>267.46600000000001</v>
      </c>
      <c r="E550" s="41">
        <v>812.32899999999995</v>
      </c>
      <c r="F550" s="35">
        <v>1274</v>
      </c>
      <c r="G550" s="35">
        <v>50</v>
      </c>
      <c r="H550" s="43">
        <v>600</v>
      </c>
      <c r="I550" s="35">
        <v>695</v>
      </c>
      <c r="J550" s="35">
        <v>50</v>
      </c>
      <c r="K550" s="36"/>
      <c r="L550" s="36"/>
      <c r="M550" s="36"/>
      <c r="N550" s="36"/>
      <c r="O550" s="36"/>
      <c r="P550" s="36"/>
      <c r="Q550" s="36"/>
      <c r="R550" s="36"/>
      <c r="S550" s="36"/>
      <c r="T550" s="36"/>
    </row>
    <row r="551" spans="1:20" ht="15.75">
      <c r="A551" s="13">
        <v>58287</v>
      </c>
      <c r="B551" s="44">
        <v>31</v>
      </c>
      <c r="C551" s="35">
        <v>194.20500000000001</v>
      </c>
      <c r="D551" s="35">
        <v>267.46600000000001</v>
      </c>
      <c r="E551" s="41">
        <v>812.32899999999995</v>
      </c>
      <c r="F551" s="35">
        <v>1274</v>
      </c>
      <c r="G551" s="35">
        <v>50</v>
      </c>
      <c r="H551" s="43">
        <v>600</v>
      </c>
      <c r="I551" s="35">
        <v>695</v>
      </c>
      <c r="J551" s="35">
        <v>0</v>
      </c>
      <c r="K551" s="36"/>
      <c r="L551" s="36"/>
      <c r="M551" s="36"/>
      <c r="N551" s="36"/>
      <c r="O551" s="36"/>
      <c r="P551" s="36"/>
      <c r="Q551" s="36"/>
      <c r="R551" s="36"/>
      <c r="S551" s="36"/>
      <c r="T551" s="36"/>
    </row>
    <row r="552" spans="1:20" ht="15.75">
      <c r="A552" s="13">
        <v>58318</v>
      </c>
      <c r="B552" s="44">
        <v>31</v>
      </c>
      <c r="C552" s="35">
        <v>194.20500000000001</v>
      </c>
      <c r="D552" s="35">
        <v>267.46600000000001</v>
      </c>
      <c r="E552" s="41">
        <v>812.32899999999995</v>
      </c>
      <c r="F552" s="35">
        <v>1274</v>
      </c>
      <c r="G552" s="35">
        <v>50</v>
      </c>
      <c r="H552" s="43">
        <v>600</v>
      </c>
      <c r="I552" s="35">
        <v>695</v>
      </c>
      <c r="J552" s="35">
        <v>0</v>
      </c>
      <c r="K552" s="36"/>
      <c r="L552" s="36"/>
      <c r="M552" s="36"/>
      <c r="N552" s="36"/>
      <c r="O552" s="36"/>
      <c r="P552" s="36"/>
      <c r="Q552" s="36"/>
      <c r="R552" s="36"/>
      <c r="S552" s="36"/>
      <c r="T552" s="36"/>
    </row>
    <row r="553" spans="1:20" ht="15.75">
      <c r="A553" s="13">
        <v>58348</v>
      </c>
      <c r="B553" s="44">
        <v>30</v>
      </c>
      <c r="C553" s="35">
        <v>194.20500000000001</v>
      </c>
      <c r="D553" s="35">
        <v>267.46600000000001</v>
      </c>
      <c r="E553" s="41">
        <v>812.32899999999995</v>
      </c>
      <c r="F553" s="35">
        <v>1274</v>
      </c>
      <c r="G553" s="35">
        <v>50</v>
      </c>
      <c r="H553" s="43">
        <v>600</v>
      </c>
      <c r="I553" s="35">
        <v>695</v>
      </c>
      <c r="J553" s="35">
        <v>0</v>
      </c>
      <c r="K553" s="36"/>
      <c r="L553" s="36"/>
      <c r="M553" s="36"/>
      <c r="N553" s="36"/>
      <c r="O553" s="36"/>
      <c r="P553" s="36"/>
      <c r="Q553" s="36"/>
      <c r="R553" s="36"/>
      <c r="S553" s="36"/>
      <c r="T553" s="36"/>
    </row>
    <row r="554" spans="1:20" ht="15.75">
      <c r="A554" s="13">
        <v>58379</v>
      </c>
      <c r="B554" s="44">
        <v>31</v>
      </c>
      <c r="C554" s="35">
        <v>131.881</v>
      </c>
      <c r="D554" s="35">
        <v>277.16699999999997</v>
      </c>
      <c r="E554" s="41">
        <v>829.952</v>
      </c>
      <c r="F554" s="35">
        <v>1239</v>
      </c>
      <c r="G554" s="35">
        <v>75</v>
      </c>
      <c r="H554" s="43">
        <v>600</v>
      </c>
      <c r="I554" s="35">
        <v>695</v>
      </c>
      <c r="J554" s="35">
        <v>0</v>
      </c>
      <c r="K554" s="36"/>
      <c r="L554" s="36"/>
      <c r="M554" s="36"/>
      <c r="N554" s="36"/>
      <c r="O554" s="36"/>
      <c r="P554" s="36"/>
      <c r="Q554" s="36"/>
      <c r="R554" s="36"/>
      <c r="S554" s="36"/>
      <c r="T554" s="36"/>
    </row>
    <row r="555" spans="1:20" ht="15.75">
      <c r="A555" s="13">
        <v>58409</v>
      </c>
      <c r="B555" s="44">
        <v>30</v>
      </c>
      <c r="C555" s="35">
        <v>122.58</v>
      </c>
      <c r="D555" s="35">
        <v>297.94099999999997</v>
      </c>
      <c r="E555" s="41">
        <v>729.47900000000004</v>
      </c>
      <c r="F555" s="35">
        <v>1150</v>
      </c>
      <c r="G555" s="35">
        <v>100</v>
      </c>
      <c r="H555" s="43">
        <v>600</v>
      </c>
      <c r="I555" s="35">
        <v>695</v>
      </c>
      <c r="J555" s="35">
        <v>50</v>
      </c>
      <c r="K555" s="36"/>
      <c r="L555" s="36"/>
      <c r="M555" s="36"/>
      <c r="N555" s="36"/>
      <c r="O555" s="36"/>
      <c r="P555" s="36"/>
      <c r="Q555" s="36"/>
      <c r="R555" s="36"/>
      <c r="S555" s="36"/>
      <c r="T555" s="36"/>
    </row>
    <row r="556" spans="1:20" ht="15.75">
      <c r="A556" s="13">
        <v>58440</v>
      </c>
      <c r="B556" s="44">
        <v>31</v>
      </c>
      <c r="C556" s="35">
        <v>122.58</v>
      </c>
      <c r="D556" s="35">
        <v>297.94099999999997</v>
      </c>
      <c r="E556" s="41">
        <v>729.47900000000004</v>
      </c>
      <c r="F556" s="35">
        <v>1150</v>
      </c>
      <c r="G556" s="35">
        <v>100</v>
      </c>
      <c r="H556" s="43">
        <v>600</v>
      </c>
      <c r="I556" s="35">
        <v>695</v>
      </c>
      <c r="J556" s="35">
        <v>50</v>
      </c>
      <c r="K556" s="36"/>
      <c r="L556" s="36"/>
      <c r="M556" s="36"/>
      <c r="N556" s="36"/>
      <c r="O556" s="36"/>
      <c r="P556" s="36"/>
      <c r="Q556" s="36"/>
      <c r="R556" s="36"/>
      <c r="S556" s="36"/>
      <c r="T556" s="36"/>
    </row>
    <row r="557" spans="1:20" ht="15.75">
      <c r="A557" s="13">
        <v>58471</v>
      </c>
      <c r="B557" s="44">
        <v>31</v>
      </c>
      <c r="C557" s="35">
        <v>122.58</v>
      </c>
      <c r="D557" s="35">
        <v>297.94099999999997</v>
      </c>
      <c r="E557" s="41">
        <v>729.47900000000004</v>
      </c>
      <c r="F557" s="35">
        <v>1150</v>
      </c>
      <c r="G557" s="35">
        <v>100</v>
      </c>
      <c r="H557" s="43">
        <v>600</v>
      </c>
      <c r="I557" s="35">
        <v>695</v>
      </c>
      <c r="J557" s="35">
        <v>50</v>
      </c>
      <c r="K557" s="36"/>
      <c r="L557" s="36"/>
      <c r="M557" s="36"/>
      <c r="N557" s="36"/>
      <c r="O557" s="36"/>
      <c r="P557" s="36"/>
      <c r="Q557" s="36"/>
      <c r="R557" s="36"/>
      <c r="S557" s="36"/>
      <c r="T557" s="36"/>
    </row>
    <row r="558" spans="1:20" ht="15.75">
      <c r="A558" s="13">
        <v>58499</v>
      </c>
      <c r="B558" s="44">
        <v>29</v>
      </c>
      <c r="C558" s="35">
        <v>122.58</v>
      </c>
      <c r="D558" s="35">
        <v>297.94099999999997</v>
      </c>
      <c r="E558" s="41">
        <v>729.47900000000004</v>
      </c>
      <c r="F558" s="35">
        <v>1150</v>
      </c>
      <c r="G558" s="35">
        <v>100</v>
      </c>
      <c r="H558" s="43">
        <v>600</v>
      </c>
      <c r="I558" s="35">
        <v>695</v>
      </c>
      <c r="J558" s="35">
        <v>50</v>
      </c>
      <c r="K558" s="36"/>
      <c r="L558" s="36"/>
      <c r="M558" s="36"/>
      <c r="N558" s="36"/>
      <c r="O558" s="36"/>
      <c r="P558" s="36"/>
      <c r="Q558" s="36"/>
      <c r="R558" s="36"/>
      <c r="S558" s="36"/>
      <c r="T558" s="36"/>
    </row>
    <row r="559" spans="1:20" ht="15.75">
      <c r="A559" s="13">
        <v>58531</v>
      </c>
      <c r="B559" s="44">
        <v>31</v>
      </c>
      <c r="C559" s="35">
        <v>122.58</v>
      </c>
      <c r="D559" s="35">
        <v>297.94099999999997</v>
      </c>
      <c r="E559" s="41">
        <v>729.47900000000004</v>
      </c>
      <c r="F559" s="35">
        <v>1150</v>
      </c>
      <c r="G559" s="35">
        <v>100</v>
      </c>
      <c r="H559" s="43">
        <v>600</v>
      </c>
      <c r="I559" s="35">
        <v>695</v>
      </c>
      <c r="J559" s="35">
        <v>50</v>
      </c>
      <c r="K559" s="36"/>
      <c r="L559" s="36"/>
      <c r="M559" s="36"/>
      <c r="N559" s="36"/>
      <c r="O559" s="36"/>
      <c r="P559" s="36"/>
      <c r="Q559" s="36"/>
      <c r="R559" s="36"/>
      <c r="S559" s="36"/>
      <c r="T559" s="36"/>
    </row>
    <row r="560" spans="1:20" ht="15.75">
      <c r="A560" s="13">
        <v>58561</v>
      </c>
      <c r="B560" s="44">
        <v>30</v>
      </c>
      <c r="C560" s="35">
        <v>141.29300000000001</v>
      </c>
      <c r="D560" s="35">
        <v>267.99299999999999</v>
      </c>
      <c r="E560" s="41">
        <v>829.71400000000006</v>
      </c>
      <c r="F560" s="35">
        <v>1239</v>
      </c>
      <c r="G560" s="35">
        <v>100</v>
      </c>
      <c r="H560" s="43">
        <v>600</v>
      </c>
      <c r="I560" s="35">
        <v>695</v>
      </c>
      <c r="J560" s="35">
        <v>50</v>
      </c>
      <c r="K560" s="36"/>
      <c r="L560" s="36"/>
      <c r="M560" s="36"/>
      <c r="N560" s="36"/>
      <c r="O560" s="36"/>
      <c r="P560" s="36"/>
      <c r="Q560" s="36"/>
      <c r="R560" s="36"/>
      <c r="S560" s="36"/>
      <c r="T560" s="36"/>
    </row>
    <row r="561" spans="1:20" ht="15.75">
      <c r="A561" s="13">
        <v>58592</v>
      </c>
      <c r="B561" s="44">
        <v>31</v>
      </c>
      <c r="C561" s="35">
        <v>194.20500000000001</v>
      </c>
      <c r="D561" s="35">
        <v>267.46600000000001</v>
      </c>
      <c r="E561" s="41">
        <v>812.32899999999995</v>
      </c>
      <c r="F561" s="35">
        <v>1274</v>
      </c>
      <c r="G561" s="35">
        <v>75</v>
      </c>
      <c r="H561" s="43">
        <v>600</v>
      </c>
      <c r="I561" s="35">
        <v>695</v>
      </c>
      <c r="J561" s="35">
        <v>50</v>
      </c>
      <c r="K561" s="36"/>
      <c r="L561" s="36"/>
      <c r="M561" s="36"/>
      <c r="N561" s="36"/>
      <c r="O561" s="36"/>
      <c r="P561" s="36"/>
      <c r="Q561" s="36"/>
      <c r="R561" s="36"/>
      <c r="S561" s="36"/>
      <c r="T561" s="36"/>
    </row>
    <row r="562" spans="1:20" ht="15.75">
      <c r="A562" s="13">
        <v>58622</v>
      </c>
      <c r="B562" s="44">
        <v>30</v>
      </c>
      <c r="C562" s="35">
        <v>194.20500000000001</v>
      </c>
      <c r="D562" s="35">
        <v>267.46600000000001</v>
      </c>
      <c r="E562" s="41">
        <v>812.32899999999995</v>
      </c>
      <c r="F562" s="35">
        <v>1274</v>
      </c>
      <c r="G562" s="35">
        <v>50</v>
      </c>
      <c r="H562" s="43">
        <v>600</v>
      </c>
      <c r="I562" s="35">
        <v>695</v>
      </c>
      <c r="J562" s="35">
        <v>50</v>
      </c>
      <c r="K562" s="36"/>
      <c r="L562" s="36"/>
      <c r="M562" s="36"/>
      <c r="N562" s="36"/>
      <c r="O562" s="36"/>
      <c r="P562" s="36"/>
      <c r="Q562" s="36"/>
      <c r="R562" s="36"/>
      <c r="S562" s="36"/>
      <c r="T562" s="36"/>
    </row>
    <row r="563" spans="1:20" ht="15.75">
      <c r="A563" s="13">
        <v>58653</v>
      </c>
      <c r="B563" s="44">
        <v>31</v>
      </c>
      <c r="C563" s="35">
        <v>194.20500000000001</v>
      </c>
      <c r="D563" s="35">
        <v>267.46600000000001</v>
      </c>
      <c r="E563" s="41">
        <v>812.32899999999995</v>
      </c>
      <c r="F563" s="35">
        <v>1274</v>
      </c>
      <c r="G563" s="35">
        <v>50</v>
      </c>
      <c r="H563" s="43">
        <v>600</v>
      </c>
      <c r="I563" s="35">
        <v>695</v>
      </c>
      <c r="J563" s="35">
        <v>0</v>
      </c>
      <c r="K563" s="36"/>
      <c r="L563" s="36"/>
      <c r="M563" s="36"/>
      <c r="N563" s="36"/>
      <c r="O563" s="36"/>
      <c r="P563" s="36"/>
      <c r="Q563" s="36"/>
      <c r="R563" s="36"/>
      <c r="S563" s="36"/>
      <c r="T563" s="36"/>
    </row>
    <row r="564" spans="1:20" ht="15.75">
      <c r="A564" s="13">
        <v>58684</v>
      </c>
      <c r="B564" s="44">
        <v>31</v>
      </c>
      <c r="C564" s="35">
        <v>194.20500000000001</v>
      </c>
      <c r="D564" s="35">
        <v>267.46600000000001</v>
      </c>
      <c r="E564" s="41">
        <v>812.32899999999995</v>
      </c>
      <c r="F564" s="35">
        <v>1274</v>
      </c>
      <c r="G564" s="35">
        <v>50</v>
      </c>
      <c r="H564" s="43">
        <v>600</v>
      </c>
      <c r="I564" s="35">
        <v>695</v>
      </c>
      <c r="J564" s="35">
        <v>0</v>
      </c>
      <c r="K564" s="36"/>
      <c r="L564" s="36"/>
      <c r="M564" s="36"/>
      <c r="N564" s="36"/>
      <c r="O564" s="36"/>
      <c r="P564" s="36"/>
      <c r="Q564" s="36"/>
      <c r="R564" s="36"/>
      <c r="S564" s="36"/>
      <c r="T564" s="36"/>
    </row>
    <row r="565" spans="1:20" ht="15.75">
      <c r="A565" s="13">
        <v>58714</v>
      </c>
      <c r="B565" s="44">
        <v>30</v>
      </c>
      <c r="C565" s="35">
        <v>194.20500000000001</v>
      </c>
      <c r="D565" s="35">
        <v>267.46600000000001</v>
      </c>
      <c r="E565" s="41">
        <v>812.32899999999995</v>
      </c>
      <c r="F565" s="35">
        <v>1274</v>
      </c>
      <c r="G565" s="35">
        <v>50</v>
      </c>
      <c r="H565" s="43">
        <v>600</v>
      </c>
      <c r="I565" s="35">
        <v>695</v>
      </c>
      <c r="J565" s="35">
        <v>0</v>
      </c>
      <c r="K565" s="36"/>
      <c r="L565" s="36"/>
      <c r="M565" s="36"/>
      <c r="N565" s="36"/>
      <c r="O565" s="36"/>
      <c r="P565" s="36"/>
      <c r="Q565" s="36"/>
      <c r="R565" s="36"/>
      <c r="S565" s="36"/>
      <c r="T565" s="36"/>
    </row>
    <row r="566" spans="1:20" ht="15.75">
      <c r="A566" s="13">
        <v>58745</v>
      </c>
      <c r="B566" s="44">
        <v>31</v>
      </c>
      <c r="C566" s="35">
        <v>131.881</v>
      </c>
      <c r="D566" s="35">
        <v>277.16699999999997</v>
      </c>
      <c r="E566" s="41">
        <v>829.952</v>
      </c>
      <c r="F566" s="35">
        <v>1239</v>
      </c>
      <c r="G566" s="35">
        <v>75</v>
      </c>
      <c r="H566" s="43">
        <v>600</v>
      </c>
      <c r="I566" s="35">
        <v>695</v>
      </c>
      <c r="J566" s="35">
        <v>0</v>
      </c>
      <c r="K566" s="36"/>
      <c r="L566" s="36"/>
      <c r="M566" s="36"/>
      <c r="N566" s="36"/>
      <c r="O566" s="36"/>
      <c r="P566" s="36"/>
      <c r="Q566" s="36"/>
      <c r="R566" s="36"/>
      <c r="S566" s="36"/>
      <c r="T566" s="36"/>
    </row>
    <row r="567" spans="1:20" ht="15.75">
      <c r="A567" s="13">
        <v>58775</v>
      </c>
      <c r="B567" s="44">
        <v>30</v>
      </c>
      <c r="C567" s="35">
        <v>122.58</v>
      </c>
      <c r="D567" s="35">
        <v>297.94099999999997</v>
      </c>
      <c r="E567" s="41">
        <v>729.47900000000004</v>
      </c>
      <c r="F567" s="35">
        <v>1150</v>
      </c>
      <c r="G567" s="35">
        <v>100</v>
      </c>
      <c r="H567" s="43">
        <v>600</v>
      </c>
      <c r="I567" s="35">
        <v>695</v>
      </c>
      <c r="J567" s="35">
        <v>50</v>
      </c>
      <c r="K567" s="36"/>
      <c r="L567" s="36"/>
      <c r="M567" s="36"/>
      <c r="N567" s="36"/>
      <c r="O567" s="36"/>
      <c r="P567" s="36"/>
      <c r="Q567" s="36"/>
      <c r="R567" s="36"/>
      <c r="S567" s="36"/>
      <c r="T567" s="36"/>
    </row>
    <row r="568" spans="1:20" ht="15.75">
      <c r="A568" s="13">
        <v>58806</v>
      </c>
      <c r="B568" s="44">
        <v>31</v>
      </c>
      <c r="C568" s="35">
        <v>122.58</v>
      </c>
      <c r="D568" s="35">
        <v>297.94099999999997</v>
      </c>
      <c r="E568" s="41">
        <v>729.47900000000004</v>
      </c>
      <c r="F568" s="35">
        <v>1150</v>
      </c>
      <c r="G568" s="35">
        <v>100</v>
      </c>
      <c r="H568" s="43">
        <v>600</v>
      </c>
      <c r="I568" s="35">
        <v>695</v>
      </c>
      <c r="J568" s="35">
        <v>50</v>
      </c>
      <c r="K568" s="36"/>
      <c r="L568" s="36"/>
      <c r="M568" s="36"/>
      <c r="N568" s="36"/>
      <c r="O568" s="36"/>
      <c r="P568" s="36"/>
      <c r="Q568" s="36"/>
      <c r="R568" s="36"/>
      <c r="S568" s="36"/>
      <c r="T568" s="36"/>
    </row>
    <row r="569" spans="1:20" ht="15.75">
      <c r="A569" s="13">
        <v>58837</v>
      </c>
      <c r="B569" s="44">
        <v>31</v>
      </c>
      <c r="C569" s="35">
        <v>122.58</v>
      </c>
      <c r="D569" s="35">
        <v>297.94099999999997</v>
      </c>
      <c r="E569" s="41">
        <v>729.47900000000004</v>
      </c>
      <c r="F569" s="35">
        <v>1150</v>
      </c>
      <c r="G569" s="35">
        <v>100</v>
      </c>
      <c r="H569" s="43">
        <v>600</v>
      </c>
      <c r="I569" s="35">
        <v>695</v>
      </c>
      <c r="J569" s="35">
        <v>50</v>
      </c>
      <c r="K569" s="36"/>
      <c r="L569" s="36"/>
      <c r="M569" s="36"/>
      <c r="N569" s="36"/>
      <c r="O569" s="36"/>
      <c r="P569" s="36"/>
      <c r="Q569" s="36"/>
      <c r="R569" s="36"/>
      <c r="S569" s="36"/>
      <c r="T569" s="36"/>
    </row>
    <row r="570" spans="1:20" ht="15.75">
      <c r="A570" s="13">
        <v>58865</v>
      </c>
      <c r="B570" s="44">
        <v>28</v>
      </c>
      <c r="C570" s="35">
        <v>122.58</v>
      </c>
      <c r="D570" s="35">
        <v>297.94099999999997</v>
      </c>
      <c r="E570" s="41">
        <v>729.47900000000004</v>
      </c>
      <c r="F570" s="35">
        <v>1150</v>
      </c>
      <c r="G570" s="35">
        <v>100</v>
      </c>
      <c r="H570" s="43">
        <v>600</v>
      </c>
      <c r="I570" s="35">
        <v>695</v>
      </c>
      <c r="J570" s="35">
        <v>50</v>
      </c>
      <c r="K570" s="36"/>
      <c r="L570" s="36"/>
      <c r="M570" s="36"/>
      <c r="N570" s="36"/>
      <c r="O570" s="36"/>
      <c r="P570" s="36"/>
      <c r="Q570" s="36"/>
      <c r="R570" s="36"/>
      <c r="S570" s="36"/>
      <c r="T570" s="36"/>
    </row>
    <row r="571" spans="1:20" ht="15.75">
      <c r="A571" s="13">
        <v>58893</v>
      </c>
      <c r="B571" s="44">
        <v>31</v>
      </c>
      <c r="C571" s="35">
        <v>122.58</v>
      </c>
      <c r="D571" s="35">
        <v>297.94099999999997</v>
      </c>
      <c r="E571" s="41">
        <v>729.47900000000004</v>
      </c>
      <c r="F571" s="35">
        <v>1150</v>
      </c>
      <c r="G571" s="35">
        <v>100</v>
      </c>
      <c r="H571" s="43">
        <v>600</v>
      </c>
      <c r="I571" s="35">
        <v>695</v>
      </c>
      <c r="J571" s="35">
        <v>50</v>
      </c>
      <c r="K571" s="36"/>
      <c r="L571" s="36"/>
      <c r="M571" s="36"/>
      <c r="N571" s="36"/>
      <c r="O571" s="36"/>
      <c r="P571" s="36"/>
      <c r="Q571" s="36"/>
      <c r="R571" s="36"/>
      <c r="S571" s="36"/>
      <c r="T571" s="36"/>
    </row>
    <row r="572" spans="1:20" ht="15.75">
      <c r="A572" s="13">
        <v>58926</v>
      </c>
      <c r="B572" s="44">
        <v>30</v>
      </c>
      <c r="C572" s="35">
        <v>141.29300000000001</v>
      </c>
      <c r="D572" s="35">
        <v>267.99299999999999</v>
      </c>
      <c r="E572" s="41">
        <v>829.71400000000006</v>
      </c>
      <c r="F572" s="35">
        <v>1239</v>
      </c>
      <c r="G572" s="35">
        <v>100</v>
      </c>
      <c r="H572" s="43">
        <v>600</v>
      </c>
      <c r="I572" s="35">
        <v>695</v>
      </c>
      <c r="J572" s="35">
        <v>50</v>
      </c>
      <c r="K572" s="36"/>
      <c r="L572" s="36"/>
      <c r="M572" s="36"/>
      <c r="N572" s="36"/>
      <c r="O572" s="36"/>
      <c r="P572" s="36"/>
      <c r="Q572" s="36"/>
      <c r="R572" s="36"/>
      <c r="S572" s="36"/>
      <c r="T572" s="36"/>
    </row>
    <row r="573" spans="1:20" ht="15.75">
      <c r="A573" s="13">
        <v>58957</v>
      </c>
      <c r="B573" s="44">
        <v>31</v>
      </c>
      <c r="C573" s="35">
        <v>194.20500000000001</v>
      </c>
      <c r="D573" s="35">
        <v>267.46600000000001</v>
      </c>
      <c r="E573" s="41">
        <v>812.32899999999995</v>
      </c>
      <c r="F573" s="35">
        <v>1274</v>
      </c>
      <c r="G573" s="35">
        <v>75</v>
      </c>
      <c r="H573" s="43">
        <v>600</v>
      </c>
      <c r="I573" s="35">
        <v>695</v>
      </c>
      <c r="J573" s="35">
        <v>50</v>
      </c>
      <c r="K573" s="36"/>
      <c r="L573" s="36"/>
      <c r="M573" s="36"/>
      <c r="N573" s="36"/>
      <c r="O573" s="36"/>
      <c r="P573" s="36"/>
      <c r="Q573" s="36"/>
      <c r="R573" s="36"/>
      <c r="S573" s="36"/>
      <c r="T573" s="36"/>
    </row>
    <row r="574" spans="1:20" ht="15.75">
      <c r="A574" s="13">
        <v>58987</v>
      </c>
      <c r="B574" s="44">
        <v>30</v>
      </c>
      <c r="C574" s="35">
        <v>194.20500000000001</v>
      </c>
      <c r="D574" s="35">
        <v>267.46600000000001</v>
      </c>
      <c r="E574" s="41">
        <v>812.32899999999995</v>
      </c>
      <c r="F574" s="35">
        <v>1274</v>
      </c>
      <c r="G574" s="35">
        <v>50</v>
      </c>
      <c r="H574" s="43">
        <v>600</v>
      </c>
      <c r="I574" s="35">
        <v>695</v>
      </c>
      <c r="J574" s="35">
        <v>50</v>
      </c>
      <c r="K574" s="36"/>
      <c r="L574" s="36"/>
      <c r="M574" s="36"/>
      <c r="N574" s="36"/>
      <c r="O574" s="36"/>
      <c r="P574" s="36"/>
      <c r="Q574" s="36"/>
      <c r="R574" s="36"/>
      <c r="S574" s="36"/>
      <c r="T574" s="36"/>
    </row>
    <row r="575" spans="1:20" ht="15.75">
      <c r="A575" s="13">
        <v>59018</v>
      </c>
      <c r="B575" s="44">
        <v>31</v>
      </c>
      <c r="C575" s="35">
        <v>194.20500000000001</v>
      </c>
      <c r="D575" s="35">
        <v>267.46600000000001</v>
      </c>
      <c r="E575" s="41">
        <v>812.32899999999995</v>
      </c>
      <c r="F575" s="35">
        <v>1274</v>
      </c>
      <c r="G575" s="35">
        <v>50</v>
      </c>
      <c r="H575" s="43">
        <v>600</v>
      </c>
      <c r="I575" s="35">
        <v>695</v>
      </c>
      <c r="J575" s="35">
        <v>0</v>
      </c>
      <c r="K575" s="36"/>
      <c r="L575" s="36"/>
      <c r="M575" s="36"/>
      <c r="N575" s="36"/>
      <c r="O575" s="36"/>
      <c r="P575" s="36"/>
      <c r="Q575" s="36"/>
      <c r="R575" s="36"/>
      <c r="S575" s="36"/>
      <c r="T575" s="36"/>
    </row>
    <row r="576" spans="1:20" ht="15.75">
      <c r="A576" s="13">
        <v>59049</v>
      </c>
      <c r="B576" s="44">
        <v>31</v>
      </c>
      <c r="C576" s="35">
        <v>194.20500000000001</v>
      </c>
      <c r="D576" s="35">
        <v>267.46600000000001</v>
      </c>
      <c r="E576" s="41">
        <v>812.32899999999995</v>
      </c>
      <c r="F576" s="35">
        <v>1274</v>
      </c>
      <c r="G576" s="35">
        <v>50</v>
      </c>
      <c r="H576" s="43">
        <v>600</v>
      </c>
      <c r="I576" s="35">
        <v>695</v>
      </c>
      <c r="J576" s="35">
        <v>0</v>
      </c>
      <c r="K576" s="36"/>
      <c r="L576" s="36"/>
      <c r="M576" s="36"/>
      <c r="N576" s="36"/>
      <c r="O576" s="36"/>
      <c r="P576" s="36"/>
      <c r="Q576" s="36"/>
      <c r="R576" s="36"/>
      <c r="S576" s="36"/>
      <c r="T576" s="36"/>
    </row>
    <row r="577" spans="1:20" ht="15.75">
      <c r="A577" s="13">
        <v>59079</v>
      </c>
      <c r="B577" s="44">
        <v>30</v>
      </c>
      <c r="C577" s="35">
        <v>194.20500000000001</v>
      </c>
      <c r="D577" s="35">
        <v>267.46600000000001</v>
      </c>
      <c r="E577" s="41">
        <v>812.32899999999995</v>
      </c>
      <c r="F577" s="35">
        <v>1274</v>
      </c>
      <c r="G577" s="35">
        <v>50</v>
      </c>
      <c r="H577" s="43">
        <v>600</v>
      </c>
      <c r="I577" s="35">
        <v>695</v>
      </c>
      <c r="J577" s="35">
        <v>0</v>
      </c>
      <c r="K577" s="36"/>
      <c r="L577" s="36"/>
      <c r="M577" s="36"/>
      <c r="N577" s="36"/>
      <c r="O577" s="36"/>
      <c r="P577" s="36"/>
      <c r="Q577" s="36"/>
      <c r="R577" s="36"/>
      <c r="S577" s="36"/>
      <c r="T577" s="36"/>
    </row>
    <row r="578" spans="1:20" ht="15.75">
      <c r="A578" s="13">
        <v>59110</v>
      </c>
      <c r="B578" s="44">
        <v>31</v>
      </c>
      <c r="C578" s="35">
        <v>131.881</v>
      </c>
      <c r="D578" s="35">
        <v>277.16699999999997</v>
      </c>
      <c r="E578" s="41">
        <v>829.952</v>
      </c>
      <c r="F578" s="35">
        <v>1239</v>
      </c>
      <c r="G578" s="35">
        <v>75</v>
      </c>
      <c r="H578" s="43">
        <v>600</v>
      </c>
      <c r="I578" s="35">
        <v>695</v>
      </c>
      <c r="J578" s="35">
        <v>0</v>
      </c>
      <c r="K578" s="36"/>
      <c r="L578" s="36"/>
      <c r="M578" s="36"/>
      <c r="N578" s="36"/>
      <c r="O578" s="36"/>
      <c r="P578" s="36"/>
      <c r="Q578" s="36"/>
      <c r="R578" s="36"/>
      <c r="S578" s="36"/>
      <c r="T578" s="36"/>
    </row>
    <row r="579" spans="1:20" ht="15.75">
      <c r="A579" s="13">
        <v>59140</v>
      </c>
      <c r="B579" s="44">
        <v>30</v>
      </c>
      <c r="C579" s="35">
        <v>122.58</v>
      </c>
      <c r="D579" s="35">
        <v>297.94099999999997</v>
      </c>
      <c r="E579" s="41">
        <v>729.47900000000004</v>
      </c>
      <c r="F579" s="35">
        <v>1150</v>
      </c>
      <c r="G579" s="35">
        <v>100</v>
      </c>
      <c r="H579" s="43">
        <v>600</v>
      </c>
      <c r="I579" s="35">
        <v>695</v>
      </c>
      <c r="J579" s="35">
        <v>50</v>
      </c>
      <c r="K579" s="36"/>
      <c r="L579" s="36"/>
      <c r="M579" s="36"/>
      <c r="N579" s="36"/>
      <c r="O579" s="36"/>
      <c r="P579" s="36"/>
      <c r="Q579" s="36"/>
      <c r="R579" s="36"/>
      <c r="S579" s="36"/>
      <c r="T579" s="36"/>
    </row>
    <row r="580" spans="1:20" ht="15.75">
      <c r="A580" s="13">
        <v>59171</v>
      </c>
      <c r="B580" s="44">
        <v>31</v>
      </c>
      <c r="C580" s="35">
        <v>122.58</v>
      </c>
      <c r="D580" s="35">
        <v>297.94099999999997</v>
      </c>
      <c r="E580" s="41">
        <v>729.47900000000004</v>
      </c>
      <c r="F580" s="35">
        <v>1150</v>
      </c>
      <c r="G580" s="35">
        <v>100</v>
      </c>
      <c r="H580" s="43">
        <v>600</v>
      </c>
      <c r="I580" s="35">
        <v>695</v>
      </c>
      <c r="J580" s="35">
        <v>50</v>
      </c>
      <c r="K580" s="36"/>
      <c r="L580" s="36"/>
      <c r="M580" s="36"/>
      <c r="N580" s="36"/>
      <c r="O580" s="36"/>
      <c r="P580" s="36"/>
      <c r="Q580" s="36"/>
      <c r="R580" s="36"/>
      <c r="S580" s="36"/>
      <c r="T580" s="36"/>
    </row>
    <row r="581" spans="1:20" ht="15.75">
      <c r="A581" s="13">
        <v>59202</v>
      </c>
      <c r="B581" s="44">
        <f t="shared" ref="B581:B644" si="0">EOMONTH(A581,0)-EOMONTH(A581,-1)</f>
        <v>31</v>
      </c>
      <c r="C581" s="35">
        <v>122.58</v>
      </c>
      <c r="D581" s="35">
        <v>297.94099999999997</v>
      </c>
      <c r="E581" s="41">
        <v>729.47900000000004</v>
      </c>
      <c r="F581" s="35">
        <v>1150</v>
      </c>
      <c r="G581" s="35">
        <v>100</v>
      </c>
      <c r="H581" s="43">
        <v>600</v>
      </c>
      <c r="I581" s="35">
        <v>695</v>
      </c>
      <c r="J581" s="35">
        <v>50</v>
      </c>
      <c r="K581" s="36"/>
      <c r="L581" s="36"/>
      <c r="M581" s="36"/>
      <c r="N581" s="36"/>
      <c r="O581" s="36"/>
      <c r="P581" s="36"/>
      <c r="Q581" s="36"/>
      <c r="R581" s="36"/>
      <c r="S581" s="36"/>
      <c r="T581" s="36"/>
    </row>
    <row r="582" spans="1:20" ht="15.75">
      <c r="A582" s="13">
        <v>59230</v>
      </c>
      <c r="B582" s="44">
        <f t="shared" si="0"/>
        <v>28</v>
      </c>
      <c r="C582" s="35">
        <v>122.58</v>
      </c>
      <c r="D582" s="35">
        <v>297.94099999999997</v>
      </c>
      <c r="E582" s="41">
        <v>729.47900000000004</v>
      </c>
      <c r="F582" s="35">
        <v>1150</v>
      </c>
      <c r="G582" s="35">
        <v>100</v>
      </c>
      <c r="H582" s="43">
        <v>600</v>
      </c>
      <c r="I582" s="35">
        <v>695</v>
      </c>
      <c r="J582" s="35">
        <v>50</v>
      </c>
      <c r="K582" s="36"/>
      <c r="L582" s="36"/>
      <c r="M582" s="36"/>
      <c r="N582" s="36"/>
      <c r="O582" s="36"/>
      <c r="P582" s="36"/>
      <c r="Q582" s="36"/>
      <c r="R582" s="36"/>
      <c r="S582" s="36"/>
      <c r="T582" s="36"/>
    </row>
    <row r="583" spans="1:20" ht="15.75">
      <c r="A583" s="13">
        <v>59261</v>
      </c>
      <c r="B583" s="44">
        <f t="shared" si="0"/>
        <v>31</v>
      </c>
      <c r="C583" s="35">
        <v>122.58</v>
      </c>
      <c r="D583" s="35">
        <v>297.94099999999997</v>
      </c>
      <c r="E583" s="41">
        <v>729.47900000000004</v>
      </c>
      <c r="F583" s="35">
        <v>1150</v>
      </c>
      <c r="G583" s="35">
        <v>100</v>
      </c>
      <c r="H583" s="43">
        <v>600</v>
      </c>
      <c r="I583" s="35">
        <v>695</v>
      </c>
      <c r="J583" s="35">
        <v>50</v>
      </c>
      <c r="K583" s="36"/>
      <c r="L583" s="36"/>
      <c r="M583" s="36"/>
      <c r="N583" s="36"/>
      <c r="O583" s="36"/>
      <c r="P583" s="36"/>
      <c r="Q583" s="36"/>
      <c r="R583" s="36"/>
      <c r="S583" s="36"/>
      <c r="T583" s="36"/>
    </row>
    <row r="584" spans="1:20" ht="15.75">
      <c r="A584" s="13">
        <v>59291</v>
      </c>
      <c r="B584" s="44">
        <f t="shared" si="0"/>
        <v>30</v>
      </c>
      <c r="C584" s="35">
        <v>141.29300000000001</v>
      </c>
      <c r="D584" s="35">
        <v>267.99299999999999</v>
      </c>
      <c r="E584" s="41">
        <v>829.71400000000006</v>
      </c>
      <c r="F584" s="35">
        <v>1239</v>
      </c>
      <c r="G584" s="35">
        <v>100</v>
      </c>
      <c r="H584" s="43">
        <v>600</v>
      </c>
      <c r="I584" s="35">
        <v>695</v>
      </c>
      <c r="J584" s="35">
        <v>50</v>
      </c>
      <c r="K584" s="36"/>
      <c r="L584" s="36"/>
      <c r="M584" s="36"/>
      <c r="N584" s="36"/>
      <c r="O584" s="36"/>
      <c r="P584" s="36"/>
      <c r="Q584" s="36"/>
      <c r="R584" s="36"/>
      <c r="S584" s="36"/>
      <c r="T584" s="36"/>
    </row>
    <row r="585" spans="1:20" ht="15.75">
      <c r="A585" s="13">
        <v>59322</v>
      </c>
      <c r="B585" s="44">
        <f t="shared" si="0"/>
        <v>31</v>
      </c>
      <c r="C585" s="35">
        <v>194.20500000000001</v>
      </c>
      <c r="D585" s="35">
        <v>267.46600000000001</v>
      </c>
      <c r="E585" s="41">
        <v>812.32899999999995</v>
      </c>
      <c r="F585" s="35">
        <v>1274</v>
      </c>
      <c r="G585" s="35">
        <v>75</v>
      </c>
      <c r="H585" s="43">
        <v>600</v>
      </c>
      <c r="I585" s="35">
        <v>695</v>
      </c>
      <c r="J585" s="35">
        <v>50</v>
      </c>
      <c r="K585" s="36"/>
      <c r="L585" s="36"/>
      <c r="M585" s="36"/>
      <c r="N585" s="36"/>
      <c r="O585" s="36"/>
      <c r="P585" s="36"/>
      <c r="Q585" s="36"/>
      <c r="R585" s="36"/>
      <c r="S585" s="36"/>
      <c r="T585" s="36"/>
    </row>
    <row r="586" spans="1:20" ht="15.75">
      <c r="A586" s="13">
        <v>59352</v>
      </c>
      <c r="B586" s="44">
        <f t="shared" si="0"/>
        <v>30</v>
      </c>
      <c r="C586" s="35">
        <v>194.20500000000001</v>
      </c>
      <c r="D586" s="35">
        <v>267.46600000000001</v>
      </c>
      <c r="E586" s="41">
        <v>812.32899999999995</v>
      </c>
      <c r="F586" s="35">
        <v>1274</v>
      </c>
      <c r="G586" s="35">
        <v>50</v>
      </c>
      <c r="H586" s="43">
        <v>600</v>
      </c>
      <c r="I586" s="35">
        <v>695</v>
      </c>
      <c r="J586" s="35">
        <v>50</v>
      </c>
      <c r="K586" s="36"/>
      <c r="L586" s="36"/>
      <c r="M586" s="36"/>
      <c r="N586" s="36"/>
      <c r="O586" s="36"/>
      <c r="P586" s="36"/>
      <c r="Q586" s="36"/>
      <c r="R586" s="36"/>
      <c r="S586" s="36"/>
      <c r="T586" s="36"/>
    </row>
    <row r="587" spans="1:20" ht="15.75">
      <c r="A587" s="13">
        <v>59383</v>
      </c>
      <c r="B587" s="44">
        <f t="shared" si="0"/>
        <v>31</v>
      </c>
      <c r="C587" s="35">
        <v>194.20500000000001</v>
      </c>
      <c r="D587" s="35">
        <v>267.46600000000001</v>
      </c>
      <c r="E587" s="41">
        <v>812.32899999999995</v>
      </c>
      <c r="F587" s="35">
        <v>1274</v>
      </c>
      <c r="G587" s="35">
        <v>50</v>
      </c>
      <c r="H587" s="43">
        <v>600</v>
      </c>
      <c r="I587" s="35">
        <v>695</v>
      </c>
      <c r="J587" s="35">
        <v>0</v>
      </c>
      <c r="K587" s="36"/>
      <c r="L587" s="36"/>
      <c r="M587" s="36"/>
      <c r="N587" s="36"/>
      <c r="O587" s="36"/>
      <c r="P587" s="36"/>
      <c r="Q587" s="36"/>
      <c r="R587" s="36"/>
      <c r="S587" s="36"/>
      <c r="T587" s="36"/>
    </row>
    <row r="588" spans="1:20" ht="15.75">
      <c r="A588" s="13">
        <v>59414</v>
      </c>
      <c r="B588" s="44">
        <f t="shared" si="0"/>
        <v>31</v>
      </c>
      <c r="C588" s="35">
        <v>194.20500000000001</v>
      </c>
      <c r="D588" s="35">
        <v>267.46600000000001</v>
      </c>
      <c r="E588" s="41">
        <v>812.32899999999995</v>
      </c>
      <c r="F588" s="35">
        <v>1274</v>
      </c>
      <c r="G588" s="35">
        <v>50</v>
      </c>
      <c r="H588" s="43">
        <v>600</v>
      </c>
      <c r="I588" s="35">
        <v>695</v>
      </c>
      <c r="J588" s="35">
        <v>0</v>
      </c>
      <c r="K588" s="36"/>
      <c r="L588" s="36"/>
      <c r="M588" s="36"/>
      <c r="N588" s="36"/>
      <c r="O588" s="36"/>
      <c r="P588" s="36"/>
      <c r="Q588" s="36"/>
      <c r="R588" s="36"/>
      <c r="S588" s="36"/>
      <c r="T588" s="36"/>
    </row>
    <row r="589" spans="1:20" ht="15.75">
      <c r="A589" s="13">
        <v>59444</v>
      </c>
      <c r="B589" s="44">
        <f t="shared" si="0"/>
        <v>30</v>
      </c>
      <c r="C589" s="35">
        <v>194.20500000000001</v>
      </c>
      <c r="D589" s="35">
        <v>267.46600000000001</v>
      </c>
      <c r="E589" s="41">
        <v>812.32899999999995</v>
      </c>
      <c r="F589" s="35">
        <v>1274</v>
      </c>
      <c r="G589" s="35">
        <v>50</v>
      </c>
      <c r="H589" s="43">
        <v>600</v>
      </c>
      <c r="I589" s="35">
        <v>695</v>
      </c>
      <c r="J589" s="35">
        <v>0</v>
      </c>
      <c r="K589" s="36"/>
      <c r="L589" s="36"/>
      <c r="M589" s="36"/>
      <c r="N589" s="36"/>
      <c r="O589" s="36"/>
      <c r="P589" s="36"/>
      <c r="Q589" s="36"/>
      <c r="R589" s="36"/>
      <c r="S589" s="36"/>
      <c r="T589" s="36"/>
    </row>
    <row r="590" spans="1:20" ht="15.75">
      <c r="A590" s="13">
        <v>59475</v>
      </c>
      <c r="B590" s="44">
        <f t="shared" si="0"/>
        <v>31</v>
      </c>
      <c r="C590" s="35">
        <v>131.881</v>
      </c>
      <c r="D590" s="35">
        <v>277.16699999999997</v>
      </c>
      <c r="E590" s="41">
        <v>829.952</v>
      </c>
      <c r="F590" s="35">
        <v>1239</v>
      </c>
      <c r="G590" s="35">
        <v>75</v>
      </c>
      <c r="H590" s="43">
        <v>600</v>
      </c>
      <c r="I590" s="35">
        <v>695</v>
      </c>
      <c r="J590" s="35">
        <v>0</v>
      </c>
      <c r="K590" s="36"/>
      <c r="L590" s="36"/>
      <c r="M590" s="36"/>
      <c r="N590" s="36"/>
      <c r="O590" s="36"/>
      <c r="P590" s="36"/>
      <c r="Q590" s="36"/>
      <c r="R590" s="36"/>
      <c r="S590" s="36"/>
      <c r="T590" s="36"/>
    </row>
    <row r="591" spans="1:20" ht="15.75">
      <c r="A591" s="13">
        <v>59505</v>
      </c>
      <c r="B591" s="44">
        <f t="shared" si="0"/>
        <v>30</v>
      </c>
      <c r="C591" s="35">
        <v>122.58</v>
      </c>
      <c r="D591" s="35">
        <v>297.94099999999997</v>
      </c>
      <c r="E591" s="41">
        <v>729.47900000000004</v>
      </c>
      <c r="F591" s="35">
        <v>1150</v>
      </c>
      <c r="G591" s="35">
        <v>100</v>
      </c>
      <c r="H591" s="43">
        <v>600</v>
      </c>
      <c r="I591" s="35">
        <v>695</v>
      </c>
      <c r="J591" s="35">
        <v>50</v>
      </c>
      <c r="K591" s="36"/>
      <c r="L591" s="36"/>
      <c r="M591" s="36"/>
      <c r="N591" s="36"/>
      <c r="O591" s="36"/>
      <c r="P591" s="36"/>
      <c r="Q591" s="36"/>
      <c r="R591" s="36"/>
      <c r="S591" s="36"/>
      <c r="T591" s="36"/>
    </row>
    <row r="592" spans="1:20" ht="15.75">
      <c r="A592" s="13">
        <v>59536</v>
      </c>
      <c r="B592" s="44">
        <f t="shared" si="0"/>
        <v>31</v>
      </c>
      <c r="C592" s="35">
        <v>122.58</v>
      </c>
      <c r="D592" s="35">
        <v>297.94099999999997</v>
      </c>
      <c r="E592" s="41">
        <v>729.47900000000004</v>
      </c>
      <c r="F592" s="35">
        <v>1150</v>
      </c>
      <c r="G592" s="35">
        <v>100</v>
      </c>
      <c r="H592" s="43">
        <v>600</v>
      </c>
      <c r="I592" s="35">
        <v>695</v>
      </c>
      <c r="J592" s="35">
        <v>50</v>
      </c>
      <c r="K592" s="36"/>
      <c r="L592" s="36"/>
      <c r="M592" s="36"/>
      <c r="N592" s="36"/>
      <c r="O592" s="36"/>
      <c r="P592" s="36"/>
      <c r="Q592" s="36"/>
      <c r="R592" s="36"/>
      <c r="S592" s="36"/>
      <c r="T592" s="36"/>
    </row>
    <row r="593" spans="1:20" ht="15.75">
      <c r="A593" s="13">
        <v>59567</v>
      </c>
      <c r="B593" s="44">
        <f t="shared" si="0"/>
        <v>31</v>
      </c>
      <c r="C593" s="35">
        <v>122.58</v>
      </c>
      <c r="D593" s="35">
        <v>297.94099999999997</v>
      </c>
      <c r="E593" s="41">
        <v>729.47900000000004</v>
      </c>
      <c r="F593" s="35">
        <v>1150</v>
      </c>
      <c r="G593" s="35">
        <v>100</v>
      </c>
      <c r="H593" s="43">
        <v>600</v>
      </c>
      <c r="I593" s="35">
        <v>695</v>
      </c>
      <c r="J593" s="35">
        <v>50</v>
      </c>
      <c r="K593" s="36"/>
      <c r="L593" s="36"/>
      <c r="M593" s="36"/>
      <c r="N593" s="36"/>
      <c r="O593" s="36"/>
      <c r="P593" s="36"/>
      <c r="Q593" s="36"/>
      <c r="R593" s="36"/>
      <c r="S593" s="36"/>
      <c r="T593" s="36"/>
    </row>
    <row r="594" spans="1:20" ht="15.75">
      <c r="A594" s="13">
        <v>59595</v>
      </c>
      <c r="B594" s="44">
        <f t="shared" si="0"/>
        <v>28</v>
      </c>
      <c r="C594" s="35">
        <v>122.58</v>
      </c>
      <c r="D594" s="35">
        <v>297.94099999999997</v>
      </c>
      <c r="E594" s="41">
        <v>729.47900000000004</v>
      </c>
      <c r="F594" s="35">
        <v>1150</v>
      </c>
      <c r="G594" s="35">
        <v>100</v>
      </c>
      <c r="H594" s="43">
        <v>600</v>
      </c>
      <c r="I594" s="35">
        <v>695</v>
      </c>
      <c r="J594" s="35">
        <v>50</v>
      </c>
      <c r="K594" s="36"/>
      <c r="L594" s="36"/>
      <c r="M594" s="36"/>
      <c r="N594" s="36"/>
      <c r="O594" s="36"/>
      <c r="P594" s="36"/>
      <c r="Q594" s="36"/>
      <c r="R594" s="36"/>
      <c r="S594" s="36"/>
      <c r="T594" s="36"/>
    </row>
    <row r="595" spans="1:20" ht="15.75">
      <c r="A595" s="13">
        <v>59626</v>
      </c>
      <c r="B595" s="44">
        <f t="shared" si="0"/>
        <v>31</v>
      </c>
      <c r="C595" s="35">
        <v>122.58</v>
      </c>
      <c r="D595" s="35">
        <v>297.94099999999997</v>
      </c>
      <c r="E595" s="41">
        <v>729.47900000000004</v>
      </c>
      <c r="F595" s="35">
        <v>1150</v>
      </c>
      <c r="G595" s="35">
        <v>100</v>
      </c>
      <c r="H595" s="43">
        <v>600</v>
      </c>
      <c r="I595" s="35">
        <v>695</v>
      </c>
      <c r="J595" s="35">
        <v>50</v>
      </c>
      <c r="K595" s="36"/>
      <c r="L595" s="36"/>
      <c r="M595" s="36"/>
      <c r="N595" s="36"/>
      <c r="O595" s="36"/>
      <c r="P595" s="36"/>
      <c r="Q595" s="36"/>
      <c r="R595" s="36"/>
      <c r="S595" s="36"/>
      <c r="T595" s="36"/>
    </row>
    <row r="596" spans="1:20" ht="15.75">
      <c r="A596" s="13">
        <v>59656</v>
      </c>
      <c r="B596" s="44">
        <f t="shared" si="0"/>
        <v>30</v>
      </c>
      <c r="C596" s="35">
        <v>141.29300000000001</v>
      </c>
      <c r="D596" s="35">
        <v>267.99299999999999</v>
      </c>
      <c r="E596" s="41">
        <v>829.71400000000006</v>
      </c>
      <c r="F596" s="35">
        <v>1239</v>
      </c>
      <c r="G596" s="35">
        <v>100</v>
      </c>
      <c r="H596" s="43">
        <v>600</v>
      </c>
      <c r="I596" s="35">
        <v>695</v>
      </c>
      <c r="J596" s="35">
        <v>50</v>
      </c>
      <c r="K596" s="36"/>
      <c r="L596" s="36"/>
      <c r="M596" s="36"/>
      <c r="N596" s="36"/>
      <c r="O596" s="36"/>
      <c r="P596" s="36"/>
      <c r="Q596" s="36"/>
      <c r="R596" s="36"/>
      <c r="S596" s="36"/>
      <c r="T596" s="36"/>
    </row>
    <row r="597" spans="1:20" ht="15.75">
      <c r="A597" s="13">
        <v>59687</v>
      </c>
      <c r="B597" s="44">
        <f t="shared" si="0"/>
        <v>31</v>
      </c>
      <c r="C597" s="35">
        <v>194.20500000000001</v>
      </c>
      <c r="D597" s="35">
        <v>267.46600000000001</v>
      </c>
      <c r="E597" s="41">
        <v>812.32899999999995</v>
      </c>
      <c r="F597" s="35">
        <v>1274</v>
      </c>
      <c r="G597" s="35">
        <v>75</v>
      </c>
      <c r="H597" s="43">
        <v>600</v>
      </c>
      <c r="I597" s="35">
        <v>695</v>
      </c>
      <c r="J597" s="35">
        <v>50</v>
      </c>
      <c r="K597" s="36"/>
      <c r="L597" s="36"/>
      <c r="M597" s="36"/>
      <c r="N597" s="36"/>
      <c r="O597" s="36"/>
      <c r="P597" s="36"/>
      <c r="Q597" s="36"/>
      <c r="R597" s="36"/>
      <c r="S597" s="36"/>
      <c r="T597" s="36"/>
    </row>
    <row r="598" spans="1:20" ht="15.75">
      <c r="A598" s="13">
        <v>59717</v>
      </c>
      <c r="B598" s="44">
        <f t="shared" si="0"/>
        <v>30</v>
      </c>
      <c r="C598" s="35">
        <v>194.20500000000001</v>
      </c>
      <c r="D598" s="35">
        <v>267.46600000000001</v>
      </c>
      <c r="E598" s="41">
        <v>812.32899999999995</v>
      </c>
      <c r="F598" s="35">
        <v>1274</v>
      </c>
      <c r="G598" s="35">
        <v>50</v>
      </c>
      <c r="H598" s="43">
        <v>600</v>
      </c>
      <c r="I598" s="35">
        <v>695</v>
      </c>
      <c r="J598" s="35">
        <v>50</v>
      </c>
      <c r="K598" s="36"/>
      <c r="L598" s="36"/>
      <c r="M598" s="36"/>
      <c r="N598" s="36"/>
      <c r="O598" s="36"/>
      <c r="P598" s="36"/>
      <c r="Q598" s="36"/>
      <c r="R598" s="36"/>
      <c r="S598" s="36"/>
      <c r="T598" s="36"/>
    </row>
    <row r="599" spans="1:20" ht="15.75">
      <c r="A599" s="13">
        <v>59748</v>
      </c>
      <c r="B599" s="44">
        <f t="shared" si="0"/>
        <v>31</v>
      </c>
      <c r="C599" s="35">
        <v>194.20500000000001</v>
      </c>
      <c r="D599" s="35">
        <v>267.46600000000001</v>
      </c>
      <c r="E599" s="41">
        <v>812.32899999999995</v>
      </c>
      <c r="F599" s="35">
        <v>1274</v>
      </c>
      <c r="G599" s="35">
        <v>50</v>
      </c>
      <c r="H599" s="43">
        <v>600</v>
      </c>
      <c r="I599" s="35">
        <v>695</v>
      </c>
      <c r="J599" s="35">
        <v>0</v>
      </c>
      <c r="K599" s="36"/>
      <c r="L599" s="36"/>
      <c r="M599" s="36"/>
      <c r="N599" s="36"/>
      <c r="O599" s="36"/>
      <c r="P599" s="36"/>
      <c r="Q599" s="36"/>
      <c r="R599" s="36"/>
      <c r="S599" s="36"/>
      <c r="T599" s="36"/>
    </row>
    <row r="600" spans="1:20" ht="15.75">
      <c r="A600" s="13">
        <v>59779</v>
      </c>
      <c r="B600" s="44">
        <f t="shared" si="0"/>
        <v>31</v>
      </c>
      <c r="C600" s="35">
        <v>194.20500000000001</v>
      </c>
      <c r="D600" s="35">
        <v>267.46600000000001</v>
      </c>
      <c r="E600" s="41">
        <v>812.32899999999995</v>
      </c>
      <c r="F600" s="35">
        <v>1274</v>
      </c>
      <c r="G600" s="35">
        <v>50</v>
      </c>
      <c r="H600" s="43">
        <v>600</v>
      </c>
      <c r="I600" s="35">
        <v>695</v>
      </c>
      <c r="J600" s="35">
        <v>0</v>
      </c>
      <c r="K600" s="36"/>
      <c r="L600" s="36"/>
      <c r="M600" s="36"/>
      <c r="N600" s="36"/>
      <c r="O600" s="36"/>
      <c r="P600" s="36"/>
      <c r="Q600" s="36"/>
      <c r="R600" s="36"/>
      <c r="S600" s="36"/>
      <c r="T600" s="36"/>
    </row>
    <row r="601" spans="1:20" ht="15.75">
      <c r="A601" s="13">
        <v>59809</v>
      </c>
      <c r="B601" s="44">
        <f t="shared" si="0"/>
        <v>30</v>
      </c>
      <c r="C601" s="35">
        <v>194.20500000000001</v>
      </c>
      <c r="D601" s="35">
        <v>267.46600000000001</v>
      </c>
      <c r="E601" s="41">
        <v>812.32899999999995</v>
      </c>
      <c r="F601" s="35">
        <v>1274</v>
      </c>
      <c r="G601" s="35">
        <v>50</v>
      </c>
      <c r="H601" s="43">
        <v>600</v>
      </c>
      <c r="I601" s="35">
        <v>695</v>
      </c>
      <c r="J601" s="35">
        <v>0</v>
      </c>
      <c r="K601" s="36"/>
      <c r="L601" s="36"/>
      <c r="M601" s="36"/>
      <c r="N601" s="36"/>
      <c r="O601" s="36"/>
      <c r="P601" s="36"/>
      <c r="Q601" s="36"/>
      <c r="R601" s="36"/>
      <c r="S601" s="36"/>
      <c r="T601" s="36"/>
    </row>
    <row r="602" spans="1:20" ht="15.75">
      <c r="A602" s="13">
        <v>59840</v>
      </c>
      <c r="B602" s="44">
        <f t="shared" si="0"/>
        <v>31</v>
      </c>
      <c r="C602" s="35">
        <v>131.881</v>
      </c>
      <c r="D602" s="35">
        <v>277.16699999999997</v>
      </c>
      <c r="E602" s="41">
        <v>829.952</v>
      </c>
      <c r="F602" s="35">
        <v>1239</v>
      </c>
      <c r="G602" s="35">
        <v>75</v>
      </c>
      <c r="H602" s="43">
        <v>600</v>
      </c>
      <c r="I602" s="35">
        <v>695</v>
      </c>
      <c r="J602" s="35">
        <v>0</v>
      </c>
      <c r="K602" s="36"/>
      <c r="L602" s="36"/>
      <c r="M602" s="36"/>
      <c r="N602" s="36"/>
      <c r="O602" s="36"/>
      <c r="P602" s="36"/>
      <c r="Q602" s="36"/>
      <c r="R602" s="36"/>
      <c r="S602" s="36"/>
      <c r="T602" s="36"/>
    </row>
    <row r="603" spans="1:20" ht="15.75">
      <c r="A603" s="13">
        <v>59870</v>
      </c>
      <c r="B603" s="44">
        <f t="shared" si="0"/>
        <v>30</v>
      </c>
      <c r="C603" s="35">
        <v>122.58</v>
      </c>
      <c r="D603" s="35">
        <v>297.94099999999997</v>
      </c>
      <c r="E603" s="41">
        <v>729.47900000000004</v>
      </c>
      <c r="F603" s="35">
        <v>1150</v>
      </c>
      <c r="G603" s="35">
        <v>100</v>
      </c>
      <c r="H603" s="43">
        <v>600</v>
      </c>
      <c r="I603" s="35">
        <v>695</v>
      </c>
      <c r="J603" s="35">
        <v>50</v>
      </c>
      <c r="K603" s="36"/>
      <c r="L603" s="36"/>
      <c r="M603" s="36"/>
      <c r="N603" s="36"/>
      <c r="O603" s="36"/>
      <c r="P603" s="36"/>
      <c r="Q603" s="36"/>
      <c r="R603" s="36"/>
      <c r="S603" s="36"/>
      <c r="T603" s="36"/>
    </row>
    <row r="604" spans="1:20" ht="15.75">
      <c r="A604" s="13">
        <v>59901</v>
      </c>
      <c r="B604" s="44">
        <f t="shared" si="0"/>
        <v>31</v>
      </c>
      <c r="C604" s="35">
        <v>122.58</v>
      </c>
      <c r="D604" s="35">
        <v>297.94099999999997</v>
      </c>
      <c r="E604" s="41">
        <v>729.47900000000004</v>
      </c>
      <c r="F604" s="35">
        <v>1150</v>
      </c>
      <c r="G604" s="35">
        <v>100</v>
      </c>
      <c r="H604" s="43">
        <v>600</v>
      </c>
      <c r="I604" s="35">
        <v>695</v>
      </c>
      <c r="J604" s="35">
        <v>50</v>
      </c>
      <c r="K604" s="36"/>
      <c r="L604" s="36"/>
      <c r="M604" s="36"/>
      <c r="N604" s="36"/>
      <c r="O604" s="36"/>
      <c r="P604" s="36"/>
      <c r="Q604" s="36"/>
      <c r="R604" s="36"/>
      <c r="S604" s="36"/>
      <c r="T604" s="36"/>
    </row>
    <row r="605" spans="1:20" ht="15.75">
      <c r="A605" s="13">
        <v>59932</v>
      </c>
      <c r="B605" s="44">
        <f t="shared" si="0"/>
        <v>31</v>
      </c>
      <c r="C605" s="35">
        <v>122.58</v>
      </c>
      <c r="D605" s="35">
        <v>297.94099999999997</v>
      </c>
      <c r="E605" s="41">
        <v>729.47900000000004</v>
      </c>
      <c r="F605" s="35">
        <v>1150</v>
      </c>
      <c r="G605" s="35">
        <v>100</v>
      </c>
      <c r="H605" s="43">
        <v>600</v>
      </c>
      <c r="I605" s="35">
        <v>695</v>
      </c>
      <c r="J605" s="35">
        <v>50</v>
      </c>
      <c r="K605" s="36"/>
      <c r="L605" s="36"/>
      <c r="M605" s="36"/>
      <c r="N605" s="36"/>
      <c r="O605" s="36"/>
      <c r="P605" s="36"/>
      <c r="Q605" s="36"/>
      <c r="R605" s="36"/>
      <c r="S605" s="36"/>
      <c r="T605" s="36"/>
    </row>
    <row r="606" spans="1:20" ht="15.75">
      <c r="A606" s="13">
        <v>59961</v>
      </c>
      <c r="B606" s="44">
        <f t="shared" si="0"/>
        <v>29</v>
      </c>
      <c r="C606" s="35">
        <v>122.58</v>
      </c>
      <c r="D606" s="35">
        <v>297.94099999999997</v>
      </c>
      <c r="E606" s="41">
        <v>729.47900000000004</v>
      </c>
      <c r="F606" s="35">
        <v>1150</v>
      </c>
      <c r="G606" s="35">
        <v>100</v>
      </c>
      <c r="H606" s="43">
        <v>600</v>
      </c>
      <c r="I606" s="35">
        <v>695</v>
      </c>
      <c r="J606" s="35">
        <v>50</v>
      </c>
      <c r="K606" s="36"/>
      <c r="L606" s="36"/>
      <c r="M606" s="36"/>
      <c r="N606" s="36"/>
      <c r="O606" s="36"/>
      <c r="P606" s="36"/>
      <c r="Q606" s="36"/>
      <c r="R606" s="36"/>
      <c r="S606" s="36"/>
      <c r="T606" s="36"/>
    </row>
    <row r="607" spans="1:20" ht="15.75">
      <c r="A607" s="13">
        <v>59992</v>
      </c>
      <c r="B607" s="44">
        <f t="shared" si="0"/>
        <v>31</v>
      </c>
      <c r="C607" s="35">
        <v>122.58</v>
      </c>
      <c r="D607" s="35">
        <v>297.94099999999997</v>
      </c>
      <c r="E607" s="41">
        <v>729.47900000000004</v>
      </c>
      <c r="F607" s="35">
        <v>1150</v>
      </c>
      <c r="G607" s="35">
        <v>100</v>
      </c>
      <c r="H607" s="43">
        <v>600</v>
      </c>
      <c r="I607" s="35">
        <v>695</v>
      </c>
      <c r="J607" s="35">
        <v>50</v>
      </c>
      <c r="K607" s="36"/>
      <c r="L607" s="36"/>
      <c r="M607" s="36"/>
      <c r="N607" s="36"/>
      <c r="O607" s="36"/>
      <c r="P607" s="36"/>
      <c r="Q607" s="36"/>
      <c r="R607" s="36"/>
      <c r="S607" s="36"/>
      <c r="T607" s="36"/>
    </row>
    <row r="608" spans="1:20" ht="15.75">
      <c r="A608" s="13">
        <v>60022</v>
      </c>
      <c r="B608" s="44">
        <f t="shared" si="0"/>
        <v>30</v>
      </c>
      <c r="C608" s="35">
        <v>141.29300000000001</v>
      </c>
      <c r="D608" s="35">
        <v>267.99299999999999</v>
      </c>
      <c r="E608" s="41">
        <v>829.71400000000006</v>
      </c>
      <c r="F608" s="35">
        <v>1239</v>
      </c>
      <c r="G608" s="35">
        <v>100</v>
      </c>
      <c r="H608" s="43">
        <v>600</v>
      </c>
      <c r="I608" s="35">
        <v>695</v>
      </c>
      <c r="J608" s="35">
        <v>50</v>
      </c>
      <c r="K608" s="36"/>
      <c r="L608" s="36"/>
      <c r="M608" s="36"/>
      <c r="N608" s="36"/>
      <c r="O608" s="36"/>
      <c r="P608" s="36"/>
      <c r="Q608" s="36"/>
      <c r="R608" s="36"/>
      <c r="S608" s="36"/>
      <c r="T608" s="36"/>
    </row>
    <row r="609" spans="1:20" ht="15.75">
      <c r="A609" s="13">
        <v>60053</v>
      </c>
      <c r="B609" s="44">
        <f t="shared" si="0"/>
        <v>31</v>
      </c>
      <c r="C609" s="35">
        <v>194.20500000000001</v>
      </c>
      <c r="D609" s="35">
        <v>267.46600000000001</v>
      </c>
      <c r="E609" s="41">
        <v>812.32899999999995</v>
      </c>
      <c r="F609" s="35">
        <v>1274</v>
      </c>
      <c r="G609" s="35">
        <v>75</v>
      </c>
      <c r="H609" s="43">
        <v>600</v>
      </c>
      <c r="I609" s="35">
        <v>695</v>
      </c>
      <c r="J609" s="35">
        <v>50</v>
      </c>
      <c r="K609" s="36"/>
      <c r="L609" s="36"/>
      <c r="M609" s="36"/>
      <c r="N609" s="36"/>
      <c r="O609" s="36"/>
      <c r="P609" s="36"/>
      <c r="Q609" s="36"/>
      <c r="R609" s="36"/>
      <c r="S609" s="36"/>
      <c r="T609" s="36"/>
    </row>
    <row r="610" spans="1:20" ht="15.75">
      <c r="A610" s="13">
        <v>60083</v>
      </c>
      <c r="B610" s="44">
        <f t="shared" si="0"/>
        <v>30</v>
      </c>
      <c r="C610" s="35">
        <v>194.20500000000001</v>
      </c>
      <c r="D610" s="35">
        <v>267.46600000000001</v>
      </c>
      <c r="E610" s="41">
        <v>812.32899999999995</v>
      </c>
      <c r="F610" s="35">
        <v>1274</v>
      </c>
      <c r="G610" s="35">
        <v>50</v>
      </c>
      <c r="H610" s="43">
        <v>600</v>
      </c>
      <c r="I610" s="35">
        <v>695</v>
      </c>
      <c r="J610" s="35">
        <v>50</v>
      </c>
      <c r="K610" s="36"/>
      <c r="L610" s="36"/>
      <c r="M610" s="36"/>
      <c r="N610" s="36"/>
      <c r="O610" s="36"/>
      <c r="P610" s="36"/>
      <c r="Q610" s="36"/>
      <c r="R610" s="36"/>
      <c r="S610" s="36"/>
      <c r="T610" s="36"/>
    </row>
    <row r="611" spans="1:20" ht="15.75">
      <c r="A611" s="13">
        <v>60114</v>
      </c>
      <c r="B611" s="44">
        <f t="shared" si="0"/>
        <v>31</v>
      </c>
      <c r="C611" s="35">
        <v>194.20500000000001</v>
      </c>
      <c r="D611" s="35">
        <v>267.46600000000001</v>
      </c>
      <c r="E611" s="41">
        <v>812.32899999999995</v>
      </c>
      <c r="F611" s="35">
        <v>1274</v>
      </c>
      <c r="G611" s="35">
        <v>50</v>
      </c>
      <c r="H611" s="43">
        <v>600</v>
      </c>
      <c r="I611" s="35">
        <v>695</v>
      </c>
      <c r="J611" s="35">
        <v>0</v>
      </c>
      <c r="K611" s="36"/>
      <c r="L611" s="36"/>
      <c r="M611" s="36"/>
      <c r="N611" s="36"/>
      <c r="O611" s="36"/>
      <c r="P611" s="36"/>
      <c r="Q611" s="36"/>
      <c r="R611" s="36"/>
      <c r="S611" s="36"/>
      <c r="T611" s="36"/>
    </row>
    <row r="612" spans="1:20" ht="15.75">
      <c r="A612" s="13">
        <v>60145</v>
      </c>
      <c r="B612" s="44">
        <f t="shared" si="0"/>
        <v>31</v>
      </c>
      <c r="C612" s="35">
        <v>194.20500000000001</v>
      </c>
      <c r="D612" s="35">
        <v>267.46600000000001</v>
      </c>
      <c r="E612" s="41">
        <v>812.32899999999995</v>
      </c>
      <c r="F612" s="35">
        <v>1274</v>
      </c>
      <c r="G612" s="35">
        <v>50</v>
      </c>
      <c r="H612" s="43">
        <v>600</v>
      </c>
      <c r="I612" s="35">
        <v>695</v>
      </c>
      <c r="J612" s="35">
        <v>0</v>
      </c>
      <c r="K612" s="36"/>
      <c r="L612" s="36"/>
      <c r="M612" s="36"/>
      <c r="N612" s="36"/>
      <c r="O612" s="36"/>
      <c r="P612" s="36"/>
      <c r="Q612" s="36"/>
      <c r="R612" s="36"/>
      <c r="S612" s="36"/>
      <c r="T612" s="36"/>
    </row>
    <row r="613" spans="1:20" ht="15.75">
      <c r="A613" s="13">
        <v>60175</v>
      </c>
      <c r="B613" s="44">
        <f t="shared" si="0"/>
        <v>30</v>
      </c>
      <c r="C613" s="35">
        <v>194.20500000000001</v>
      </c>
      <c r="D613" s="35">
        <v>267.46600000000001</v>
      </c>
      <c r="E613" s="41">
        <v>812.32899999999995</v>
      </c>
      <c r="F613" s="35">
        <v>1274</v>
      </c>
      <c r="G613" s="35">
        <v>50</v>
      </c>
      <c r="H613" s="43">
        <v>600</v>
      </c>
      <c r="I613" s="35">
        <v>695</v>
      </c>
      <c r="J613" s="35">
        <v>0</v>
      </c>
      <c r="K613" s="36"/>
      <c r="L613" s="36"/>
      <c r="M613" s="36"/>
      <c r="N613" s="36"/>
      <c r="O613" s="36"/>
      <c r="P613" s="36"/>
      <c r="Q613" s="36"/>
      <c r="R613" s="36"/>
      <c r="S613" s="36"/>
      <c r="T613" s="36"/>
    </row>
    <row r="614" spans="1:20" ht="15.75">
      <c r="A614" s="13">
        <v>60206</v>
      </c>
      <c r="B614" s="44">
        <f t="shared" si="0"/>
        <v>31</v>
      </c>
      <c r="C614" s="35">
        <v>131.881</v>
      </c>
      <c r="D614" s="35">
        <v>277.16699999999997</v>
      </c>
      <c r="E614" s="41">
        <v>829.952</v>
      </c>
      <c r="F614" s="35">
        <v>1239</v>
      </c>
      <c r="G614" s="35">
        <v>75</v>
      </c>
      <c r="H614" s="43">
        <v>600</v>
      </c>
      <c r="I614" s="35">
        <v>695</v>
      </c>
      <c r="J614" s="35">
        <v>0</v>
      </c>
      <c r="K614" s="36"/>
      <c r="L614" s="36"/>
      <c r="M614" s="36"/>
      <c r="N614" s="36"/>
      <c r="O614" s="36"/>
      <c r="P614" s="36"/>
      <c r="Q614" s="36"/>
      <c r="R614" s="36"/>
      <c r="S614" s="36"/>
      <c r="T614" s="36"/>
    </row>
    <row r="615" spans="1:20" ht="15.75">
      <c r="A615" s="13">
        <v>60236</v>
      </c>
      <c r="B615" s="44">
        <f t="shared" si="0"/>
        <v>30</v>
      </c>
      <c r="C615" s="35">
        <v>122.58</v>
      </c>
      <c r="D615" s="35">
        <v>297.94099999999997</v>
      </c>
      <c r="E615" s="41">
        <v>729.47900000000004</v>
      </c>
      <c r="F615" s="35">
        <v>1150</v>
      </c>
      <c r="G615" s="35">
        <v>100</v>
      </c>
      <c r="H615" s="43">
        <v>600</v>
      </c>
      <c r="I615" s="35">
        <v>695</v>
      </c>
      <c r="J615" s="35">
        <v>50</v>
      </c>
      <c r="K615" s="36"/>
      <c r="L615" s="36"/>
      <c r="M615" s="36"/>
      <c r="N615" s="36"/>
      <c r="O615" s="36"/>
      <c r="P615" s="36"/>
      <c r="Q615" s="36"/>
      <c r="R615" s="36"/>
      <c r="S615" s="36"/>
      <c r="T615" s="36"/>
    </row>
    <row r="616" spans="1:20" ht="15.75">
      <c r="A616" s="13">
        <v>60267</v>
      </c>
      <c r="B616" s="44">
        <f t="shared" si="0"/>
        <v>31</v>
      </c>
      <c r="C616" s="35">
        <v>122.58</v>
      </c>
      <c r="D616" s="35">
        <v>297.94099999999997</v>
      </c>
      <c r="E616" s="41">
        <v>729.47900000000004</v>
      </c>
      <c r="F616" s="35">
        <v>1150</v>
      </c>
      <c r="G616" s="35">
        <v>100</v>
      </c>
      <c r="H616" s="43">
        <v>600</v>
      </c>
      <c r="I616" s="35">
        <v>695</v>
      </c>
      <c r="J616" s="35">
        <v>50</v>
      </c>
      <c r="K616" s="36"/>
      <c r="L616" s="36"/>
      <c r="M616" s="36"/>
      <c r="N616" s="36"/>
      <c r="O616" s="36"/>
      <c r="P616" s="36"/>
      <c r="Q616" s="36"/>
      <c r="R616" s="36"/>
      <c r="S616" s="36"/>
      <c r="T616" s="36"/>
    </row>
    <row r="617" spans="1:20" ht="15.75">
      <c r="A617" s="13">
        <v>60298</v>
      </c>
      <c r="B617" s="44">
        <f t="shared" si="0"/>
        <v>31</v>
      </c>
      <c r="C617" s="35">
        <v>122.58</v>
      </c>
      <c r="D617" s="35">
        <v>297.94099999999997</v>
      </c>
      <c r="E617" s="41">
        <v>729.47900000000004</v>
      </c>
      <c r="F617" s="35">
        <v>1150</v>
      </c>
      <c r="G617" s="35">
        <v>100</v>
      </c>
      <c r="H617" s="43">
        <v>600</v>
      </c>
      <c r="I617" s="35">
        <v>695</v>
      </c>
      <c r="J617" s="35">
        <v>50</v>
      </c>
      <c r="K617" s="36"/>
      <c r="L617" s="36"/>
      <c r="M617" s="36"/>
      <c r="N617" s="36"/>
      <c r="O617" s="36"/>
      <c r="P617" s="36"/>
      <c r="Q617" s="36"/>
      <c r="R617" s="36"/>
      <c r="S617" s="36"/>
      <c r="T617" s="36"/>
    </row>
    <row r="618" spans="1:20" ht="15.75">
      <c r="A618" s="13">
        <v>60326</v>
      </c>
      <c r="B618" s="44">
        <f t="shared" si="0"/>
        <v>28</v>
      </c>
      <c r="C618" s="35">
        <v>122.58</v>
      </c>
      <c r="D618" s="35">
        <v>297.94099999999997</v>
      </c>
      <c r="E618" s="41">
        <v>729.47900000000004</v>
      </c>
      <c r="F618" s="35">
        <v>1150</v>
      </c>
      <c r="G618" s="35">
        <v>100</v>
      </c>
      <c r="H618" s="43">
        <v>600</v>
      </c>
      <c r="I618" s="35">
        <v>695</v>
      </c>
      <c r="J618" s="35">
        <v>50</v>
      </c>
      <c r="K618" s="36"/>
      <c r="L618" s="36"/>
      <c r="M618" s="36"/>
      <c r="N618" s="36"/>
      <c r="O618" s="36"/>
      <c r="P618" s="36"/>
      <c r="Q618" s="36"/>
      <c r="R618" s="36"/>
      <c r="S618" s="36"/>
      <c r="T618" s="36"/>
    </row>
    <row r="619" spans="1:20" ht="15.75">
      <c r="A619" s="13">
        <v>60357</v>
      </c>
      <c r="B619" s="44">
        <f t="shared" si="0"/>
        <v>31</v>
      </c>
      <c r="C619" s="35">
        <v>122.58</v>
      </c>
      <c r="D619" s="35">
        <v>297.94099999999997</v>
      </c>
      <c r="E619" s="41">
        <v>729.47900000000004</v>
      </c>
      <c r="F619" s="35">
        <v>1150</v>
      </c>
      <c r="G619" s="35">
        <v>100</v>
      </c>
      <c r="H619" s="43">
        <v>600</v>
      </c>
      <c r="I619" s="35">
        <v>695</v>
      </c>
      <c r="J619" s="35">
        <v>50</v>
      </c>
      <c r="K619" s="36"/>
      <c r="L619" s="36"/>
      <c r="M619" s="36"/>
      <c r="N619" s="36"/>
      <c r="O619" s="36"/>
      <c r="P619" s="36"/>
      <c r="Q619" s="36"/>
      <c r="R619" s="36"/>
      <c r="S619" s="36"/>
      <c r="T619" s="36"/>
    </row>
    <row r="620" spans="1:20" ht="15.75">
      <c r="A620" s="13">
        <v>60387</v>
      </c>
      <c r="B620" s="44">
        <f t="shared" si="0"/>
        <v>30</v>
      </c>
      <c r="C620" s="35">
        <v>141.29300000000001</v>
      </c>
      <c r="D620" s="35">
        <v>267.99299999999999</v>
      </c>
      <c r="E620" s="41">
        <v>829.71400000000006</v>
      </c>
      <c r="F620" s="35">
        <v>1239</v>
      </c>
      <c r="G620" s="35">
        <v>100</v>
      </c>
      <c r="H620" s="43">
        <v>600</v>
      </c>
      <c r="I620" s="35">
        <v>695</v>
      </c>
      <c r="J620" s="35">
        <v>50</v>
      </c>
      <c r="K620" s="36"/>
      <c r="L620" s="36"/>
      <c r="M620" s="36"/>
      <c r="N620" s="36"/>
      <c r="O620" s="36"/>
      <c r="P620" s="36"/>
      <c r="Q620" s="36"/>
      <c r="R620" s="36"/>
      <c r="S620" s="36"/>
      <c r="T620" s="36"/>
    </row>
    <row r="621" spans="1:20" ht="15.75">
      <c r="A621" s="13">
        <v>60418</v>
      </c>
      <c r="B621" s="44">
        <f t="shared" si="0"/>
        <v>31</v>
      </c>
      <c r="C621" s="35">
        <v>194.20500000000001</v>
      </c>
      <c r="D621" s="35">
        <v>267.46600000000001</v>
      </c>
      <c r="E621" s="41">
        <v>812.32899999999995</v>
      </c>
      <c r="F621" s="35">
        <v>1274</v>
      </c>
      <c r="G621" s="35">
        <v>75</v>
      </c>
      <c r="H621" s="43">
        <v>600</v>
      </c>
      <c r="I621" s="35">
        <v>695</v>
      </c>
      <c r="J621" s="35">
        <v>50</v>
      </c>
      <c r="K621" s="36"/>
      <c r="L621" s="36"/>
      <c r="M621" s="36"/>
      <c r="N621" s="36"/>
      <c r="O621" s="36"/>
      <c r="P621" s="36"/>
      <c r="Q621" s="36"/>
      <c r="R621" s="36"/>
      <c r="S621" s="36"/>
      <c r="T621" s="36"/>
    </row>
    <row r="622" spans="1:20" ht="15.75">
      <c r="A622" s="13">
        <v>60448</v>
      </c>
      <c r="B622" s="44">
        <f t="shared" si="0"/>
        <v>30</v>
      </c>
      <c r="C622" s="35">
        <v>194.20500000000001</v>
      </c>
      <c r="D622" s="35">
        <v>267.46600000000001</v>
      </c>
      <c r="E622" s="41">
        <v>812.32899999999995</v>
      </c>
      <c r="F622" s="35">
        <v>1274</v>
      </c>
      <c r="G622" s="35">
        <v>50</v>
      </c>
      <c r="H622" s="43">
        <v>600</v>
      </c>
      <c r="I622" s="35">
        <v>695</v>
      </c>
      <c r="J622" s="35">
        <v>50</v>
      </c>
      <c r="K622" s="36"/>
      <c r="L622" s="36"/>
      <c r="M622" s="36"/>
      <c r="N622" s="36"/>
      <c r="O622" s="36"/>
      <c r="P622" s="36"/>
      <c r="Q622" s="36"/>
      <c r="R622" s="36"/>
      <c r="S622" s="36"/>
      <c r="T622" s="36"/>
    </row>
    <row r="623" spans="1:20" ht="15.75">
      <c r="A623" s="13">
        <v>60479</v>
      </c>
      <c r="B623" s="44">
        <f t="shared" si="0"/>
        <v>31</v>
      </c>
      <c r="C623" s="35">
        <v>194.20500000000001</v>
      </c>
      <c r="D623" s="35">
        <v>267.46600000000001</v>
      </c>
      <c r="E623" s="41">
        <v>812.32899999999995</v>
      </c>
      <c r="F623" s="35">
        <v>1274</v>
      </c>
      <c r="G623" s="35">
        <v>50</v>
      </c>
      <c r="H623" s="43">
        <v>600</v>
      </c>
      <c r="I623" s="35">
        <v>695</v>
      </c>
      <c r="J623" s="35">
        <v>0</v>
      </c>
      <c r="K623" s="36"/>
      <c r="L623" s="36"/>
      <c r="M623" s="36"/>
      <c r="N623" s="36"/>
      <c r="O623" s="36"/>
      <c r="P623" s="36"/>
      <c r="Q623" s="36"/>
      <c r="R623" s="36"/>
      <c r="S623" s="36"/>
      <c r="T623" s="36"/>
    </row>
    <row r="624" spans="1:20" ht="15.75">
      <c r="A624" s="13">
        <v>60510</v>
      </c>
      <c r="B624" s="44">
        <f t="shared" si="0"/>
        <v>31</v>
      </c>
      <c r="C624" s="35">
        <v>194.20500000000001</v>
      </c>
      <c r="D624" s="35">
        <v>267.46600000000001</v>
      </c>
      <c r="E624" s="41">
        <v>812.32899999999995</v>
      </c>
      <c r="F624" s="35">
        <v>1274</v>
      </c>
      <c r="G624" s="35">
        <v>50</v>
      </c>
      <c r="H624" s="43">
        <v>600</v>
      </c>
      <c r="I624" s="35">
        <v>695</v>
      </c>
      <c r="J624" s="35">
        <v>0</v>
      </c>
      <c r="K624" s="36"/>
      <c r="L624" s="36"/>
      <c r="M624" s="36"/>
      <c r="N624" s="36"/>
      <c r="O624" s="36"/>
      <c r="P624" s="36"/>
      <c r="Q624" s="36"/>
      <c r="R624" s="36"/>
      <c r="S624" s="36"/>
      <c r="T624" s="36"/>
    </row>
    <row r="625" spans="1:20" ht="15.75">
      <c r="A625" s="13">
        <v>60540</v>
      </c>
      <c r="B625" s="44">
        <f t="shared" si="0"/>
        <v>30</v>
      </c>
      <c r="C625" s="35">
        <v>194.20500000000001</v>
      </c>
      <c r="D625" s="35">
        <v>267.46600000000001</v>
      </c>
      <c r="E625" s="41">
        <v>812.32899999999995</v>
      </c>
      <c r="F625" s="35">
        <v>1274</v>
      </c>
      <c r="G625" s="35">
        <v>50</v>
      </c>
      <c r="H625" s="43">
        <v>600</v>
      </c>
      <c r="I625" s="35">
        <v>695</v>
      </c>
      <c r="J625" s="35">
        <v>0</v>
      </c>
      <c r="K625" s="36"/>
      <c r="L625" s="36"/>
      <c r="M625" s="36"/>
      <c r="N625" s="36"/>
      <c r="O625" s="36"/>
      <c r="P625" s="36"/>
      <c r="Q625" s="36"/>
      <c r="R625" s="36"/>
      <c r="S625" s="36"/>
      <c r="T625" s="36"/>
    </row>
    <row r="626" spans="1:20" ht="15.75">
      <c r="A626" s="13">
        <v>60571</v>
      </c>
      <c r="B626" s="44">
        <f t="shared" si="0"/>
        <v>31</v>
      </c>
      <c r="C626" s="35">
        <v>131.881</v>
      </c>
      <c r="D626" s="35">
        <v>277.16699999999997</v>
      </c>
      <c r="E626" s="41">
        <v>829.952</v>
      </c>
      <c r="F626" s="35">
        <v>1239</v>
      </c>
      <c r="G626" s="35">
        <v>75</v>
      </c>
      <c r="H626" s="43">
        <v>600</v>
      </c>
      <c r="I626" s="35">
        <v>695</v>
      </c>
      <c r="J626" s="35">
        <v>0</v>
      </c>
      <c r="K626" s="36"/>
      <c r="L626" s="36"/>
      <c r="M626" s="36"/>
      <c r="N626" s="36"/>
      <c r="O626" s="36"/>
      <c r="P626" s="36"/>
      <c r="Q626" s="36"/>
      <c r="R626" s="36"/>
      <c r="S626" s="36"/>
      <c r="T626" s="36"/>
    </row>
    <row r="627" spans="1:20" ht="15.75">
      <c r="A627" s="13">
        <v>60601</v>
      </c>
      <c r="B627" s="44">
        <f t="shared" si="0"/>
        <v>30</v>
      </c>
      <c r="C627" s="35">
        <v>122.58</v>
      </c>
      <c r="D627" s="35">
        <v>297.94099999999997</v>
      </c>
      <c r="E627" s="41">
        <v>729.47900000000004</v>
      </c>
      <c r="F627" s="35">
        <v>1150</v>
      </c>
      <c r="G627" s="35">
        <v>100</v>
      </c>
      <c r="H627" s="43">
        <v>600</v>
      </c>
      <c r="I627" s="35">
        <v>695</v>
      </c>
      <c r="J627" s="35">
        <v>50</v>
      </c>
      <c r="K627" s="36"/>
      <c r="L627" s="36"/>
      <c r="M627" s="36"/>
      <c r="N627" s="36"/>
      <c r="O627" s="36"/>
      <c r="P627" s="36"/>
      <c r="Q627" s="36"/>
      <c r="R627" s="36"/>
      <c r="S627" s="36"/>
      <c r="T627" s="36"/>
    </row>
    <row r="628" spans="1:20" ht="15.75">
      <c r="A628" s="13">
        <v>60632</v>
      </c>
      <c r="B628" s="44">
        <f t="shared" si="0"/>
        <v>31</v>
      </c>
      <c r="C628" s="35">
        <v>122.58</v>
      </c>
      <c r="D628" s="35">
        <v>297.94099999999997</v>
      </c>
      <c r="E628" s="41">
        <v>729.47900000000004</v>
      </c>
      <c r="F628" s="35">
        <v>1150</v>
      </c>
      <c r="G628" s="35">
        <v>100</v>
      </c>
      <c r="H628" s="43">
        <v>600</v>
      </c>
      <c r="I628" s="35">
        <v>695</v>
      </c>
      <c r="J628" s="35">
        <v>50</v>
      </c>
      <c r="K628" s="36"/>
      <c r="L628" s="36"/>
      <c r="M628" s="36"/>
      <c r="N628" s="36"/>
      <c r="O628" s="36"/>
      <c r="P628" s="36"/>
      <c r="Q628" s="36"/>
      <c r="R628" s="36"/>
      <c r="S628" s="36"/>
      <c r="T628" s="36"/>
    </row>
    <row r="629" spans="1:20" ht="15.75">
      <c r="A629" s="13">
        <v>60663</v>
      </c>
      <c r="B629" s="44">
        <f t="shared" si="0"/>
        <v>31</v>
      </c>
      <c r="C629" s="35">
        <v>122.58</v>
      </c>
      <c r="D629" s="35">
        <v>297.94099999999997</v>
      </c>
      <c r="E629" s="41">
        <v>729.47900000000004</v>
      </c>
      <c r="F629" s="35">
        <v>1150</v>
      </c>
      <c r="G629" s="35">
        <v>100</v>
      </c>
      <c r="H629" s="43">
        <v>600</v>
      </c>
      <c r="I629" s="35">
        <v>695</v>
      </c>
      <c r="J629" s="35">
        <v>50</v>
      </c>
      <c r="K629" s="36"/>
      <c r="L629" s="36"/>
      <c r="M629" s="36"/>
      <c r="N629" s="36"/>
      <c r="O629" s="36"/>
      <c r="P629" s="36"/>
      <c r="Q629" s="36"/>
      <c r="R629" s="36"/>
      <c r="S629" s="36"/>
      <c r="T629" s="36"/>
    </row>
    <row r="630" spans="1:20" ht="15.75">
      <c r="A630" s="13">
        <v>60691</v>
      </c>
      <c r="B630" s="44">
        <f t="shared" si="0"/>
        <v>28</v>
      </c>
      <c r="C630" s="35">
        <v>122.58</v>
      </c>
      <c r="D630" s="35">
        <v>297.94099999999997</v>
      </c>
      <c r="E630" s="41">
        <v>729.47900000000004</v>
      </c>
      <c r="F630" s="35">
        <v>1150</v>
      </c>
      <c r="G630" s="35">
        <v>100</v>
      </c>
      <c r="H630" s="43">
        <v>600</v>
      </c>
      <c r="I630" s="35">
        <v>695</v>
      </c>
      <c r="J630" s="35">
        <v>50</v>
      </c>
      <c r="K630" s="36"/>
      <c r="L630" s="36"/>
      <c r="M630" s="36"/>
      <c r="N630" s="36"/>
      <c r="O630" s="36"/>
      <c r="P630" s="36"/>
      <c r="Q630" s="36"/>
      <c r="R630" s="36"/>
      <c r="S630" s="36"/>
      <c r="T630" s="36"/>
    </row>
    <row r="631" spans="1:20" ht="15.75">
      <c r="A631" s="13">
        <v>60722</v>
      </c>
      <c r="B631" s="44">
        <f t="shared" si="0"/>
        <v>31</v>
      </c>
      <c r="C631" s="35">
        <v>122.58</v>
      </c>
      <c r="D631" s="35">
        <v>297.94099999999997</v>
      </c>
      <c r="E631" s="41">
        <v>729.47900000000004</v>
      </c>
      <c r="F631" s="35">
        <v>1150</v>
      </c>
      <c r="G631" s="35">
        <v>100</v>
      </c>
      <c r="H631" s="43">
        <v>600</v>
      </c>
      <c r="I631" s="35">
        <v>695</v>
      </c>
      <c r="J631" s="35">
        <v>50</v>
      </c>
      <c r="K631" s="36"/>
      <c r="L631" s="36"/>
      <c r="M631" s="36"/>
      <c r="N631" s="36"/>
      <c r="O631" s="36"/>
      <c r="P631" s="36"/>
      <c r="Q631" s="36"/>
      <c r="R631" s="36"/>
      <c r="S631" s="36"/>
      <c r="T631" s="36"/>
    </row>
    <row r="632" spans="1:20" ht="15.75">
      <c r="A632" s="13">
        <v>60752</v>
      </c>
      <c r="B632" s="44">
        <f t="shared" si="0"/>
        <v>30</v>
      </c>
      <c r="C632" s="35">
        <v>141.29300000000001</v>
      </c>
      <c r="D632" s="35">
        <v>267.99299999999999</v>
      </c>
      <c r="E632" s="41">
        <v>829.71400000000006</v>
      </c>
      <c r="F632" s="35">
        <v>1239</v>
      </c>
      <c r="G632" s="35">
        <v>100</v>
      </c>
      <c r="H632" s="43">
        <v>600</v>
      </c>
      <c r="I632" s="35">
        <v>695</v>
      </c>
      <c r="J632" s="35">
        <v>50</v>
      </c>
      <c r="K632" s="36"/>
      <c r="L632" s="36"/>
      <c r="M632" s="36"/>
      <c r="N632" s="36"/>
      <c r="O632" s="36"/>
      <c r="P632" s="36"/>
      <c r="Q632" s="36"/>
      <c r="R632" s="36"/>
      <c r="S632" s="36"/>
      <c r="T632" s="36"/>
    </row>
    <row r="633" spans="1:20" ht="15.75">
      <c r="A633" s="13">
        <v>60783</v>
      </c>
      <c r="B633" s="44">
        <f t="shared" si="0"/>
        <v>31</v>
      </c>
      <c r="C633" s="35">
        <v>194.20500000000001</v>
      </c>
      <c r="D633" s="35">
        <v>267.46600000000001</v>
      </c>
      <c r="E633" s="41">
        <v>812.32899999999995</v>
      </c>
      <c r="F633" s="35">
        <v>1274</v>
      </c>
      <c r="G633" s="35">
        <v>75</v>
      </c>
      <c r="H633" s="43">
        <v>600</v>
      </c>
      <c r="I633" s="35">
        <v>695</v>
      </c>
      <c r="J633" s="35">
        <v>50</v>
      </c>
      <c r="K633" s="36"/>
      <c r="L633" s="36"/>
      <c r="M633" s="36"/>
      <c r="N633" s="36"/>
      <c r="O633" s="36"/>
      <c r="P633" s="36"/>
      <c r="Q633" s="36"/>
      <c r="R633" s="36"/>
      <c r="S633" s="36"/>
      <c r="T633" s="36"/>
    </row>
    <row r="634" spans="1:20" ht="15.75">
      <c r="A634" s="13">
        <v>60813</v>
      </c>
      <c r="B634" s="44">
        <f t="shared" si="0"/>
        <v>30</v>
      </c>
      <c r="C634" s="35">
        <v>194.20500000000001</v>
      </c>
      <c r="D634" s="35">
        <v>267.46600000000001</v>
      </c>
      <c r="E634" s="41">
        <v>812.32899999999995</v>
      </c>
      <c r="F634" s="35">
        <v>1274</v>
      </c>
      <c r="G634" s="35">
        <v>50</v>
      </c>
      <c r="H634" s="43">
        <v>600</v>
      </c>
      <c r="I634" s="35">
        <v>695</v>
      </c>
      <c r="J634" s="35">
        <v>50</v>
      </c>
      <c r="K634" s="36"/>
      <c r="L634" s="36"/>
      <c r="M634" s="36"/>
      <c r="N634" s="36"/>
      <c r="O634" s="36"/>
      <c r="P634" s="36"/>
      <c r="Q634" s="36"/>
      <c r="R634" s="36"/>
      <c r="S634" s="36"/>
      <c r="T634" s="36"/>
    </row>
    <row r="635" spans="1:20" ht="15.75">
      <c r="A635" s="13">
        <v>60844</v>
      </c>
      <c r="B635" s="44">
        <f t="shared" si="0"/>
        <v>31</v>
      </c>
      <c r="C635" s="35">
        <v>194.20500000000001</v>
      </c>
      <c r="D635" s="35">
        <v>267.46600000000001</v>
      </c>
      <c r="E635" s="41">
        <v>812.32899999999995</v>
      </c>
      <c r="F635" s="35">
        <v>1274</v>
      </c>
      <c r="G635" s="35">
        <v>50</v>
      </c>
      <c r="H635" s="43">
        <v>600</v>
      </c>
      <c r="I635" s="35">
        <v>695</v>
      </c>
      <c r="J635" s="35">
        <v>0</v>
      </c>
      <c r="K635" s="36"/>
      <c r="L635" s="36"/>
      <c r="M635" s="36"/>
      <c r="N635" s="36"/>
      <c r="O635" s="36"/>
      <c r="P635" s="36"/>
      <c r="Q635" s="36"/>
      <c r="R635" s="36"/>
      <c r="S635" s="36"/>
      <c r="T635" s="36"/>
    </row>
    <row r="636" spans="1:20" ht="15.75">
      <c r="A636" s="13">
        <v>60875</v>
      </c>
      <c r="B636" s="44">
        <f t="shared" si="0"/>
        <v>31</v>
      </c>
      <c r="C636" s="35">
        <v>194.20500000000001</v>
      </c>
      <c r="D636" s="35">
        <v>267.46600000000001</v>
      </c>
      <c r="E636" s="41">
        <v>812.32899999999995</v>
      </c>
      <c r="F636" s="35">
        <v>1274</v>
      </c>
      <c r="G636" s="35">
        <v>50</v>
      </c>
      <c r="H636" s="43">
        <v>600</v>
      </c>
      <c r="I636" s="35">
        <v>695</v>
      </c>
      <c r="J636" s="35">
        <v>0</v>
      </c>
      <c r="K636" s="36"/>
      <c r="L636" s="36"/>
      <c r="M636" s="36"/>
      <c r="N636" s="36"/>
      <c r="O636" s="36"/>
      <c r="P636" s="36"/>
      <c r="Q636" s="36"/>
      <c r="R636" s="36"/>
      <c r="S636" s="36"/>
      <c r="T636" s="36"/>
    </row>
    <row r="637" spans="1:20" ht="15.75">
      <c r="A637" s="13">
        <v>60905</v>
      </c>
      <c r="B637" s="44">
        <f t="shared" si="0"/>
        <v>30</v>
      </c>
      <c r="C637" s="35">
        <v>194.20500000000001</v>
      </c>
      <c r="D637" s="35">
        <v>267.46600000000001</v>
      </c>
      <c r="E637" s="41">
        <v>812.32899999999995</v>
      </c>
      <c r="F637" s="35">
        <v>1274</v>
      </c>
      <c r="G637" s="35">
        <v>50</v>
      </c>
      <c r="H637" s="43">
        <v>600</v>
      </c>
      <c r="I637" s="35">
        <v>695</v>
      </c>
      <c r="J637" s="35">
        <v>0</v>
      </c>
      <c r="K637" s="36"/>
      <c r="L637" s="36"/>
      <c r="M637" s="36"/>
      <c r="N637" s="36"/>
      <c r="O637" s="36"/>
      <c r="P637" s="36"/>
      <c r="Q637" s="36"/>
      <c r="R637" s="36"/>
      <c r="S637" s="36"/>
      <c r="T637" s="36"/>
    </row>
    <row r="638" spans="1:20" ht="15.75">
      <c r="A638" s="13">
        <v>60936</v>
      </c>
      <c r="B638" s="44">
        <f t="shared" si="0"/>
        <v>31</v>
      </c>
      <c r="C638" s="35">
        <v>131.881</v>
      </c>
      <c r="D638" s="35">
        <v>277.16699999999997</v>
      </c>
      <c r="E638" s="41">
        <v>829.952</v>
      </c>
      <c r="F638" s="35">
        <v>1239</v>
      </c>
      <c r="G638" s="35">
        <v>75</v>
      </c>
      <c r="H638" s="43">
        <v>600</v>
      </c>
      <c r="I638" s="35">
        <v>695</v>
      </c>
      <c r="J638" s="35">
        <v>0</v>
      </c>
      <c r="K638" s="36"/>
      <c r="L638" s="36"/>
      <c r="M638" s="36"/>
      <c r="N638" s="36"/>
      <c r="O638" s="36"/>
      <c r="P638" s="36"/>
      <c r="Q638" s="36"/>
      <c r="R638" s="36"/>
      <c r="S638" s="36"/>
      <c r="T638" s="36"/>
    </row>
    <row r="639" spans="1:20" ht="15.75">
      <c r="A639" s="13">
        <v>60966</v>
      </c>
      <c r="B639" s="44">
        <f t="shared" si="0"/>
        <v>30</v>
      </c>
      <c r="C639" s="35">
        <v>122.58</v>
      </c>
      <c r="D639" s="35">
        <v>297.94099999999997</v>
      </c>
      <c r="E639" s="41">
        <v>729.47900000000004</v>
      </c>
      <c r="F639" s="35">
        <v>1150</v>
      </c>
      <c r="G639" s="35">
        <v>100</v>
      </c>
      <c r="H639" s="43">
        <v>600</v>
      </c>
      <c r="I639" s="35">
        <v>695</v>
      </c>
      <c r="J639" s="35">
        <v>50</v>
      </c>
      <c r="K639" s="36"/>
      <c r="L639" s="36"/>
      <c r="M639" s="36"/>
      <c r="N639" s="36"/>
      <c r="O639" s="36"/>
      <c r="P639" s="36"/>
      <c r="Q639" s="36"/>
      <c r="R639" s="36"/>
      <c r="S639" s="36"/>
      <c r="T639" s="36"/>
    </row>
    <row r="640" spans="1:20" ht="15.75">
      <c r="A640" s="13">
        <v>60997</v>
      </c>
      <c r="B640" s="44">
        <f t="shared" si="0"/>
        <v>31</v>
      </c>
      <c r="C640" s="35">
        <v>122.58</v>
      </c>
      <c r="D640" s="35">
        <v>297.94099999999997</v>
      </c>
      <c r="E640" s="41">
        <v>729.47900000000004</v>
      </c>
      <c r="F640" s="35">
        <v>1150</v>
      </c>
      <c r="G640" s="35">
        <v>100</v>
      </c>
      <c r="H640" s="43">
        <v>600</v>
      </c>
      <c r="I640" s="35">
        <v>695</v>
      </c>
      <c r="J640" s="35">
        <v>50</v>
      </c>
      <c r="K640" s="36"/>
      <c r="L640" s="36"/>
      <c r="M640" s="36"/>
      <c r="N640" s="36"/>
      <c r="O640" s="36"/>
      <c r="P640" s="36"/>
      <c r="Q640" s="36"/>
      <c r="R640" s="36"/>
      <c r="S640" s="36"/>
      <c r="T640" s="36"/>
    </row>
    <row r="641" spans="1:20" ht="15.75">
      <c r="A641" s="13">
        <v>61028</v>
      </c>
      <c r="B641" s="44">
        <f t="shared" si="0"/>
        <v>31</v>
      </c>
      <c r="C641" s="35">
        <v>122.58</v>
      </c>
      <c r="D641" s="35">
        <v>297.94099999999997</v>
      </c>
      <c r="E641" s="41">
        <v>729.47900000000004</v>
      </c>
      <c r="F641" s="35">
        <v>1150</v>
      </c>
      <c r="G641" s="35">
        <v>100</v>
      </c>
      <c r="H641" s="43">
        <v>600</v>
      </c>
      <c r="I641" s="35">
        <v>695</v>
      </c>
      <c r="J641" s="35">
        <v>50</v>
      </c>
      <c r="K641" s="36"/>
      <c r="L641" s="36"/>
      <c r="M641" s="36"/>
      <c r="N641" s="36"/>
      <c r="O641" s="36"/>
      <c r="P641" s="36"/>
      <c r="Q641" s="36"/>
      <c r="R641" s="36"/>
      <c r="S641" s="36"/>
      <c r="T641" s="36"/>
    </row>
    <row r="642" spans="1:20" ht="15.75">
      <c r="A642" s="13">
        <v>61056</v>
      </c>
      <c r="B642" s="44">
        <f t="shared" si="0"/>
        <v>28</v>
      </c>
      <c r="C642" s="35">
        <v>122.58</v>
      </c>
      <c r="D642" s="35">
        <v>297.94099999999997</v>
      </c>
      <c r="E642" s="41">
        <v>729.47900000000004</v>
      </c>
      <c r="F642" s="35">
        <v>1150</v>
      </c>
      <c r="G642" s="35">
        <v>100</v>
      </c>
      <c r="H642" s="43">
        <v>600</v>
      </c>
      <c r="I642" s="35">
        <v>695</v>
      </c>
      <c r="J642" s="35">
        <v>50</v>
      </c>
      <c r="K642" s="36"/>
      <c r="L642" s="36"/>
      <c r="M642" s="36"/>
      <c r="N642" s="36"/>
      <c r="O642" s="36"/>
      <c r="P642" s="36"/>
      <c r="Q642" s="36"/>
      <c r="R642" s="36"/>
      <c r="S642" s="36"/>
      <c r="T642" s="36"/>
    </row>
    <row r="643" spans="1:20" ht="15.75">
      <c r="A643" s="13">
        <v>61087</v>
      </c>
      <c r="B643" s="44">
        <f t="shared" si="0"/>
        <v>31</v>
      </c>
      <c r="C643" s="35">
        <v>122.58</v>
      </c>
      <c r="D643" s="35">
        <v>297.94099999999997</v>
      </c>
      <c r="E643" s="41">
        <v>729.47900000000004</v>
      </c>
      <c r="F643" s="35">
        <v>1150</v>
      </c>
      <c r="G643" s="35">
        <v>100</v>
      </c>
      <c r="H643" s="43">
        <v>600</v>
      </c>
      <c r="I643" s="35">
        <v>695</v>
      </c>
      <c r="J643" s="35">
        <v>50</v>
      </c>
      <c r="K643" s="36"/>
      <c r="L643" s="36"/>
      <c r="M643" s="36"/>
      <c r="N643" s="36"/>
      <c r="O643" s="36"/>
      <c r="P643" s="36"/>
      <c r="Q643" s="36"/>
      <c r="R643" s="36"/>
      <c r="S643" s="36"/>
      <c r="T643" s="36"/>
    </row>
    <row r="644" spans="1:20" ht="15.75">
      <c r="A644" s="13">
        <v>61117</v>
      </c>
      <c r="B644" s="44">
        <f t="shared" si="0"/>
        <v>30</v>
      </c>
      <c r="C644" s="35">
        <v>141.29300000000001</v>
      </c>
      <c r="D644" s="35">
        <v>267.99299999999999</v>
      </c>
      <c r="E644" s="41">
        <v>829.71400000000006</v>
      </c>
      <c r="F644" s="35">
        <v>1239</v>
      </c>
      <c r="G644" s="35">
        <v>100</v>
      </c>
      <c r="H644" s="43">
        <v>600</v>
      </c>
      <c r="I644" s="35">
        <v>695</v>
      </c>
      <c r="J644" s="35">
        <v>50</v>
      </c>
      <c r="K644" s="36"/>
      <c r="L644" s="36"/>
      <c r="M644" s="36"/>
      <c r="N644" s="36"/>
      <c r="O644" s="36"/>
      <c r="P644" s="36"/>
      <c r="Q644" s="36"/>
      <c r="R644" s="36"/>
      <c r="S644" s="36"/>
      <c r="T644" s="36"/>
    </row>
    <row r="645" spans="1:20" ht="15.75">
      <c r="A645" s="13">
        <v>61148</v>
      </c>
      <c r="B645" s="44">
        <f t="shared" ref="B645:B708" si="1">EOMONTH(A645,0)-EOMONTH(A645,-1)</f>
        <v>31</v>
      </c>
      <c r="C645" s="35">
        <v>194.20500000000001</v>
      </c>
      <c r="D645" s="35">
        <v>267.46600000000001</v>
      </c>
      <c r="E645" s="41">
        <v>812.32899999999995</v>
      </c>
      <c r="F645" s="35">
        <v>1274</v>
      </c>
      <c r="G645" s="35">
        <v>75</v>
      </c>
      <c r="H645" s="43">
        <v>600</v>
      </c>
      <c r="I645" s="35">
        <v>695</v>
      </c>
      <c r="J645" s="35">
        <v>50</v>
      </c>
      <c r="K645" s="36"/>
      <c r="L645" s="36"/>
      <c r="M645" s="36"/>
      <c r="N645" s="36"/>
      <c r="O645" s="36"/>
      <c r="P645" s="36"/>
      <c r="Q645" s="36"/>
      <c r="R645" s="36"/>
      <c r="S645" s="36"/>
      <c r="T645" s="36"/>
    </row>
    <row r="646" spans="1:20" ht="15.75">
      <c r="A646" s="13">
        <v>61178</v>
      </c>
      <c r="B646" s="44">
        <f t="shared" si="1"/>
        <v>30</v>
      </c>
      <c r="C646" s="35">
        <v>194.20500000000001</v>
      </c>
      <c r="D646" s="35">
        <v>267.46600000000001</v>
      </c>
      <c r="E646" s="41">
        <v>812.32899999999995</v>
      </c>
      <c r="F646" s="35">
        <v>1274</v>
      </c>
      <c r="G646" s="35">
        <v>50</v>
      </c>
      <c r="H646" s="43">
        <v>600</v>
      </c>
      <c r="I646" s="35">
        <v>695</v>
      </c>
      <c r="J646" s="35">
        <v>50</v>
      </c>
      <c r="K646" s="36"/>
      <c r="L646" s="36"/>
      <c r="M646" s="36"/>
      <c r="N646" s="36"/>
      <c r="O646" s="36"/>
      <c r="P646" s="36"/>
      <c r="Q646" s="36"/>
      <c r="R646" s="36"/>
      <c r="S646" s="36"/>
      <c r="T646" s="36"/>
    </row>
    <row r="647" spans="1:20" ht="15.75">
      <c r="A647" s="13">
        <v>61209</v>
      </c>
      <c r="B647" s="44">
        <f t="shared" si="1"/>
        <v>31</v>
      </c>
      <c r="C647" s="35">
        <v>194.20500000000001</v>
      </c>
      <c r="D647" s="35">
        <v>267.46600000000001</v>
      </c>
      <c r="E647" s="41">
        <v>812.32899999999995</v>
      </c>
      <c r="F647" s="35">
        <v>1274</v>
      </c>
      <c r="G647" s="35">
        <v>50</v>
      </c>
      <c r="H647" s="43">
        <v>600</v>
      </c>
      <c r="I647" s="35">
        <v>695</v>
      </c>
      <c r="J647" s="35">
        <v>0</v>
      </c>
      <c r="K647" s="36"/>
      <c r="L647" s="36"/>
      <c r="M647" s="36"/>
      <c r="N647" s="36"/>
      <c r="O647" s="36"/>
      <c r="P647" s="36"/>
      <c r="Q647" s="36"/>
      <c r="R647" s="36"/>
      <c r="S647" s="36"/>
      <c r="T647" s="36"/>
    </row>
    <row r="648" spans="1:20" ht="15.75">
      <c r="A648" s="13">
        <v>61240</v>
      </c>
      <c r="B648" s="44">
        <f t="shared" si="1"/>
        <v>31</v>
      </c>
      <c r="C648" s="35">
        <v>194.20500000000001</v>
      </c>
      <c r="D648" s="35">
        <v>267.46600000000001</v>
      </c>
      <c r="E648" s="41">
        <v>812.32899999999995</v>
      </c>
      <c r="F648" s="35">
        <v>1274</v>
      </c>
      <c r="G648" s="35">
        <v>50</v>
      </c>
      <c r="H648" s="43">
        <v>600</v>
      </c>
      <c r="I648" s="35">
        <v>695</v>
      </c>
      <c r="J648" s="35">
        <v>0</v>
      </c>
      <c r="K648" s="36"/>
      <c r="L648" s="36"/>
      <c r="M648" s="36"/>
      <c r="N648" s="36"/>
      <c r="O648" s="36"/>
      <c r="P648" s="36"/>
      <c r="Q648" s="36"/>
      <c r="R648" s="36"/>
      <c r="S648" s="36"/>
      <c r="T648" s="36"/>
    </row>
    <row r="649" spans="1:20" ht="15.75">
      <c r="A649" s="13">
        <v>61270</v>
      </c>
      <c r="B649" s="44">
        <f t="shared" si="1"/>
        <v>30</v>
      </c>
      <c r="C649" s="35">
        <v>194.20500000000001</v>
      </c>
      <c r="D649" s="35">
        <v>267.46600000000001</v>
      </c>
      <c r="E649" s="41">
        <v>812.32899999999995</v>
      </c>
      <c r="F649" s="35">
        <v>1274</v>
      </c>
      <c r="G649" s="35">
        <v>50</v>
      </c>
      <c r="H649" s="43">
        <v>600</v>
      </c>
      <c r="I649" s="35">
        <v>695</v>
      </c>
      <c r="J649" s="35">
        <v>0</v>
      </c>
      <c r="K649" s="36"/>
      <c r="L649" s="36"/>
      <c r="M649" s="36"/>
      <c r="N649" s="36"/>
      <c r="O649" s="36"/>
      <c r="P649" s="36"/>
      <c r="Q649" s="36"/>
      <c r="R649" s="36"/>
      <c r="S649" s="36"/>
      <c r="T649" s="36"/>
    </row>
    <row r="650" spans="1:20" ht="15.75">
      <c r="A650" s="13">
        <v>61301</v>
      </c>
      <c r="B650" s="44">
        <f t="shared" si="1"/>
        <v>31</v>
      </c>
      <c r="C650" s="35">
        <v>131.881</v>
      </c>
      <c r="D650" s="35">
        <v>277.16699999999997</v>
      </c>
      <c r="E650" s="41">
        <v>829.952</v>
      </c>
      <c r="F650" s="35">
        <v>1239</v>
      </c>
      <c r="G650" s="35">
        <v>75</v>
      </c>
      <c r="H650" s="43">
        <v>600</v>
      </c>
      <c r="I650" s="35">
        <v>695</v>
      </c>
      <c r="J650" s="35">
        <v>0</v>
      </c>
      <c r="K650" s="36"/>
      <c r="L650" s="36"/>
      <c r="M650" s="36"/>
      <c r="N650" s="36"/>
      <c r="O650" s="36"/>
      <c r="P650" s="36"/>
      <c r="Q650" s="36"/>
      <c r="R650" s="36"/>
      <c r="S650" s="36"/>
      <c r="T650" s="36"/>
    </row>
    <row r="651" spans="1:20" ht="15.75">
      <c r="A651" s="13">
        <v>61331</v>
      </c>
      <c r="B651" s="44">
        <f t="shared" si="1"/>
        <v>30</v>
      </c>
      <c r="C651" s="35">
        <v>122.58</v>
      </c>
      <c r="D651" s="35">
        <v>297.94099999999997</v>
      </c>
      <c r="E651" s="41">
        <v>729.47900000000004</v>
      </c>
      <c r="F651" s="35">
        <v>1150</v>
      </c>
      <c r="G651" s="35">
        <v>100</v>
      </c>
      <c r="H651" s="43">
        <v>600</v>
      </c>
      <c r="I651" s="35">
        <v>695</v>
      </c>
      <c r="J651" s="35">
        <v>50</v>
      </c>
      <c r="K651" s="36"/>
      <c r="L651" s="36"/>
      <c r="M651" s="36"/>
      <c r="N651" s="36"/>
      <c r="O651" s="36"/>
      <c r="P651" s="36"/>
      <c r="Q651" s="36"/>
      <c r="R651" s="36"/>
      <c r="S651" s="36"/>
      <c r="T651" s="36"/>
    </row>
    <row r="652" spans="1:20" ht="15.75">
      <c r="A652" s="13">
        <v>61362</v>
      </c>
      <c r="B652" s="44">
        <f t="shared" si="1"/>
        <v>31</v>
      </c>
      <c r="C652" s="35">
        <v>122.58</v>
      </c>
      <c r="D652" s="35">
        <v>297.94099999999997</v>
      </c>
      <c r="E652" s="41">
        <v>729.47900000000004</v>
      </c>
      <c r="F652" s="35">
        <v>1150</v>
      </c>
      <c r="G652" s="35">
        <v>100</v>
      </c>
      <c r="H652" s="43">
        <v>600</v>
      </c>
      <c r="I652" s="35">
        <v>695</v>
      </c>
      <c r="J652" s="35">
        <v>50</v>
      </c>
      <c r="K652" s="36"/>
      <c r="L652" s="36"/>
      <c r="M652" s="36"/>
      <c r="N652" s="36"/>
      <c r="O652" s="36"/>
      <c r="P652" s="36"/>
      <c r="Q652" s="36"/>
      <c r="R652" s="36"/>
      <c r="S652" s="36"/>
      <c r="T652" s="36"/>
    </row>
    <row r="653" spans="1:20" ht="15.75">
      <c r="A653" s="13">
        <v>61393</v>
      </c>
      <c r="B653" s="44">
        <f t="shared" si="1"/>
        <v>31</v>
      </c>
      <c r="C653" s="35">
        <v>122.58</v>
      </c>
      <c r="D653" s="35">
        <v>297.94099999999997</v>
      </c>
      <c r="E653" s="41">
        <v>729.47900000000004</v>
      </c>
      <c r="F653" s="35">
        <v>1150</v>
      </c>
      <c r="G653" s="35">
        <v>100</v>
      </c>
      <c r="H653" s="43">
        <v>600</v>
      </c>
      <c r="I653" s="35">
        <v>695</v>
      </c>
      <c r="J653" s="35">
        <v>50</v>
      </c>
      <c r="K653" s="36"/>
      <c r="L653" s="36"/>
      <c r="M653" s="36"/>
      <c r="N653" s="36"/>
      <c r="O653" s="36"/>
      <c r="P653" s="36"/>
      <c r="Q653" s="36"/>
      <c r="R653" s="36"/>
      <c r="S653" s="36"/>
      <c r="T653" s="36"/>
    </row>
    <row r="654" spans="1:20" ht="15.75">
      <c r="A654" s="13">
        <v>61422</v>
      </c>
      <c r="B654" s="44">
        <f t="shared" si="1"/>
        <v>29</v>
      </c>
      <c r="C654" s="35">
        <v>122.58</v>
      </c>
      <c r="D654" s="35">
        <v>297.94099999999997</v>
      </c>
      <c r="E654" s="41">
        <v>729.47900000000004</v>
      </c>
      <c r="F654" s="35">
        <v>1150</v>
      </c>
      <c r="G654" s="35">
        <v>100</v>
      </c>
      <c r="H654" s="43">
        <v>600</v>
      </c>
      <c r="I654" s="35">
        <v>695</v>
      </c>
      <c r="J654" s="35">
        <v>50</v>
      </c>
      <c r="K654" s="36"/>
      <c r="L654" s="36"/>
      <c r="M654" s="36"/>
      <c r="N654" s="36"/>
      <c r="O654" s="36"/>
      <c r="P654" s="36"/>
      <c r="Q654" s="36"/>
      <c r="R654" s="36"/>
      <c r="S654" s="36"/>
      <c r="T654" s="36"/>
    </row>
    <row r="655" spans="1:20" ht="15.75">
      <c r="A655" s="13">
        <v>61453</v>
      </c>
      <c r="B655" s="44">
        <f t="shared" si="1"/>
        <v>31</v>
      </c>
      <c r="C655" s="35">
        <v>122.58</v>
      </c>
      <c r="D655" s="35">
        <v>297.94099999999997</v>
      </c>
      <c r="E655" s="41">
        <v>729.47900000000004</v>
      </c>
      <c r="F655" s="35">
        <v>1150</v>
      </c>
      <c r="G655" s="35">
        <v>100</v>
      </c>
      <c r="H655" s="43">
        <v>600</v>
      </c>
      <c r="I655" s="35">
        <v>695</v>
      </c>
      <c r="J655" s="35">
        <v>50</v>
      </c>
      <c r="K655" s="36"/>
      <c r="L655" s="36"/>
      <c r="M655" s="36"/>
      <c r="N655" s="36"/>
      <c r="O655" s="36"/>
      <c r="P655" s="36"/>
      <c r="Q655" s="36"/>
      <c r="R655" s="36"/>
      <c r="S655" s="36"/>
      <c r="T655" s="36"/>
    </row>
    <row r="656" spans="1:20" ht="15.75">
      <c r="A656" s="13">
        <v>61483</v>
      </c>
      <c r="B656" s="44">
        <f t="shared" si="1"/>
        <v>30</v>
      </c>
      <c r="C656" s="35">
        <v>141.29300000000001</v>
      </c>
      <c r="D656" s="35">
        <v>267.99299999999999</v>
      </c>
      <c r="E656" s="41">
        <v>829.71400000000006</v>
      </c>
      <c r="F656" s="35">
        <v>1239</v>
      </c>
      <c r="G656" s="35">
        <v>100</v>
      </c>
      <c r="H656" s="43">
        <v>600</v>
      </c>
      <c r="I656" s="35">
        <v>695</v>
      </c>
      <c r="J656" s="35">
        <v>50</v>
      </c>
      <c r="K656" s="36"/>
      <c r="L656" s="36"/>
      <c r="M656" s="36"/>
      <c r="N656" s="36"/>
      <c r="O656" s="36"/>
      <c r="P656" s="36"/>
      <c r="Q656" s="36"/>
      <c r="R656" s="36"/>
      <c r="S656" s="36"/>
      <c r="T656" s="36"/>
    </row>
    <row r="657" spans="1:20" ht="15.75">
      <c r="A657" s="13">
        <v>61514</v>
      </c>
      <c r="B657" s="44">
        <f t="shared" si="1"/>
        <v>31</v>
      </c>
      <c r="C657" s="35">
        <v>194.20500000000001</v>
      </c>
      <c r="D657" s="35">
        <v>267.46600000000001</v>
      </c>
      <c r="E657" s="41">
        <v>812.32899999999995</v>
      </c>
      <c r="F657" s="35">
        <v>1274</v>
      </c>
      <c r="G657" s="35">
        <v>75</v>
      </c>
      <c r="H657" s="43">
        <v>600</v>
      </c>
      <c r="I657" s="35">
        <v>695</v>
      </c>
      <c r="J657" s="35">
        <v>50</v>
      </c>
      <c r="K657" s="36"/>
      <c r="L657" s="36"/>
      <c r="M657" s="36"/>
      <c r="N657" s="36"/>
      <c r="O657" s="36"/>
      <c r="P657" s="36"/>
      <c r="Q657" s="36"/>
      <c r="R657" s="36"/>
      <c r="S657" s="36"/>
      <c r="T657" s="36"/>
    </row>
    <row r="658" spans="1:20" ht="15.75">
      <c r="A658" s="13">
        <v>61544</v>
      </c>
      <c r="B658" s="44">
        <f t="shared" si="1"/>
        <v>30</v>
      </c>
      <c r="C658" s="35">
        <v>194.20500000000001</v>
      </c>
      <c r="D658" s="35">
        <v>267.46600000000001</v>
      </c>
      <c r="E658" s="41">
        <v>812.32899999999995</v>
      </c>
      <c r="F658" s="35">
        <v>1274</v>
      </c>
      <c r="G658" s="35">
        <v>50</v>
      </c>
      <c r="H658" s="43">
        <v>600</v>
      </c>
      <c r="I658" s="35">
        <v>695</v>
      </c>
      <c r="J658" s="35">
        <v>50</v>
      </c>
      <c r="K658" s="36"/>
      <c r="L658" s="36"/>
      <c r="M658" s="36"/>
      <c r="N658" s="36"/>
      <c r="O658" s="36"/>
      <c r="P658" s="36"/>
      <c r="Q658" s="36"/>
      <c r="R658" s="36"/>
      <c r="S658" s="36"/>
      <c r="T658" s="36"/>
    </row>
    <row r="659" spans="1:20" ht="15.75">
      <c r="A659" s="13">
        <v>61575</v>
      </c>
      <c r="B659" s="44">
        <f t="shared" si="1"/>
        <v>31</v>
      </c>
      <c r="C659" s="35">
        <v>194.20500000000001</v>
      </c>
      <c r="D659" s="35">
        <v>267.46600000000001</v>
      </c>
      <c r="E659" s="41">
        <v>812.32899999999995</v>
      </c>
      <c r="F659" s="35">
        <v>1274</v>
      </c>
      <c r="G659" s="35">
        <v>50</v>
      </c>
      <c r="H659" s="43">
        <v>600</v>
      </c>
      <c r="I659" s="35">
        <v>695</v>
      </c>
      <c r="J659" s="35">
        <v>0</v>
      </c>
      <c r="K659" s="36"/>
      <c r="L659" s="36"/>
      <c r="M659" s="36"/>
      <c r="N659" s="36"/>
      <c r="O659" s="36"/>
      <c r="P659" s="36"/>
      <c r="Q659" s="36"/>
      <c r="R659" s="36"/>
      <c r="S659" s="36"/>
      <c r="T659" s="36"/>
    </row>
    <row r="660" spans="1:20" ht="15.75">
      <c r="A660" s="13">
        <v>61606</v>
      </c>
      <c r="B660" s="44">
        <f t="shared" si="1"/>
        <v>31</v>
      </c>
      <c r="C660" s="35">
        <v>194.20500000000001</v>
      </c>
      <c r="D660" s="35">
        <v>267.46600000000001</v>
      </c>
      <c r="E660" s="41">
        <v>812.32899999999995</v>
      </c>
      <c r="F660" s="35">
        <v>1274</v>
      </c>
      <c r="G660" s="35">
        <v>50</v>
      </c>
      <c r="H660" s="43">
        <v>600</v>
      </c>
      <c r="I660" s="35">
        <v>695</v>
      </c>
      <c r="J660" s="35">
        <v>0</v>
      </c>
      <c r="K660" s="36"/>
      <c r="L660" s="36"/>
      <c r="M660" s="36"/>
      <c r="N660" s="36"/>
      <c r="O660" s="36"/>
      <c r="P660" s="36"/>
      <c r="Q660" s="36"/>
      <c r="R660" s="36"/>
      <c r="S660" s="36"/>
      <c r="T660" s="36"/>
    </row>
    <row r="661" spans="1:20" ht="15.75">
      <c r="A661" s="13">
        <v>61636</v>
      </c>
      <c r="B661" s="44">
        <f t="shared" si="1"/>
        <v>30</v>
      </c>
      <c r="C661" s="35">
        <v>194.20500000000001</v>
      </c>
      <c r="D661" s="35">
        <v>267.46600000000001</v>
      </c>
      <c r="E661" s="41">
        <v>812.32899999999995</v>
      </c>
      <c r="F661" s="35">
        <v>1274</v>
      </c>
      <c r="G661" s="35">
        <v>50</v>
      </c>
      <c r="H661" s="43">
        <v>600</v>
      </c>
      <c r="I661" s="35">
        <v>695</v>
      </c>
      <c r="J661" s="35">
        <v>0</v>
      </c>
      <c r="K661" s="36"/>
      <c r="L661" s="36"/>
      <c r="M661" s="36"/>
      <c r="N661" s="36"/>
      <c r="O661" s="36"/>
      <c r="P661" s="36"/>
      <c r="Q661" s="36"/>
      <c r="R661" s="36"/>
      <c r="S661" s="36"/>
      <c r="T661" s="36"/>
    </row>
    <row r="662" spans="1:20" ht="15.75">
      <c r="A662" s="13">
        <v>61667</v>
      </c>
      <c r="B662" s="44">
        <f t="shared" si="1"/>
        <v>31</v>
      </c>
      <c r="C662" s="35">
        <v>131.881</v>
      </c>
      <c r="D662" s="35">
        <v>277.16699999999997</v>
      </c>
      <c r="E662" s="41">
        <v>829.952</v>
      </c>
      <c r="F662" s="35">
        <v>1239</v>
      </c>
      <c r="G662" s="35">
        <v>75</v>
      </c>
      <c r="H662" s="43">
        <v>600</v>
      </c>
      <c r="I662" s="35">
        <v>695</v>
      </c>
      <c r="J662" s="35">
        <v>0</v>
      </c>
      <c r="K662" s="36"/>
      <c r="L662" s="36"/>
      <c r="M662" s="36"/>
      <c r="N662" s="36"/>
      <c r="O662" s="36"/>
      <c r="P662" s="36"/>
      <c r="Q662" s="36"/>
      <c r="R662" s="36"/>
      <c r="S662" s="36"/>
      <c r="T662" s="36"/>
    </row>
    <row r="663" spans="1:20" ht="15.75">
      <c r="A663" s="13">
        <v>61697</v>
      </c>
      <c r="B663" s="44">
        <f t="shared" si="1"/>
        <v>30</v>
      </c>
      <c r="C663" s="35">
        <v>122.58</v>
      </c>
      <c r="D663" s="35">
        <v>297.94099999999997</v>
      </c>
      <c r="E663" s="41">
        <v>729.47900000000004</v>
      </c>
      <c r="F663" s="35">
        <v>1150</v>
      </c>
      <c r="G663" s="35">
        <v>100</v>
      </c>
      <c r="H663" s="43">
        <v>600</v>
      </c>
      <c r="I663" s="35">
        <v>695</v>
      </c>
      <c r="J663" s="35">
        <v>50</v>
      </c>
      <c r="K663" s="36"/>
      <c r="L663" s="36"/>
      <c r="M663" s="36"/>
      <c r="N663" s="36"/>
      <c r="O663" s="36"/>
      <c r="P663" s="36"/>
      <c r="Q663" s="36"/>
      <c r="R663" s="36"/>
      <c r="S663" s="36"/>
      <c r="T663" s="36"/>
    </row>
    <row r="664" spans="1:20" ht="15.75">
      <c r="A664" s="13">
        <v>61728</v>
      </c>
      <c r="B664" s="44">
        <f t="shared" si="1"/>
        <v>31</v>
      </c>
      <c r="C664" s="35">
        <v>122.58</v>
      </c>
      <c r="D664" s="35">
        <v>297.94099999999997</v>
      </c>
      <c r="E664" s="41">
        <v>729.47900000000004</v>
      </c>
      <c r="F664" s="35">
        <v>1150</v>
      </c>
      <c r="G664" s="35">
        <v>100</v>
      </c>
      <c r="H664" s="43">
        <v>600</v>
      </c>
      <c r="I664" s="35">
        <v>695</v>
      </c>
      <c r="J664" s="35">
        <v>50</v>
      </c>
      <c r="K664" s="36"/>
      <c r="L664" s="36"/>
      <c r="M664" s="36"/>
      <c r="N664" s="36"/>
      <c r="O664" s="36"/>
      <c r="P664" s="36"/>
      <c r="Q664" s="36"/>
      <c r="R664" s="36"/>
      <c r="S664" s="36"/>
      <c r="T664" s="36"/>
    </row>
    <row r="665" spans="1:20" ht="15.75">
      <c r="A665" s="13">
        <v>61759</v>
      </c>
      <c r="B665" s="44">
        <f t="shared" si="1"/>
        <v>31</v>
      </c>
      <c r="C665" s="35">
        <v>122.58</v>
      </c>
      <c r="D665" s="35">
        <v>297.94099999999997</v>
      </c>
      <c r="E665" s="41">
        <v>729.47900000000004</v>
      </c>
      <c r="F665" s="35">
        <v>1150</v>
      </c>
      <c r="G665" s="35">
        <v>100</v>
      </c>
      <c r="H665" s="43">
        <v>600</v>
      </c>
      <c r="I665" s="35">
        <v>695</v>
      </c>
      <c r="J665" s="35">
        <v>50</v>
      </c>
      <c r="K665" s="36"/>
      <c r="L665" s="36"/>
      <c r="M665" s="36"/>
      <c r="N665" s="36"/>
      <c r="O665" s="36"/>
      <c r="P665" s="36"/>
      <c r="Q665" s="36"/>
      <c r="R665" s="36"/>
      <c r="S665" s="36"/>
      <c r="T665" s="36"/>
    </row>
    <row r="666" spans="1:20" ht="15.75">
      <c r="A666" s="13">
        <v>61787</v>
      </c>
      <c r="B666" s="44">
        <f t="shared" si="1"/>
        <v>28</v>
      </c>
      <c r="C666" s="35">
        <v>122.58</v>
      </c>
      <c r="D666" s="35">
        <v>297.94099999999997</v>
      </c>
      <c r="E666" s="41">
        <v>729.47900000000004</v>
      </c>
      <c r="F666" s="35">
        <v>1150</v>
      </c>
      <c r="G666" s="35">
        <v>100</v>
      </c>
      <c r="H666" s="43">
        <v>600</v>
      </c>
      <c r="I666" s="35">
        <v>695</v>
      </c>
      <c r="J666" s="35">
        <v>50</v>
      </c>
      <c r="K666" s="36"/>
      <c r="L666" s="36"/>
      <c r="M666" s="36"/>
      <c r="N666" s="36"/>
      <c r="O666" s="36"/>
      <c r="P666" s="36"/>
      <c r="Q666" s="36"/>
      <c r="R666" s="36"/>
      <c r="S666" s="36"/>
      <c r="T666" s="36"/>
    </row>
    <row r="667" spans="1:20" ht="15.75">
      <c r="A667" s="13">
        <v>61818</v>
      </c>
      <c r="B667" s="44">
        <f t="shared" si="1"/>
        <v>31</v>
      </c>
      <c r="C667" s="35">
        <v>122.58</v>
      </c>
      <c r="D667" s="35">
        <v>297.94099999999997</v>
      </c>
      <c r="E667" s="41">
        <v>729.47900000000004</v>
      </c>
      <c r="F667" s="35">
        <v>1150</v>
      </c>
      <c r="G667" s="35">
        <v>100</v>
      </c>
      <c r="H667" s="43">
        <v>600</v>
      </c>
      <c r="I667" s="35">
        <v>695</v>
      </c>
      <c r="J667" s="35">
        <v>50</v>
      </c>
      <c r="K667" s="36"/>
      <c r="L667" s="36"/>
      <c r="M667" s="36"/>
      <c r="N667" s="36"/>
      <c r="O667" s="36"/>
      <c r="P667" s="36"/>
      <c r="Q667" s="36"/>
      <c r="R667" s="36"/>
      <c r="S667" s="36"/>
      <c r="T667" s="36"/>
    </row>
    <row r="668" spans="1:20" ht="15.75">
      <c r="A668" s="13">
        <v>61848</v>
      </c>
      <c r="B668" s="44">
        <f t="shared" si="1"/>
        <v>30</v>
      </c>
      <c r="C668" s="35">
        <v>141.29300000000001</v>
      </c>
      <c r="D668" s="35">
        <v>267.99299999999999</v>
      </c>
      <c r="E668" s="41">
        <v>829.71400000000006</v>
      </c>
      <c r="F668" s="35">
        <v>1239</v>
      </c>
      <c r="G668" s="35">
        <v>100</v>
      </c>
      <c r="H668" s="43">
        <v>600</v>
      </c>
      <c r="I668" s="35">
        <v>695</v>
      </c>
      <c r="J668" s="35">
        <v>50</v>
      </c>
      <c r="K668" s="36"/>
      <c r="L668" s="36"/>
      <c r="M668" s="36"/>
      <c r="N668" s="36"/>
      <c r="O668" s="36"/>
      <c r="P668" s="36"/>
      <c r="Q668" s="36"/>
      <c r="R668" s="36"/>
      <c r="S668" s="36"/>
      <c r="T668" s="36"/>
    </row>
    <row r="669" spans="1:20" ht="15.75">
      <c r="A669" s="13">
        <v>61879</v>
      </c>
      <c r="B669" s="44">
        <f t="shared" si="1"/>
        <v>31</v>
      </c>
      <c r="C669" s="35">
        <v>194.20500000000001</v>
      </c>
      <c r="D669" s="35">
        <v>267.46600000000001</v>
      </c>
      <c r="E669" s="41">
        <v>812.32899999999995</v>
      </c>
      <c r="F669" s="35">
        <v>1274</v>
      </c>
      <c r="G669" s="35">
        <v>75</v>
      </c>
      <c r="H669" s="43">
        <v>600</v>
      </c>
      <c r="I669" s="35">
        <v>695</v>
      </c>
      <c r="J669" s="35">
        <v>50</v>
      </c>
      <c r="K669" s="36"/>
      <c r="L669" s="36"/>
      <c r="M669" s="36"/>
      <c r="N669" s="36"/>
      <c r="O669" s="36"/>
      <c r="P669" s="36"/>
      <c r="Q669" s="36"/>
      <c r="R669" s="36"/>
      <c r="S669" s="36"/>
      <c r="T669" s="36"/>
    </row>
    <row r="670" spans="1:20" ht="15.75">
      <c r="A670" s="13">
        <v>61909</v>
      </c>
      <c r="B670" s="44">
        <f t="shared" si="1"/>
        <v>30</v>
      </c>
      <c r="C670" s="35">
        <v>194.20500000000001</v>
      </c>
      <c r="D670" s="35">
        <v>267.46600000000001</v>
      </c>
      <c r="E670" s="41">
        <v>812.32899999999995</v>
      </c>
      <c r="F670" s="35">
        <v>1274</v>
      </c>
      <c r="G670" s="35">
        <v>50</v>
      </c>
      <c r="H670" s="43">
        <v>600</v>
      </c>
      <c r="I670" s="35">
        <v>695</v>
      </c>
      <c r="J670" s="35">
        <v>50</v>
      </c>
      <c r="K670" s="36"/>
      <c r="L670" s="36"/>
      <c r="M670" s="36"/>
      <c r="N670" s="36"/>
      <c r="O670" s="36"/>
      <c r="P670" s="36"/>
      <c r="Q670" s="36"/>
      <c r="R670" s="36"/>
      <c r="S670" s="36"/>
      <c r="T670" s="36"/>
    </row>
    <row r="671" spans="1:20" ht="15.75">
      <c r="A671" s="13">
        <v>61940</v>
      </c>
      <c r="B671" s="44">
        <f t="shared" si="1"/>
        <v>31</v>
      </c>
      <c r="C671" s="35">
        <v>194.20500000000001</v>
      </c>
      <c r="D671" s="35">
        <v>267.46600000000001</v>
      </c>
      <c r="E671" s="41">
        <v>812.32899999999995</v>
      </c>
      <c r="F671" s="35">
        <v>1274</v>
      </c>
      <c r="G671" s="35">
        <v>50</v>
      </c>
      <c r="H671" s="43">
        <v>600</v>
      </c>
      <c r="I671" s="35">
        <v>695</v>
      </c>
      <c r="J671" s="35">
        <v>0</v>
      </c>
      <c r="K671" s="36"/>
      <c r="L671" s="36"/>
      <c r="M671" s="36"/>
      <c r="N671" s="36"/>
      <c r="O671" s="36"/>
      <c r="P671" s="36"/>
      <c r="Q671" s="36"/>
      <c r="R671" s="36"/>
      <c r="S671" s="36"/>
      <c r="T671" s="36"/>
    </row>
    <row r="672" spans="1:20" ht="15.75">
      <c r="A672" s="13">
        <v>61971</v>
      </c>
      <c r="B672" s="44">
        <f t="shared" si="1"/>
        <v>31</v>
      </c>
      <c r="C672" s="35">
        <v>194.20500000000001</v>
      </c>
      <c r="D672" s="35">
        <v>267.46600000000001</v>
      </c>
      <c r="E672" s="41">
        <v>812.32899999999995</v>
      </c>
      <c r="F672" s="35">
        <v>1274</v>
      </c>
      <c r="G672" s="35">
        <v>50</v>
      </c>
      <c r="H672" s="43">
        <v>600</v>
      </c>
      <c r="I672" s="35">
        <v>695</v>
      </c>
      <c r="J672" s="35">
        <v>0</v>
      </c>
      <c r="K672" s="36"/>
      <c r="L672" s="36"/>
      <c r="M672" s="36"/>
      <c r="N672" s="36"/>
      <c r="O672" s="36"/>
      <c r="P672" s="36"/>
      <c r="Q672" s="36"/>
      <c r="R672" s="36"/>
      <c r="S672" s="36"/>
      <c r="T672" s="36"/>
    </row>
    <row r="673" spans="1:20" ht="15.75">
      <c r="A673" s="13">
        <v>62001</v>
      </c>
      <c r="B673" s="44">
        <f t="shared" si="1"/>
        <v>30</v>
      </c>
      <c r="C673" s="35">
        <v>194.20500000000001</v>
      </c>
      <c r="D673" s="35">
        <v>267.46600000000001</v>
      </c>
      <c r="E673" s="41">
        <v>812.32899999999995</v>
      </c>
      <c r="F673" s="35">
        <v>1274</v>
      </c>
      <c r="G673" s="35">
        <v>50</v>
      </c>
      <c r="H673" s="43">
        <v>600</v>
      </c>
      <c r="I673" s="35">
        <v>695</v>
      </c>
      <c r="J673" s="35">
        <v>0</v>
      </c>
      <c r="K673" s="36"/>
      <c r="L673" s="36"/>
      <c r="M673" s="36"/>
      <c r="N673" s="36"/>
      <c r="O673" s="36"/>
      <c r="P673" s="36"/>
      <c r="Q673" s="36"/>
      <c r="R673" s="36"/>
      <c r="S673" s="36"/>
      <c r="T673" s="36"/>
    </row>
    <row r="674" spans="1:20" ht="15.75">
      <c r="A674" s="13">
        <v>62032</v>
      </c>
      <c r="B674" s="44">
        <f t="shared" si="1"/>
        <v>31</v>
      </c>
      <c r="C674" s="35">
        <v>131.881</v>
      </c>
      <c r="D674" s="35">
        <v>277.16699999999997</v>
      </c>
      <c r="E674" s="41">
        <v>829.952</v>
      </c>
      <c r="F674" s="35">
        <v>1239</v>
      </c>
      <c r="G674" s="35">
        <v>75</v>
      </c>
      <c r="H674" s="43">
        <v>600</v>
      </c>
      <c r="I674" s="35">
        <v>695</v>
      </c>
      <c r="J674" s="35">
        <v>0</v>
      </c>
      <c r="K674" s="36"/>
      <c r="L674" s="36"/>
      <c r="M674" s="36"/>
      <c r="N674" s="36"/>
      <c r="O674" s="36"/>
      <c r="P674" s="36"/>
      <c r="Q674" s="36"/>
      <c r="R674" s="36"/>
      <c r="S674" s="36"/>
      <c r="T674" s="36"/>
    </row>
    <row r="675" spans="1:20" ht="15.75">
      <c r="A675" s="13">
        <v>62062</v>
      </c>
      <c r="B675" s="44">
        <f t="shared" si="1"/>
        <v>30</v>
      </c>
      <c r="C675" s="35">
        <v>122.58</v>
      </c>
      <c r="D675" s="35">
        <v>297.94099999999997</v>
      </c>
      <c r="E675" s="41">
        <v>729.47900000000004</v>
      </c>
      <c r="F675" s="35">
        <v>1150</v>
      </c>
      <c r="G675" s="35">
        <v>100</v>
      </c>
      <c r="H675" s="43">
        <v>600</v>
      </c>
      <c r="I675" s="35">
        <v>695</v>
      </c>
      <c r="J675" s="35">
        <v>50</v>
      </c>
      <c r="K675" s="36"/>
      <c r="L675" s="36"/>
      <c r="M675" s="36"/>
      <c r="N675" s="36"/>
      <c r="O675" s="36"/>
      <c r="P675" s="36"/>
      <c r="Q675" s="36"/>
      <c r="R675" s="36"/>
      <c r="S675" s="36"/>
      <c r="T675" s="36"/>
    </row>
    <row r="676" spans="1:20" ht="15.75">
      <c r="A676" s="13">
        <v>62093</v>
      </c>
      <c r="B676" s="44">
        <f t="shared" si="1"/>
        <v>31</v>
      </c>
      <c r="C676" s="35">
        <v>122.58</v>
      </c>
      <c r="D676" s="35">
        <v>297.94099999999997</v>
      </c>
      <c r="E676" s="41">
        <v>729.47900000000004</v>
      </c>
      <c r="F676" s="35">
        <v>1150</v>
      </c>
      <c r="G676" s="35">
        <v>100</v>
      </c>
      <c r="H676" s="43">
        <v>600</v>
      </c>
      <c r="I676" s="35">
        <v>695</v>
      </c>
      <c r="J676" s="35">
        <v>50</v>
      </c>
      <c r="K676" s="36"/>
      <c r="L676" s="36"/>
      <c r="M676" s="36"/>
      <c r="N676" s="36"/>
      <c r="O676" s="36"/>
      <c r="P676" s="36"/>
      <c r="Q676" s="36"/>
      <c r="R676" s="36"/>
      <c r="S676" s="36"/>
      <c r="T676" s="36"/>
    </row>
    <row r="677" spans="1:20" ht="15.75">
      <c r="A677" s="13">
        <v>62124</v>
      </c>
      <c r="B677" s="44">
        <f t="shared" si="1"/>
        <v>31</v>
      </c>
      <c r="C677" s="35">
        <v>122.58</v>
      </c>
      <c r="D677" s="35">
        <v>297.94099999999997</v>
      </c>
      <c r="E677" s="41">
        <v>729.47900000000004</v>
      </c>
      <c r="F677" s="35">
        <v>1150</v>
      </c>
      <c r="G677" s="35">
        <v>100</v>
      </c>
      <c r="H677" s="43">
        <v>600</v>
      </c>
      <c r="I677" s="35">
        <v>695</v>
      </c>
      <c r="J677" s="35">
        <v>50</v>
      </c>
      <c r="K677" s="36"/>
      <c r="L677" s="36"/>
      <c r="M677" s="36"/>
      <c r="N677" s="36"/>
      <c r="O677" s="36"/>
      <c r="P677" s="36"/>
      <c r="Q677" s="36"/>
      <c r="R677" s="36"/>
      <c r="S677" s="36"/>
      <c r="T677" s="36"/>
    </row>
    <row r="678" spans="1:20" ht="15.75">
      <c r="A678" s="13">
        <v>62152</v>
      </c>
      <c r="B678" s="44">
        <f t="shared" si="1"/>
        <v>28</v>
      </c>
      <c r="C678" s="35">
        <v>122.58</v>
      </c>
      <c r="D678" s="35">
        <v>297.94099999999997</v>
      </c>
      <c r="E678" s="41">
        <v>729.47900000000004</v>
      </c>
      <c r="F678" s="35">
        <v>1150</v>
      </c>
      <c r="G678" s="35">
        <v>100</v>
      </c>
      <c r="H678" s="43">
        <v>600</v>
      </c>
      <c r="I678" s="35">
        <v>695</v>
      </c>
      <c r="J678" s="35">
        <v>50</v>
      </c>
      <c r="K678" s="36"/>
      <c r="L678" s="36"/>
      <c r="M678" s="36"/>
      <c r="N678" s="36"/>
      <c r="O678" s="36"/>
      <c r="P678" s="36"/>
      <c r="Q678" s="36"/>
      <c r="R678" s="36"/>
      <c r="S678" s="36"/>
      <c r="T678" s="36"/>
    </row>
    <row r="679" spans="1:20" ht="15.75">
      <c r="A679" s="13">
        <v>62183</v>
      </c>
      <c r="B679" s="44">
        <f t="shared" si="1"/>
        <v>31</v>
      </c>
      <c r="C679" s="35">
        <v>122.58</v>
      </c>
      <c r="D679" s="35">
        <v>297.94099999999997</v>
      </c>
      <c r="E679" s="41">
        <v>729.47900000000004</v>
      </c>
      <c r="F679" s="35">
        <v>1150</v>
      </c>
      <c r="G679" s="35">
        <v>100</v>
      </c>
      <c r="H679" s="43">
        <v>600</v>
      </c>
      <c r="I679" s="35">
        <v>695</v>
      </c>
      <c r="J679" s="35">
        <v>50</v>
      </c>
      <c r="K679" s="36"/>
      <c r="L679" s="36"/>
      <c r="M679" s="36"/>
      <c r="N679" s="36"/>
      <c r="O679" s="36"/>
      <c r="P679" s="36"/>
      <c r="Q679" s="36"/>
      <c r="R679" s="36"/>
      <c r="S679" s="36"/>
      <c r="T679" s="36"/>
    </row>
    <row r="680" spans="1:20" ht="15.75">
      <c r="A680" s="13">
        <v>62213</v>
      </c>
      <c r="B680" s="44">
        <f t="shared" si="1"/>
        <v>30</v>
      </c>
      <c r="C680" s="35">
        <v>141.29300000000001</v>
      </c>
      <c r="D680" s="35">
        <v>267.99299999999999</v>
      </c>
      <c r="E680" s="41">
        <v>829.71400000000006</v>
      </c>
      <c r="F680" s="35">
        <v>1239</v>
      </c>
      <c r="G680" s="35">
        <v>100</v>
      </c>
      <c r="H680" s="43">
        <v>600</v>
      </c>
      <c r="I680" s="35">
        <v>695</v>
      </c>
      <c r="J680" s="35">
        <v>50</v>
      </c>
      <c r="K680" s="36"/>
      <c r="L680" s="36"/>
      <c r="M680" s="36"/>
      <c r="N680" s="36"/>
      <c r="O680" s="36"/>
      <c r="P680" s="36"/>
      <c r="Q680" s="36"/>
      <c r="R680" s="36"/>
      <c r="S680" s="36"/>
      <c r="T680" s="36"/>
    </row>
    <row r="681" spans="1:20" ht="15.75">
      <c r="A681" s="13">
        <v>62244</v>
      </c>
      <c r="B681" s="44">
        <f t="shared" si="1"/>
        <v>31</v>
      </c>
      <c r="C681" s="35">
        <v>194.20500000000001</v>
      </c>
      <c r="D681" s="35">
        <v>267.46600000000001</v>
      </c>
      <c r="E681" s="41">
        <v>812.32899999999995</v>
      </c>
      <c r="F681" s="35">
        <v>1274</v>
      </c>
      <c r="G681" s="35">
        <v>75</v>
      </c>
      <c r="H681" s="43">
        <v>600</v>
      </c>
      <c r="I681" s="35">
        <v>695</v>
      </c>
      <c r="J681" s="35">
        <v>50</v>
      </c>
      <c r="K681" s="36"/>
      <c r="L681" s="36"/>
      <c r="M681" s="36"/>
      <c r="N681" s="36"/>
      <c r="O681" s="36"/>
      <c r="P681" s="36"/>
      <c r="Q681" s="36"/>
      <c r="R681" s="36"/>
      <c r="S681" s="36"/>
      <c r="T681" s="36"/>
    </row>
    <row r="682" spans="1:20" ht="15.75">
      <c r="A682" s="13">
        <v>62274</v>
      </c>
      <c r="B682" s="44">
        <f t="shared" si="1"/>
        <v>30</v>
      </c>
      <c r="C682" s="35">
        <v>194.20500000000001</v>
      </c>
      <c r="D682" s="35">
        <v>267.46600000000001</v>
      </c>
      <c r="E682" s="41">
        <v>812.32899999999995</v>
      </c>
      <c r="F682" s="35">
        <v>1274</v>
      </c>
      <c r="G682" s="35">
        <v>50</v>
      </c>
      <c r="H682" s="43">
        <v>600</v>
      </c>
      <c r="I682" s="35">
        <v>695</v>
      </c>
      <c r="J682" s="35">
        <v>50</v>
      </c>
      <c r="K682" s="36"/>
      <c r="L682" s="36"/>
      <c r="M682" s="36"/>
      <c r="N682" s="36"/>
      <c r="O682" s="36"/>
      <c r="P682" s="36"/>
      <c r="Q682" s="36"/>
      <c r="R682" s="36"/>
      <c r="S682" s="36"/>
      <c r="T682" s="36"/>
    </row>
    <row r="683" spans="1:20" ht="15.75">
      <c r="A683" s="13">
        <v>62305</v>
      </c>
      <c r="B683" s="44">
        <f t="shared" si="1"/>
        <v>31</v>
      </c>
      <c r="C683" s="35">
        <v>194.20500000000001</v>
      </c>
      <c r="D683" s="35">
        <v>267.46600000000001</v>
      </c>
      <c r="E683" s="41">
        <v>812.32899999999995</v>
      </c>
      <c r="F683" s="35">
        <v>1274</v>
      </c>
      <c r="G683" s="35">
        <v>50</v>
      </c>
      <c r="H683" s="43">
        <v>600</v>
      </c>
      <c r="I683" s="35">
        <v>695</v>
      </c>
      <c r="J683" s="35">
        <v>0</v>
      </c>
      <c r="K683" s="36"/>
      <c r="L683" s="36"/>
      <c r="M683" s="36"/>
      <c r="N683" s="36"/>
      <c r="O683" s="36"/>
      <c r="P683" s="36"/>
      <c r="Q683" s="36"/>
      <c r="R683" s="36"/>
      <c r="S683" s="36"/>
      <c r="T683" s="36"/>
    </row>
    <row r="684" spans="1:20" ht="15.75">
      <c r="A684" s="13">
        <v>62336</v>
      </c>
      <c r="B684" s="44">
        <f t="shared" si="1"/>
        <v>31</v>
      </c>
      <c r="C684" s="35">
        <v>194.20500000000001</v>
      </c>
      <c r="D684" s="35">
        <v>267.46600000000001</v>
      </c>
      <c r="E684" s="41">
        <v>812.32899999999995</v>
      </c>
      <c r="F684" s="35">
        <v>1274</v>
      </c>
      <c r="G684" s="35">
        <v>50</v>
      </c>
      <c r="H684" s="43">
        <v>600</v>
      </c>
      <c r="I684" s="35">
        <v>695</v>
      </c>
      <c r="J684" s="35">
        <v>0</v>
      </c>
      <c r="K684" s="36"/>
      <c r="L684" s="36"/>
      <c r="M684" s="36"/>
      <c r="N684" s="36"/>
      <c r="O684" s="36"/>
      <c r="P684" s="36"/>
      <c r="Q684" s="36"/>
      <c r="R684" s="36"/>
      <c r="S684" s="36"/>
      <c r="T684" s="36"/>
    </row>
    <row r="685" spans="1:20" ht="15.75">
      <c r="A685" s="13">
        <v>62366</v>
      </c>
      <c r="B685" s="44">
        <f t="shared" si="1"/>
        <v>30</v>
      </c>
      <c r="C685" s="35">
        <v>194.20500000000001</v>
      </c>
      <c r="D685" s="35">
        <v>267.46600000000001</v>
      </c>
      <c r="E685" s="41">
        <v>812.32899999999995</v>
      </c>
      <c r="F685" s="35">
        <v>1274</v>
      </c>
      <c r="G685" s="35">
        <v>50</v>
      </c>
      <c r="H685" s="43">
        <v>600</v>
      </c>
      <c r="I685" s="35">
        <v>695</v>
      </c>
      <c r="J685" s="35">
        <v>0</v>
      </c>
      <c r="K685" s="36"/>
      <c r="L685" s="36"/>
      <c r="M685" s="36"/>
      <c r="N685" s="36"/>
      <c r="O685" s="36"/>
      <c r="P685" s="36"/>
      <c r="Q685" s="36"/>
      <c r="R685" s="36"/>
      <c r="S685" s="36"/>
      <c r="T685" s="36"/>
    </row>
    <row r="686" spans="1:20" ht="15.75">
      <c r="A686" s="13">
        <v>62397</v>
      </c>
      <c r="B686" s="44">
        <f t="shared" si="1"/>
        <v>31</v>
      </c>
      <c r="C686" s="35">
        <v>131.881</v>
      </c>
      <c r="D686" s="35">
        <v>277.16699999999997</v>
      </c>
      <c r="E686" s="41">
        <v>829.952</v>
      </c>
      <c r="F686" s="35">
        <v>1239</v>
      </c>
      <c r="G686" s="35">
        <v>75</v>
      </c>
      <c r="H686" s="43">
        <v>600</v>
      </c>
      <c r="I686" s="35">
        <v>695</v>
      </c>
      <c r="J686" s="35">
        <v>0</v>
      </c>
      <c r="K686" s="36"/>
      <c r="L686" s="36"/>
      <c r="M686" s="36"/>
      <c r="N686" s="36"/>
      <c r="O686" s="36"/>
      <c r="P686" s="36"/>
      <c r="Q686" s="36"/>
      <c r="R686" s="36"/>
      <c r="S686" s="36"/>
      <c r="T686" s="36"/>
    </row>
    <row r="687" spans="1:20" ht="15.75">
      <c r="A687" s="13">
        <v>62427</v>
      </c>
      <c r="B687" s="44">
        <f t="shared" si="1"/>
        <v>30</v>
      </c>
      <c r="C687" s="35">
        <v>122.58</v>
      </c>
      <c r="D687" s="35">
        <v>297.94099999999997</v>
      </c>
      <c r="E687" s="41">
        <v>729.47900000000004</v>
      </c>
      <c r="F687" s="35">
        <v>1150</v>
      </c>
      <c r="G687" s="35">
        <v>100</v>
      </c>
      <c r="H687" s="43">
        <v>600</v>
      </c>
      <c r="I687" s="35">
        <v>695</v>
      </c>
      <c r="J687" s="35">
        <v>50</v>
      </c>
      <c r="K687" s="36"/>
      <c r="L687" s="36"/>
      <c r="M687" s="36"/>
      <c r="N687" s="36"/>
      <c r="O687" s="36"/>
      <c r="P687" s="36"/>
      <c r="Q687" s="36"/>
      <c r="R687" s="36"/>
      <c r="S687" s="36"/>
      <c r="T687" s="36"/>
    </row>
    <row r="688" spans="1:20" ht="15.75">
      <c r="A688" s="13">
        <v>62458</v>
      </c>
      <c r="B688" s="44">
        <f t="shared" si="1"/>
        <v>31</v>
      </c>
      <c r="C688" s="35">
        <v>122.58</v>
      </c>
      <c r="D688" s="35">
        <v>297.94099999999997</v>
      </c>
      <c r="E688" s="41">
        <v>729.47900000000004</v>
      </c>
      <c r="F688" s="35">
        <v>1150</v>
      </c>
      <c r="G688" s="35">
        <v>100</v>
      </c>
      <c r="H688" s="43">
        <v>600</v>
      </c>
      <c r="I688" s="35">
        <v>695</v>
      </c>
      <c r="J688" s="35">
        <v>50</v>
      </c>
      <c r="K688" s="36"/>
      <c r="L688" s="36"/>
      <c r="M688" s="36"/>
      <c r="N688" s="36"/>
      <c r="O688" s="36"/>
      <c r="P688" s="36"/>
      <c r="Q688" s="36"/>
      <c r="R688" s="36"/>
      <c r="S688" s="36"/>
      <c r="T688" s="36"/>
    </row>
    <row r="689" spans="1:20" ht="15.75">
      <c r="A689" s="13">
        <v>62489</v>
      </c>
      <c r="B689" s="44">
        <f t="shared" si="1"/>
        <v>31</v>
      </c>
      <c r="C689" s="35">
        <v>122.58</v>
      </c>
      <c r="D689" s="35">
        <v>297.94099999999997</v>
      </c>
      <c r="E689" s="41">
        <v>729.47900000000004</v>
      </c>
      <c r="F689" s="35">
        <v>1150</v>
      </c>
      <c r="G689" s="35">
        <v>100</v>
      </c>
      <c r="H689" s="43">
        <v>600</v>
      </c>
      <c r="I689" s="35">
        <v>695</v>
      </c>
      <c r="J689" s="35">
        <v>50</v>
      </c>
      <c r="K689" s="36"/>
      <c r="L689" s="36"/>
      <c r="M689" s="36"/>
      <c r="N689" s="36"/>
      <c r="O689" s="36"/>
      <c r="P689" s="36"/>
      <c r="Q689" s="36"/>
      <c r="R689" s="36"/>
      <c r="S689" s="36"/>
      <c r="T689" s="36"/>
    </row>
    <row r="690" spans="1:20" ht="15.75">
      <c r="A690" s="13">
        <v>62517</v>
      </c>
      <c r="B690" s="44">
        <f t="shared" si="1"/>
        <v>28</v>
      </c>
      <c r="C690" s="35">
        <v>122.58</v>
      </c>
      <c r="D690" s="35">
        <v>297.94099999999997</v>
      </c>
      <c r="E690" s="41">
        <v>729.47900000000004</v>
      </c>
      <c r="F690" s="35">
        <v>1150</v>
      </c>
      <c r="G690" s="35">
        <v>100</v>
      </c>
      <c r="H690" s="43">
        <v>600</v>
      </c>
      <c r="I690" s="35">
        <v>695</v>
      </c>
      <c r="J690" s="35">
        <v>50</v>
      </c>
      <c r="K690" s="36"/>
      <c r="L690" s="36"/>
      <c r="M690" s="36"/>
      <c r="N690" s="36"/>
      <c r="O690" s="36"/>
      <c r="P690" s="36"/>
      <c r="Q690" s="36"/>
      <c r="R690" s="36"/>
      <c r="S690" s="36"/>
      <c r="T690" s="36"/>
    </row>
    <row r="691" spans="1:20" ht="15.75">
      <c r="A691" s="13">
        <v>62548</v>
      </c>
      <c r="B691" s="44">
        <f t="shared" si="1"/>
        <v>31</v>
      </c>
      <c r="C691" s="35">
        <v>122.58</v>
      </c>
      <c r="D691" s="35">
        <v>297.94099999999997</v>
      </c>
      <c r="E691" s="41">
        <v>729.47900000000004</v>
      </c>
      <c r="F691" s="35">
        <v>1150</v>
      </c>
      <c r="G691" s="35">
        <v>100</v>
      </c>
      <c r="H691" s="43">
        <v>600</v>
      </c>
      <c r="I691" s="35">
        <v>695</v>
      </c>
      <c r="J691" s="35">
        <v>50</v>
      </c>
      <c r="K691" s="36"/>
      <c r="L691" s="36"/>
      <c r="M691" s="36"/>
      <c r="N691" s="36"/>
      <c r="O691" s="36"/>
      <c r="P691" s="36"/>
      <c r="Q691" s="36"/>
      <c r="R691" s="36"/>
      <c r="S691" s="36"/>
      <c r="T691" s="36"/>
    </row>
    <row r="692" spans="1:20" ht="15.75">
      <c r="A692" s="13">
        <v>62578</v>
      </c>
      <c r="B692" s="44">
        <f t="shared" si="1"/>
        <v>30</v>
      </c>
      <c r="C692" s="35">
        <v>141.29300000000001</v>
      </c>
      <c r="D692" s="35">
        <v>267.99299999999999</v>
      </c>
      <c r="E692" s="41">
        <v>829.71400000000006</v>
      </c>
      <c r="F692" s="35">
        <v>1239</v>
      </c>
      <c r="G692" s="35">
        <v>100</v>
      </c>
      <c r="H692" s="43">
        <v>600</v>
      </c>
      <c r="I692" s="35">
        <v>695</v>
      </c>
      <c r="J692" s="35">
        <v>50</v>
      </c>
      <c r="K692" s="36"/>
      <c r="L692" s="36"/>
      <c r="M692" s="36"/>
      <c r="N692" s="36"/>
      <c r="O692" s="36"/>
      <c r="P692" s="36"/>
      <c r="Q692" s="36"/>
      <c r="R692" s="36"/>
      <c r="S692" s="36"/>
      <c r="T692" s="36"/>
    </row>
    <row r="693" spans="1:20" ht="15.75">
      <c r="A693" s="13">
        <v>62609</v>
      </c>
      <c r="B693" s="44">
        <f t="shared" si="1"/>
        <v>31</v>
      </c>
      <c r="C693" s="35">
        <v>194.20500000000001</v>
      </c>
      <c r="D693" s="35">
        <v>267.46600000000001</v>
      </c>
      <c r="E693" s="41">
        <v>812.32899999999995</v>
      </c>
      <c r="F693" s="35">
        <v>1274</v>
      </c>
      <c r="G693" s="35">
        <v>75</v>
      </c>
      <c r="H693" s="43">
        <v>600</v>
      </c>
      <c r="I693" s="35">
        <v>695</v>
      </c>
      <c r="J693" s="35">
        <v>50</v>
      </c>
      <c r="K693" s="36"/>
      <c r="L693" s="36"/>
      <c r="M693" s="36"/>
      <c r="N693" s="36"/>
      <c r="O693" s="36"/>
      <c r="P693" s="36"/>
      <c r="Q693" s="36"/>
      <c r="R693" s="36"/>
      <c r="S693" s="36"/>
      <c r="T693" s="36"/>
    </row>
    <row r="694" spans="1:20" ht="15.75">
      <c r="A694" s="13">
        <v>62639</v>
      </c>
      <c r="B694" s="44">
        <f t="shared" si="1"/>
        <v>30</v>
      </c>
      <c r="C694" s="35">
        <v>194.20500000000001</v>
      </c>
      <c r="D694" s="35">
        <v>267.46600000000001</v>
      </c>
      <c r="E694" s="41">
        <v>812.32899999999995</v>
      </c>
      <c r="F694" s="35">
        <v>1274</v>
      </c>
      <c r="G694" s="35">
        <v>50</v>
      </c>
      <c r="H694" s="43">
        <v>600</v>
      </c>
      <c r="I694" s="35">
        <v>695</v>
      </c>
      <c r="J694" s="35">
        <v>50</v>
      </c>
      <c r="K694" s="36"/>
      <c r="L694" s="36"/>
      <c r="M694" s="36"/>
      <c r="N694" s="36"/>
      <c r="O694" s="36"/>
      <c r="P694" s="36"/>
      <c r="Q694" s="36"/>
      <c r="R694" s="36"/>
      <c r="S694" s="36"/>
      <c r="T694" s="36"/>
    </row>
    <row r="695" spans="1:20" ht="15.75">
      <c r="A695" s="13">
        <v>62670</v>
      </c>
      <c r="B695" s="44">
        <f t="shared" si="1"/>
        <v>31</v>
      </c>
      <c r="C695" s="35">
        <v>194.20500000000001</v>
      </c>
      <c r="D695" s="35">
        <v>267.46600000000001</v>
      </c>
      <c r="E695" s="41">
        <v>812.32899999999995</v>
      </c>
      <c r="F695" s="35">
        <v>1274</v>
      </c>
      <c r="G695" s="35">
        <v>50</v>
      </c>
      <c r="H695" s="43">
        <v>600</v>
      </c>
      <c r="I695" s="35">
        <v>695</v>
      </c>
      <c r="J695" s="35">
        <v>0</v>
      </c>
      <c r="K695" s="36"/>
      <c r="L695" s="36"/>
      <c r="M695" s="36"/>
      <c r="N695" s="36"/>
      <c r="O695" s="36"/>
      <c r="P695" s="36"/>
      <c r="Q695" s="36"/>
      <c r="R695" s="36"/>
      <c r="S695" s="36"/>
      <c r="T695" s="36"/>
    </row>
    <row r="696" spans="1:20" ht="15.75">
      <c r="A696" s="13">
        <v>62701</v>
      </c>
      <c r="B696" s="44">
        <f t="shared" si="1"/>
        <v>31</v>
      </c>
      <c r="C696" s="35">
        <v>194.20500000000001</v>
      </c>
      <c r="D696" s="35">
        <v>267.46600000000001</v>
      </c>
      <c r="E696" s="41">
        <v>812.32899999999995</v>
      </c>
      <c r="F696" s="35">
        <v>1274</v>
      </c>
      <c r="G696" s="35">
        <v>50</v>
      </c>
      <c r="H696" s="43">
        <v>600</v>
      </c>
      <c r="I696" s="35">
        <v>695</v>
      </c>
      <c r="J696" s="35">
        <v>0</v>
      </c>
      <c r="K696" s="36"/>
      <c r="L696" s="36"/>
      <c r="M696" s="36"/>
      <c r="N696" s="36"/>
      <c r="O696" s="36"/>
      <c r="P696" s="36"/>
      <c r="Q696" s="36"/>
      <c r="R696" s="36"/>
      <c r="S696" s="36"/>
      <c r="T696" s="36"/>
    </row>
    <row r="697" spans="1:20" ht="15.75">
      <c r="A697" s="13">
        <v>62731</v>
      </c>
      <c r="B697" s="44">
        <f t="shared" si="1"/>
        <v>30</v>
      </c>
      <c r="C697" s="35">
        <v>194.20500000000001</v>
      </c>
      <c r="D697" s="35">
        <v>267.46600000000001</v>
      </c>
      <c r="E697" s="41">
        <v>812.32899999999995</v>
      </c>
      <c r="F697" s="35">
        <v>1274</v>
      </c>
      <c r="G697" s="35">
        <v>50</v>
      </c>
      <c r="H697" s="43">
        <v>600</v>
      </c>
      <c r="I697" s="35">
        <v>695</v>
      </c>
      <c r="J697" s="35">
        <v>0</v>
      </c>
      <c r="K697" s="36"/>
      <c r="L697" s="36"/>
      <c r="M697" s="36"/>
      <c r="N697" s="36"/>
      <c r="O697" s="36"/>
      <c r="P697" s="36"/>
      <c r="Q697" s="36"/>
      <c r="R697" s="36"/>
      <c r="S697" s="36"/>
      <c r="T697" s="36"/>
    </row>
    <row r="698" spans="1:20" ht="15.75">
      <c r="A698" s="13">
        <v>62762</v>
      </c>
      <c r="B698" s="44">
        <f t="shared" si="1"/>
        <v>31</v>
      </c>
      <c r="C698" s="35">
        <v>131.881</v>
      </c>
      <c r="D698" s="35">
        <v>277.16699999999997</v>
      </c>
      <c r="E698" s="41">
        <v>829.952</v>
      </c>
      <c r="F698" s="35">
        <v>1239</v>
      </c>
      <c r="G698" s="35">
        <v>75</v>
      </c>
      <c r="H698" s="43">
        <v>600</v>
      </c>
      <c r="I698" s="35">
        <v>695</v>
      </c>
      <c r="J698" s="35">
        <v>0</v>
      </c>
      <c r="K698" s="36"/>
      <c r="L698" s="36"/>
      <c r="M698" s="36"/>
      <c r="N698" s="36"/>
      <c r="O698" s="36"/>
      <c r="P698" s="36"/>
      <c r="Q698" s="36"/>
      <c r="R698" s="36"/>
      <c r="S698" s="36"/>
      <c r="T698" s="36"/>
    </row>
    <row r="699" spans="1:20" ht="15.75">
      <c r="A699" s="13">
        <v>62792</v>
      </c>
      <c r="B699" s="44">
        <f t="shared" si="1"/>
        <v>30</v>
      </c>
      <c r="C699" s="35">
        <v>122.58</v>
      </c>
      <c r="D699" s="35">
        <v>297.94099999999997</v>
      </c>
      <c r="E699" s="41">
        <v>729.47900000000004</v>
      </c>
      <c r="F699" s="35">
        <v>1150</v>
      </c>
      <c r="G699" s="35">
        <v>100</v>
      </c>
      <c r="H699" s="43">
        <v>600</v>
      </c>
      <c r="I699" s="35">
        <v>695</v>
      </c>
      <c r="J699" s="35">
        <v>50</v>
      </c>
      <c r="K699" s="36"/>
      <c r="L699" s="36"/>
      <c r="M699" s="36"/>
      <c r="N699" s="36"/>
      <c r="O699" s="36"/>
      <c r="P699" s="36"/>
      <c r="Q699" s="36"/>
      <c r="R699" s="36"/>
      <c r="S699" s="36"/>
      <c r="T699" s="36"/>
    </row>
    <row r="700" spans="1:20" ht="15.75">
      <c r="A700" s="13">
        <v>62823</v>
      </c>
      <c r="B700" s="44">
        <f t="shared" si="1"/>
        <v>31</v>
      </c>
      <c r="C700" s="35">
        <v>122.58</v>
      </c>
      <c r="D700" s="35">
        <v>297.94099999999997</v>
      </c>
      <c r="E700" s="41">
        <v>729.47900000000004</v>
      </c>
      <c r="F700" s="35">
        <v>1150</v>
      </c>
      <c r="G700" s="35">
        <v>100</v>
      </c>
      <c r="H700" s="43">
        <v>600</v>
      </c>
      <c r="I700" s="35">
        <v>695</v>
      </c>
      <c r="J700" s="35">
        <v>50</v>
      </c>
      <c r="K700" s="36"/>
      <c r="L700" s="36"/>
      <c r="M700" s="36"/>
      <c r="N700" s="36"/>
      <c r="O700" s="36"/>
      <c r="P700" s="36"/>
      <c r="Q700" s="36"/>
      <c r="R700" s="36"/>
      <c r="S700" s="36"/>
      <c r="T700" s="36"/>
    </row>
    <row r="701" spans="1:20" ht="15.75">
      <c r="A701" s="13">
        <v>62854</v>
      </c>
      <c r="B701" s="44">
        <f t="shared" si="1"/>
        <v>31</v>
      </c>
      <c r="C701" s="35">
        <v>122.58</v>
      </c>
      <c r="D701" s="35">
        <v>297.94099999999997</v>
      </c>
      <c r="E701" s="41">
        <v>729.47900000000004</v>
      </c>
      <c r="F701" s="35">
        <v>1150</v>
      </c>
      <c r="G701" s="35">
        <v>100</v>
      </c>
      <c r="H701" s="43">
        <v>600</v>
      </c>
      <c r="I701" s="35">
        <v>695</v>
      </c>
      <c r="J701" s="35">
        <v>50</v>
      </c>
      <c r="K701" s="36"/>
      <c r="L701" s="36"/>
      <c r="M701" s="36"/>
      <c r="N701" s="36"/>
      <c r="O701" s="36"/>
      <c r="P701" s="36"/>
      <c r="Q701" s="36"/>
      <c r="R701" s="36"/>
      <c r="S701" s="36"/>
      <c r="T701" s="36"/>
    </row>
    <row r="702" spans="1:20" ht="15.75">
      <c r="A702" s="13">
        <v>62883</v>
      </c>
      <c r="B702" s="44">
        <f t="shared" si="1"/>
        <v>29</v>
      </c>
      <c r="C702" s="35">
        <v>122.58</v>
      </c>
      <c r="D702" s="35">
        <v>297.94099999999997</v>
      </c>
      <c r="E702" s="41">
        <v>729.47900000000004</v>
      </c>
      <c r="F702" s="35">
        <v>1150</v>
      </c>
      <c r="G702" s="35">
        <v>100</v>
      </c>
      <c r="H702" s="43">
        <v>600</v>
      </c>
      <c r="I702" s="35">
        <v>695</v>
      </c>
      <c r="J702" s="35">
        <v>50</v>
      </c>
      <c r="K702" s="36"/>
      <c r="L702" s="36"/>
      <c r="M702" s="36"/>
      <c r="N702" s="36"/>
      <c r="O702" s="36"/>
      <c r="P702" s="36"/>
      <c r="Q702" s="36"/>
      <c r="R702" s="36"/>
      <c r="S702" s="36"/>
      <c r="T702" s="36"/>
    </row>
    <row r="703" spans="1:20" ht="15.75">
      <c r="A703" s="13">
        <v>62914</v>
      </c>
      <c r="B703" s="44">
        <f t="shared" si="1"/>
        <v>31</v>
      </c>
      <c r="C703" s="35">
        <v>122.58</v>
      </c>
      <c r="D703" s="35">
        <v>297.94099999999997</v>
      </c>
      <c r="E703" s="41">
        <v>729.47900000000004</v>
      </c>
      <c r="F703" s="35">
        <v>1150</v>
      </c>
      <c r="G703" s="35">
        <v>100</v>
      </c>
      <c r="H703" s="43">
        <v>600</v>
      </c>
      <c r="I703" s="35">
        <v>695</v>
      </c>
      <c r="J703" s="35">
        <v>50</v>
      </c>
      <c r="K703" s="36"/>
      <c r="L703" s="36"/>
      <c r="M703" s="36"/>
      <c r="N703" s="36"/>
      <c r="O703" s="36"/>
      <c r="P703" s="36"/>
      <c r="Q703" s="36"/>
      <c r="R703" s="36"/>
      <c r="S703" s="36"/>
      <c r="T703" s="36"/>
    </row>
    <row r="704" spans="1:20" ht="15.75">
      <c r="A704" s="13">
        <v>62944</v>
      </c>
      <c r="B704" s="44">
        <f t="shared" si="1"/>
        <v>30</v>
      </c>
      <c r="C704" s="35">
        <v>141.29300000000001</v>
      </c>
      <c r="D704" s="35">
        <v>267.99299999999999</v>
      </c>
      <c r="E704" s="41">
        <v>829.71400000000006</v>
      </c>
      <c r="F704" s="35">
        <v>1239</v>
      </c>
      <c r="G704" s="35">
        <v>100</v>
      </c>
      <c r="H704" s="43">
        <v>600</v>
      </c>
      <c r="I704" s="35">
        <v>695</v>
      </c>
      <c r="J704" s="35">
        <v>50</v>
      </c>
      <c r="K704" s="36"/>
      <c r="L704" s="36"/>
      <c r="M704" s="36"/>
      <c r="N704" s="36"/>
      <c r="O704" s="36"/>
      <c r="P704" s="36"/>
      <c r="Q704" s="36"/>
      <c r="R704" s="36"/>
      <c r="S704" s="36"/>
      <c r="T704" s="36"/>
    </row>
    <row r="705" spans="1:20" ht="15.75">
      <c r="A705" s="13">
        <v>62975</v>
      </c>
      <c r="B705" s="44">
        <f t="shared" si="1"/>
        <v>31</v>
      </c>
      <c r="C705" s="35">
        <v>194.20500000000001</v>
      </c>
      <c r="D705" s="35">
        <v>267.46600000000001</v>
      </c>
      <c r="E705" s="41">
        <v>812.32899999999995</v>
      </c>
      <c r="F705" s="35">
        <v>1274</v>
      </c>
      <c r="G705" s="35">
        <v>75</v>
      </c>
      <c r="H705" s="43">
        <v>600</v>
      </c>
      <c r="I705" s="35">
        <v>695</v>
      </c>
      <c r="J705" s="35">
        <v>50</v>
      </c>
      <c r="K705" s="36"/>
      <c r="L705" s="36"/>
      <c r="M705" s="36"/>
      <c r="N705" s="36"/>
      <c r="O705" s="36"/>
      <c r="P705" s="36"/>
      <c r="Q705" s="36"/>
      <c r="R705" s="36"/>
      <c r="S705" s="36"/>
      <c r="T705" s="36"/>
    </row>
    <row r="706" spans="1:20" ht="15.75">
      <c r="A706" s="13">
        <v>63005</v>
      </c>
      <c r="B706" s="44">
        <f t="shared" si="1"/>
        <v>30</v>
      </c>
      <c r="C706" s="35">
        <v>194.20500000000001</v>
      </c>
      <c r="D706" s="35">
        <v>267.46600000000001</v>
      </c>
      <c r="E706" s="41">
        <v>812.32899999999995</v>
      </c>
      <c r="F706" s="35">
        <v>1274</v>
      </c>
      <c r="G706" s="35">
        <v>50</v>
      </c>
      <c r="H706" s="43">
        <v>600</v>
      </c>
      <c r="I706" s="35">
        <v>695</v>
      </c>
      <c r="J706" s="35">
        <v>50</v>
      </c>
      <c r="K706" s="36"/>
      <c r="L706" s="36"/>
      <c r="M706" s="36"/>
      <c r="N706" s="36"/>
      <c r="O706" s="36"/>
      <c r="P706" s="36"/>
      <c r="Q706" s="36"/>
      <c r="R706" s="36"/>
      <c r="S706" s="36"/>
      <c r="T706" s="36"/>
    </row>
    <row r="707" spans="1:20" ht="15.75">
      <c r="A707" s="13">
        <v>63036</v>
      </c>
      <c r="B707" s="44">
        <f t="shared" si="1"/>
        <v>31</v>
      </c>
      <c r="C707" s="35">
        <v>194.20500000000001</v>
      </c>
      <c r="D707" s="35">
        <v>267.46600000000001</v>
      </c>
      <c r="E707" s="41">
        <v>812.32899999999995</v>
      </c>
      <c r="F707" s="35">
        <v>1274</v>
      </c>
      <c r="G707" s="35">
        <v>50</v>
      </c>
      <c r="H707" s="43">
        <v>600</v>
      </c>
      <c r="I707" s="35">
        <v>695</v>
      </c>
      <c r="J707" s="35">
        <v>0</v>
      </c>
      <c r="K707" s="36"/>
      <c r="L707" s="36"/>
      <c r="M707" s="36"/>
      <c r="N707" s="36"/>
      <c r="O707" s="36"/>
      <c r="P707" s="36"/>
      <c r="Q707" s="36"/>
      <c r="R707" s="36"/>
      <c r="S707" s="36"/>
      <c r="T707" s="36"/>
    </row>
    <row r="708" spans="1:20" ht="15.75">
      <c r="A708" s="13">
        <v>63067</v>
      </c>
      <c r="B708" s="44">
        <f t="shared" si="1"/>
        <v>31</v>
      </c>
      <c r="C708" s="35">
        <v>194.20500000000001</v>
      </c>
      <c r="D708" s="35">
        <v>267.46600000000001</v>
      </c>
      <c r="E708" s="41">
        <v>812.32899999999995</v>
      </c>
      <c r="F708" s="35">
        <v>1274</v>
      </c>
      <c r="G708" s="35">
        <v>50</v>
      </c>
      <c r="H708" s="43">
        <v>600</v>
      </c>
      <c r="I708" s="35">
        <v>695</v>
      </c>
      <c r="J708" s="35">
        <v>0</v>
      </c>
      <c r="K708" s="36"/>
      <c r="L708" s="36"/>
      <c r="M708" s="36"/>
      <c r="N708" s="36"/>
      <c r="O708" s="36"/>
      <c r="P708" s="36"/>
      <c r="Q708" s="36"/>
      <c r="R708" s="36"/>
      <c r="S708" s="36"/>
      <c r="T708" s="36"/>
    </row>
    <row r="709" spans="1:20" ht="15.75">
      <c r="A709" s="13">
        <v>63097</v>
      </c>
      <c r="B709" s="44">
        <f t="shared" ref="B709:B772" si="2">EOMONTH(A709,0)-EOMONTH(A709,-1)</f>
        <v>30</v>
      </c>
      <c r="C709" s="35">
        <v>194.20500000000001</v>
      </c>
      <c r="D709" s="35">
        <v>267.46600000000001</v>
      </c>
      <c r="E709" s="41">
        <v>812.32899999999995</v>
      </c>
      <c r="F709" s="35">
        <v>1274</v>
      </c>
      <c r="G709" s="35">
        <v>50</v>
      </c>
      <c r="H709" s="43">
        <v>600</v>
      </c>
      <c r="I709" s="35">
        <v>695</v>
      </c>
      <c r="J709" s="35">
        <v>0</v>
      </c>
      <c r="K709" s="36"/>
      <c r="L709" s="36"/>
      <c r="M709" s="36"/>
      <c r="N709" s="36"/>
      <c r="O709" s="36"/>
      <c r="P709" s="36"/>
      <c r="Q709" s="36"/>
      <c r="R709" s="36"/>
      <c r="S709" s="36"/>
      <c r="T709" s="36"/>
    </row>
    <row r="710" spans="1:20" ht="15.75">
      <c r="A710" s="13">
        <v>63128</v>
      </c>
      <c r="B710" s="44">
        <f t="shared" si="2"/>
        <v>31</v>
      </c>
      <c r="C710" s="35">
        <v>131.881</v>
      </c>
      <c r="D710" s="35">
        <v>277.16699999999997</v>
      </c>
      <c r="E710" s="41">
        <v>829.952</v>
      </c>
      <c r="F710" s="35">
        <v>1239</v>
      </c>
      <c r="G710" s="35">
        <v>75</v>
      </c>
      <c r="H710" s="43">
        <v>600</v>
      </c>
      <c r="I710" s="35">
        <v>695</v>
      </c>
      <c r="J710" s="35">
        <v>0</v>
      </c>
      <c r="K710" s="36"/>
      <c r="L710" s="36"/>
      <c r="M710" s="36"/>
      <c r="N710" s="36"/>
      <c r="O710" s="36"/>
      <c r="P710" s="36"/>
      <c r="Q710" s="36"/>
      <c r="R710" s="36"/>
      <c r="S710" s="36"/>
      <c r="T710" s="36"/>
    </row>
    <row r="711" spans="1:20" ht="15.75">
      <c r="A711" s="13">
        <v>63158</v>
      </c>
      <c r="B711" s="44">
        <f t="shared" si="2"/>
        <v>30</v>
      </c>
      <c r="C711" s="35">
        <v>122.58</v>
      </c>
      <c r="D711" s="35">
        <v>297.94099999999997</v>
      </c>
      <c r="E711" s="41">
        <v>729.47900000000004</v>
      </c>
      <c r="F711" s="35">
        <v>1150</v>
      </c>
      <c r="G711" s="35">
        <v>100</v>
      </c>
      <c r="H711" s="43">
        <v>600</v>
      </c>
      <c r="I711" s="35">
        <v>695</v>
      </c>
      <c r="J711" s="35">
        <v>50</v>
      </c>
      <c r="K711" s="36"/>
      <c r="L711" s="36"/>
      <c r="M711" s="36"/>
      <c r="N711" s="36"/>
      <c r="O711" s="36"/>
      <c r="P711" s="36"/>
      <c r="Q711" s="36"/>
      <c r="R711" s="36"/>
      <c r="S711" s="36"/>
      <c r="T711" s="36"/>
    </row>
    <row r="712" spans="1:20" ht="15.75">
      <c r="A712" s="13">
        <v>63189</v>
      </c>
      <c r="B712" s="44">
        <f t="shared" si="2"/>
        <v>31</v>
      </c>
      <c r="C712" s="35">
        <v>122.58</v>
      </c>
      <c r="D712" s="35">
        <v>297.94099999999997</v>
      </c>
      <c r="E712" s="41">
        <v>729.47900000000004</v>
      </c>
      <c r="F712" s="35">
        <v>1150</v>
      </c>
      <c r="G712" s="35">
        <v>100</v>
      </c>
      <c r="H712" s="43">
        <v>600</v>
      </c>
      <c r="I712" s="35">
        <v>695</v>
      </c>
      <c r="J712" s="35">
        <v>50</v>
      </c>
      <c r="K712" s="36"/>
      <c r="L712" s="36"/>
      <c r="M712" s="36"/>
      <c r="N712" s="36"/>
      <c r="O712" s="36"/>
      <c r="P712" s="36"/>
      <c r="Q712" s="36"/>
      <c r="R712" s="36"/>
      <c r="S712" s="36"/>
      <c r="T712" s="36"/>
    </row>
    <row r="713" spans="1:20" ht="15.75">
      <c r="A713" s="13">
        <v>63220</v>
      </c>
      <c r="B713" s="44">
        <f t="shared" si="2"/>
        <v>31</v>
      </c>
      <c r="C713" s="35">
        <v>122.58</v>
      </c>
      <c r="D713" s="35">
        <v>297.94099999999997</v>
      </c>
      <c r="E713" s="41">
        <v>729.47900000000004</v>
      </c>
      <c r="F713" s="35">
        <v>1150</v>
      </c>
      <c r="G713" s="35">
        <v>100</v>
      </c>
      <c r="H713" s="43">
        <v>600</v>
      </c>
      <c r="I713" s="35">
        <v>695</v>
      </c>
      <c r="J713" s="35">
        <v>50</v>
      </c>
      <c r="K713" s="36"/>
      <c r="L713" s="36"/>
      <c r="M713" s="36"/>
      <c r="N713" s="36"/>
      <c r="O713" s="36"/>
      <c r="P713" s="36"/>
      <c r="Q713" s="36"/>
      <c r="R713" s="36"/>
      <c r="S713" s="36"/>
      <c r="T713" s="36"/>
    </row>
    <row r="714" spans="1:20" ht="15.75">
      <c r="A714" s="13">
        <v>63248</v>
      </c>
      <c r="B714" s="44">
        <f t="shared" si="2"/>
        <v>28</v>
      </c>
      <c r="C714" s="35">
        <v>122.58</v>
      </c>
      <c r="D714" s="35">
        <v>297.94099999999997</v>
      </c>
      <c r="E714" s="41">
        <v>729.47900000000004</v>
      </c>
      <c r="F714" s="35">
        <v>1150</v>
      </c>
      <c r="G714" s="35">
        <v>100</v>
      </c>
      <c r="H714" s="43">
        <v>600</v>
      </c>
      <c r="I714" s="35">
        <v>695</v>
      </c>
      <c r="J714" s="35">
        <v>50</v>
      </c>
      <c r="K714" s="36"/>
      <c r="L714" s="36"/>
      <c r="M714" s="36"/>
      <c r="N714" s="36"/>
      <c r="O714" s="36"/>
      <c r="P714" s="36"/>
      <c r="Q714" s="36"/>
      <c r="R714" s="36"/>
      <c r="S714" s="36"/>
      <c r="T714" s="36"/>
    </row>
    <row r="715" spans="1:20" ht="15.75">
      <c r="A715" s="13">
        <v>63279</v>
      </c>
      <c r="B715" s="44">
        <f t="shared" si="2"/>
        <v>31</v>
      </c>
      <c r="C715" s="35">
        <v>122.58</v>
      </c>
      <c r="D715" s="35">
        <v>297.94099999999997</v>
      </c>
      <c r="E715" s="41">
        <v>729.47900000000004</v>
      </c>
      <c r="F715" s="35">
        <v>1150</v>
      </c>
      <c r="G715" s="35">
        <v>100</v>
      </c>
      <c r="H715" s="43">
        <v>600</v>
      </c>
      <c r="I715" s="35">
        <v>695</v>
      </c>
      <c r="J715" s="35">
        <v>50</v>
      </c>
      <c r="K715" s="36"/>
      <c r="L715" s="36"/>
      <c r="M715" s="36"/>
      <c r="N715" s="36"/>
      <c r="O715" s="36"/>
      <c r="P715" s="36"/>
      <c r="Q715" s="36"/>
      <c r="R715" s="36"/>
      <c r="S715" s="36"/>
      <c r="T715" s="36"/>
    </row>
    <row r="716" spans="1:20" ht="15.75">
      <c r="A716" s="13">
        <v>63309</v>
      </c>
      <c r="B716" s="44">
        <f t="shared" si="2"/>
        <v>30</v>
      </c>
      <c r="C716" s="35">
        <v>141.29300000000001</v>
      </c>
      <c r="D716" s="35">
        <v>267.99299999999999</v>
      </c>
      <c r="E716" s="41">
        <v>829.71400000000006</v>
      </c>
      <c r="F716" s="35">
        <v>1239</v>
      </c>
      <c r="G716" s="35">
        <v>100</v>
      </c>
      <c r="H716" s="43">
        <v>600</v>
      </c>
      <c r="I716" s="35">
        <v>695</v>
      </c>
      <c r="J716" s="35">
        <v>50</v>
      </c>
      <c r="K716" s="36"/>
      <c r="L716" s="36"/>
      <c r="M716" s="36"/>
      <c r="N716" s="36"/>
      <c r="O716" s="36"/>
      <c r="P716" s="36"/>
      <c r="Q716" s="36"/>
      <c r="R716" s="36"/>
      <c r="S716" s="36"/>
      <c r="T716" s="36"/>
    </row>
    <row r="717" spans="1:20" ht="15.75">
      <c r="A717" s="13">
        <v>63340</v>
      </c>
      <c r="B717" s="44">
        <f t="shared" si="2"/>
        <v>31</v>
      </c>
      <c r="C717" s="35">
        <v>194.20500000000001</v>
      </c>
      <c r="D717" s="35">
        <v>267.46600000000001</v>
      </c>
      <c r="E717" s="41">
        <v>812.32899999999995</v>
      </c>
      <c r="F717" s="35">
        <v>1274</v>
      </c>
      <c r="G717" s="35">
        <v>75</v>
      </c>
      <c r="H717" s="43">
        <v>600</v>
      </c>
      <c r="I717" s="35">
        <v>695</v>
      </c>
      <c r="J717" s="35">
        <v>50</v>
      </c>
      <c r="K717" s="36"/>
      <c r="L717" s="36"/>
      <c r="M717" s="36"/>
      <c r="N717" s="36"/>
      <c r="O717" s="36"/>
      <c r="P717" s="36"/>
      <c r="Q717" s="36"/>
      <c r="R717" s="36"/>
      <c r="S717" s="36"/>
      <c r="T717" s="36"/>
    </row>
    <row r="718" spans="1:20" ht="15.75">
      <c r="A718" s="13">
        <v>63370</v>
      </c>
      <c r="B718" s="44">
        <f t="shared" si="2"/>
        <v>30</v>
      </c>
      <c r="C718" s="35">
        <v>194.20500000000001</v>
      </c>
      <c r="D718" s="35">
        <v>267.46600000000001</v>
      </c>
      <c r="E718" s="41">
        <v>812.32899999999995</v>
      </c>
      <c r="F718" s="35">
        <v>1274</v>
      </c>
      <c r="G718" s="35">
        <v>50</v>
      </c>
      <c r="H718" s="43">
        <v>600</v>
      </c>
      <c r="I718" s="35">
        <v>695</v>
      </c>
      <c r="J718" s="35">
        <v>50</v>
      </c>
      <c r="K718" s="36"/>
      <c r="L718" s="36"/>
      <c r="M718" s="36"/>
      <c r="N718" s="36"/>
      <c r="O718" s="36"/>
      <c r="P718" s="36"/>
      <c r="Q718" s="36"/>
      <c r="R718" s="36"/>
      <c r="S718" s="36"/>
      <c r="T718" s="36"/>
    </row>
    <row r="719" spans="1:20" ht="15.75">
      <c r="A719" s="13">
        <v>63401</v>
      </c>
      <c r="B719" s="44">
        <f t="shared" si="2"/>
        <v>31</v>
      </c>
      <c r="C719" s="35">
        <v>194.20500000000001</v>
      </c>
      <c r="D719" s="35">
        <v>267.46600000000001</v>
      </c>
      <c r="E719" s="41">
        <v>812.32899999999995</v>
      </c>
      <c r="F719" s="35">
        <v>1274</v>
      </c>
      <c r="G719" s="35">
        <v>50</v>
      </c>
      <c r="H719" s="43">
        <v>600</v>
      </c>
      <c r="I719" s="35">
        <v>695</v>
      </c>
      <c r="J719" s="35">
        <v>0</v>
      </c>
      <c r="K719" s="36"/>
      <c r="L719" s="36"/>
      <c r="M719" s="36"/>
      <c r="N719" s="36"/>
      <c r="O719" s="36"/>
      <c r="P719" s="36"/>
      <c r="Q719" s="36"/>
      <c r="R719" s="36"/>
      <c r="S719" s="36"/>
      <c r="T719" s="36"/>
    </row>
    <row r="720" spans="1:20" ht="15.75">
      <c r="A720" s="13">
        <v>63432</v>
      </c>
      <c r="B720" s="44">
        <f t="shared" si="2"/>
        <v>31</v>
      </c>
      <c r="C720" s="35">
        <v>194.20500000000001</v>
      </c>
      <c r="D720" s="35">
        <v>267.46600000000001</v>
      </c>
      <c r="E720" s="41">
        <v>812.32899999999995</v>
      </c>
      <c r="F720" s="35">
        <v>1274</v>
      </c>
      <c r="G720" s="35">
        <v>50</v>
      </c>
      <c r="H720" s="43">
        <v>600</v>
      </c>
      <c r="I720" s="35">
        <v>695</v>
      </c>
      <c r="J720" s="35">
        <v>0</v>
      </c>
      <c r="K720" s="36"/>
      <c r="L720" s="36"/>
      <c r="M720" s="36"/>
      <c r="N720" s="36"/>
      <c r="O720" s="36"/>
      <c r="P720" s="36"/>
      <c r="Q720" s="36"/>
      <c r="R720" s="36"/>
      <c r="S720" s="36"/>
      <c r="T720" s="36"/>
    </row>
    <row r="721" spans="1:20" ht="15.75">
      <c r="A721" s="13">
        <v>63462</v>
      </c>
      <c r="B721" s="44">
        <f t="shared" si="2"/>
        <v>30</v>
      </c>
      <c r="C721" s="35">
        <v>194.20500000000001</v>
      </c>
      <c r="D721" s="35">
        <v>267.46600000000001</v>
      </c>
      <c r="E721" s="41">
        <v>812.32899999999995</v>
      </c>
      <c r="F721" s="35">
        <v>1274</v>
      </c>
      <c r="G721" s="35">
        <v>50</v>
      </c>
      <c r="H721" s="43">
        <v>600</v>
      </c>
      <c r="I721" s="35">
        <v>695</v>
      </c>
      <c r="J721" s="35">
        <v>0</v>
      </c>
      <c r="K721" s="36"/>
      <c r="L721" s="36"/>
      <c r="M721" s="36"/>
      <c r="N721" s="36"/>
      <c r="O721" s="36"/>
      <c r="P721" s="36"/>
      <c r="Q721" s="36"/>
      <c r="R721" s="36"/>
      <c r="S721" s="36"/>
      <c r="T721" s="36"/>
    </row>
    <row r="722" spans="1:20" ht="15.75">
      <c r="A722" s="13">
        <v>63493</v>
      </c>
      <c r="B722" s="44">
        <f t="shared" si="2"/>
        <v>31</v>
      </c>
      <c r="C722" s="35">
        <v>131.881</v>
      </c>
      <c r="D722" s="35">
        <v>277.16699999999997</v>
      </c>
      <c r="E722" s="41">
        <v>829.952</v>
      </c>
      <c r="F722" s="35">
        <v>1239</v>
      </c>
      <c r="G722" s="35">
        <v>75</v>
      </c>
      <c r="H722" s="43">
        <v>600</v>
      </c>
      <c r="I722" s="35">
        <v>695</v>
      </c>
      <c r="J722" s="35">
        <v>0</v>
      </c>
      <c r="K722" s="36"/>
      <c r="L722" s="36"/>
      <c r="M722" s="36"/>
      <c r="N722" s="36"/>
      <c r="O722" s="36"/>
      <c r="P722" s="36"/>
      <c r="Q722" s="36"/>
      <c r="R722" s="36"/>
      <c r="S722" s="36"/>
      <c r="T722" s="36"/>
    </row>
    <row r="723" spans="1:20" ht="15.75">
      <c r="A723" s="13">
        <v>63523</v>
      </c>
      <c r="B723" s="44">
        <f t="shared" si="2"/>
        <v>30</v>
      </c>
      <c r="C723" s="35">
        <v>122.58</v>
      </c>
      <c r="D723" s="35">
        <v>297.94099999999997</v>
      </c>
      <c r="E723" s="41">
        <v>729.47900000000004</v>
      </c>
      <c r="F723" s="35">
        <v>1150</v>
      </c>
      <c r="G723" s="35">
        <v>100</v>
      </c>
      <c r="H723" s="43">
        <v>600</v>
      </c>
      <c r="I723" s="35">
        <v>695</v>
      </c>
      <c r="J723" s="35">
        <v>50</v>
      </c>
      <c r="K723" s="36"/>
      <c r="L723" s="36"/>
      <c r="M723" s="36"/>
      <c r="N723" s="36"/>
      <c r="O723" s="36"/>
      <c r="P723" s="36"/>
      <c r="Q723" s="36"/>
      <c r="R723" s="36"/>
      <c r="S723" s="36"/>
      <c r="T723" s="36"/>
    </row>
    <row r="724" spans="1:20" ht="15.75">
      <c r="A724" s="13">
        <v>63554</v>
      </c>
      <c r="B724" s="44">
        <f t="shared" si="2"/>
        <v>31</v>
      </c>
      <c r="C724" s="35">
        <v>122.58</v>
      </c>
      <c r="D724" s="35">
        <v>297.94099999999997</v>
      </c>
      <c r="E724" s="41">
        <v>729.47900000000004</v>
      </c>
      <c r="F724" s="35">
        <v>1150</v>
      </c>
      <c r="G724" s="35">
        <v>100</v>
      </c>
      <c r="H724" s="43">
        <v>600</v>
      </c>
      <c r="I724" s="35">
        <v>695</v>
      </c>
      <c r="J724" s="35">
        <v>50</v>
      </c>
      <c r="K724" s="36"/>
      <c r="L724" s="36"/>
      <c r="M724" s="36"/>
      <c r="N724" s="36"/>
      <c r="O724" s="36"/>
      <c r="P724" s="36"/>
      <c r="Q724" s="36"/>
      <c r="R724" s="36"/>
      <c r="S724" s="36"/>
      <c r="T724" s="36"/>
    </row>
    <row r="725" spans="1:20" ht="15.75">
      <c r="A725" s="13">
        <v>63585</v>
      </c>
      <c r="B725" s="44">
        <f t="shared" si="2"/>
        <v>31</v>
      </c>
      <c r="C725" s="35">
        <v>122.58</v>
      </c>
      <c r="D725" s="35">
        <v>297.94099999999997</v>
      </c>
      <c r="E725" s="41">
        <v>729.47900000000004</v>
      </c>
      <c r="F725" s="35">
        <v>1150</v>
      </c>
      <c r="G725" s="35">
        <v>100</v>
      </c>
      <c r="H725" s="43">
        <v>600</v>
      </c>
      <c r="I725" s="35">
        <v>695</v>
      </c>
      <c r="J725" s="35">
        <v>50</v>
      </c>
      <c r="K725" s="36"/>
      <c r="L725" s="36"/>
      <c r="M725" s="36"/>
      <c r="N725" s="36"/>
      <c r="O725" s="36"/>
      <c r="P725" s="36"/>
      <c r="Q725" s="36"/>
      <c r="R725" s="36"/>
      <c r="S725" s="36"/>
      <c r="T725" s="36"/>
    </row>
    <row r="726" spans="1:20" ht="15.75">
      <c r="A726" s="13">
        <v>63613</v>
      </c>
      <c r="B726" s="44">
        <f t="shared" si="2"/>
        <v>28</v>
      </c>
      <c r="C726" s="35">
        <v>122.58</v>
      </c>
      <c r="D726" s="35">
        <v>297.94099999999997</v>
      </c>
      <c r="E726" s="41">
        <v>729.47900000000004</v>
      </c>
      <c r="F726" s="35">
        <v>1150</v>
      </c>
      <c r="G726" s="35">
        <v>100</v>
      </c>
      <c r="H726" s="43">
        <v>600</v>
      </c>
      <c r="I726" s="35">
        <v>695</v>
      </c>
      <c r="J726" s="35">
        <v>50</v>
      </c>
      <c r="K726" s="36"/>
      <c r="L726" s="36"/>
      <c r="M726" s="36"/>
      <c r="N726" s="36"/>
      <c r="O726" s="36"/>
      <c r="P726" s="36"/>
      <c r="Q726" s="36"/>
      <c r="R726" s="36"/>
      <c r="S726" s="36"/>
      <c r="T726" s="36"/>
    </row>
    <row r="727" spans="1:20" ht="15.75">
      <c r="A727" s="13">
        <v>63644</v>
      </c>
      <c r="B727" s="44">
        <f t="shared" si="2"/>
        <v>31</v>
      </c>
      <c r="C727" s="35">
        <v>122.58</v>
      </c>
      <c r="D727" s="35">
        <v>297.94099999999997</v>
      </c>
      <c r="E727" s="41">
        <v>729.47900000000004</v>
      </c>
      <c r="F727" s="35">
        <v>1150</v>
      </c>
      <c r="G727" s="35">
        <v>100</v>
      </c>
      <c r="H727" s="43">
        <v>600</v>
      </c>
      <c r="I727" s="35">
        <v>695</v>
      </c>
      <c r="J727" s="35">
        <v>50</v>
      </c>
      <c r="K727" s="36"/>
      <c r="L727" s="36"/>
      <c r="M727" s="36"/>
      <c r="N727" s="36"/>
      <c r="O727" s="36"/>
      <c r="P727" s="36"/>
      <c r="Q727" s="36"/>
      <c r="R727" s="36"/>
      <c r="S727" s="36"/>
      <c r="T727" s="36"/>
    </row>
    <row r="728" spans="1:20" ht="15.75">
      <c r="A728" s="13">
        <v>63674</v>
      </c>
      <c r="B728" s="44">
        <f t="shared" si="2"/>
        <v>30</v>
      </c>
      <c r="C728" s="35">
        <v>141.29300000000001</v>
      </c>
      <c r="D728" s="35">
        <v>267.99299999999999</v>
      </c>
      <c r="E728" s="41">
        <v>829.71400000000006</v>
      </c>
      <c r="F728" s="35">
        <v>1239</v>
      </c>
      <c r="G728" s="35">
        <v>100</v>
      </c>
      <c r="H728" s="43">
        <v>600</v>
      </c>
      <c r="I728" s="35">
        <v>695</v>
      </c>
      <c r="J728" s="35">
        <v>50</v>
      </c>
      <c r="K728" s="36"/>
      <c r="L728" s="36"/>
      <c r="M728" s="36"/>
      <c r="N728" s="36"/>
      <c r="O728" s="36"/>
      <c r="P728" s="36"/>
      <c r="Q728" s="36"/>
      <c r="R728" s="36"/>
      <c r="S728" s="36"/>
      <c r="T728" s="36"/>
    </row>
    <row r="729" spans="1:20" ht="15.75">
      <c r="A729" s="13">
        <v>63705</v>
      </c>
      <c r="B729" s="44">
        <f t="shared" si="2"/>
        <v>31</v>
      </c>
      <c r="C729" s="35">
        <v>194.20500000000001</v>
      </c>
      <c r="D729" s="35">
        <v>267.46600000000001</v>
      </c>
      <c r="E729" s="41">
        <v>812.32899999999995</v>
      </c>
      <c r="F729" s="35">
        <v>1274</v>
      </c>
      <c r="G729" s="35">
        <v>75</v>
      </c>
      <c r="H729" s="43">
        <v>600</v>
      </c>
      <c r="I729" s="35">
        <v>695</v>
      </c>
      <c r="J729" s="35">
        <v>50</v>
      </c>
      <c r="K729" s="36"/>
      <c r="L729" s="36"/>
      <c r="M729" s="36"/>
      <c r="N729" s="36"/>
      <c r="O729" s="36"/>
      <c r="P729" s="36"/>
      <c r="Q729" s="36"/>
      <c r="R729" s="36"/>
      <c r="S729" s="36"/>
      <c r="T729" s="36"/>
    </row>
    <row r="730" spans="1:20" ht="15.75">
      <c r="A730" s="13">
        <v>63735</v>
      </c>
      <c r="B730" s="44">
        <f t="shared" si="2"/>
        <v>30</v>
      </c>
      <c r="C730" s="35">
        <v>194.20500000000001</v>
      </c>
      <c r="D730" s="35">
        <v>267.46600000000001</v>
      </c>
      <c r="E730" s="41">
        <v>812.32899999999995</v>
      </c>
      <c r="F730" s="35">
        <v>1274</v>
      </c>
      <c r="G730" s="35">
        <v>50</v>
      </c>
      <c r="H730" s="43">
        <v>600</v>
      </c>
      <c r="I730" s="35">
        <v>695</v>
      </c>
      <c r="J730" s="35">
        <v>50</v>
      </c>
      <c r="K730" s="36"/>
      <c r="L730" s="36"/>
      <c r="M730" s="36"/>
      <c r="N730" s="36"/>
      <c r="O730" s="36"/>
      <c r="P730" s="36"/>
      <c r="Q730" s="36"/>
      <c r="R730" s="36"/>
      <c r="S730" s="36"/>
      <c r="T730" s="36"/>
    </row>
    <row r="731" spans="1:20" ht="15.75">
      <c r="A731" s="13">
        <v>63766</v>
      </c>
      <c r="B731" s="44">
        <f t="shared" si="2"/>
        <v>31</v>
      </c>
      <c r="C731" s="35">
        <v>194.20500000000001</v>
      </c>
      <c r="D731" s="35">
        <v>267.46600000000001</v>
      </c>
      <c r="E731" s="41">
        <v>812.32899999999995</v>
      </c>
      <c r="F731" s="35">
        <v>1274</v>
      </c>
      <c r="G731" s="35">
        <v>50</v>
      </c>
      <c r="H731" s="43">
        <v>600</v>
      </c>
      <c r="I731" s="35">
        <v>695</v>
      </c>
      <c r="J731" s="35">
        <v>0</v>
      </c>
      <c r="K731" s="36"/>
      <c r="L731" s="36"/>
      <c r="M731" s="36"/>
      <c r="N731" s="36"/>
      <c r="O731" s="36"/>
      <c r="P731" s="36"/>
      <c r="Q731" s="36"/>
      <c r="R731" s="36"/>
      <c r="S731" s="36"/>
      <c r="T731" s="36"/>
    </row>
    <row r="732" spans="1:20" ht="15.75">
      <c r="A732" s="13">
        <v>63797</v>
      </c>
      <c r="B732" s="44">
        <f t="shared" si="2"/>
        <v>31</v>
      </c>
      <c r="C732" s="35">
        <v>194.20500000000001</v>
      </c>
      <c r="D732" s="35">
        <v>267.46600000000001</v>
      </c>
      <c r="E732" s="41">
        <v>812.32899999999995</v>
      </c>
      <c r="F732" s="35">
        <v>1274</v>
      </c>
      <c r="G732" s="35">
        <v>50</v>
      </c>
      <c r="H732" s="43">
        <v>600</v>
      </c>
      <c r="I732" s="35">
        <v>695</v>
      </c>
      <c r="J732" s="35">
        <v>0</v>
      </c>
      <c r="K732" s="36"/>
      <c r="L732" s="36"/>
      <c r="M732" s="36"/>
      <c r="N732" s="36"/>
      <c r="O732" s="36"/>
      <c r="P732" s="36"/>
      <c r="Q732" s="36"/>
      <c r="R732" s="36"/>
      <c r="S732" s="36"/>
      <c r="T732" s="36"/>
    </row>
    <row r="733" spans="1:20" ht="15.75">
      <c r="A733" s="13">
        <v>63827</v>
      </c>
      <c r="B733" s="44">
        <f t="shared" si="2"/>
        <v>30</v>
      </c>
      <c r="C733" s="35">
        <v>194.20500000000001</v>
      </c>
      <c r="D733" s="35">
        <v>267.46600000000001</v>
      </c>
      <c r="E733" s="41">
        <v>812.32899999999995</v>
      </c>
      <c r="F733" s="35">
        <v>1274</v>
      </c>
      <c r="G733" s="35">
        <v>50</v>
      </c>
      <c r="H733" s="43">
        <v>600</v>
      </c>
      <c r="I733" s="35">
        <v>695</v>
      </c>
      <c r="J733" s="35">
        <v>0</v>
      </c>
      <c r="K733" s="36"/>
      <c r="L733" s="36"/>
      <c r="M733" s="36"/>
      <c r="N733" s="36"/>
      <c r="O733" s="36"/>
      <c r="P733" s="36"/>
      <c r="Q733" s="36"/>
      <c r="R733" s="36"/>
      <c r="S733" s="36"/>
      <c r="T733" s="36"/>
    </row>
    <row r="734" spans="1:20" ht="15.75">
      <c r="A734" s="13">
        <v>63858</v>
      </c>
      <c r="B734" s="44">
        <f t="shared" si="2"/>
        <v>31</v>
      </c>
      <c r="C734" s="35">
        <v>131.881</v>
      </c>
      <c r="D734" s="35">
        <v>277.16699999999997</v>
      </c>
      <c r="E734" s="41">
        <v>829.952</v>
      </c>
      <c r="F734" s="35">
        <v>1239</v>
      </c>
      <c r="G734" s="35">
        <v>75</v>
      </c>
      <c r="H734" s="43">
        <v>600</v>
      </c>
      <c r="I734" s="35">
        <v>695</v>
      </c>
      <c r="J734" s="35">
        <v>0</v>
      </c>
      <c r="K734" s="36"/>
      <c r="L734" s="36"/>
      <c r="M734" s="36"/>
      <c r="N734" s="36"/>
      <c r="O734" s="36"/>
      <c r="P734" s="36"/>
      <c r="Q734" s="36"/>
      <c r="R734" s="36"/>
      <c r="S734" s="36"/>
      <c r="T734" s="36"/>
    </row>
    <row r="735" spans="1:20" ht="15.75">
      <c r="A735" s="13">
        <v>63888</v>
      </c>
      <c r="B735" s="44">
        <f t="shared" si="2"/>
        <v>30</v>
      </c>
      <c r="C735" s="35">
        <v>122.58</v>
      </c>
      <c r="D735" s="35">
        <v>297.94099999999997</v>
      </c>
      <c r="E735" s="41">
        <v>729.47900000000004</v>
      </c>
      <c r="F735" s="35">
        <v>1150</v>
      </c>
      <c r="G735" s="35">
        <v>100</v>
      </c>
      <c r="H735" s="43">
        <v>600</v>
      </c>
      <c r="I735" s="35">
        <v>695</v>
      </c>
      <c r="J735" s="35">
        <v>50</v>
      </c>
      <c r="K735" s="36"/>
      <c r="L735" s="36"/>
      <c r="M735" s="36"/>
      <c r="N735" s="36"/>
      <c r="O735" s="36"/>
      <c r="P735" s="36"/>
      <c r="Q735" s="36"/>
      <c r="R735" s="36"/>
      <c r="S735" s="36"/>
      <c r="T735" s="36"/>
    </row>
    <row r="736" spans="1:20" ht="15.75">
      <c r="A736" s="13">
        <v>63919</v>
      </c>
      <c r="B736" s="44">
        <f t="shared" si="2"/>
        <v>31</v>
      </c>
      <c r="C736" s="35">
        <v>122.58</v>
      </c>
      <c r="D736" s="35">
        <v>297.94099999999997</v>
      </c>
      <c r="E736" s="41">
        <v>729.47900000000004</v>
      </c>
      <c r="F736" s="35">
        <v>1150</v>
      </c>
      <c r="G736" s="35">
        <v>100</v>
      </c>
      <c r="H736" s="43">
        <v>600</v>
      </c>
      <c r="I736" s="35">
        <v>695</v>
      </c>
      <c r="J736" s="35">
        <v>50</v>
      </c>
      <c r="K736" s="36"/>
      <c r="L736" s="36"/>
      <c r="M736" s="36"/>
      <c r="N736" s="36"/>
      <c r="O736" s="36"/>
      <c r="P736" s="36"/>
      <c r="Q736" s="36"/>
      <c r="R736" s="36"/>
      <c r="S736" s="36"/>
      <c r="T736" s="36"/>
    </row>
    <row r="737" spans="1:20" ht="15.75">
      <c r="A737" s="13">
        <v>63950</v>
      </c>
      <c r="B737" s="44">
        <f t="shared" si="2"/>
        <v>31</v>
      </c>
      <c r="C737" s="35">
        <v>122.58</v>
      </c>
      <c r="D737" s="35">
        <v>297.94099999999997</v>
      </c>
      <c r="E737" s="41">
        <v>729.47900000000004</v>
      </c>
      <c r="F737" s="35">
        <v>1150</v>
      </c>
      <c r="G737" s="35">
        <v>100</v>
      </c>
      <c r="H737" s="43">
        <v>600</v>
      </c>
      <c r="I737" s="35">
        <v>695</v>
      </c>
      <c r="J737" s="35">
        <v>50</v>
      </c>
      <c r="K737" s="36"/>
      <c r="L737" s="36"/>
      <c r="M737" s="36"/>
      <c r="N737" s="36"/>
      <c r="O737" s="36"/>
      <c r="P737" s="36"/>
      <c r="Q737" s="36"/>
      <c r="R737" s="36"/>
      <c r="S737" s="36"/>
      <c r="T737" s="36"/>
    </row>
    <row r="738" spans="1:20" ht="15.75">
      <c r="A738" s="13">
        <v>63978</v>
      </c>
      <c r="B738" s="44">
        <f t="shared" si="2"/>
        <v>28</v>
      </c>
      <c r="C738" s="35">
        <v>122.58</v>
      </c>
      <c r="D738" s="35">
        <v>297.94099999999997</v>
      </c>
      <c r="E738" s="41">
        <v>729.47900000000004</v>
      </c>
      <c r="F738" s="35">
        <v>1150</v>
      </c>
      <c r="G738" s="35">
        <v>100</v>
      </c>
      <c r="H738" s="43">
        <v>600</v>
      </c>
      <c r="I738" s="35">
        <v>695</v>
      </c>
      <c r="J738" s="35">
        <v>50</v>
      </c>
      <c r="K738" s="36"/>
      <c r="L738" s="36"/>
      <c r="M738" s="36"/>
      <c r="N738" s="36"/>
      <c r="O738" s="36"/>
      <c r="P738" s="36"/>
      <c r="Q738" s="36"/>
      <c r="R738" s="36"/>
      <c r="S738" s="36"/>
      <c r="T738" s="36"/>
    </row>
    <row r="739" spans="1:20" ht="15.75">
      <c r="A739" s="13">
        <v>64009</v>
      </c>
      <c r="B739" s="44">
        <f t="shared" si="2"/>
        <v>31</v>
      </c>
      <c r="C739" s="35">
        <v>122.58</v>
      </c>
      <c r="D739" s="35">
        <v>297.94099999999997</v>
      </c>
      <c r="E739" s="41">
        <v>729.47900000000004</v>
      </c>
      <c r="F739" s="35">
        <v>1150</v>
      </c>
      <c r="G739" s="35">
        <v>100</v>
      </c>
      <c r="H739" s="43">
        <v>600</v>
      </c>
      <c r="I739" s="35">
        <v>695</v>
      </c>
      <c r="J739" s="35">
        <v>50</v>
      </c>
      <c r="K739" s="36"/>
      <c r="L739" s="36"/>
      <c r="M739" s="36"/>
      <c r="N739" s="36"/>
      <c r="O739" s="36"/>
      <c r="P739" s="36"/>
      <c r="Q739" s="36"/>
      <c r="R739" s="36"/>
      <c r="S739" s="36"/>
      <c r="T739" s="36"/>
    </row>
    <row r="740" spans="1:20" ht="15.75">
      <c r="A740" s="13">
        <v>64039</v>
      </c>
      <c r="B740" s="44">
        <f t="shared" si="2"/>
        <v>30</v>
      </c>
      <c r="C740" s="35">
        <v>141.29300000000001</v>
      </c>
      <c r="D740" s="35">
        <v>267.99299999999999</v>
      </c>
      <c r="E740" s="41">
        <v>829.71400000000006</v>
      </c>
      <c r="F740" s="35">
        <v>1239</v>
      </c>
      <c r="G740" s="35">
        <v>100</v>
      </c>
      <c r="H740" s="43">
        <v>600</v>
      </c>
      <c r="I740" s="35">
        <v>695</v>
      </c>
      <c r="J740" s="35">
        <v>50</v>
      </c>
      <c r="K740" s="36"/>
      <c r="L740" s="36"/>
      <c r="M740" s="36"/>
      <c r="N740" s="36"/>
      <c r="O740" s="36"/>
      <c r="P740" s="36"/>
      <c r="Q740" s="36"/>
      <c r="R740" s="36"/>
      <c r="S740" s="36"/>
      <c r="T740" s="36"/>
    </row>
    <row r="741" spans="1:20" ht="15.75">
      <c r="A741" s="13">
        <v>64070</v>
      </c>
      <c r="B741" s="44">
        <f t="shared" si="2"/>
        <v>31</v>
      </c>
      <c r="C741" s="35">
        <v>194.20500000000001</v>
      </c>
      <c r="D741" s="35">
        <v>267.46600000000001</v>
      </c>
      <c r="E741" s="41">
        <v>812.32899999999995</v>
      </c>
      <c r="F741" s="35">
        <v>1274</v>
      </c>
      <c r="G741" s="35">
        <v>75</v>
      </c>
      <c r="H741" s="43">
        <v>600</v>
      </c>
      <c r="I741" s="35">
        <v>695</v>
      </c>
      <c r="J741" s="35">
        <v>50</v>
      </c>
      <c r="K741" s="36"/>
      <c r="L741" s="36"/>
      <c r="M741" s="36"/>
      <c r="N741" s="36"/>
      <c r="O741" s="36"/>
      <c r="P741" s="36"/>
      <c r="Q741" s="36"/>
      <c r="R741" s="36"/>
      <c r="S741" s="36"/>
      <c r="T741" s="36"/>
    </row>
    <row r="742" spans="1:20" ht="15.75">
      <c r="A742" s="13">
        <v>64100</v>
      </c>
      <c r="B742" s="44">
        <f t="shared" si="2"/>
        <v>30</v>
      </c>
      <c r="C742" s="35">
        <v>194.20500000000001</v>
      </c>
      <c r="D742" s="35">
        <v>267.46600000000001</v>
      </c>
      <c r="E742" s="41">
        <v>812.32899999999995</v>
      </c>
      <c r="F742" s="35">
        <v>1274</v>
      </c>
      <c r="G742" s="35">
        <v>50</v>
      </c>
      <c r="H742" s="43">
        <v>600</v>
      </c>
      <c r="I742" s="35">
        <v>695</v>
      </c>
      <c r="J742" s="35">
        <v>50</v>
      </c>
      <c r="K742" s="36"/>
      <c r="L742" s="36"/>
      <c r="M742" s="36"/>
      <c r="N742" s="36"/>
      <c r="O742" s="36"/>
      <c r="P742" s="36"/>
      <c r="Q742" s="36"/>
      <c r="R742" s="36"/>
      <c r="S742" s="36"/>
      <c r="T742" s="36"/>
    </row>
    <row r="743" spans="1:20" ht="15.75">
      <c r="A743" s="13">
        <v>64131</v>
      </c>
      <c r="B743" s="44">
        <f t="shared" si="2"/>
        <v>31</v>
      </c>
      <c r="C743" s="35">
        <v>194.20500000000001</v>
      </c>
      <c r="D743" s="35">
        <v>267.46600000000001</v>
      </c>
      <c r="E743" s="41">
        <v>812.32899999999995</v>
      </c>
      <c r="F743" s="35">
        <v>1274</v>
      </c>
      <c r="G743" s="35">
        <v>50</v>
      </c>
      <c r="H743" s="43">
        <v>600</v>
      </c>
      <c r="I743" s="35">
        <v>695</v>
      </c>
      <c r="J743" s="35">
        <v>0</v>
      </c>
      <c r="K743" s="36"/>
      <c r="L743" s="36"/>
      <c r="M743" s="36"/>
      <c r="N743" s="36"/>
      <c r="O743" s="36"/>
      <c r="P743" s="36"/>
      <c r="Q743" s="36"/>
      <c r="R743" s="36"/>
      <c r="S743" s="36"/>
      <c r="T743" s="36"/>
    </row>
    <row r="744" spans="1:20" ht="15.75">
      <c r="A744" s="13">
        <v>64162</v>
      </c>
      <c r="B744" s="44">
        <f t="shared" si="2"/>
        <v>31</v>
      </c>
      <c r="C744" s="35">
        <v>194.20500000000001</v>
      </c>
      <c r="D744" s="35">
        <v>267.46600000000001</v>
      </c>
      <c r="E744" s="41">
        <v>812.32899999999995</v>
      </c>
      <c r="F744" s="35">
        <v>1274</v>
      </c>
      <c r="G744" s="35">
        <v>50</v>
      </c>
      <c r="H744" s="43">
        <v>600</v>
      </c>
      <c r="I744" s="35">
        <v>695</v>
      </c>
      <c r="J744" s="35">
        <v>0</v>
      </c>
      <c r="K744" s="36"/>
      <c r="L744" s="36"/>
      <c r="M744" s="36"/>
      <c r="N744" s="36"/>
      <c r="O744" s="36"/>
      <c r="P744" s="36"/>
      <c r="Q744" s="36"/>
      <c r="R744" s="36"/>
      <c r="S744" s="36"/>
      <c r="T744" s="36"/>
    </row>
    <row r="745" spans="1:20" ht="15.75">
      <c r="A745" s="13">
        <v>64192</v>
      </c>
      <c r="B745" s="44">
        <f t="shared" si="2"/>
        <v>30</v>
      </c>
      <c r="C745" s="35">
        <v>194.20500000000001</v>
      </c>
      <c r="D745" s="35">
        <v>267.46600000000001</v>
      </c>
      <c r="E745" s="41">
        <v>812.32899999999995</v>
      </c>
      <c r="F745" s="35">
        <v>1274</v>
      </c>
      <c r="G745" s="35">
        <v>50</v>
      </c>
      <c r="H745" s="43">
        <v>600</v>
      </c>
      <c r="I745" s="35">
        <v>695</v>
      </c>
      <c r="J745" s="35">
        <v>0</v>
      </c>
      <c r="K745" s="36"/>
      <c r="L745" s="36"/>
      <c r="M745" s="36"/>
      <c r="N745" s="36"/>
      <c r="O745" s="36"/>
      <c r="P745" s="36"/>
      <c r="Q745" s="36"/>
      <c r="R745" s="36"/>
      <c r="S745" s="36"/>
      <c r="T745" s="36"/>
    </row>
    <row r="746" spans="1:20" ht="15.75">
      <c r="A746" s="13">
        <v>64223</v>
      </c>
      <c r="B746" s="44">
        <f t="shared" si="2"/>
        <v>31</v>
      </c>
      <c r="C746" s="35">
        <v>131.881</v>
      </c>
      <c r="D746" s="35">
        <v>277.16699999999997</v>
      </c>
      <c r="E746" s="41">
        <v>829.952</v>
      </c>
      <c r="F746" s="35">
        <v>1239</v>
      </c>
      <c r="G746" s="35">
        <v>75</v>
      </c>
      <c r="H746" s="43">
        <v>600</v>
      </c>
      <c r="I746" s="35">
        <v>695</v>
      </c>
      <c r="J746" s="35">
        <v>0</v>
      </c>
      <c r="K746" s="36"/>
      <c r="L746" s="36"/>
      <c r="M746" s="36"/>
      <c r="N746" s="36"/>
      <c r="O746" s="36"/>
      <c r="P746" s="36"/>
      <c r="Q746" s="36"/>
      <c r="R746" s="36"/>
      <c r="S746" s="36"/>
      <c r="T746" s="36"/>
    </row>
    <row r="747" spans="1:20" ht="15.75">
      <c r="A747" s="13">
        <v>64253</v>
      </c>
      <c r="B747" s="44">
        <f t="shared" si="2"/>
        <v>30</v>
      </c>
      <c r="C747" s="35">
        <v>122.58</v>
      </c>
      <c r="D747" s="35">
        <v>297.94099999999997</v>
      </c>
      <c r="E747" s="41">
        <v>729.47900000000004</v>
      </c>
      <c r="F747" s="35">
        <v>1150</v>
      </c>
      <c r="G747" s="35">
        <v>100</v>
      </c>
      <c r="H747" s="43">
        <v>600</v>
      </c>
      <c r="I747" s="35">
        <v>695</v>
      </c>
      <c r="J747" s="35">
        <v>50</v>
      </c>
      <c r="K747" s="36"/>
      <c r="L747" s="36"/>
      <c r="M747" s="36"/>
      <c r="N747" s="36"/>
      <c r="O747" s="36"/>
      <c r="P747" s="36"/>
      <c r="Q747" s="36"/>
      <c r="R747" s="36"/>
      <c r="S747" s="36"/>
      <c r="T747" s="36"/>
    </row>
    <row r="748" spans="1:20" ht="15.75">
      <c r="A748" s="13">
        <v>64284</v>
      </c>
      <c r="B748" s="44">
        <f t="shared" si="2"/>
        <v>31</v>
      </c>
      <c r="C748" s="35">
        <v>122.58</v>
      </c>
      <c r="D748" s="35">
        <v>297.94099999999997</v>
      </c>
      <c r="E748" s="41">
        <v>729.47900000000004</v>
      </c>
      <c r="F748" s="35">
        <v>1150</v>
      </c>
      <c r="G748" s="35">
        <v>100</v>
      </c>
      <c r="H748" s="43">
        <v>600</v>
      </c>
      <c r="I748" s="35">
        <v>695</v>
      </c>
      <c r="J748" s="35">
        <v>50</v>
      </c>
      <c r="K748" s="36"/>
      <c r="L748" s="36"/>
      <c r="M748" s="36"/>
      <c r="N748" s="36"/>
      <c r="O748" s="36"/>
      <c r="P748" s="36"/>
      <c r="Q748" s="36"/>
      <c r="R748" s="36"/>
      <c r="S748" s="36"/>
      <c r="T748" s="36"/>
    </row>
    <row r="749" spans="1:20" ht="15.75">
      <c r="A749" s="13">
        <v>64315</v>
      </c>
      <c r="B749" s="44">
        <f t="shared" si="2"/>
        <v>31</v>
      </c>
      <c r="C749" s="35">
        <v>122.58</v>
      </c>
      <c r="D749" s="35">
        <v>297.94099999999997</v>
      </c>
      <c r="E749" s="41">
        <v>729.47900000000004</v>
      </c>
      <c r="F749" s="35">
        <v>1150</v>
      </c>
      <c r="G749" s="35">
        <v>100</v>
      </c>
      <c r="H749" s="43">
        <v>600</v>
      </c>
      <c r="I749" s="35">
        <v>695</v>
      </c>
      <c r="J749" s="35">
        <v>50</v>
      </c>
      <c r="K749" s="36"/>
      <c r="L749" s="36"/>
      <c r="M749" s="36"/>
      <c r="N749" s="36"/>
      <c r="O749" s="36"/>
      <c r="P749" s="36"/>
      <c r="Q749" s="36"/>
      <c r="R749" s="36"/>
      <c r="S749" s="36"/>
      <c r="T749" s="36"/>
    </row>
    <row r="750" spans="1:20" ht="15.75">
      <c r="A750" s="13">
        <v>64344</v>
      </c>
      <c r="B750" s="44">
        <f t="shared" si="2"/>
        <v>29</v>
      </c>
      <c r="C750" s="35">
        <v>122.58</v>
      </c>
      <c r="D750" s="35">
        <v>297.94099999999997</v>
      </c>
      <c r="E750" s="41">
        <v>729.47900000000004</v>
      </c>
      <c r="F750" s="35">
        <v>1150</v>
      </c>
      <c r="G750" s="35">
        <v>100</v>
      </c>
      <c r="H750" s="43">
        <v>600</v>
      </c>
      <c r="I750" s="35">
        <v>695</v>
      </c>
      <c r="J750" s="35">
        <v>50</v>
      </c>
      <c r="K750" s="36"/>
      <c r="L750" s="36"/>
      <c r="M750" s="36"/>
      <c r="N750" s="36"/>
      <c r="O750" s="36"/>
      <c r="P750" s="36"/>
      <c r="Q750" s="36"/>
      <c r="R750" s="36"/>
      <c r="S750" s="36"/>
      <c r="T750" s="36"/>
    </row>
    <row r="751" spans="1:20" ht="15.75">
      <c r="A751" s="13">
        <v>64375</v>
      </c>
      <c r="B751" s="44">
        <f t="shared" si="2"/>
        <v>31</v>
      </c>
      <c r="C751" s="35">
        <v>122.58</v>
      </c>
      <c r="D751" s="35">
        <v>297.94099999999997</v>
      </c>
      <c r="E751" s="41">
        <v>729.47900000000004</v>
      </c>
      <c r="F751" s="35">
        <v>1150</v>
      </c>
      <c r="G751" s="35">
        <v>100</v>
      </c>
      <c r="H751" s="43">
        <v>600</v>
      </c>
      <c r="I751" s="35">
        <v>695</v>
      </c>
      <c r="J751" s="35">
        <v>50</v>
      </c>
      <c r="K751" s="36"/>
      <c r="L751" s="36"/>
      <c r="M751" s="36"/>
      <c r="N751" s="36"/>
      <c r="O751" s="36"/>
      <c r="P751" s="36"/>
      <c r="Q751" s="36"/>
      <c r="R751" s="36"/>
      <c r="S751" s="36"/>
      <c r="T751" s="36"/>
    </row>
    <row r="752" spans="1:20" ht="15.75">
      <c r="A752" s="13">
        <v>64405</v>
      </c>
      <c r="B752" s="44">
        <f t="shared" si="2"/>
        <v>30</v>
      </c>
      <c r="C752" s="35">
        <v>141.29300000000001</v>
      </c>
      <c r="D752" s="35">
        <v>267.99299999999999</v>
      </c>
      <c r="E752" s="41">
        <v>829.71400000000006</v>
      </c>
      <c r="F752" s="35">
        <v>1239</v>
      </c>
      <c r="G752" s="35">
        <v>100</v>
      </c>
      <c r="H752" s="43">
        <v>600</v>
      </c>
      <c r="I752" s="35">
        <v>695</v>
      </c>
      <c r="J752" s="35">
        <v>50</v>
      </c>
      <c r="K752" s="36"/>
      <c r="L752" s="36"/>
      <c r="M752" s="36"/>
      <c r="N752" s="36"/>
      <c r="O752" s="36"/>
      <c r="P752" s="36"/>
      <c r="Q752" s="36"/>
      <c r="R752" s="36"/>
      <c r="S752" s="36"/>
      <c r="T752" s="36"/>
    </row>
    <row r="753" spans="1:20" ht="15.75">
      <c r="A753" s="13">
        <v>64436</v>
      </c>
      <c r="B753" s="44">
        <f t="shared" si="2"/>
        <v>31</v>
      </c>
      <c r="C753" s="35">
        <v>194.20500000000001</v>
      </c>
      <c r="D753" s="35">
        <v>267.46600000000001</v>
      </c>
      <c r="E753" s="41">
        <v>812.32899999999995</v>
      </c>
      <c r="F753" s="35">
        <v>1274</v>
      </c>
      <c r="G753" s="35">
        <v>75</v>
      </c>
      <c r="H753" s="43">
        <v>600</v>
      </c>
      <c r="I753" s="35">
        <v>695</v>
      </c>
      <c r="J753" s="35">
        <v>50</v>
      </c>
      <c r="K753" s="36"/>
      <c r="L753" s="36"/>
      <c r="M753" s="36"/>
      <c r="N753" s="36"/>
      <c r="O753" s="36"/>
      <c r="P753" s="36"/>
      <c r="Q753" s="36"/>
      <c r="R753" s="36"/>
      <c r="S753" s="36"/>
      <c r="T753" s="36"/>
    </row>
    <row r="754" spans="1:20" ht="15.75">
      <c r="A754" s="13">
        <v>64466</v>
      </c>
      <c r="B754" s="44">
        <f t="shared" si="2"/>
        <v>30</v>
      </c>
      <c r="C754" s="35">
        <v>194.20500000000001</v>
      </c>
      <c r="D754" s="35">
        <v>267.46600000000001</v>
      </c>
      <c r="E754" s="41">
        <v>812.32899999999995</v>
      </c>
      <c r="F754" s="35">
        <v>1274</v>
      </c>
      <c r="G754" s="35">
        <v>50</v>
      </c>
      <c r="H754" s="43">
        <v>600</v>
      </c>
      <c r="I754" s="35">
        <v>695</v>
      </c>
      <c r="J754" s="35">
        <v>50</v>
      </c>
      <c r="K754" s="36"/>
      <c r="L754" s="36"/>
      <c r="M754" s="36"/>
      <c r="N754" s="36"/>
      <c r="O754" s="36"/>
      <c r="P754" s="36"/>
      <c r="Q754" s="36"/>
      <c r="R754" s="36"/>
      <c r="S754" s="36"/>
      <c r="T754" s="36"/>
    </row>
    <row r="755" spans="1:20" ht="15.75">
      <c r="A755" s="13">
        <v>64497</v>
      </c>
      <c r="B755" s="44">
        <f t="shared" si="2"/>
        <v>31</v>
      </c>
      <c r="C755" s="35">
        <v>194.20500000000001</v>
      </c>
      <c r="D755" s="35">
        <v>267.46600000000001</v>
      </c>
      <c r="E755" s="41">
        <v>812.32899999999995</v>
      </c>
      <c r="F755" s="35">
        <v>1274</v>
      </c>
      <c r="G755" s="35">
        <v>50</v>
      </c>
      <c r="H755" s="43">
        <v>600</v>
      </c>
      <c r="I755" s="35">
        <v>695</v>
      </c>
      <c r="J755" s="35">
        <v>0</v>
      </c>
      <c r="K755" s="36"/>
      <c r="L755" s="36"/>
      <c r="M755" s="36"/>
      <c r="N755" s="36"/>
      <c r="O755" s="36"/>
      <c r="P755" s="36"/>
      <c r="Q755" s="36"/>
      <c r="R755" s="36"/>
      <c r="S755" s="36"/>
      <c r="T755" s="36"/>
    </row>
    <row r="756" spans="1:20" ht="15.75">
      <c r="A756" s="13">
        <v>64528</v>
      </c>
      <c r="B756" s="44">
        <f t="shared" si="2"/>
        <v>31</v>
      </c>
      <c r="C756" s="35">
        <v>194.20500000000001</v>
      </c>
      <c r="D756" s="35">
        <v>267.46600000000001</v>
      </c>
      <c r="E756" s="41">
        <v>812.32899999999995</v>
      </c>
      <c r="F756" s="35">
        <v>1274</v>
      </c>
      <c r="G756" s="35">
        <v>50</v>
      </c>
      <c r="H756" s="43">
        <v>600</v>
      </c>
      <c r="I756" s="35">
        <v>695</v>
      </c>
      <c r="J756" s="35">
        <v>0</v>
      </c>
      <c r="K756" s="36"/>
      <c r="L756" s="36"/>
      <c r="M756" s="36"/>
      <c r="N756" s="36"/>
      <c r="O756" s="36"/>
      <c r="P756" s="36"/>
      <c r="Q756" s="36"/>
      <c r="R756" s="36"/>
      <c r="S756" s="36"/>
      <c r="T756" s="36"/>
    </row>
    <row r="757" spans="1:20" ht="15.75">
      <c r="A757" s="13">
        <v>64558</v>
      </c>
      <c r="B757" s="44">
        <f t="shared" si="2"/>
        <v>30</v>
      </c>
      <c r="C757" s="35">
        <v>194.20500000000001</v>
      </c>
      <c r="D757" s="35">
        <v>267.46600000000001</v>
      </c>
      <c r="E757" s="41">
        <v>812.32899999999995</v>
      </c>
      <c r="F757" s="35">
        <v>1274</v>
      </c>
      <c r="G757" s="35">
        <v>50</v>
      </c>
      <c r="H757" s="43">
        <v>600</v>
      </c>
      <c r="I757" s="35">
        <v>695</v>
      </c>
      <c r="J757" s="35">
        <v>0</v>
      </c>
      <c r="K757" s="36"/>
      <c r="L757" s="36"/>
      <c r="M757" s="36"/>
      <c r="N757" s="36"/>
      <c r="O757" s="36"/>
      <c r="P757" s="36"/>
      <c r="Q757" s="36"/>
      <c r="R757" s="36"/>
      <c r="S757" s="36"/>
      <c r="T757" s="36"/>
    </row>
    <row r="758" spans="1:20" ht="15.75">
      <c r="A758" s="13">
        <v>64589</v>
      </c>
      <c r="B758" s="44">
        <f t="shared" si="2"/>
        <v>31</v>
      </c>
      <c r="C758" s="35">
        <v>131.881</v>
      </c>
      <c r="D758" s="35">
        <v>277.16699999999997</v>
      </c>
      <c r="E758" s="41">
        <v>829.952</v>
      </c>
      <c r="F758" s="35">
        <v>1239</v>
      </c>
      <c r="G758" s="35">
        <v>75</v>
      </c>
      <c r="H758" s="43">
        <v>600</v>
      </c>
      <c r="I758" s="35">
        <v>695</v>
      </c>
      <c r="J758" s="35">
        <v>0</v>
      </c>
      <c r="K758" s="36"/>
      <c r="L758" s="36"/>
      <c r="M758" s="36"/>
      <c r="N758" s="36"/>
      <c r="O758" s="36"/>
      <c r="P758" s="36"/>
      <c r="Q758" s="36"/>
      <c r="R758" s="36"/>
      <c r="S758" s="36"/>
      <c r="T758" s="36"/>
    </row>
    <row r="759" spans="1:20" ht="15.75">
      <c r="A759" s="13">
        <v>64619</v>
      </c>
      <c r="B759" s="44">
        <f t="shared" si="2"/>
        <v>30</v>
      </c>
      <c r="C759" s="35">
        <v>122.58</v>
      </c>
      <c r="D759" s="35">
        <v>297.94099999999997</v>
      </c>
      <c r="E759" s="41">
        <v>729.47900000000004</v>
      </c>
      <c r="F759" s="35">
        <v>1150</v>
      </c>
      <c r="G759" s="35">
        <v>100</v>
      </c>
      <c r="H759" s="43">
        <v>600</v>
      </c>
      <c r="I759" s="35">
        <v>695</v>
      </c>
      <c r="J759" s="35">
        <v>50</v>
      </c>
      <c r="K759" s="36"/>
      <c r="L759" s="36"/>
      <c r="M759" s="36"/>
      <c r="N759" s="36"/>
      <c r="O759" s="36"/>
      <c r="P759" s="36"/>
      <c r="Q759" s="36"/>
      <c r="R759" s="36"/>
      <c r="S759" s="36"/>
      <c r="T759" s="36"/>
    </row>
    <row r="760" spans="1:20" ht="15.75">
      <c r="A760" s="13">
        <v>64650</v>
      </c>
      <c r="B760" s="44">
        <f t="shared" si="2"/>
        <v>31</v>
      </c>
      <c r="C760" s="35">
        <v>122.58</v>
      </c>
      <c r="D760" s="35">
        <v>297.94099999999997</v>
      </c>
      <c r="E760" s="41">
        <v>729.47900000000004</v>
      </c>
      <c r="F760" s="35">
        <v>1150</v>
      </c>
      <c r="G760" s="35">
        <v>100</v>
      </c>
      <c r="H760" s="43">
        <v>600</v>
      </c>
      <c r="I760" s="35">
        <v>695</v>
      </c>
      <c r="J760" s="35">
        <v>50</v>
      </c>
      <c r="K760" s="36"/>
      <c r="L760" s="36"/>
      <c r="M760" s="36"/>
      <c r="N760" s="36"/>
      <c r="O760" s="36"/>
      <c r="P760" s="36"/>
      <c r="Q760" s="36"/>
      <c r="R760" s="36"/>
      <c r="S760" s="36"/>
      <c r="T760" s="36"/>
    </row>
    <row r="761" spans="1:20" ht="15.75">
      <c r="A761" s="13">
        <v>64681</v>
      </c>
      <c r="B761" s="44">
        <f t="shared" si="2"/>
        <v>31</v>
      </c>
      <c r="C761" s="35">
        <v>122.58</v>
      </c>
      <c r="D761" s="35">
        <v>297.94099999999997</v>
      </c>
      <c r="E761" s="41">
        <v>729.47900000000004</v>
      </c>
      <c r="F761" s="35">
        <v>1150</v>
      </c>
      <c r="G761" s="35">
        <v>100</v>
      </c>
      <c r="H761" s="43">
        <v>600</v>
      </c>
      <c r="I761" s="35">
        <v>695</v>
      </c>
      <c r="J761" s="35">
        <v>50</v>
      </c>
      <c r="K761" s="36"/>
      <c r="L761" s="36"/>
      <c r="M761" s="36"/>
      <c r="N761" s="36"/>
      <c r="O761" s="36"/>
      <c r="P761" s="36"/>
      <c r="Q761" s="36"/>
      <c r="R761" s="36"/>
      <c r="S761" s="36"/>
      <c r="T761" s="36"/>
    </row>
    <row r="762" spans="1:20" ht="15.75">
      <c r="A762" s="13">
        <v>64709</v>
      </c>
      <c r="B762" s="44">
        <f t="shared" si="2"/>
        <v>28</v>
      </c>
      <c r="C762" s="35">
        <v>122.58</v>
      </c>
      <c r="D762" s="35">
        <v>297.94099999999997</v>
      </c>
      <c r="E762" s="41">
        <v>729.47900000000004</v>
      </c>
      <c r="F762" s="35">
        <v>1150</v>
      </c>
      <c r="G762" s="35">
        <v>100</v>
      </c>
      <c r="H762" s="43">
        <v>600</v>
      </c>
      <c r="I762" s="35">
        <v>695</v>
      </c>
      <c r="J762" s="35">
        <v>50</v>
      </c>
      <c r="K762" s="36"/>
      <c r="L762" s="36"/>
      <c r="M762" s="36"/>
      <c r="N762" s="36"/>
      <c r="O762" s="36"/>
      <c r="P762" s="36"/>
      <c r="Q762" s="36"/>
      <c r="R762" s="36"/>
      <c r="S762" s="36"/>
      <c r="T762" s="36"/>
    </row>
    <row r="763" spans="1:20" ht="15.75">
      <c r="A763" s="13">
        <v>64740</v>
      </c>
      <c r="B763" s="44">
        <f t="shared" si="2"/>
        <v>31</v>
      </c>
      <c r="C763" s="35">
        <v>122.58</v>
      </c>
      <c r="D763" s="35">
        <v>297.94099999999997</v>
      </c>
      <c r="E763" s="41">
        <v>729.47900000000004</v>
      </c>
      <c r="F763" s="35">
        <v>1150</v>
      </c>
      <c r="G763" s="35">
        <v>100</v>
      </c>
      <c r="H763" s="43">
        <v>600</v>
      </c>
      <c r="I763" s="35">
        <v>695</v>
      </c>
      <c r="J763" s="35">
        <v>50</v>
      </c>
      <c r="K763" s="36"/>
      <c r="L763" s="36"/>
      <c r="M763" s="36"/>
      <c r="N763" s="36"/>
      <c r="O763" s="36"/>
      <c r="P763" s="36"/>
      <c r="Q763" s="36"/>
      <c r="R763" s="36"/>
      <c r="S763" s="36"/>
      <c r="T763" s="36"/>
    </row>
    <row r="764" spans="1:20" ht="15.75">
      <c r="A764" s="13">
        <v>64770</v>
      </c>
      <c r="B764" s="44">
        <f t="shared" si="2"/>
        <v>30</v>
      </c>
      <c r="C764" s="35">
        <v>141.29300000000001</v>
      </c>
      <c r="D764" s="35">
        <v>267.99299999999999</v>
      </c>
      <c r="E764" s="41">
        <v>829.71400000000006</v>
      </c>
      <c r="F764" s="35">
        <v>1239</v>
      </c>
      <c r="G764" s="35">
        <v>100</v>
      </c>
      <c r="H764" s="43">
        <v>600</v>
      </c>
      <c r="I764" s="35">
        <v>695</v>
      </c>
      <c r="J764" s="35">
        <v>50</v>
      </c>
      <c r="K764" s="36"/>
      <c r="L764" s="36"/>
      <c r="M764" s="36"/>
      <c r="N764" s="36"/>
      <c r="O764" s="36"/>
      <c r="P764" s="36"/>
      <c r="Q764" s="36"/>
      <c r="R764" s="36"/>
      <c r="S764" s="36"/>
      <c r="T764" s="36"/>
    </row>
    <row r="765" spans="1:20" ht="15.75">
      <c r="A765" s="13">
        <v>64801</v>
      </c>
      <c r="B765" s="44">
        <f t="shared" si="2"/>
        <v>31</v>
      </c>
      <c r="C765" s="35">
        <v>194.20500000000001</v>
      </c>
      <c r="D765" s="35">
        <v>267.46600000000001</v>
      </c>
      <c r="E765" s="41">
        <v>812.32899999999995</v>
      </c>
      <c r="F765" s="35">
        <v>1274</v>
      </c>
      <c r="G765" s="35">
        <v>75</v>
      </c>
      <c r="H765" s="43">
        <v>600</v>
      </c>
      <c r="I765" s="35">
        <v>695</v>
      </c>
      <c r="J765" s="35">
        <v>50</v>
      </c>
      <c r="K765" s="36"/>
      <c r="L765" s="36"/>
      <c r="M765" s="36"/>
      <c r="N765" s="36"/>
      <c r="O765" s="36"/>
      <c r="P765" s="36"/>
      <c r="Q765" s="36"/>
      <c r="R765" s="36"/>
      <c r="S765" s="36"/>
      <c r="T765" s="36"/>
    </row>
    <row r="766" spans="1:20" ht="15.75">
      <c r="A766" s="13">
        <v>64831</v>
      </c>
      <c r="B766" s="44">
        <f t="shared" si="2"/>
        <v>30</v>
      </c>
      <c r="C766" s="35">
        <v>194.20500000000001</v>
      </c>
      <c r="D766" s="35">
        <v>267.46600000000001</v>
      </c>
      <c r="E766" s="41">
        <v>812.32899999999995</v>
      </c>
      <c r="F766" s="35">
        <v>1274</v>
      </c>
      <c r="G766" s="35">
        <v>50</v>
      </c>
      <c r="H766" s="43">
        <v>600</v>
      </c>
      <c r="I766" s="35">
        <v>695</v>
      </c>
      <c r="J766" s="35">
        <v>50</v>
      </c>
      <c r="K766" s="36"/>
      <c r="L766" s="36"/>
      <c r="M766" s="36"/>
      <c r="N766" s="36"/>
      <c r="O766" s="36"/>
      <c r="P766" s="36"/>
      <c r="Q766" s="36"/>
      <c r="R766" s="36"/>
      <c r="S766" s="36"/>
      <c r="T766" s="36"/>
    </row>
    <row r="767" spans="1:20" ht="15.75">
      <c r="A767" s="13">
        <v>64862</v>
      </c>
      <c r="B767" s="44">
        <f t="shared" si="2"/>
        <v>31</v>
      </c>
      <c r="C767" s="35">
        <v>194.20500000000001</v>
      </c>
      <c r="D767" s="35">
        <v>267.46600000000001</v>
      </c>
      <c r="E767" s="41">
        <v>812.32899999999995</v>
      </c>
      <c r="F767" s="35">
        <v>1274</v>
      </c>
      <c r="G767" s="35">
        <v>50</v>
      </c>
      <c r="H767" s="43">
        <v>600</v>
      </c>
      <c r="I767" s="35">
        <v>695</v>
      </c>
      <c r="J767" s="35">
        <v>0</v>
      </c>
      <c r="K767" s="36"/>
      <c r="L767" s="36"/>
      <c r="M767" s="36"/>
      <c r="N767" s="36"/>
      <c r="O767" s="36"/>
      <c r="P767" s="36"/>
      <c r="Q767" s="36"/>
      <c r="R767" s="36"/>
      <c r="S767" s="36"/>
      <c r="T767" s="36"/>
    </row>
    <row r="768" spans="1:20" ht="15.75">
      <c r="A768" s="13">
        <v>64893</v>
      </c>
      <c r="B768" s="44">
        <f t="shared" si="2"/>
        <v>31</v>
      </c>
      <c r="C768" s="35">
        <v>194.20500000000001</v>
      </c>
      <c r="D768" s="35">
        <v>267.46600000000001</v>
      </c>
      <c r="E768" s="41">
        <v>812.32899999999995</v>
      </c>
      <c r="F768" s="35">
        <v>1274</v>
      </c>
      <c r="G768" s="35">
        <v>50</v>
      </c>
      <c r="H768" s="43">
        <v>600</v>
      </c>
      <c r="I768" s="35">
        <v>695</v>
      </c>
      <c r="J768" s="35">
        <v>0</v>
      </c>
      <c r="K768" s="36"/>
      <c r="L768" s="36"/>
      <c r="M768" s="36"/>
      <c r="N768" s="36"/>
      <c r="O768" s="36"/>
      <c r="P768" s="36"/>
      <c r="Q768" s="36"/>
      <c r="R768" s="36"/>
      <c r="S768" s="36"/>
      <c r="T768" s="36"/>
    </row>
    <row r="769" spans="1:20" ht="15.75">
      <c r="A769" s="13">
        <v>64923</v>
      </c>
      <c r="B769" s="44">
        <f t="shared" si="2"/>
        <v>30</v>
      </c>
      <c r="C769" s="35">
        <v>194.20500000000001</v>
      </c>
      <c r="D769" s="35">
        <v>267.46600000000001</v>
      </c>
      <c r="E769" s="41">
        <v>812.32899999999995</v>
      </c>
      <c r="F769" s="35">
        <v>1274</v>
      </c>
      <c r="G769" s="35">
        <v>50</v>
      </c>
      <c r="H769" s="43">
        <v>600</v>
      </c>
      <c r="I769" s="35">
        <v>695</v>
      </c>
      <c r="J769" s="35">
        <v>0</v>
      </c>
      <c r="K769" s="36"/>
      <c r="L769" s="36"/>
      <c r="M769" s="36"/>
      <c r="N769" s="36"/>
      <c r="O769" s="36"/>
      <c r="P769" s="36"/>
      <c r="Q769" s="36"/>
      <c r="R769" s="36"/>
      <c r="S769" s="36"/>
      <c r="T769" s="36"/>
    </row>
    <row r="770" spans="1:20" ht="15.75">
      <c r="A770" s="13">
        <v>64954</v>
      </c>
      <c r="B770" s="44">
        <f t="shared" si="2"/>
        <v>31</v>
      </c>
      <c r="C770" s="35">
        <v>131.881</v>
      </c>
      <c r="D770" s="35">
        <v>277.16699999999997</v>
      </c>
      <c r="E770" s="41">
        <v>829.952</v>
      </c>
      <c r="F770" s="35">
        <v>1239</v>
      </c>
      <c r="G770" s="35">
        <v>75</v>
      </c>
      <c r="H770" s="43">
        <v>600</v>
      </c>
      <c r="I770" s="35">
        <v>695</v>
      </c>
      <c r="J770" s="35">
        <v>0</v>
      </c>
      <c r="K770" s="36"/>
      <c r="L770" s="36"/>
      <c r="M770" s="36"/>
      <c r="N770" s="36"/>
      <c r="O770" s="36"/>
      <c r="P770" s="36"/>
      <c r="Q770" s="36"/>
      <c r="R770" s="36"/>
      <c r="S770" s="36"/>
      <c r="T770" s="36"/>
    </row>
    <row r="771" spans="1:20" ht="15.75">
      <c r="A771" s="13">
        <v>64984</v>
      </c>
      <c r="B771" s="44">
        <f t="shared" si="2"/>
        <v>30</v>
      </c>
      <c r="C771" s="35">
        <v>122.58</v>
      </c>
      <c r="D771" s="35">
        <v>297.94099999999997</v>
      </c>
      <c r="E771" s="41">
        <v>729.47900000000004</v>
      </c>
      <c r="F771" s="35">
        <v>1150</v>
      </c>
      <c r="G771" s="35">
        <v>100</v>
      </c>
      <c r="H771" s="43">
        <v>600</v>
      </c>
      <c r="I771" s="35">
        <v>695</v>
      </c>
      <c r="J771" s="35">
        <v>50</v>
      </c>
      <c r="K771" s="36"/>
      <c r="L771" s="36"/>
      <c r="M771" s="36"/>
      <c r="N771" s="36"/>
      <c r="O771" s="36"/>
      <c r="P771" s="36"/>
      <c r="Q771" s="36"/>
      <c r="R771" s="36"/>
      <c r="S771" s="36"/>
      <c r="T771" s="36"/>
    </row>
    <row r="772" spans="1:20" ht="15.75">
      <c r="A772" s="13">
        <v>65015</v>
      </c>
      <c r="B772" s="44">
        <f t="shared" si="2"/>
        <v>31</v>
      </c>
      <c r="C772" s="35">
        <v>122.58</v>
      </c>
      <c r="D772" s="35">
        <v>297.94099999999997</v>
      </c>
      <c r="E772" s="41">
        <v>729.47900000000004</v>
      </c>
      <c r="F772" s="35">
        <v>1150</v>
      </c>
      <c r="G772" s="35">
        <v>100</v>
      </c>
      <c r="H772" s="43">
        <v>600</v>
      </c>
      <c r="I772" s="35">
        <v>695</v>
      </c>
      <c r="J772" s="35">
        <v>50</v>
      </c>
      <c r="K772" s="36"/>
      <c r="L772" s="36"/>
      <c r="M772" s="36"/>
      <c r="N772" s="36"/>
      <c r="O772" s="36"/>
      <c r="P772" s="36"/>
      <c r="Q772" s="36"/>
      <c r="R772" s="36"/>
      <c r="S772" s="36"/>
      <c r="T772" s="36"/>
    </row>
    <row r="773" spans="1:20" ht="15.75">
      <c r="A773" s="13">
        <v>65046</v>
      </c>
      <c r="B773" s="44">
        <f t="shared" ref="B773:B836" si="3">EOMONTH(A773,0)-EOMONTH(A773,-1)</f>
        <v>31</v>
      </c>
      <c r="C773" s="35">
        <v>122.58</v>
      </c>
      <c r="D773" s="35">
        <v>297.94099999999997</v>
      </c>
      <c r="E773" s="41">
        <v>729.47900000000004</v>
      </c>
      <c r="F773" s="35">
        <v>1150</v>
      </c>
      <c r="G773" s="35">
        <v>100</v>
      </c>
      <c r="H773" s="43">
        <v>600</v>
      </c>
      <c r="I773" s="35">
        <v>695</v>
      </c>
      <c r="J773" s="35">
        <v>50</v>
      </c>
      <c r="K773" s="36"/>
      <c r="L773" s="36"/>
      <c r="M773" s="36"/>
      <c r="N773" s="36"/>
      <c r="O773" s="36"/>
      <c r="P773" s="36"/>
      <c r="Q773" s="36"/>
      <c r="R773" s="36"/>
      <c r="S773" s="36"/>
      <c r="T773" s="36"/>
    </row>
    <row r="774" spans="1:20" ht="15.75">
      <c r="A774" s="13">
        <v>65074</v>
      </c>
      <c r="B774" s="44">
        <f t="shared" si="3"/>
        <v>28</v>
      </c>
      <c r="C774" s="35">
        <v>122.58</v>
      </c>
      <c r="D774" s="35">
        <v>297.94099999999997</v>
      </c>
      <c r="E774" s="41">
        <v>729.47900000000004</v>
      </c>
      <c r="F774" s="35">
        <v>1150</v>
      </c>
      <c r="G774" s="35">
        <v>100</v>
      </c>
      <c r="H774" s="43">
        <v>600</v>
      </c>
      <c r="I774" s="35">
        <v>695</v>
      </c>
      <c r="J774" s="35">
        <v>50</v>
      </c>
      <c r="K774" s="36"/>
      <c r="L774" s="36"/>
      <c r="M774" s="36"/>
      <c r="N774" s="36"/>
      <c r="O774" s="36"/>
      <c r="P774" s="36"/>
      <c r="Q774" s="36"/>
      <c r="R774" s="36"/>
      <c r="S774" s="36"/>
      <c r="T774" s="36"/>
    </row>
    <row r="775" spans="1:20" ht="15.75">
      <c r="A775" s="13">
        <v>65105</v>
      </c>
      <c r="B775" s="44">
        <f t="shared" si="3"/>
        <v>31</v>
      </c>
      <c r="C775" s="35">
        <v>122.58</v>
      </c>
      <c r="D775" s="35">
        <v>297.94099999999997</v>
      </c>
      <c r="E775" s="41">
        <v>729.47900000000004</v>
      </c>
      <c r="F775" s="35">
        <v>1150</v>
      </c>
      <c r="G775" s="35">
        <v>100</v>
      </c>
      <c r="H775" s="43">
        <v>600</v>
      </c>
      <c r="I775" s="35">
        <v>695</v>
      </c>
      <c r="J775" s="35">
        <v>50</v>
      </c>
      <c r="K775" s="36"/>
      <c r="L775" s="36"/>
      <c r="M775" s="36"/>
      <c r="N775" s="36"/>
      <c r="O775" s="36"/>
      <c r="P775" s="36"/>
      <c r="Q775" s="36"/>
      <c r="R775" s="36"/>
      <c r="S775" s="36"/>
      <c r="T775" s="36"/>
    </row>
    <row r="776" spans="1:20" ht="15.75">
      <c r="A776" s="13">
        <v>65135</v>
      </c>
      <c r="B776" s="44">
        <f t="shared" si="3"/>
        <v>30</v>
      </c>
      <c r="C776" s="35">
        <v>141.29300000000001</v>
      </c>
      <c r="D776" s="35">
        <v>267.99299999999999</v>
      </c>
      <c r="E776" s="41">
        <v>829.71400000000006</v>
      </c>
      <c r="F776" s="35">
        <v>1239</v>
      </c>
      <c r="G776" s="35">
        <v>100</v>
      </c>
      <c r="H776" s="43">
        <v>600</v>
      </c>
      <c r="I776" s="35">
        <v>695</v>
      </c>
      <c r="J776" s="35">
        <v>50</v>
      </c>
      <c r="K776" s="36"/>
      <c r="L776" s="36"/>
      <c r="M776" s="36"/>
      <c r="N776" s="36"/>
      <c r="O776" s="36"/>
      <c r="P776" s="36"/>
      <c r="Q776" s="36"/>
      <c r="R776" s="36"/>
      <c r="S776" s="36"/>
      <c r="T776" s="36"/>
    </row>
    <row r="777" spans="1:20" ht="15.75">
      <c r="A777" s="13">
        <v>65166</v>
      </c>
      <c r="B777" s="44">
        <f t="shared" si="3"/>
        <v>31</v>
      </c>
      <c r="C777" s="35">
        <v>194.20500000000001</v>
      </c>
      <c r="D777" s="35">
        <v>267.46600000000001</v>
      </c>
      <c r="E777" s="41">
        <v>812.32899999999995</v>
      </c>
      <c r="F777" s="35">
        <v>1274</v>
      </c>
      <c r="G777" s="35">
        <v>75</v>
      </c>
      <c r="H777" s="43">
        <v>600</v>
      </c>
      <c r="I777" s="35">
        <v>695</v>
      </c>
      <c r="J777" s="35">
        <v>50</v>
      </c>
      <c r="K777" s="36"/>
      <c r="L777" s="36"/>
      <c r="M777" s="36"/>
      <c r="N777" s="36"/>
      <c r="O777" s="36"/>
      <c r="P777" s="36"/>
      <c r="Q777" s="36"/>
      <c r="R777" s="36"/>
      <c r="S777" s="36"/>
      <c r="T777" s="36"/>
    </row>
    <row r="778" spans="1:20" ht="15.75">
      <c r="A778" s="13">
        <v>65196</v>
      </c>
      <c r="B778" s="44">
        <f t="shared" si="3"/>
        <v>30</v>
      </c>
      <c r="C778" s="35">
        <v>194.20500000000001</v>
      </c>
      <c r="D778" s="35">
        <v>267.46600000000001</v>
      </c>
      <c r="E778" s="41">
        <v>812.32899999999995</v>
      </c>
      <c r="F778" s="35">
        <v>1274</v>
      </c>
      <c r="G778" s="35">
        <v>50</v>
      </c>
      <c r="H778" s="43">
        <v>600</v>
      </c>
      <c r="I778" s="35">
        <v>695</v>
      </c>
      <c r="J778" s="35">
        <v>50</v>
      </c>
      <c r="K778" s="36"/>
      <c r="L778" s="36"/>
      <c r="M778" s="36"/>
      <c r="N778" s="36"/>
      <c r="O778" s="36"/>
      <c r="P778" s="36"/>
      <c r="Q778" s="36"/>
      <c r="R778" s="36"/>
      <c r="S778" s="36"/>
      <c r="T778" s="36"/>
    </row>
    <row r="779" spans="1:20" ht="15.75">
      <c r="A779" s="13">
        <v>65227</v>
      </c>
      <c r="B779" s="44">
        <f t="shared" si="3"/>
        <v>31</v>
      </c>
      <c r="C779" s="35">
        <v>194.20500000000001</v>
      </c>
      <c r="D779" s="35">
        <v>267.46600000000001</v>
      </c>
      <c r="E779" s="41">
        <v>812.32899999999995</v>
      </c>
      <c r="F779" s="35">
        <v>1274</v>
      </c>
      <c r="G779" s="35">
        <v>50</v>
      </c>
      <c r="H779" s="43">
        <v>600</v>
      </c>
      <c r="I779" s="35">
        <v>695</v>
      </c>
      <c r="J779" s="35">
        <v>0</v>
      </c>
      <c r="K779" s="36"/>
      <c r="L779" s="36"/>
      <c r="M779" s="36"/>
      <c r="N779" s="36"/>
      <c r="O779" s="36"/>
      <c r="P779" s="36"/>
      <c r="Q779" s="36"/>
      <c r="R779" s="36"/>
      <c r="S779" s="36"/>
      <c r="T779" s="36"/>
    </row>
    <row r="780" spans="1:20" ht="15.75">
      <c r="A780" s="13">
        <v>65258</v>
      </c>
      <c r="B780" s="44">
        <f t="shared" si="3"/>
        <v>31</v>
      </c>
      <c r="C780" s="35">
        <v>194.20500000000001</v>
      </c>
      <c r="D780" s="35">
        <v>267.46600000000001</v>
      </c>
      <c r="E780" s="41">
        <v>812.32899999999995</v>
      </c>
      <c r="F780" s="35">
        <v>1274</v>
      </c>
      <c r="G780" s="35">
        <v>50</v>
      </c>
      <c r="H780" s="43">
        <v>600</v>
      </c>
      <c r="I780" s="35">
        <v>695</v>
      </c>
      <c r="J780" s="35">
        <v>0</v>
      </c>
      <c r="K780" s="36"/>
      <c r="L780" s="36"/>
      <c r="M780" s="36"/>
      <c r="N780" s="36"/>
      <c r="O780" s="36"/>
      <c r="P780" s="36"/>
      <c r="Q780" s="36"/>
      <c r="R780" s="36"/>
      <c r="S780" s="36"/>
      <c r="T780" s="36"/>
    </row>
    <row r="781" spans="1:20" ht="15.75">
      <c r="A781" s="13">
        <v>65288</v>
      </c>
      <c r="B781" s="44">
        <f t="shared" si="3"/>
        <v>30</v>
      </c>
      <c r="C781" s="35">
        <v>194.20500000000001</v>
      </c>
      <c r="D781" s="35">
        <v>267.46600000000001</v>
      </c>
      <c r="E781" s="41">
        <v>812.32899999999995</v>
      </c>
      <c r="F781" s="35">
        <v>1274</v>
      </c>
      <c r="G781" s="35">
        <v>50</v>
      </c>
      <c r="H781" s="43">
        <v>600</v>
      </c>
      <c r="I781" s="35">
        <v>695</v>
      </c>
      <c r="J781" s="35">
        <v>0</v>
      </c>
      <c r="K781" s="36"/>
      <c r="L781" s="36"/>
      <c r="M781" s="36"/>
      <c r="N781" s="36"/>
      <c r="O781" s="36"/>
      <c r="P781" s="36"/>
      <c r="Q781" s="36"/>
      <c r="R781" s="36"/>
      <c r="S781" s="36"/>
      <c r="T781" s="36"/>
    </row>
    <row r="782" spans="1:20" ht="15.75">
      <c r="A782" s="13">
        <v>65319</v>
      </c>
      <c r="B782" s="44">
        <f t="shared" si="3"/>
        <v>31</v>
      </c>
      <c r="C782" s="35">
        <v>131.881</v>
      </c>
      <c r="D782" s="35">
        <v>277.16699999999997</v>
      </c>
      <c r="E782" s="41">
        <v>829.952</v>
      </c>
      <c r="F782" s="35">
        <v>1239</v>
      </c>
      <c r="G782" s="35">
        <v>75</v>
      </c>
      <c r="H782" s="43">
        <v>600</v>
      </c>
      <c r="I782" s="35">
        <v>695</v>
      </c>
      <c r="J782" s="35">
        <v>0</v>
      </c>
      <c r="K782" s="36"/>
      <c r="L782" s="36"/>
      <c r="M782" s="36"/>
      <c r="N782" s="36"/>
      <c r="O782" s="36"/>
      <c r="P782" s="36"/>
      <c r="Q782" s="36"/>
      <c r="R782" s="36"/>
      <c r="S782" s="36"/>
      <c r="T782" s="36"/>
    </row>
    <row r="783" spans="1:20" ht="15.75">
      <c r="A783" s="13">
        <v>65349</v>
      </c>
      <c r="B783" s="44">
        <f t="shared" si="3"/>
        <v>30</v>
      </c>
      <c r="C783" s="35">
        <v>122.58</v>
      </c>
      <c r="D783" s="35">
        <v>297.94099999999997</v>
      </c>
      <c r="E783" s="41">
        <v>729.47900000000004</v>
      </c>
      <c r="F783" s="35">
        <v>1150</v>
      </c>
      <c r="G783" s="35">
        <v>100</v>
      </c>
      <c r="H783" s="43">
        <v>600</v>
      </c>
      <c r="I783" s="35">
        <v>695</v>
      </c>
      <c r="J783" s="35">
        <v>50</v>
      </c>
      <c r="K783" s="36"/>
      <c r="L783" s="36"/>
      <c r="M783" s="36"/>
      <c r="N783" s="36"/>
      <c r="O783" s="36"/>
      <c r="P783" s="36"/>
      <c r="Q783" s="36"/>
      <c r="R783" s="36"/>
      <c r="S783" s="36"/>
      <c r="T783" s="36"/>
    </row>
    <row r="784" spans="1:20" ht="15.75">
      <c r="A784" s="13">
        <v>65380</v>
      </c>
      <c r="B784" s="44">
        <f t="shared" si="3"/>
        <v>31</v>
      </c>
      <c r="C784" s="35">
        <v>122.58</v>
      </c>
      <c r="D784" s="35">
        <v>297.94099999999997</v>
      </c>
      <c r="E784" s="41">
        <v>729.47900000000004</v>
      </c>
      <c r="F784" s="35">
        <v>1150</v>
      </c>
      <c r="G784" s="35">
        <v>100</v>
      </c>
      <c r="H784" s="43">
        <v>600</v>
      </c>
      <c r="I784" s="35">
        <v>695</v>
      </c>
      <c r="J784" s="35">
        <v>50</v>
      </c>
      <c r="K784" s="36"/>
      <c r="L784" s="36"/>
      <c r="M784" s="36"/>
      <c r="N784" s="36"/>
      <c r="O784" s="36"/>
      <c r="P784" s="36"/>
      <c r="Q784" s="36"/>
      <c r="R784" s="36"/>
      <c r="S784" s="36"/>
      <c r="T784" s="36"/>
    </row>
    <row r="785" spans="1:20" ht="15.75">
      <c r="A785" s="13">
        <v>65411</v>
      </c>
      <c r="B785" s="44">
        <f t="shared" si="3"/>
        <v>31</v>
      </c>
      <c r="C785" s="35">
        <v>122.58</v>
      </c>
      <c r="D785" s="35">
        <v>297.94099999999997</v>
      </c>
      <c r="E785" s="41">
        <v>729.47900000000004</v>
      </c>
      <c r="F785" s="35">
        <v>1150</v>
      </c>
      <c r="G785" s="35">
        <v>100</v>
      </c>
      <c r="H785" s="43">
        <v>600</v>
      </c>
      <c r="I785" s="35">
        <v>695</v>
      </c>
      <c r="J785" s="35">
        <v>50</v>
      </c>
      <c r="K785" s="36"/>
      <c r="L785" s="36"/>
      <c r="M785" s="36"/>
      <c r="N785" s="36"/>
      <c r="O785" s="36"/>
      <c r="P785" s="36"/>
      <c r="Q785" s="36"/>
      <c r="R785" s="36"/>
      <c r="S785" s="36"/>
      <c r="T785" s="36"/>
    </row>
    <row r="786" spans="1:20" ht="15.75">
      <c r="A786" s="13">
        <v>65439</v>
      </c>
      <c r="B786" s="44">
        <f t="shared" si="3"/>
        <v>28</v>
      </c>
      <c r="C786" s="35">
        <v>122.58</v>
      </c>
      <c r="D786" s="35">
        <v>297.94099999999997</v>
      </c>
      <c r="E786" s="41">
        <v>729.47900000000004</v>
      </c>
      <c r="F786" s="35">
        <v>1150</v>
      </c>
      <c r="G786" s="35">
        <v>100</v>
      </c>
      <c r="H786" s="43">
        <v>600</v>
      </c>
      <c r="I786" s="35">
        <v>695</v>
      </c>
      <c r="J786" s="35">
        <v>50</v>
      </c>
      <c r="K786" s="36"/>
      <c r="L786" s="36"/>
      <c r="M786" s="36"/>
      <c r="N786" s="36"/>
      <c r="O786" s="36"/>
      <c r="P786" s="36"/>
      <c r="Q786" s="36"/>
      <c r="R786" s="36"/>
      <c r="S786" s="36"/>
      <c r="T786" s="36"/>
    </row>
    <row r="787" spans="1:20" ht="15.75">
      <c r="A787" s="13">
        <v>65470</v>
      </c>
      <c r="B787" s="44">
        <f t="shared" si="3"/>
        <v>31</v>
      </c>
      <c r="C787" s="35">
        <v>122.58</v>
      </c>
      <c r="D787" s="35">
        <v>297.94099999999997</v>
      </c>
      <c r="E787" s="41">
        <v>729.47900000000004</v>
      </c>
      <c r="F787" s="35">
        <v>1150</v>
      </c>
      <c r="G787" s="35">
        <v>100</v>
      </c>
      <c r="H787" s="43">
        <v>600</v>
      </c>
      <c r="I787" s="35">
        <v>695</v>
      </c>
      <c r="J787" s="35">
        <v>50</v>
      </c>
      <c r="K787" s="36"/>
      <c r="L787" s="36"/>
      <c r="M787" s="36"/>
      <c r="N787" s="36"/>
      <c r="O787" s="36"/>
      <c r="P787" s="36"/>
      <c r="Q787" s="36"/>
      <c r="R787" s="36"/>
      <c r="S787" s="36"/>
      <c r="T787" s="36"/>
    </row>
    <row r="788" spans="1:20" ht="15.75">
      <c r="A788" s="13">
        <v>65500</v>
      </c>
      <c r="B788" s="44">
        <f t="shared" si="3"/>
        <v>30</v>
      </c>
      <c r="C788" s="35">
        <v>141.29300000000001</v>
      </c>
      <c r="D788" s="35">
        <v>267.99299999999999</v>
      </c>
      <c r="E788" s="41">
        <v>829.71400000000006</v>
      </c>
      <c r="F788" s="35">
        <v>1239</v>
      </c>
      <c r="G788" s="35">
        <v>100</v>
      </c>
      <c r="H788" s="43">
        <v>600</v>
      </c>
      <c r="I788" s="35">
        <v>695</v>
      </c>
      <c r="J788" s="35">
        <v>50</v>
      </c>
      <c r="K788" s="36"/>
      <c r="L788" s="36"/>
      <c r="M788" s="36"/>
      <c r="N788" s="36"/>
      <c r="O788" s="36"/>
      <c r="P788" s="36"/>
      <c r="Q788" s="36"/>
      <c r="R788" s="36"/>
      <c r="S788" s="36"/>
      <c r="T788" s="36"/>
    </row>
    <row r="789" spans="1:20" ht="15.75">
      <c r="A789" s="13">
        <v>65531</v>
      </c>
      <c r="B789" s="44">
        <f t="shared" si="3"/>
        <v>31</v>
      </c>
      <c r="C789" s="35">
        <v>194.20500000000001</v>
      </c>
      <c r="D789" s="35">
        <v>267.46600000000001</v>
      </c>
      <c r="E789" s="41">
        <v>812.32899999999995</v>
      </c>
      <c r="F789" s="35">
        <v>1274</v>
      </c>
      <c r="G789" s="35">
        <v>75</v>
      </c>
      <c r="H789" s="43">
        <v>600</v>
      </c>
      <c r="I789" s="35">
        <v>695</v>
      </c>
      <c r="J789" s="35">
        <v>50</v>
      </c>
      <c r="K789" s="36"/>
      <c r="L789" s="36"/>
      <c r="M789" s="36"/>
      <c r="N789" s="36"/>
      <c r="O789" s="36"/>
      <c r="P789" s="36"/>
      <c r="Q789" s="36"/>
      <c r="R789" s="36"/>
      <c r="S789" s="36"/>
      <c r="T789" s="36"/>
    </row>
    <row r="790" spans="1:20" ht="15.75">
      <c r="A790" s="13">
        <v>65561</v>
      </c>
      <c r="B790" s="44">
        <f t="shared" si="3"/>
        <v>30</v>
      </c>
      <c r="C790" s="35">
        <v>194.20500000000001</v>
      </c>
      <c r="D790" s="35">
        <v>267.46600000000001</v>
      </c>
      <c r="E790" s="41">
        <v>812.32899999999995</v>
      </c>
      <c r="F790" s="35">
        <v>1274</v>
      </c>
      <c r="G790" s="35">
        <v>50</v>
      </c>
      <c r="H790" s="43">
        <v>600</v>
      </c>
      <c r="I790" s="35">
        <v>695</v>
      </c>
      <c r="J790" s="35">
        <v>50</v>
      </c>
      <c r="K790" s="36"/>
      <c r="L790" s="36"/>
      <c r="M790" s="36"/>
      <c r="N790" s="36"/>
      <c r="O790" s="36"/>
      <c r="P790" s="36"/>
      <c r="Q790" s="36"/>
      <c r="R790" s="36"/>
      <c r="S790" s="36"/>
      <c r="T790" s="36"/>
    </row>
    <row r="791" spans="1:20" ht="15.75">
      <c r="A791" s="13">
        <v>65592</v>
      </c>
      <c r="B791" s="44">
        <f t="shared" si="3"/>
        <v>31</v>
      </c>
      <c r="C791" s="35">
        <v>194.20500000000001</v>
      </c>
      <c r="D791" s="35">
        <v>267.46600000000001</v>
      </c>
      <c r="E791" s="41">
        <v>812.32899999999995</v>
      </c>
      <c r="F791" s="35">
        <v>1274</v>
      </c>
      <c r="G791" s="35">
        <v>50</v>
      </c>
      <c r="H791" s="43">
        <v>600</v>
      </c>
      <c r="I791" s="35">
        <v>695</v>
      </c>
      <c r="J791" s="35">
        <v>0</v>
      </c>
      <c r="K791" s="36"/>
      <c r="L791" s="36"/>
      <c r="M791" s="36"/>
      <c r="N791" s="36"/>
      <c r="O791" s="36"/>
      <c r="P791" s="36"/>
      <c r="Q791" s="36"/>
      <c r="R791" s="36"/>
      <c r="S791" s="36"/>
      <c r="T791" s="36"/>
    </row>
    <row r="792" spans="1:20" ht="15.75">
      <c r="A792" s="13">
        <v>65623</v>
      </c>
      <c r="B792" s="44">
        <f t="shared" si="3"/>
        <v>31</v>
      </c>
      <c r="C792" s="35">
        <v>194.20500000000001</v>
      </c>
      <c r="D792" s="35">
        <v>267.46600000000001</v>
      </c>
      <c r="E792" s="41">
        <v>812.32899999999995</v>
      </c>
      <c r="F792" s="35">
        <v>1274</v>
      </c>
      <c r="G792" s="35">
        <v>50</v>
      </c>
      <c r="H792" s="43">
        <v>600</v>
      </c>
      <c r="I792" s="35">
        <v>695</v>
      </c>
      <c r="J792" s="35">
        <v>0</v>
      </c>
      <c r="K792" s="36"/>
      <c r="L792" s="36"/>
      <c r="M792" s="36"/>
      <c r="N792" s="36"/>
      <c r="O792" s="36"/>
      <c r="P792" s="36"/>
      <c r="Q792" s="36"/>
      <c r="R792" s="36"/>
      <c r="S792" s="36"/>
      <c r="T792" s="36"/>
    </row>
    <row r="793" spans="1:20" ht="15.75">
      <c r="A793" s="13">
        <v>65653</v>
      </c>
      <c r="B793" s="44">
        <f t="shared" si="3"/>
        <v>30</v>
      </c>
      <c r="C793" s="35">
        <v>194.20500000000001</v>
      </c>
      <c r="D793" s="35">
        <v>267.46600000000001</v>
      </c>
      <c r="E793" s="41">
        <v>812.32899999999995</v>
      </c>
      <c r="F793" s="35">
        <v>1274</v>
      </c>
      <c r="G793" s="35">
        <v>50</v>
      </c>
      <c r="H793" s="43">
        <v>600</v>
      </c>
      <c r="I793" s="35">
        <v>695</v>
      </c>
      <c r="J793" s="35">
        <v>0</v>
      </c>
      <c r="K793" s="36"/>
      <c r="L793" s="36"/>
      <c r="M793" s="36"/>
      <c r="N793" s="36"/>
      <c r="O793" s="36"/>
      <c r="P793" s="36"/>
      <c r="Q793" s="36"/>
      <c r="R793" s="36"/>
      <c r="S793" s="36"/>
      <c r="T793" s="36"/>
    </row>
    <row r="794" spans="1:20" ht="15.75">
      <c r="A794" s="13">
        <v>65684</v>
      </c>
      <c r="B794" s="44">
        <f t="shared" si="3"/>
        <v>31</v>
      </c>
      <c r="C794" s="35">
        <v>131.881</v>
      </c>
      <c r="D794" s="35">
        <v>277.16699999999997</v>
      </c>
      <c r="E794" s="41">
        <v>829.952</v>
      </c>
      <c r="F794" s="35">
        <v>1239</v>
      </c>
      <c r="G794" s="35">
        <v>75</v>
      </c>
      <c r="H794" s="43">
        <v>600</v>
      </c>
      <c r="I794" s="35">
        <v>695</v>
      </c>
      <c r="J794" s="35">
        <v>0</v>
      </c>
      <c r="K794" s="36"/>
      <c r="L794" s="36"/>
      <c r="M794" s="36"/>
      <c r="N794" s="36"/>
      <c r="O794" s="36"/>
      <c r="P794" s="36"/>
      <c r="Q794" s="36"/>
      <c r="R794" s="36"/>
      <c r="S794" s="36"/>
      <c r="T794" s="36"/>
    </row>
    <row r="795" spans="1:20" ht="15.75">
      <c r="A795" s="13">
        <v>65714</v>
      </c>
      <c r="B795" s="44">
        <f t="shared" si="3"/>
        <v>30</v>
      </c>
      <c r="C795" s="35">
        <v>122.58</v>
      </c>
      <c r="D795" s="35">
        <v>297.94099999999997</v>
      </c>
      <c r="E795" s="41">
        <v>729.47900000000004</v>
      </c>
      <c r="F795" s="35">
        <v>1150</v>
      </c>
      <c r="G795" s="35">
        <v>100</v>
      </c>
      <c r="H795" s="43">
        <v>600</v>
      </c>
      <c r="I795" s="35">
        <v>695</v>
      </c>
      <c r="J795" s="35">
        <v>50</v>
      </c>
      <c r="K795" s="36"/>
      <c r="L795" s="36"/>
      <c r="M795" s="36"/>
      <c r="N795" s="36"/>
      <c r="O795" s="36"/>
      <c r="P795" s="36"/>
      <c r="Q795" s="36"/>
      <c r="R795" s="36"/>
      <c r="S795" s="36"/>
      <c r="T795" s="36"/>
    </row>
    <row r="796" spans="1:20" ht="15.75">
      <c r="A796" s="13">
        <v>65745</v>
      </c>
      <c r="B796" s="44">
        <f t="shared" si="3"/>
        <v>31</v>
      </c>
      <c r="C796" s="35">
        <v>122.58</v>
      </c>
      <c r="D796" s="35">
        <v>297.94099999999997</v>
      </c>
      <c r="E796" s="41">
        <v>729.47900000000004</v>
      </c>
      <c r="F796" s="35">
        <v>1150</v>
      </c>
      <c r="G796" s="35">
        <v>100</v>
      </c>
      <c r="H796" s="43">
        <v>600</v>
      </c>
      <c r="I796" s="35">
        <v>695</v>
      </c>
      <c r="J796" s="35">
        <v>50</v>
      </c>
      <c r="K796" s="36"/>
      <c r="L796" s="36"/>
      <c r="M796" s="36"/>
      <c r="N796" s="36"/>
      <c r="O796" s="36"/>
      <c r="P796" s="36"/>
      <c r="Q796" s="36"/>
      <c r="R796" s="36"/>
      <c r="S796" s="36"/>
      <c r="T796" s="36"/>
    </row>
    <row r="797" spans="1:20" ht="15.75">
      <c r="A797" s="13">
        <v>65776</v>
      </c>
      <c r="B797" s="44">
        <f t="shared" si="3"/>
        <v>31</v>
      </c>
      <c r="C797" s="35">
        <v>122.58</v>
      </c>
      <c r="D797" s="35">
        <v>297.94099999999997</v>
      </c>
      <c r="E797" s="41">
        <v>729.47900000000004</v>
      </c>
      <c r="F797" s="35">
        <v>1150</v>
      </c>
      <c r="G797" s="35">
        <v>100</v>
      </c>
      <c r="H797" s="43">
        <v>600</v>
      </c>
      <c r="I797" s="35">
        <v>695</v>
      </c>
      <c r="J797" s="35">
        <v>50</v>
      </c>
      <c r="K797" s="36"/>
      <c r="L797" s="36"/>
      <c r="M797" s="36"/>
      <c r="N797" s="36"/>
      <c r="O797" s="36"/>
      <c r="P797" s="36"/>
      <c r="Q797" s="36"/>
      <c r="R797" s="36"/>
      <c r="S797" s="36"/>
      <c r="T797" s="36"/>
    </row>
    <row r="798" spans="1:20" ht="15.75">
      <c r="A798" s="13">
        <v>65805</v>
      </c>
      <c r="B798" s="44">
        <f t="shared" si="3"/>
        <v>29</v>
      </c>
      <c r="C798" s="35">
        <v>122.58</v>
      </c>
      <c r="D798" s="35">
        <v>297.94099999999997</v>
      </c>
      <c r="E798" s="41">
        <v>729.47900000000004</v>
      </c>
      <c r="F798" s="35">
        <v>1150</v>
      </c>
      <c r="G798" s="35">
        <v>100</v>
      </c>
      <c r="H798" s="43">
        <v>600</v>
      </c>
      <c r="I798" s="35">
        <v>695</v>
      </c>
      <c r="J798" s="35">
        <v>50</v>
      </c>
      <c r="K798" s="36"/>
      <c r="L798" s="36"/>
      <c r="M798" s="36"/>
      <c r="N798" s="36"/>
      <c r="O798" s="36"/>
      <c r="P798" s="36"/>
      <c r="Q798" s="36"/>
      <c r="R798" s="36"/>
      <c r="S798" s="36"/>
      <c r="T798" s="36"/>
    </row>
    <row r="799" spans="1:20" ht="15.75">
      <c r="A799" s="13">
        <v>65836</v>
      </c>
      <c r="B799" s="44">
        <f t="shared" si="3"/>
        <v>31</v>
      </c>
      <c r="C799" s="35">
        <v>122.58</v>
      </c>
      <c r="D799" s="35">
        <v>297.94099999999997</v>
      </c>
      <c r="E799" s="41">
        <v>729.47900000000004</v>
      </c>
      <c r="F799" s="35">
        <v>1150</v>
      </c>
      <c r="G799" s="35">
        <v>100</v>
      </c>
      <c r="H799" s="43">
        <v>600</v>
      </c>
      <c r="I799" s="35">
        <v>695</v>
      </c>
      <c r="J799" s="35">
        <v>50</v>
      </c>
      <c r="K799" s="36"/>
      <c r="L799" s="36"/>
      <c r="M799" s="36"/>
      <c r="N799" s="36"/>
      <c r="O799" s="36"/>
      <c r="P799" s="36"/>
      <c r="Q799" s="36"/>
      <c r="R799" s="36"/>
      <c r="S799" s="36"/>
      <c r="T799" s="36"/>
    </row>
    <row r="800" spans="1:20" ht="15.75">
      <c r="A800" s="13">
        <v>65866</v>
      </c>
      <c r="B800" s="44">
        <f t="shared" si="3"/>
        <v>30</v>
      </c>
      <c r="C800" s="35">
        <v>141.29300000000001</v>
      </c>
      <c r="D800" s="35">
        <v>267.99299999999999</v>
      </c>
      <c r="E800" s="41">
        <v>829.71400000000006</v>
      </c>
      <c r="F800" s="35">
        <v>1239</v>
      </c>
      <c r="G800" s="35">
        <v>100</v>
      </c>
      <c r="H800" s="43">
        <v>600</v>
      </c>
      <c r="I800" s="35">
        <v>695</v>
      </c>
      <c r="J800" s="35">
        <v>50</v>
      </c>
      <c r="K800" s="36"/>
      <c r="L800" s="36"/>
      <c r="M800" s="36"/>
      <c r="N800" s="36"/>
      <c r="O800" s="36"/>
      <c r="P800" s="36"/>
      <c r="Q800" s="36"/>
      <c r="R800" s="36"/>
      <c r="S800" s="36"/>
      <c r="T800" s="36"/>
    </row>
    <row r="801" spans="1:20" ht="15.75">
      <c r="A801" s="13">
        <v>65897</v>
      </c>
      <c r="B801" s="44">
        <f t="shared" si="3"/>
        <v>31</v>
      </c>
      <c r="C801" s="35">
        <v>194.20500000000001</v>
      </c>
      <c r="D801" s="35">
        <v>267.46600000000001</v>
      </c>
      <c r="E801" s="41">
        <v>812.32899999999995</v>
      </c>
      <c r="F801" s="35">
        <v>1274</v>
      </c>
      <c r="G801" s="35">
        <v>75</v>
      </c>
      <c r="H801" s="43">
        <v>600</v>
      </c>
      <c r="I801" s="35">
        <v>695</v>
      </c>
      <c r="J801" s="35">
        <v>50</v>
      </c>
      <c r="K801" s="36"/>
      <c r="L801" s="36"/>
      <c r="M801" s="36"/>
      <c r="N801" s="36"/>
      <c r="O801" s="36"/>
      <c r="P801" s="36"/>
      <c r="Q801" s="36"/>
      <c r="R801" s="36"/>
      <c r="S801" s="36"/>
      <c r="T801" s="36"/>
    </row>
    <row r="802" spans="1:20" ht="15.75">
      <c r="A802" s="13">
        <v>65927</v>
      </c>
      <c r="B802" s="44">
        <f t="shared" si="3"/>
        <v>30</v>
      </c>
      <c r="C802" s="35">
        <v>194.20500000000001</v>
      </c>
      <c r="D802" s="35">
        <v>267.46600000000001</v>
      </c>
      <c r="E802" s="41">
        <v>812.32899999999995</v>
      </c>
      <c r="F802" s="35">
        <v>1274</v>
      </c>
      <c r="G802" s="35">
        <v>50</v>
      </c>
      <c r="H802" s="43">
        <v>600</v>
      </c>
      <c r="I802" s="35">
        <v>695</v>
      </c>
      <c r="J802" s="35">
        <v>50</v>
      </c>
      <c r="K802" s="36"/>
      <c r="L802" s="36"/>
      <c r="M802" s="36"/>
      <c r="N802" s="36"/>
      <c r="O802" s="36"/>
      <c r="P802" s="36"/>
      <c r="Q802" s="36"/>
      <c r="R802" s="36"/>
      <c r="S802" s="36"/>
      <c r="T802" s="36"/>
    </row>
    <row r="803" spans="1:20" ht="15.75">
      <c r="A803" s="13">
        <v>65958</v>
      </c>
      <c r="B803" s="44">
        <f t="shared" si="3"/>
        <v>31</v>
      </c>
      <c r="C803" s="35">
        <v>194.20500000000001</v>
      </c>
      <c r="D803" s="35">
        <v>267.46600000000001</v>
      </c>
      <c r="E803" s="41">
        <v>812.32899999999995</v>
      </c>
      <c r="F803" s="35">
        <v>1274</v>
      </c>
      <c r="G803" s="35">
        <v>50</v>
      </c>
      <c r="H803" s="43">
        <v>600</v>
      </c>
      <c r="I803" s="35">
        <v>695</v>
      </c>
      <c r="J803" s="35">
        <v>0</v>
      </c>
      <c r="K803" s="36"/>
      <c r="L803" s="36"/>
      <c r="M803" s="36"/>
      <c r="N803" s="36"/>
      <c r="O803" s="36"/>
      <c r="P803" s="36"/>
      <c r="Q803" s="36"/>
      <c r="R803" s="36"/>
      <c r="S803" s="36"/>
      <c r="T803" s="36"/>
    </row>
    <row r="804" spans="1:20" ht="15.75">
      <c r="A804" s="13">
        <v>65989</v>
      </c>
      <c r="B804" s="44">
        <f t="shared" si="3"/>
        <v>31</v>
      </c>
      <c r="C804" s="35">
        <v>194.20500000000001</v>
      </c>
      <c r="D804" s="35">
        <v>267.46600000000001</v>
      </c>
      <c r="E804" s="41">
        <v>812.32899999999995</v>
      </c>
      <c r="F804" s="35">
        <v>1274</v>
      </c>
      <c r="G804" s="35">
        <v>50</v>
      </c>
      <c r="H804" s="43">
        <v>600</v>
      </c>
      <c r="I804" s="35">
        <v>695</v>
      </c>
      <c r="J804" s="35">
        <v>0</v>
      </c>
      <c r="K804" s="36"/>
      <c r="L804" s="36"/>
      <c r="M804" s="36"/>
      <c r="N804" s="36"/>
      <c r="O804" s="36"/>
      <c r="P804" s="36"/>
      <c r="Q804" s="36"/>
      <c r="R804" s="36"/>
      <c r="S804" s="36"/>
      <c r="T804" s="36"/>
    </row>
    <row r="805" spans="1:20" ht="15.75">
      <c r="A805" s="13">
        <v>66019</v>
      </c>
      <c r="B805" s="44">
        <f t="shared" si="3"/>
        <v>30</v>
      </c>
      <c r="C805" s="35">
        <v>194.20500000000001</v>
      </c>
      <c r="D805" s="35">
        <v>267.46600000000001</v>
      </c>
      <c r="E805" s="41">
        <v>812.32899999999995</v>
      </c>
      <c r="F805" s="35">
        <v>1274</v>
      </c>
      <c r="G805" s="35">
        <v>50</v>
      </c>
      <c r="H805" s="43">
        <v>600</v>
      </c>
      <c r="I805" s="35">
        <v>695</v>
      </c>
      <c r="J805" s="35">
        <v>0</v>
      </c>
      <c r="K805" s="36"/>
      <c r="L805" s="36"/>
      <c r="M805" s="36"/>
      <c r="N805" s="36"/>
      <c r="O805" s="36"/>
      <c r="P805" s="36"/>
      <c r="Q805" s="36"/>
      <c r="R805" s="36"/>
      <c r="S805" s="36"/>
      <c r="T805" s="36"/>
    </row>
    <row r="806" spans="1:20" ht="15.75">
      <c r="A806" s="13">
        <v>66050</v>
      </c>
      <c r="B806" s="44">
        <f t="shared" si="3"/>
        <v>31</v>
      </c>
      <c r="C806" s="35">
        <v>131.881</v>
      </c>
      <c r="D806" s="35">
        <v>277.16699999999997</v>
      </c>
      <c r="E806" s="41">
        <v>829.952</v>
      </c>
      <c r="F806" s="35">
        <v>1239</v>
      </c>
      <c r="G806" s="35">
        <v>75</v>
      </c>
      <c r="H806" s="43">
        <v>600</v>
      </c>
      <c r="I806" s="35">
        <v>695</v>
      </c>
      <c r="J806" s="35">
        <v>0</v>
      </c>
      <c r="K806" s="36"/>
      <c r="L806" s="36"/>
      <c r="M806" s="36"/>
      <c r="N806" s="36"/>
      <c r="O806" s="36"/>
      <c r="P806" s="36"/>
      <c r="Q806" s="36"/>
      <c r="R806" s="36"/>
      <c r="S806" s="36"/>
      <c r="T806" s="36"/>
    </row>
    <row r="807" spans="1:20" ht="15.75">
      <c r="A807" s="13">
        <v>66080</v>
      </c>
      <c r="B807" s="44">
        <f t="shared" si="3"/>
        <v>30</v>
      </c>
      <c r="C807" s="35">
        <v>122.58</v>
      </c>
      <c r="D807" s="35">
        <v>297.94099999999997</v>
      </c>
      <c r="E807" s="41">
        <v>729.47900000000004</v>
      </c>
      <c r="F807" s="35">
        <v>1150</v>
      </c>
      <c r="G807" s="35">
        <v>100</v>
      </c>
      <c r="H807" s="43">
        <v>600</v>
      </c>
      <c r="I807" s="35">
        <v>695</v>
      </c>
      <c r="J807" s="35">
        <v>50</v>
      </c>
      <c r="K807" s="36"/>
      <c r="L807" s="36"/>
      <c r="M807" s="36"/>
      <c r="N807" s="36"/>
      <c r="O807" s="36"/>
      <c r="P807" s="36"/>
      <c r="Q807" s="36"/>
      <c r="R807" s="36"/>
      <c r="S807" s="36"/>
      <c r="T807" s="36"/>
    </row>
    <row r="808" spans="1:20" ht="15.75">
      <c r="A808" s="13">
        <v>66111</v>
      </c>
      <c r="B808" s="44">
        <f t="shared" si="3"/>
        <v>31</v>
      </c>
      <c r="C808" s="35">
        <v>122.58</v>
      </c>
      <c r="D808" s="35">
        <v>297.94099999999997</v>
      </c>
      <c r="E808" s="41">
        <v>729.47900000000004</v>
      </c>
      <c r="F808" s="35">
        <v>1150</v>
      </c>
      <c r="G808" s="35">
        <v>100</v>
      </c>
      <c r="H808" s="43">
        <v>600</v>
      </c>
      <c r="I808" s="35">
        <v>695</v>
      </c>
      <c r="J808" s="35">
        <v>50</v>
      </c>
      <c r="K808" s="36"/>
      <c r="L808" s="36"/>
      <c r="M808" s="36"/>
      <c r="N808" s="36"/>
      <c r="O808" s="36"/>
      <c r="P808" s="36"/>
      <c r="Q808" s="36"/>
      <c r="R808" s="36"/>
      <c r="S808" s="36"/>
      <c r="T808" s="36"/>
    </row>
    <row r="809" spans="1:20" ht="15.75">
      <c r="A809" s="13">
        <v>66142</v>
      </c>
      <c r="B809" s="44">
        <f t="shared" si="3"/>
        <v>31</v>
      </c>
      <c r="C809" s="35">
        <v>122.58</v>
      </c>
      <c r="D809" s="35">
        <v>297.94099999999997</v>
      </c>
      <c r="E809" s="41">
        <v>729.47900000000004</v>
      </c>
      <c r="F809" s="35">
        <v>1150</v>
      </c>
      <c r="G809" s="35">
        <v>100</v>
      </c>
      <c r="H809" s="43">
        <v>600</v>
      </c>
      <c r="I809" s="35">
        <v>695</v>
      </c>
      <c r="J809" s="35">
        <v>50</v>
      </c>
      <c r="K809" s="36"/>
      <c r="L809" s="36"/>
      <c r="M809" s="36"/>
      <c r="N809" s="36"/>
      <c r="O809" s="36"/>
      <c r="P809" s="36"/>
      <c r="Q809" s="36"/>
      <c r="R809" s="36"/>
      <c r="S809" s="36"/>
      <c r="T809" s="36"/>
    </row>
    <row r="810" spans="1:20" ht="15.75">
      <c r="A810" s="13">
        <v>66170</v>
      </c>
      <c r="B810" s="44">
        <f t="shared" si="3"/>
        <v>28</v>
      </c>
      <c r="C810" s="35">
        <v>122.58</v>
      </c>
      <c r="D810" s="35">
        <v>297.94099999999997</v>
      </c>
      <c r="E810" s="41">
        <v>729.47900000000004</v>
      </c>
      <c r="F810" s="35">
        <v>1150</v>
      </c>
      <c r="G810" s="35">
        <v>100</v>
      </c>
      <c r="H810" s="43">
        <v>600</v>
      </c>
      <c r="I810" s="35">
        <v>695</v>
      </c>
      <c r="J810" s="35">
        <v>50</v>
      </c>
      <c r="K810" s="36"/>
      <c r="L810" s="36"/>
      <c r="M810" s="36"/>
      <c r="N810" s="36"/>
      <c r="O810" s="36"/>
      <c r="P810" s="36"/>
      <c r="Q810" s="36"/>
      <c r="R810" s="36"/>
      <c r="S810" s="36"/>
      <c r="T810" s="36"/>
    </row>
    <row r="811" spans="1:20" ht="15.75">
      <c r="A811" s="13">
        <v>66201</v>
      </c>
      <c r="B811" s="44">
        <f t="shared" si="3"/>
        <v>31</v>
      </c>
      <c r="C811" s="35">
        <v>122.58</v>
      </c>
      <c r="D811" s="35">
        <v>297.94099999999997</v>
      </c>
      <c r="E811" s="41">
        <v>729.47900000000004</v>
      </c>
      <c r="F811" s="35">
        <v>1150</v>
      </c>
      <c r="G811" s="35">
        <v>100</v>
      </c>
      <c r="H811" s="43">
        <v>600</v>
      </c>
      <c r="I811" s="35">
        <v>695</v>
      </c>
      <c r="J811" s="35">
        <v>50</v>
      </c>
      <c r="K811" s="36"/>
      <c r="L811" s="36"/>
      <c r="M811" s="36"/>
      <c r="N811" s="36"/>
      <c r="O811" s="36"/>
      <c r="P811" s="36"/>
      <c r="Q811" s="36"/>
      <c r="R811" s="36"/>
      <c r="S811" s="36"/>
      <c r="T811" s="36"/>
    </row>
    <row r="812" spans="1:20" ht="15.75">
      <c r="A812" s="13">
        <v>66231</v>
      </c>
      <c r="B812" s="44">
        <f t="shared" si="3"/>
        <v>30</v>
      </c>
      <c r="C812" s="35">
        <v>141.29300000000001</v>
      </c>
      <c r="D812" s="35">
        <v>267.99299999999999</v>
      </c>
      <c r="E812" s="41">
        <v>829.71400000000006</v>
      </c>
      <c r="F812" s="35">
        <v>1239</v>
      </c>
      <c r="G812" s="35">
        <v>100</v>
      </c>
      <c r="H812" s="43">
        <v>600</v>
      </c>
      <c r="I812" s="35">
        <v>695</v>
      </c>
      <c r="J812" s="35">
        <v>50</v>
      </c>
      <c r="K812" s="36"/>
      <c r="L812" s="36"/>
      <c r="M812" s="36"/>
      <c r="N812" s="36"/>
      <c r="O812" s="36"/>
      <c r="P812" s="36"/>
      <c r="Q812" s="36"/>
      <c r="R812" s="36"/>
      <c r="S812" s="36"/>
      <c r="T812" s="36"/>
    </row>
    <row r="813" spans="1:20" ht="15.75">
      <c r="A813" s="13">
        <v>66262</v>
      </c>
      <c r="B813" s="44">
        <f t="shared" si="3"/>
        <v>31</v>
      </c>
      <c r="C813" s="35">
        <v>194.20500000000001</v>
      </c>
      <c r="D813" s="35">
        <v>267.46600000000001</v>
      </c>
      <c r="E813" s="41">
        <v>812.32899999999995</v>
      </c>
      <c r="F813" s="35">
        <v>1274</v>
      </c>
      <c r="G813" s="35">
        <v>75</v>
      </c>
      <c r="H813" s="43">
        <v>600</v>
      </c>
      <c r="I813" s="35">
        <v>695</v>
      </c>
      <c r="J813" s="35">
        <v>50</v>
      </c>
      <c r="K813" s="36"/>
      <c r="L813" s="36"/>
      <c r="M813" s="36"/>
      <c r="N813" s="36"/>
      <c r="O813" s="36"/>
      <c r="P813" s="36"/>
      <c r="Q813" s="36"/>
      <c r="R813" s="36"/>
      <c r="S813" s="36"/>
      <c r="T813" s="36"/>
    </row>
    <row r="814" spans="1:20" ht="15.75">
      <c r="A814" s="13">
        <v>66292</v>
      </c>
      <c r="B814" s="44">
        <f t="shared" si="3"/>
        <v>30</v>
      </c>
      <c r="C814" s="35">
        <v>194.20500000000001</v>
      </c>
      <c r="D814" s="35">
        <v>267.46600000000001</v>
      </c>
      <c r="E814" s="41">
        <v>812.32899999999995</v>
      </c>
      <c r="F814" s="35">
        <v>1274</v>
      </c>
      <c r="G814" s="35">
        <v>50</v>
      </c>
      <c r="H814" s="43">
        <v>600</v>
      </c>
      <c r="I814" s="35">
        <v>695</v>
      </c>
      <c r="J814" s="35">
        <v>50</v>
      </c>
      <c r="K814" s="36"/>
      <c r="L814" s="36"/>
      <c r="M814" s="36"/>
      <c r="N814" s="36"/>
      <c r="O814" s="36"/>
      <c r="P814" s="36"/>
      <c r="Q814" s="36"/>
      <c r="R814" s="36"/>
      <c r="S814" s="36"/>
      <c r="T814" s="36"/>
    </row>
    <row r="815" spans="1:20" ht="15.75">
      <c r="A815" s="13">
        <v>66323</v>
      </c>
      <c r="B815" s="44">
        <f t="shared" si="3"/>
        <v>31</v>
      </c>
      <c r="C815" s="35">
        <v>194.20500000000001</v>
      </c>
      <c r="D815" s="35">
        <v>267.46600000000001</v>
      </c>
      <c r="E815" s="41">
        <v>812.32899999999995</v>
      </c>
      <c r="F815" s="35">
        <v>1274</v>
      </c>
      <c r="G815" s="35">
        <v>50</v>
      </c>
      <c r="H815" s="43">
        <v>600</v>
      </c>
      <c r="I815" s="35">
        <v>695</v>
      </c>
      <c r="J815" s="35">
        <v>0</v>
      </c>
      <c r="K815" s="36"/>
      <c r="L815" s="36"/>
      <c r="M815" s="36"/>
      <c r="N815" s="36"/>
      <c r="O815" s="36"/>
      <c r="P815" s="36"/>
      <c r="Q815" s="36"/>
      <c r="R815" s="36"/>
      <c r="S815" s="36"/>
      <c r="T815" s="36"/>
    </row>
    <row r="816" spans="1:20" ht="15.75">
      <c r="A816" s="13">
        <v>66354</v>
      </c>
      <c r="B816" s="44">
        <f t="shared" si="3"/>
        <v>31</v>
      </c>
      <c r="C816" s="35">
        <v>194.20500000000001</v>
      </c>
      <c r="D816" s="35">
        <v>267.46600000000001</v>
      </c>
      <c r="E816" s="41">
        <v>812.32899999999995</v>
      </c>
      <c r="F816" s="35">
        <v>1274</v>
      </c>
      <c r="G816" s="35">
        <v>50</v>
      </c>
      <c r="H816" s="43">
        <v>600</v>
      </c>
      <c r="I816" s="35">
        <v>695</v>
      </c>
      <c r="J816" s="35">
        <v>0</v>
      </c>
      <c r="K816" s="36"/>
      <c r="L816" s="36"/>
      <c r="M816" s="36"/>
      <c r="N816" s="36"/>
      <c r="O816" s="36"/>
      <c r="P816" s="36"/>
      <c r="Q816" s="36"/>
      <c r="R816" s="36"/>
      <c r="S816" s="36"/>
      <c r="T816" s="36"/>
    </row>
    <row r="817" spans="1:20" ht="15.75">
      <c r="A817" s="13">
        <v>66384</v>
      </c>
      <c r="B817" s="44">
        <f t="shared" si="3"/>
        <v>30</v>
      </c>
      <c r="C817" s="35">
        <v>194.20500000000001</v>
      </c>
      <c r="D817" s="35">
        <v>267.46600000000001</v>
      </c>
      <c r="E817" s="41">
        <v>812.32899999999995</v>
      </c>
      <c r="F817" s="35">
        <v>1274</v>
      </c>
      <c r="G817" s="35">
        <v>50</v>
      </c>
      <c r="H817" s="43">
        <v>600</v>
      </c>
      <c r="I817" s="35">
        <v>695</v>
      </c>
      <c r="J817" s="35">
        <v>0</v>
      </c>
      <c r="K817" s="36"/>
      <c r="L817" s="36"/>
      <c r="M817" s="36"/>
      <c r="N817" s="36"/>
      <c r="O817" s="36"/>
      <c r="P817" s="36"/>
      <c r="Q817" s="36"/>
      <c r="R817" s="36"/>
      <c r="S817" s="36"/>
      <c r="T817" s="36"/>
    </row>
    <row r="818" spans="1:20" ht="15.75">
      <c r="A818" s="13">
        <v>66415</v>
      </c>
      <c r="B818" s="44">
        <f t="shared" si="3"/>
        <v>31</v>
      </c>
      <c r="C818" s="35">
        <v>131.881</v>
      </c>
      <c r="D818" s="35">
        <v>277.16699999999997</v>
      </c>
      <c r="E818" s="41">
        <v>829.952</v>
      </c>
      <c r="F818" s="35">
        <v>1239</v>
      </c>
      <c r="G818" s="35">
        <v>75</v>
      </c>
      <c r="H818" s="43">
        <v>600</v>
      </c>
      <c r="I818" s="35">
        <v>695</v>
      </c>
      <c r="J818" s="35">
        <v>0</v>
      </c>
      <c r="K818" s="36"/>
      <c r="L818" s="36"/>
      <c r="M818" s="36"/>
      <c r="N818" s="36"/>
      <c r="O818" s="36"/>
      <c r="P818" s="36"/>
      <c r="Q818" s="36"/>
      <c r="R818" s="36"/>
      <c r="S818" s="36"/>
      <c r="T818" s="36"/>
    </row>
    <row r="819" spans="1:20" ht="15.75">
      <c r="A819" s="13">
        <v>66445</v>
      </c>
      <c r="B819" s="44">
        <f t="shared" si="3"/>
        <v>30</v>
      </c>
      <c r="C819" s="35">
        <v>122.58</v>
      </c>
      <c r="D819" s="35">
        <v>297.94099999999997</v>
      </c>
      <c r="E819" s="41">
        <v>729.47900000000004</v>
      </c>
      <c r="F819" s="35">
        <v>1150</v>
      </c>
      <c r="G819" s="35">
        <v>100</v>
      </c>
      <c r="H819" s="43">
        <v>600</v>
      </c>
      <c r="I819" s="35">
        <v>695</v>
      </c>
      <c r="J819" s="35">
        <v>50</v>
      </c>
      <c r="K819" s="36"/>
      <c r="L819" s="36"/>
      <c r="M819" s="36"/>
      <c r="N819" s="36"/>
      <c r="O819" s="36"/>
      <c r="P819" s="36"/>
      <c r="Q819" s="36"/>
      <c r="R819" s="36"/>
      <c r="S819" s="36"/>
      <c r="T819" s="36"/>
    </row>
    <row r="820" spans="1:20" ht="15.75">
      <c r="A820" s="13">
        <v>66476</v>
      </c>
      <c r="B820" s="44">
        <f t="shared" si="3"/>
        <v>31</v>
      </c>
      <c r="C820" s="35">
        <v>122.58</v>
      </c>
      <c r="D820" s="35">
        <v>297.94099999999997</v>
      </c>
      <c r="E820" s="41">
        <v>729.47900000000004</v>
      </c>
      <c r="F820" s="35">
        <v>1150</v>
      </c>
      <c r="G820" s="35">
        <v>100</v>
      </c>
      <c r="H820" s="43">
        <v>600</v>
      </c>
      <c r="I820" s="35">
        <v>695</v>
      </c>
      <c r="J820" s="35">
        <v>50</v>
      </c>
      <c r="K820" s="36"/>
      <c r="L820" s="36"/>
      <c r="M820" s="36"/>
      <c r="N820" s="36"/>
      <c r="O820" s="36"/>
      <c r="P820" s="36"/>
      <c r="Q820" s="36"/>
      <c r="R820" s="36"/>
      <c r="S820" s="36"/>
      <c r="T820" s="36"/>
    </row>
    <row r="821" spans="1:20" ht="15.75">
      <c r="A821" s="13">
        <v>66507</v>
      </c>
      <c r="B821" s="44">
        <f t="shared" si="3"/>
        <v>31</v>
      </c>
      <c r="C821" s="35">
        <v>122.58</v>
      </c>
      <c r="D821" s="35">
        <v>297.94099999999997</v>
      </c>
      <c r="E821" s="41">
        <v>729.47900000000004</v>
      </c>
      <c r="F821" s="35">
        <v>1150</v>
      </c>
      <c r="G821" s="35">
        <v>100</v>
      </c>
      <c r="H821" s="43">
        <v>600</v>
      </c>
      <c r="I821" s="35">
        <v>695</v>
      </c>
      <c r="J821" s="35">
        <v>50</v>
      </c>
      <c r="K821" s="36"/>
      <c r="L821" s="36"/>
      <c r="M821" s="36"/>
      <c r="N821" s="36"/>
      <c r="O821" s="36"/>
      <c r="P821" s="36"/>
      <c r="Q821" s="36"/>
      <c r="R821" s="36"/>
      <c r="S821" s="36"/>
      <c r="T821" s="36"/>
    </row>
    <row r="822" spans="1:20" ht="15.75">
      <c r="A822" s="13">
        <v>66535</v>
      </c>
      <c r="B822" s="44">
        <f t="shared" si="3"/>
        <v>28</v>
      </c>
      <c r="C822" s="35">
        <v>122.58</v>
      </c>
      <c r="D822" s="35">
        <v>297.94099999999997</v>
      </c>
      <c r="E822" s="41">
        <v>729.47900000000004</v>
      </c>
      <c r="F822" s="35">
        <v>1150</v>
      </c>
      <c r="G822" s="35">
        <v>100</v>
      </c>
      <c r="H822" s="43">
        <v>600</v>
      </c>
      <c r="I822" s="35">
        <v>695</v>
      </c>
      <c r="J822" s="35">
        <v>50</v>
      </c>
      <c r="K822" s="36"/>
      <c r="L822" s="36"/>
      <c r="M822" s="36"/>
      <c r="N822" s="36"/>
      <c r="O822" s="36"/>
      <c r="P822" s="36"/>
      <c r="Q822" s="36"/>
      <c r="R822" s="36"/>
      <c r="S822" s="36"/>
      <c r="T822" s="36"/>
    </row>
    <row r="823" spans="1:20" ht="15.75">
      <c r="A823" s="13">
        <v>66566</v>
      </c>
      <c r="B823" s="44">
        <f t="shared" si="3"/>
        <v>31</v>
      </c>
      <c r="C823" s="35">
        <v>122.58</v>
      </c>
      <c r="D823" s="35">
        <v>297.94099999999997</v>
      </c>
      <c r="E823" s="41">
        <v>729.47900000000004</v>
      </c>
      <c r="F823" s="35">
        <v>1150</v>
      </c>
      <c r="G823" s="35">
        <v>100</v>
      </c>
      <c r="H823" s="43">
        <v>600</v>
      </c>
      <c r="I823" s="35">
        <v>695</v>
      </c>
      <c r="J823" s="35">
        <v>50</v>
      </c>
      <c r="K823" s="36"/>
      <c r="L823" s="36"/>
      <c r="M823" s="36"/>
      <c r="N823" s="36"/>
      <c r="O823" s="36"/>
      <c r="P823" s="36"/>
      <c r="Q823" s="36"/>
      <c r="R823" s="36"/>
      <c r="S823" s="36"/>
      <c r="T823" s="36"/>
    </row>
    <row r="824" spans="1:20" ht="15.75">
      <c r="A824" s="13">
        <v>66596</v>
      </c>
      <c r="B824" s="44">
        <f t="shared" si="3"/>
        <v>30</v>
      </c>
      <c r="C824" s="35">
        <v>141.29300000000001</v>
      </c>
      <c r="D824" s="35">
        <v>267.99299999999999</v>
      </c>
      <c r="E824" s="41">
        <v>829.71400000000006</v>
      </c>
      <c r="F824" s="35">
        <v>1239</v>
      </c>
      <c r="G824" s="35">
        <v>100</v>
      </c>
      <c r="H824" s="43">
        <v>600</v>
      </c>
      <c r="I824" s="35">
        <v>695</v>
      </c>
      <c r="J824" s="35">
        <v>50</v>
      </c>
      <c r="K824" s="36"/>
      <c r="L824" s="36"/>
      <c r="M824" s="36"/>
      <c r="N824" s="36"/>
      <c r="O824" s="36"/>
      <c r="P824" s="36"/>
      <c r="Q824" s="36"/>
      <c r="R824" s="36"/>
      <c r="S824" s="36"/>
      <c r="T824" s="36"/>
    </row>
    <row r="825" spans="1:20" ht="15.75">
      <c r="A825" s="13">
        <v>66627</v>
      </c>
      <c r="B825" s="44">
        <f t="shared" si="3"/>
        <v>31</v>
      </c>
      <c r="C825" s="35">
        <v>194.20500000000001</v>
      </c>
      <c r="D825" s="35">
        <v>267.46600000000001</v>
      </c>
      <c r="E825" s="41">
        <v>812.32899999999995</v>
      </c>
      <c r="F825" s="35">
        <v>1274</v>
      </c>
      <c r="G825" s="35">
        <v>75</v>
      </c>
      <c r="H825" s="43">
        <v>600</v>
      </c>
      <c r="I825" s="35">
        <v>695</v>
      </c>
      <c r="J825" s="35">
        <v>50</v>
      </c>
      <c r="K825" s="36"/>
      <c r="L825" s="36"/>
      <c r="M825" s="36"/>
      <c r="N825" s="36"/>
      <c r="O825" s="36"/>
      <c r="P825" s="36"/>
      <c r="Q825" s="36"/>
      <c r="R825" s="36"/>
      <c r="S825" s="36"/>
      <c r="T825" s="36"/>
    </row>
    <row r="826" spans="1:20" ht="15.75">
      <c r="A826" s="13">
        <v>66657</v>
      </c>
      <c r="B826" s="44">
        <f t="shared" si="3"/>
        <v>30</v>
      </c>
      <c r="C826" s="35">
        <v>194.20500000000001</v>
      </c>
      <c r="D826" s="35">
        <v>267.46600000000001</v>
      </c>
      <c r="E826" s="41">
        <v>812.32899999999995</v>
      </c>
      <c r="F826" s="35">
        <v>1274</v>
      </c>
      <c r="G826" s="35">
        <v>50</v>
      </c>
      <c r="H826" s="43">
        <v>600</v>
      </c>
      <c r="I826" s="35">
        <v>695</v>
      </c>
      <c r="J826" s="35">
        <v>50</v>
      </c>
      <c r="K826" s="36"/>
      <c r="L826" s="36"/>
      <c r="M826" s="36"/>
      <c r="N826" s="36"/>
      <c r="O826" s="36"/>
      <c r="P826" s="36"/>
      <c r="Q826" s="36"/>
      <c r="R826" s="36"/>
      <c r="S826" s="36"/>
      <c r="T826" s="36"/>
    </row>
    <row r="827" spans="1:20" ht="15.75">
      <c r="A827" s="13">
        <v>66688</v>
      </c>
      <c r="B827" s="44">
        <f t="shared" si="3"/>
        <v>31</v>
      </c>
      <c r="C827" s="35">
        <v>194.20500000000001</v>
      </c>
      <c r="D827" s="35">
        <v>267.46600000000001</v>
      </c>
      <c r="E827" s="41">
        <v>812.32899999999995</v>
      </c>
      <c r="F827" s="35">
        <v>1274</v>
      </c>
      <c r="G827" s="35">
        <v>50</v>
      </c>
      <c r="H827" s="43">
        <v>600</v>
      </c>
      <c r="I827" s="35">
        <v>695</v>
      </c>
      <c r="J827" s="35">
        <v>0</v>
      </c>
      <c r="K827" s="36"/>
      <c r="L827" s="36"/>
      <c r="M827" s="36"/>
      <c r="N827" s="36"/>
      <c r="O827" s="36"/>
      <c r="P827" s="36"/>
      <c r="Q827" s="36"/>
      <c r="R827" s="36"/>
      <c r="S827" s="36"/>
      <c r="T827" s="36"/>
    </row>
    <row r="828" spans="1:20" ht="15.75">
      <c r="A828" s="13">
        <v>66719</v>
      </c>
      <c r="B828" s="44">
        <f t="shared" si="3"/>
        <v>31</v>
      </c>
      <c r="C828" s="35">
        <v>194.20500000000001</v>
      </c>
      <c r="D828" s="35">
        <v>267.46600000000001</v>
      </c>
      <c r="E828" s="41">
        <v>812.32899999999995</v>
      </c>
      <c r="F828" s="35">
        <v>1274</v>
      </c>
      <c r="G828" s="35">
        <v>50</v>
      </c>
      <c r="H828" s="43">
        <v>600</v>
      </c>
      <c r="I828" s="35">
        <v>695</v>
      </c>
      <c r="J828" s="35">
        <v>0</v>
      </c>
      <c r="K828" s="36"/>
      <c r="L828" s="36"/>
      <c r="M828" s="36"/>
      <c r="N828" s="36"/>
      <c r="O828" s="36"/>
      <c r="P828" s="36"/>
      <c r="Q828" s="36"/>
      <c r="R828" s="36"/>
      <c r="S828" s="36"/>
      <c r="T828" s="36"/>
    </row>
    <row r="829" spans="1:20" ht="15.75">
      <c r="A829" s="13">
        <v>66749</v>
      </c>
      <c r="B829" s="44">
        <f t="shared" si="3"/>
        <v>30</v>
      </c>
      <c r="C829" s="35">
        <v>194.20500000000001</v>
      </c>
      <c r="D829" s="35">
        <v>267.46600000000001</v>
      </c>
      <c r="E829" s="41">
        <v>812.32899999999995</v>
      </c>
      <c r="F829" s="35">
        <v>1274</v>
      </c>
      <c r="G829" s="35">
        <v>50</v>
      </c>
      <c r="H829" s="43">
        <v>600</v>
      </c>
      <c r="I829" s="35">
        <v>695</v>
      </c>
      <c r="J829" s="35">
        <v>0</v>
      </c>
      <c r="K829" s="36"/>
      <c r="L829" s="36"/>
      <c r="M829" s="36"/>
      <c r="N829" s="36"/>
      <c r="O829" s="36"/>
      <c r="P829" s="36"/>
      <c r="Q829" s="36"/>
      <c r="R829" s="36"/>
      <c r="S829" s="36"/>
      <c r="T829" s="36"/>
    </row>
    <row r="830" spans="1:20" ht="15.75">
      <c r="A830" s="13">
        <v>66780</v>
      </c>
      <c r="B830" s="44">
        <f t="shared" si="3"/>
        <v>31</v>
      </c>
      <c r="C830" s="35">
        <v>131.881</v>
      </c>
      <c r="D830" s="35">
        <v>277.16699999999997</v>
      </c>
      <c r="E830" s="41">
        <v>829.952</v>
      </c>
      <c r="F830" s="35">
        <v>1239</v>
      </c>
      <c r="G830" s="35">
        <v>75</v>
      </c>
      <c r="H830" s="43">
        <v>600</v>
      </c>
      <c r="I830" s="35">
        <v>695</v>
      </c>
      <c r="J830" s="35">
        <v>0</v>
      </c>
      <c r="K830" s="36"/>
      <c r="L830" s="36"/>
      <c r="M830" s="36"/>
      <c r="N830" s="36"/>
      <c r="O830" s="36"/>
      <c r="P830" s="36"/>
      <c r="Q830" s="36"/>
      <c r="R830" s="36"/>
      <c r="S830" s="36"/>
      <c r="T830" s="36"/>
    </row>
    <row r="831" spans="1:20" ht="15.75">
      <c r="A831" s="13">
        <v>66810</v>
      </c>
      <c r="B831" s="44">
        <f t="shared" si="3"/>
        <v>30</v>
      </c>
      <c r="C831" s="35">
        <v>122.58</v>
      </c>
      <c r="D831" s="35">
        <v>297.94099999999997</v>
      </c>
      <c r="E831" s="41">
        <v>729.47900000000004</v>
      </c>
      <c r="F831" s="35">
        <v>1150</v>
      </c>
      <c r="G831" s="35">
        <v>100</v>
      </c>
      <c r="H831" s="43">
        <v>600</v>
      </c>
      <c r="I831" s="35">
        <v>695</v>
      </c>
      <c r="J831" s="35">
        <v>50</v>
      </c>
      <c r="K831" s="36"/>
      <c r="L831" s="36"/>
      <c r="M831" s="36"/>
      <c r="N831" s="36"/>
      <c r="O831" s="36"/>
      <c r="P831" s="36"/>
      <c r="Q831" s="36"/>
      <c r="R831" s="36"/>
      <c r="S831" s="36"/>
      <c r="T831" s="36"/>
    </row>
    <row r="832" spans="1:20" ht="15.75">
      <c r="A832" s="13">
        <v>66841</v>
      </c>
      <c r="B832" s="44">
        <f t="shared" si="3"/>
        <v>31</v>
      </c>
      <c r="C832" s="35">
        <v>122.58</v>
      </c>
      <c r="D832" s="35">
        <v>297.94099999999997</v>
      </c>
      <c r="E832" s="41">
        <v>729.47900000000004</v>
      </c>
      <c r="F832" s="35">
        <v>1150</v>
      </c>
      <c r="G832" s="35">
        <v>100</v>
      </c>
      <c r="H832" s="43">
        <v>600</v>
      </c>
      <c r="I832" s="35">
        <v>695</v>
      </c>
      <c r="J832" s="35">
        <v>50</v>
      </c>
      <c r="K832" s="36"/>
      <c r="L832" s="36"/>
      <c r="M832" s="36"/>
      <c r="N832" s="36"/>
      <c r="O832" s="36"/>
      <c r="P832" s="36"/>
      <c r="Q832" s="36"/>
      <c r="R832" s="36"/>
      <c r="S832" s="36"/>
      <c r="T832" s="36"/>
    </row>
    <row r="833" spans="1:20" ht="15.75">
      <c r="A833" s="13">
        <v>66872</v>
      </c>
      <c r="B833" s="44">
        <f t="shared" si="3"/>
        <v>31</v>
      </c>
      <c r="C833" s="35">
        <v>122.58</v>
      </c>
      <c r="D833" s="35">
        <v>297.94099999999997</v>
      </c>
      <c r="E833" s="41">
        <v>729.47900000000004</v>
      </c>
      <c r="F833" s="35">
        <v>1150</v>
      </c>
      <c r="G833" s="35">
        <v>100</v>
      </c>
      <c r="H833" s="43">
        <v>600</v>
      </c>
      <c r="I833" s="35">
        <v>695</v>
      </c>
      <c r="J833" s="35">
        <v>50</v>
      </c>
      <c r="K833" s="36"/>
      <c r="L833" s="36"/>
      <c r="M833" s="36"/>
      <c r="N833" s="36"/>
      <c r="O833" s="36"/>
      <c r="P833" s="36"/>
      <c r="Q833" s="36"/>
      <c r="R833" s="36"/>
      <c r="S833" s="36"/>
      <c r="T833" s="36"/>
    </row>
    <row r="834" spans="1:20" ht="15.75">
      <c r="A834" s="13">
        <v>66900</v>
      </c>
      <c r="B834" s="44">
        <f t="shared" si="3"/>
        <v>28</v>
      </c>
      <c r="C834" s="35">
        <v>122.58</v>
      </c>
      <c r="D834" s="35">
        <v>297.94099999999997</v>
      </c>
      <c r="E834" s="41">
        <v>729.47900000000004</v>
      </c>
      <c r="F834" s="35">
        <v>1150</v>
      </c>
      <c r="G834" s="35">
        <v>100</v>
      </c>
      <c r="H834" s="43">
        <v>600</v>
      </c>
      <c r="I834" s="35">
        <v>695</v>
      </c>
      <c r="J834" s="35">
        <v>50</v>
      </c>
      <c r="K834" s="36"/>
      <c r="L834" s="36"/>
      <c r="M834" s="36"/>
      <c r="N834" s="36"/>
      <c r="O834" s="36"/>
      <c r="P834" s="36"/>
      <c r="Q834" s="36"/>
      <c r="R834" s="36"/>
      <c r="S834" s="36"/>
      <c r="T834" s="36"/>
    </row>
    <row r="835" spans="1:20" ht="15.75">
      <c r="A835" s="13">
        <v>66931</v>
      </c>
      <c r="B835" s="44">
        <f t="shared" si="3"/>
        <v>31</v>
      </c>
      <c r="C835" s="35">
        <v>122.58</v>
      </c>
      <c r="D835" s="35">
        <v>297.94099999999997</v>
      </c>
      <c r="E835" s="41">
        <v>729.47900000000004</v>
      </c>
      <c r="F835" s="35">
        <v>1150</v>
      </c>
      <c r="G835" s="35">
        <v>100</v>
      </c>
      <c r="H835" s="43">
        <v>600</v>
      </c>
      <c r="I835" s="35">
        <v>695</v>
      </c>
      <c r="J835" s="35">
        <v>50</v>
      </c>
      <c r="K835" s="36"/>
      <c r="L835" s="36"/>
      <c r="M835" s="36"/>
      <c r="N835" s="36"/>
      <c r="O835" s="36"/>
      <c r="P835" s="36"/>
      <c r="Q835" s="36"/>
      <c r="R835" s="36"/>
      <c r="S835" s="36"/>
      <c r="T835" s="36"/>
    </row>
    <row r="836" spans="1:20" ht="15.75">
      <c r="A836" s="13">
        <v>66961</v>
      </c>
      <c r="B836" s="44">
        <f t="shared" si="3"/>
        <v>30</v>
      </c>
      <c r="C836" s="35">
        <v>141.29300000000001</v>
      </c>
      <c r="D836" s="35">
        <v>267.99299999999999</v>
      </c>
      <c r="E836" s="41">
        <v>829.71400000000006</v>
      </c>
      <c r="F836" s="35">
        <v>1239</v>
      </c>
      <c r="G836" s="35">
        <v>100</v>
      </c>
      <c r="H836" s="43">
        <v>600</v>
      </c>
      <c r="I836" s="35">
        <v>695</v>
      </c>
      <c r="J836" s="35">
        <v>50</v>
      </c>
      <c r="K836" s="36"/>
      <c r="L836" s="36"/>
      <c r="M836" s="36"/>
      <c r="N836" s="36"/>
      <c r="O836" s="36"/>
      <c r="P836" s="36"/>
      <c r="Q836" s="36"/>
      <c r="R836" s="36"/>
      <c r="S836" s="36"/>
      <c r="T836" s="36"/>
    </row>
    <row r="837" spans="1:20" ht="15.75">
      <c r="A837" s="13">
        <v>66992</v>
      </c>
      <c r="B837" s="44">
        <f t="shared" ref="B837:B900" si="4">EOMONTH(A837,0)-EOMONTH(A837,-1)</f>
        <v>31</v>
      </c>
      <c r="C837" s="35">
        <v>194.20500000000001</v>
      </c>
      <c r="D837" s="35">
        <v>267.46600000000001</v>
      </c>
      <c r="E837" s="41">
        <v>812.32899999999995</v>
      </c>
      <c r="F837" s="35">
        <v>1274</v>
      </c>
      <c r="G837" s="35">
        <v>75</v>
      </c>
      <c r="H837" s="43">
        <v>600</v>
      </c>
      <c r="I837" s="35">
        <v>695</v>
      </c>
      <c r="J837" s="35">
        <v>50</v>
      </c>
      <c r="K837" s="36"/>
      <c r="L837" s="36"/>
      <c r="M837" s="36"/>
      <c r="N837" s="36"/>
      <c r="O837" s="36"/>
      <c r="P837" s="36"/>
      <c r="Q837" s="36"/>
      <c r="R837" s="36"/>
      <c r="S837" s="36"/>
      <c r="T837" s="36"/>
    </row>
    <row r="838" spans="1:20" ht="15.75">
      <c r="A838" s="13">
        <v>67022</v>
      </c>
      <c r="B838" s="44">
        <f t="shared" si="4"/>
        <v>30</v>
      </c>
      <c r="C838" s="35">
        <v>194.20500000000001</v>
      </c>
      <c r="D838" s="35">
        <v>267.46600000000001</v>
      </c>
      <c r="E838" s="41">
        <v>812.32899999999995</v>
      </c>
      <c r="F838" s="35">
        <v>1274</v>
      </c>
      <c r="G838" s="35">
        <v>50</v>
      </c>
      <c r="H838" s="43">
        <v>600</v>
      </c>
      <c r="I838" s="35">
        <v>695</v>
      </c>
      <c r="J838" s="35">
        <v>50</v>
      </c>
      <c r="K838" s="36"/>
      <c r="L838" s="36"/>
      <c r="M838" s="36"/>
      <c r="N838" s="36"/>
      <c r="O838" s="36"/>
      <c r="P838" s="36"/>
      <c r="Q838" s="36"/>
      <c r="R838" s="36"/>
      <c r="S838" s="36"/>
      <c r="T838" s="36"/>
    </row>
    <row r="839" spans="1:20" ht="15.75">
      <c r="A839" s="13">
        <v>67053</v>
      </c>
      <c r="B839" s="44">
        <f t="shared" si="4"/>
        <v>31</v>
      </c>
      <c r="C839" s="35">
        <v>194.20500000000001</v>
      </c>
      <c r="D839" s="35">
        <v>267.46600000000001</v>
      </c>
      <c r="E839" s="41">
        <v>812.32899999999995</v>
      </c>
      <c r="F839" s="35">
        <v>1274</v>
      </c>
      <c r="G839" s="35">
        <v>50</v>
      </c>
      <c r="H839" s="43">
        <v>600</v>
      </c>
      <c r="I839" s="35">
        <v>695</v>
      </c>
      <c r="J839" s="35">
        <v>0</v>
      </c>
      <c r="K839" s="36"/>
      <c r="L839" s="36"/>
      <c r="M839" s="36"/>
      <c r="N839" s="36"/>
      <c r="O839" s="36"/>
      <c r="P839" s="36"/>
      <c r="Q839" s="36"/>
      <c r="R839" s="36"/>
      <c r="S839" s="36"/>
      <c r="T839" s="36"/>
    </row>
    <row r="840" spans="1:20" ht="15.75">
      <c r="A840" s="13">
        <v>67084</v>
      </c>
      <c r="B840" s="44">
        <f t="shared" si="4"/>
        <v>31</v>
      </c>
      <c r="C840" s="35">
        <v>194.20500000000001</v>
      </c>
      <c r="D840" s="35">
        <v>267.46600000000001</v>
      </c>
      <c r="E840" s="41">
        <v>812.32899999999995</v>
      </c>
      <c r="F840" s="35">
        <v>1274</v>
      </c>
      <c r="G840" s="35">
        <v>50</v>
      </c>
      <c r="H840" s="43">
        <v>600</v>
      </c>
      <c r="I840" s="35">
        <v>695</v>
      </c>
      <c r="J840" s="35">
        <v>0</v>
      </c>
      <c r="K840" s="36"/>
      <c r="L840" s="36"/>
      <c r="M840" s="36"/>
      <c r="N840" s="36"/>
      <c r="O840" s="36"/>
      <c r="P840" s="36"/>
      <c r="Q840" s="36"/>
      <c r="R840" s="36"/>
      <c r="S840" s="36"/>
      <c r="T840" s="36"/>
    </row>
    <row r="841" spans="1:20" ht="15.75">
      <c r="A841" s="13">
        <v>67114</v>
      </c>
      <c r="B841" s="44">
        <f t="shared" si="4"/>
        <v>30</v>
      </c>
      <c r="C841" s="35">
        <v>194.20500000000001</v>
      </c>
      <c r="D841" s="35">
        <v>267.46600000000001</v>
      </c>
      <c r="E841" s="41">
        <v>812.32899999999995</v>
      </c>
      <c r="F841" s="35">
        <v>1274</v>
      </c>
      <c r="G841" s="35">
        <v>50</v>
      </c>
      <c r="H841" s="43">
        <v>600</v>
      </c>
      <c r="I841" s="35">
        <v>695</v>
      </c>
      <c r="J841" s="35">
        <v>0</v>
      </c>
      <c r="K841" s="36"/>
      <c r="L841" s="36"/>
      <c r="M841" s="36"/>
      <c r="N841" s="36"/>
      <c r="O841" s="36"/>
      <c r="P841" s="36"/>
      <c r="Q841" s="36"/>
      <c r="R841" s="36"/>
      <c r="S841" s="36"/>
      <c r="T841" s="36"/>
    </row>
    <row r="842" spans="1:20" ht="15.75">
      <c r="A842" s="13">
        <v>67145</v>
      </c>
      <c r="B842" s="44">
        <f t="shared" si="4"/>
        <v>31</v>
      </c>
      <c r="C842" s="35">
        <v>131.881</v>
      </c>
      <c r="D842" s="35">
        <v>277.16699999999997</v>
      </c>
      <c r="E842" s="41">
        <v>829.952</v>
      </c>
      <c r="F842" s="35">
        <v>1239</v>
      </c>
      <c r="G842" s="35">
        <v>75</v>
      </c>
      <c r="H842" s="43">
        <v>600</v>
      </c>
      <c r="I842" s="35">
        <v>695</v>
      </c>
      <c r="J842" s="35">
        <v>0</v>
      </c>
      <c r="K842" s="36"/>
      <c r="L842" s="36"/>
      <c r="M842" s="36"/>
      <c r="N842" s="36"/>
      <c r="O842" s="36"/>
      <c r="P842" s="36"/>
      <c r="Q842" s="36"/>
      <c r="R842" s="36"/>
      <c r="S842" s="36"/>
      <c r="T842" s="36"/>
    </row>
    <row r="843" spans="1:20" ht="15.75">
      <c r="A843" s="13">
        <v>67175</v>
      </c>
      <c r="B843" s="44">
        <f t="shared" si="4"/>
        <v>30</v>
      </c>
      <c r="C843" s="35">
        <v>122.58</v>
      </c>
      <c r="D843" s="35">
        <v>297.94099999999997</v>
      </c>
      <c r="E843" s="41">
        <v>729.47900000000004</v>
      </c>
      <c r="F843" s="35">
        <v>1150</v>
      </c>
      <c r="G843" s="35">
        <v>100</v>
      </c>
      <c r="H843" s="43">
        <v>600</v>
      </c>
      <c r="I843" s="35">
        <v>695</v>
      </c>
      <c r="J843" s="35">
        <v>50</v>
      </c>
      <c r="K843" s="36"/>
      <c r="L843" s="36"/>
      <c r="M843" s="36"/>
      <c r="N843" s="36"/>
      <c r="O843" s="36"/>
      <c r="P843" s="36"/>
      <c r="Q843" s="36"/>
      <c r="R843" s="36"/>
      <c r="S843" s="36"/>
      <c r="T843" s="36"/>
    </row>
    <row r="844" spans="1:20" ht="15.75">
      <c r="A844" s="13">
        <v>67206</v>
      </c>
      <c r="B844" s="44">
        <f t="shared" si="4"/>
        <v>31</v>
      </c>
      <c r="C844" s="35">
        <v>122.58</v>
      </c>
      <c r="D844" s="35">
        <v>297.94099999999997</v>
      </c>
      <c r="E844" s="41">
        <v>729.47900000000004</v>
      </c>
      <c r="F844" s="35">
        <v>1150</v>
      </c>
      <c r="G844" s="35">
        <v>100</v>
      </c>
      <c r="H844" s="43">
        <v>600</v>
      </c>
      <c r="I844" s="35">
        <v>695</v>
      </c>
      <c r="J844" s="35">
        <v>50</v>
      </c>
      <c r="K844" s="36"/>
      <c r="L844" s="36"/>
      <c r="M844" s="36"/>
      <c r="N844" s="36"/>
      <c r="O844" s="36"/>
      <c r="P844" s="36"/>
      <c r="Q844" s="36"/>
      <c r="R844" s="36"/>
      <c r="S844" s="36"/>
      <c r="T844" s="36"/>
    </row>
    <row r="845" spans="1:20" ht="15.75">
      <c r="A845" s="13">
        <v>67237</v>
      </c>
      <c r="B845" s="44">
        <f t="shared" si="4"/>
        <v>31</v>
      </c>
      <c r="C845" s="35">
        <v>122.58</v>
      </c>
      <c r="D845" s="35">
        <v>297.94099999999997</v>
      </c>
      <c r="E845" s="41">
        <v>729.47900000000004</v>
      </c>
      <c r="F845" s="35">
        <v>1150</v>
      </c>
      <c r="G845" s="35">
        <v>100</v>
      </c>
      <c r="H845" s="43">
        <v>600</v>
      </c>
      <c r="I845" s="35">
        <v>695</v>
      </c>
      <c r="J845" s="35">
        <v>50</v>
      </c>
      <c r="K845" s="36"/>
      <c r="L845" s="36"/>
      <c r="M845" s="36"/>
      <c r="N845" s="36"/>
      <c r="O845" s="36"/>
      <c r="P845" s="36"/>
      <c r="Q845" s="36"/>
      <c r="R845" s="36"/>
      <c r="S845" s="36"/>
      <c r="T845" s="36"/>
    </row>
    <row r="846" spans="1:20" ht="15.75">
      <c r="A846" s="13">
        <v>67266</v>
      </c>
      <c r="B846" s="44">
        <f t="shared" si="4"/>
        <v>29</v>
      </c>
      <c r="C846" s="35">
        <v>122.58</v>
      </c>
      <c r="D846" s="35">
        <v>297.94099999999997</v>
      </c>
      <c r="E846" s="41">
        <v>729.47900000000004</v>
      </c>
      <c r="F846" s="35">
        <v>1150</v>
      </c>
      <c r="G846" s="35">
        <v>100</v>
      </c>
      <c r="H846" s="43">
        <v>600</v>
      </c>
      <c r="I846" s="35">
        <v>695</v>
      </c>
      <c r="J846" s="35">
        <v>50</v>
      </c>
      <c r="K846" s="36"/>
      <c r="L846" s="36"/>
      <c r="M846" s="36"/>
      <c r="N846" s="36"/>
      <c r="O846" s="36"/>
      <c r="P846" s="36"/>
      <c r="Q846" s="36"/>
      <c r="R846" s="36"/>
      <c r="S846" s="36"/>
      <c r="T846" s="36"/>
    </row>
    <row r="847" spans="1:20" ht="15.75">
      <c r="A847" s="13">
        <v>67297</v>
      </c>
      <c r="B847" s="44">
        <f t="shared" si="4"/>
        <v>31</v>
      </c>
      <c r="C847" s="35">
        <v>122.58</v>
      </c>
      <c r="D847" s="35">
        <v>297.94099999999997</v>
      </c>
      <c r="E847" s="41">
        <v>729.47900000000004</v>
      </c>
      <c r="F847" s="35">
        <v>1150</v>
      </c>
      <c r="G847" s="35">
        <v>100</v>
      </c>
      <c r="H847" s="43">
        <v>600</v>
      </c>
      <c r="I847" s="35">
        <v>695</v>
      </c>
      <c r="J847" s="35">
        <v>50</v>
      </c>
      <c r="K847" s="36"/>
      <c r="L847" s="36"/>
      <c r="M847" s="36"/>
      <c r="N847" s="36"/>
      <c r="O847" s="36"/>
      <c r="P847" s="36"/>
      <c r="Q847" s="36"/>
      <c r="R847" s="36"/>
      <c r="S847" s="36"/>
      <c r="T847" s="36"/>
    </row>
    <row r="848" spans="1:20" ht="15.75">
      <c r="A848" s="13">
        <v>67327</v>
      </c>
      <c r="B848" s="44">
        <f t="shared" si="4"/>
        <v>30</v>
      </c>
      <c r="C848" s="35">
        <v>141.29300000000001</v>
      </c>
      <c r="D848" s="35">
        <v>267.99299999999999</v>
      </c>
      <c r="E848" s="41">
        <v>829.71400000000006</v>
      </c>
      <c r="F848" s="35">
        <v>1239</v>
      </c>
      <c r="G848" s="35">
        <v>100</v>
      </c>
      <c r="H848" s="43">
        <v>600</v>
      </c>
      <c r="I848" s="35">
        <v>695</v>
      </c>
      <c r="J848" s="35">
        <v>50</v>
      </c>
      <c r="K848" s="36"/>
      <c r="L848" s="36"/>
      <c r="M848" s="36"/>
      <c r="N848" s="36"/>
      <c r="O848" s="36"/>
      <c r="P848" s="36"/>
      <c r="Q848" s="36"/>
      <c r="R848" s="36"/>
      <c r="S848" s="36"/>
      <c r="T848" s="36"/>
    </row>
    <row r="849" spans="1:20" ht="15.75">
      <c r="A849" s="13">
        <v>67358</v>
      </c>
      <c r="B849" s="44">
        <f t="shared" si="4"/>
        <v>31</v>
      </c>
      <c r="C849" s="35">
        <v>194.20500000000001</v>
      </c>
      <c r="D849" s="35">
        <v>267.46600000000001</v>
      </c>
      <c r="E849" s="41">
        <v>812.32899999999995</v>
      </c>
      <c r="F849" s="35">
        <v>1274</v>
      </c>
      <c r="G849" s="35">
        <v>75</v>
      </c>
      <c r="H849" s="43">
        <v>600</v>
      </c>
      <c r="I849" s="35">
        <v>695</v>
      </c>
      <c r="J849" s="35">
        <v>50</v>
      </c>
      <c r="K849" s="36"/>
      <c r="L849" s="36"/>
      <c r="M849" s="36"/>
      <c r="N849" s="36"/>
      <c r="O849" s="36"/>
      <c r="P849" s="36"/>
      <c r="Q849" s="36"/>
      <c r="R849" s="36"/>
      <c r="S849" s="36"/>
      <c r="T849" s="36"/>
    </row>
    <row r="850" spans="1:20" ht="15.75">
      <c r="A850" s="13">
        <v>67388</v>
      </c>
      <c r="B850" s="44">
        <f t="shared" si="4"/>
        <v>30</v>
      </c>
      <c r="C850" s="35">
        <v>194.20500000000001</v>
      </c>
      <c r="D850" s="35">
        <v>267.46600000000001</v>
      </c>
      <c r="E850" s="41">
        <v>812.32899999999995</v>
      </c>
      <c r="F850" s="35">
        <v>1274</v>
      </c>
      <c r="G850" s="35">
        <v>50</v>
      </c>
      <c r="H850" s="43">
        <v>600</v>
      </c>
      <c r="I850" s="35">
        <v>695</v>
      </c>
      <c r="J850" s="35">
        <v>50</v>
      </c>
      <c r="K850" s="36"/>
      <c r="L850" s="36"/>
      <c r="M850" s="36"/>
      <c r="N850" s="36"/>
      <c r="O850" s="36"/>
      <c r="P850" s="36"/>
      <c r="Q850" s="36"/>
      <c r="R850" s="36"/>
      <c r="S850" s="36"/>
      <c r="T850" s="36"/>
    </row>
    <row r="851" spans="1:20" ht="15.75">
      <c r="A851" s="13">
        <v>67419</v>
      </c>
      <c r="B851" s="44">
        <f t="shared" si="4"/>
        <v>31</v>
      </c>
      <c r="C851" s="35">
        <v>194.20500000000001</v>
      </c>
      <c r="D851" s="35">
        <v>267.46600000000001</v>
      </c>
      <c r="E851" s="41">
        <v>812.32899999999995</v>
      </c>
      <c r="F851" s="35">
        <v>1274</v>
      </c>
      <c r="G851" s="35">
        <v>50</v>
      </c>
      <c r="H851" s="43">
        <v>600</v>
      </c>
      <c r="I851" s="35">
        <v>695</v>
      </c>
      <c r="J851" s="35">
        <v>0</v>
      </c>
      <c r="K851" s="36"/>
      <c r="L851" s="36"/>
      <c r="M851" s="36"/>
      <c r="N851" s="36"/>
      <c r="O851" s="36"/>
      <c r="P851" s="36"/>
      <c r="Q851" s="36"/>
      <c r="R851" s="36"/>
      <c r="S851" s="36"/>
      <c r="T851" s="36"/>
    </row>
    <row r="852" spans="1:20" ht="15.75">
      <c r="A852" s="13">
        <v>67450</v>
      </c>
      <c r="B852" s="44">
        <f t="shared" si="4"/>
        <v>31</v>
      </c>
      <c r="C852" s="35">
        <v>194.20500000000001</v>
      </c>
      <c r="D852" s="35">
        <v>267.46600000000001</v>
      </c>
      <c r="E852" s="41">
        <v>812.32899999999995</v>
      </c>
      <c r="F852" s="35">
        <v>1274</v>
      </c>
      <c r="G852" s="35">
        <v>50</v>
      </c>
      <c r="H852" s="43">
        <v>600</v>
      </c>
      <c r="I852" s="35">
        <v>695</v>
      </c>
      <c r="J852" s="35">
        <v>0</v>
      </c>
      <c r="K852" s="36"/>
      <c r="L852" s="36"/>
      <c r="M852" s="36"/>
      <c r="N852" s="36"/>
      <c r="O852" s="36"/>
      <c r="P852" s="36"/>
      <c r="Q852" s="36"/>
      <c r="R852" s="36"/>
      <c r="S852" s="36"/>
      <c r="T852" s="36"/>
    </row>
    <row r="853" spans="1:20" ht="15.75">
      <c r="A853" s="13">
        <v>67480</v>
      </c>
      <c r="B853" s="44">
        <f t="shared" si="4"/>
        <v>30</v>
      </c>
      <c r="C853" s="35">
        <v>194.20500000000001</v>
      </c>
      <c r="D853" s="35">
        <v>267.46600000000001</v>
      </c>
      <c r="E853" s="41">
        <v>812.32899999999995</v>
      </c>
      <c r="F853" s="35">
        <v>1274</v>
      </c>
      <c r="G853" s="35">
        <v>50</v>
      </c>
      <c r="H853" s="43">
        <v>600</v>
      </c>
      <c r="I853" s="35">
        <v>695</v>
      </c>
      <c r="J853" s="35">
        <v>0</v>
      </c>
      <c r="K853" s="36"/>
      <c r="L853" s="36"/>
      <c r="M853" s="36"/>
      <c r="N853" s="36"/>
      <c r="O853" s="36"/>
      <c r="P853" s="36"/>
      <c r="Q853" s="36"/>
      <c r="R853" s="36"/>
      <c r="S853" s="36"/>
      <c r="T853" s="36"/>
    </row>
    <row r="854" spans="1:20" ht="15.75">
      <c r="A854" s="13">
        <v>67511</v>
      </c>
      <c r="B854" s="44">
        <f t="shared" si="4"/>
        <v>31</v>
      </c>
      <c r="C854" s="35">
        <v>131.881</v>
      </c>
      <c r="D854" s="35">
        <v>277.16699999999997</v>
      </c>
      <c r="E854" s="41">
        <v>829.952</v>
      </c>
      <c r="F854" s="35">
        <v>1239</v>
      </c>
      <c r="G854" s="35">
        <v>75</v>
      </c>
      <c r="H854" s="43">
        <v>600</v>
      </c>
      <c r="I854" s="35">
        <v>695</v>
      </c>
      <c r="J854" s="35">
        <v>0</v>
      </c>
      <c r="K854" s="36"/>
      <c r="L854" s="36"/>
      <c r="M854" s="36"/>
      <c r="N854" s="36"/>
      <c r="O854" s="36"/>
      <c r="P854" s="36"/>
      <c r="Q854" s="36"/>
      <c r="R854" s="36"/>
      <c r="S854" s="36"/>
      <c r="T854" s="36"/>
    </row>
    <row r="855" spans="1:20" ht="15.75">
      <c r="A855" s="13">
        <v>67541</v>
      </c>
      <c r="B855" s="44">
        <f t="shared" si="4"/>
        <v>30</v>
      </c>
      <c r="C855" s="35">
        <v>122.58</v>
      </c>
      <c r="D855" s="35">
        <v>297.94099999999997</v>
      </c>
      <c r="E855" s="41">
        <v>729.47900000000004</v>
      </c>
      <c r="F855" s="35">
        <v>1150</v>
      </c>
      <c r="G855" s="35">
        <v>100</v>
      </c>
      <c r="H855" s="43">
        <v>600</v>
      </c>
      <c r="I855" s="35">
        <v>695</v>
      </c>
      <c r="J855" s="35">
        <v>50</v>
      </c>
      <c r="K855" s="36"/>
      <c r="L855" s="36"/>
      <c r="M855" s="36"/>
      <c r="N855" s="36"/>
      <c r="O855" s="36"/>
      <c r="P855" s="36"/>
      <c r="Q855" s="36"/>
      <c r="R855" s="36"/>
      <c r="S855" s="36"/>
      <c r="T855" s="36"/>
    </row>
    <row r="856" spans="1:20" ht="15.75">
      <c r="A856" s="13">
        <v>67572</v>
      </c>
      <c r="B856" s="44">
        <f t="shared" si="4"/>
        <v>31</v>
      </c>
      <c r="C856" s="35">
        <v>122.58</v>
      </c>
      <c r="D856" s="35">
        <v>297.94099999999997</v>
      </c>
      <c r="E856" s="41">
        <v>729.47900000000004</v>
      </c>
      <c r="F856" s="35">
        <v>1150</v>
      </c>
      <c r="G856" s="35">
        <v>100</v>
      </c>
      <c r="H856" s="43">
        <v>600</v>
      </c>
      <c r="I856" s="35">
        <v>695</v>
      </c>
      <c r="J856" s="35">
        <v>50</v>
      </c>
      <c r="K856" s="36"/>
      <c r="L856" s="36"/>
      <c r="M856" s="36"/>
      <c r="N856" s="36"/>
      <c r="O856" s="36"/>
      <c r="P856" s="36"/>
      <c r="Q856" s="36"/>
      <c r="R856" s="36"/>
      <c r="S856" s="36"/>
      <c r="T856" s="36"/>
    </row>
    <row r="857" spans="1:20" ht="15.75">
      <c r="A857" s="13">
        <v>67603</v>
      </c>
      <c r="B857" s="44">
        <f t="shared" si="4"/>
        <v>31</v>
      </c>
      <c r="C857" s="35">
        <v>122.58</v>
      </c>
      <c r="D857" s="35">
        <v>297.94099999999997</v>
      </c>
      <c r="E857" s="41">
        <v>729.47900000000004</v>
      </c>
      <c r="F857" s="35">
        <v>1150</v>
      </c>
      <c r="G857" s="35">
        <v>100</v>
      </c>
      <c r="H857" s="43">
        <v>600</v>
      </c>
      <c r="I857" s="35">
        <v>695</v>
      </c>
      <c r="J857" s="35">
        <v>50</v>
      </c>
      <c r="K857" s="36"/>
      <c r="L857" s="36"/>
      <c r="M857" s="36"/>
      <c r="N857" s="36"/>
      <c r="O857" s="36"/>
      <c r="P857" s="36"/>
      <c r="Q857" s="36"/>
      <c r="R857" s="36"/>
      <c r="S857" s="36"/>
      <c r="T857" s="36"/>
    </row>
    <row r="858" spans="1:20" ht="15.75">
      <c r="A858" s="13">
        <v>67631</v>
      </c>
      <c r="B858" s="44">
        <f t="shared" si="4"/>
        <v>28</v>
      </c>
      <c r="C858" s="35">
        <v>122.58</v>
      </c>
      <c r="D858" s="35">
        <v>297.94099999999997</v>
      </c>
      <c r="E858" s="41">
        <v>729.47900000000004</v>
      </c>
      <c r="F858" s="35">
        <v>1150</v>
      </c>
      <c r="G858" s="35">
        <v>100</v>
      </c>
      <c r="H858" s="43">
        <v>600</v>
      </c>
      <c r="I858" s="35">
        <v>695</v>
      </c>
      <c r="J858" s="35">
        <v>50</v>
      </c>
      <c r="K858" s="36"/>
      <c r="L858" s="36"/>
      <c r="M858" s="36"/>
      <c r="N858" s="36"/>
      <c r="O858" s="36"/>
      <c r="P858" s="36"/>
      <c r="Q858" s="36"/>
      <c r="R858" s="36"/>
      <c r="S858" s="36"/>
      <c r="T858" s="36"/>
    </row>
    <row r="859" spans="1:20" ht="15.75">
      <c r="A859" s="13">
        <v>67662</v>
      </c>
      <c r="B859" s="44">
        <f t="shared" si="4"/>
        <v>31</v>
      </c>
      <c r="C859" s="35">
        <v>122.58</v>
      </c>
      <c r="D859" s="35">
        <v>297.94099999999997</v>
      </c>
      <c r="E859" s="41">
        <v>729.47900000000004</v>
      </c>
      <c r="F859" s="35">
        <v>1150</v>
      </c>
      <c r="G859" s="35">
        <v>100</v>
      </c>
      <c r="H859" s="43">
        <v>600</v>
      </c>
      <c r="I859" s="35">
        <v>695</v>
      </c>
      <c r="J859" s="35">
        <v>50</v>
      </c>
      <c r="K859" s="36"/>
      <c r="L859" s="36"/>
      <c r="M859" s="36"/>
      <c r="N859" s="36"/>
      <c r="O859" s="36"/>
      <c r="P859" s="36"/>
      <c r="Q859" s="36"/>
      <c r="R859" s="36"/>
      <c r="S859" s="36"/>
      <c r="T859" s="36"/>
    </row>
    <row r="860" spans="1:20" ht="15.75">
      <c r="A860" s="13">
        <v>67692</v>
      </c>
      <c r="B860" s="44">
        <f t="shared" si="4"/>
        <v>30</v>
      </c>
      <c r="C860" s="35">
        <v>141.29300000000001</v>
      </c>
      <c r="D860" s="35">
        <v>267.99299999999999</v>
      </c>
      <c r="E860" s="41">
        <v>829.71400000000006</v>
      </c>
      <c r="F860" s="35">
        <v>1239</v>
      </c>
      <c r="G860" s="35">
        <v>100</v>
      </c>
      <c r="H860" s="43">
        <v>600</v>
      </c>
      <c r="I860" s="35">
        <v>695</v>
      </c>
      <c r="J860" s="35">
        <v>50</v>
      </c>
      <c r="K860" s="36"/>
      <c r="L860" s="36"/>
      <c r="M860" s="36"/>
      <c r="N860" s="36"/>
      <c r="O860" s="36"/>
      <c r="P860" s="36"/>
      <c r="Q860" s="36"/>
      <c r="R860" s="36"/>
      <c r="S860" s="36"/>
      <c r="T860" s="36"/>
    </row>
    <row r="861" spans="1:20" ht="15.75">
      <c r="A861" s="13">
        <v>67723</v>
      </c>
      <c r="B861" s="44">
        <f t="shared" si="4"/>
        <v>31</v>
      </c>
      <c r="C861" s="35">
        <v>194.20500000000001</v>
      </c>
      <c r="D861" s="35">
        <v>267.46600000000001</v>
      </c>
      <c r="E861" s="41">
        <v>812.32899999999995</v>
      </c>
      <c r="F861" s="35">
        <v>1274</v>
      </c>
      <c r="G861" s="35">
        <v>75</v>
      </c>
      <c r="H861" s="43">
        <v>600</v>
      </c>
      <c r="I861" s="35">
        <v>695</v>
      </c>
      <c r="J861" s="35">
        <v>50</v>
      </c>
      <c r="K861" s="36"/>
      <c r="L861" s="36"/>
      <c r="M861" s="36"/>
      <c r="N861" s="36"/>
      <c r="O861" s="36"/>
      <c r="P861" s="36"/>
      <c r="Q861" s="36"/>
      <c r="R861" s="36"/>
      <c r="S861" s="36"/>
      <c r="T861" s="36"/>
    </row>
    <row r="862" spans="1:20" ht="15.75">
      <c r="A862" s="13">
        <v>67753</v>
      </c>
      <c r="B862" s="44">
        <f t="shared" si="4"/>
        <v>30</v>
      </c>
      <c r="C862" s="35">
        <v>194.20500000000001</v>
      </c>
      <c r="D862" s="35">
        <v>267.46600000000001</v>
      </c>
      <c r="E862" s="41">
        <v>812.32899999999995</v>
      </c>
      <c r="F862" s="35">
        <v>1274</v>
      </c>
      <c r="G862" s="35">
        <v>50</v>
      </c>
      <c r="H862" s="43">
        <v>600</v>
      </c>
      <c r="I862" s="35">
        <v>695</v>
      </c>
      <c r="J862" s="35">
        <v>50</v>
      </c>
      <c r="K862" s="36"/>
      <c r="L862" s="36"/>
      <c r="M862" s="36"/>
      <c r="N862" s="36"/>
      <c r="O862" s="36"/>
      <c r="P862" s="36"/>
      <c r="Q862" s="36"/>
      <c r="R862" s="36"/>
      <c r="S862" s="36"/>
      <c r="T862" s="36"/>
    </row>
    <row r="863" spans="1:20" ht="15.75">
      <c r="A863" s="13">
        <v>67784</v>
      </c>
      <c r="B863" s="44">
        <f t="shared" si="4"/>
        <v>31</v>
      </c>
      <c r="C863" s="35">
        <v>194.20500000000001</v>
      </c>
      <c r="D863" s="35">
        <v>267.46600000000001</v>
      </c>
      <c r="E863" s="41">
        <v>812.32899999999995</v>
      </c>
      <c r="F863" s="35">
        <v>1274</v>
      </c>
      <c r="G863" s="35">
        <v>50</v>
      </c>
      <c r="H863" s="43">
        <v>600</v>
      </c>
      <c r="I863" s="35">
        <v>695</v>
      </c>
      <c r="J863" s="35">
        <v>0</v>
      </c>
      <c r="K863" s="36"/>
      <c r="L863" s="36"/>
      <c r="M863" s="36"/>
      <c r="N863" s="36"/>
      <c r="O863" s="36"/>
      <c r="P863" s="36"/>
      <c r="Q863" s="36"/>
      <c r="R863" s="36"/>
      <c r="S863" s="36"/>
      <c r="T863" s="36"/>
    </row>
    <row r="864" spans="1:20" ht="15.75">
      <c r="A864" s="13">
        <v>67815</v>
      </c>
      <c r="B864" s="44">
        <f t="shared" si="4"/>
        <v>31</v>
      </c>
      <c r="C864" s="35">
        <v>194.20500000000001</v>
      </c>
      <c r="D864" s="35">
        <v>267.46600000000001</v>
      </c>
      <c r="E864" s="41">
        <v>812.32899999999995</v>
      </c>
      <c r="F864" s="35">
        <v>1274</v>
      </c>
      <c r="G864" s="35">
        <v>50</v>
      </c>
      <c r="H864" s="43">
        <v>600</v>
      </c>
      <c r="I864" s="35">
        <v>695</v>
      </c>
      <c r="J864" s="35">
        <v>0</v>
      </c>
      <c r="K864" s="36"/>
      <c r="L864" s="36"/>
      <c r="M864" s="36"/>
      <c r="N864" s="36"/>
      <c r="O864" s="36"/>
      <c r="P864" s="36"/>
      <c r="Q864" s="36"/>
      <c r="R864" s="36"/>
      <c r="S864" s="36"/>
      <c r="T864" s="36"/>
    </row>
    <row r="865" spans="1:20" ht="15.75">
      <c r="A865" s="13">
        <v>67845</v>
      </c>
      <c r="B865" s="44">
        <f t="shared" si="4"/>
        <v>30</v>
      </c>
      <c r="C865" s="35">
        <v>194.20500000000001</v>
      </c>
      <c r="D865" s="35">
        <v>267.46600000000001</v>
      </c>
      <c r="E865" s="41">
        <v>812.32899999999995</v>
      </c>
      <c r="F865" s="35">
        <v>1274</v>
      </c>
      <c r="G865" s="35">
        <v>50</v>
      </c>
      <c r="H865" s="43">
        <v>600</v>
      </c>
      <c r="I865" s="35">
        <v>695</v>
      </c>
      <c r="J865" s="35">
        <v>0</v>
      </c>
      <c r="K865" s="36"/>
      <c r="L865" s="36"/>
      <c r="M865" s="36"/>
      <c r="N865" s="36"/>
      <c r="O865" s="36"/>
      <c r="P865" s="36"/>
      <c r="Q865" s="36"/>
      <c r="R865" s="36"/>
      <c r="S865" s="36"/>
      <c r="T865" s="36"/>
    </row>
    <row r="866" spans="1:20" ht="15.75">
      <c r="A866" s="13">
        <v>67876</v>
      </c>
      <c r="B866" s="44">
        <f t="shared" si="4"/>
        <v>31</v>
      </c>
      <c r="C866" s="35">
        <v>131.881</v>
      </c>
      <c r="D866" s="35">
        <v>277.16699999999997</v>
      </c>
      <c r="E866" s="41">
        <v>829.952</v>
      </c>
      <c r="F866" s="35">
        <v>1239</v>
      </c>
      <c r="G866" s="35">
        <v>75</v>
      </c>
      <c r="H866" s="43">
        <v>600</v>
      </c>
      <c r="I866" s="35">
        <v>695</v>
      </c>
      <c r="J866" s="35">
        <v>0</v>
      </c>
      <c r="K866" s="36"/>
      <c r="L866" s="36"/>
      <c r="M866" s="36"/>
      <c r="N866" s="36"/>
      <c r="O866" s="36"/>
      <c r="P866" s="36"/>
      <c r="Q866" s="36"/>
      <c r="R866" s="36"/>
      <c r="S866" s="36"/>
      <c r="T866" s="36"/>
    </row>
    <row r="867" spans="1:20" ht="15.75">
      <c r="A867" s="13">
        <v>67906</v>
      </c>
      <c r="B867" s="44">
        <f t="shared" si="4"/>
        <v>30</v>
      </c>
      <c r="C867" s="35">
        <v>122.58</v>
      </c>
      <c r="D867" s="35">
        <v>297.94099999999997</v>
      </c>
      <c r="E867" s="41">
        <v>729.47900000000004</v>
      </c>
      <c r="F867" s="35">
        <v>1150</v>
      </c>
      <c r="G867" s="35">
        <v>100</v>
      </c>
      <c r="H867" s="43">
        <v>600</v>
      </c>
      <c r="I867" s="35">
        <v>695</v>
      </c>
      <c r="J867" s="35">
        <v>50</v>
      </c>
      <c r="K867" s="36"/>
      <c r="L867" s="36"/>
      <c r="M867" s="36"/>
      <c r="N867" s="36"/>
      <c r="O867" s="36"/>
      <c r="P867" s="36"/>
      <c r="Q867" s="36"/>
      <c r="R867" s="36"/>
      <c r="S867" s="36"/>
      <c r="T867" s="36"/>
    </row>
    <row r="868" spans="1:20" ht="15.75">
      <c r="A868" s="13">
        <v>67937</v>
      </c>
      <c r="B868" s="44">
        <f t="shared" si="4"/>
        <v>31</v>
      </c>
      <c r="C868" s="35">
        <v>122.58</v>
      </c>
      <c r="D868" s="35">
        <v>297.94099999999997</v>
      </c>
      <c r="E868" s="41">
        <v>729.47900000000004</v>
      </c>
      <c r="F868" s="35">
        <v>1150</v>
      </c>
      <c r="G868" s="35">
        <v>100</v>
      </c>
      <c r="H868" s="43">
        <v>600</v>
      </c>
      <c r="I868" s="35">
        <v>695</v>
      </c>
      <c r="J868" s="35">
        <v>50</v>
      </c>
      <c r="K868" s="36"/>
      <c r="L868" s="36"/>
      <c r="M868" s="36"/>
      <c r="N868" s="36"/>
      <c r="O868" s="36"/>
      <c r="P868" s="36"/>
      <c r="Q868" s="36"/>
      <c r="R868" s="36"/>
      <c r="S868" s="36"/>
      <c r="T868" s="36"/>
    </row>
    <row r="869" spans="1:20" ht="15.75">
      <c r="A869" s="13">
        <v>67968</v>
      </c>
      <c r="B869" s="44">
        <f t="shared" si="4"/>
        <v>31</v>
      </c>
      <c r="C869" s="35">
        <v>122.58</v>
      </c>
      <c r="D869" s="35">
        <v>297.94099999999997</v>
      </c>
      <c r="E869" s="41">
        <v>729.47900000000004</v>
      </c>
      <c r="F869" s="35">
        <v>1150</v>
      </c>
      <c r="G869" s="35">
        <v>100</v>
      </c>
      <c r="H869" s="43">
        <v>600</v>
      </c>
      <c r="I869" s="35">
        <v>695</v>
      </c>
      <c r="J869" s="35">
        <v>50</v>
      </c>
      <c r="K869" s="36"/>
      <c r="L869" s="36"/>
      <c r="M869" s="36"/>
      <c r="N869" s="36"/>
      <c r="O869" s="36"/>
      <c r="P869" s="36"/>
      <c r="Q869" s="36"/>
      <c r="R869" s="36"/>
      <c r="S869" s="36"/>
      <c r="T869" s="36"/>
    </row>
    <row r="870" spans="1:20" ht="15.75">
      <c r="A870" s="13">
        <v>67996</v>
      </c>
      <c r="B870" s="44">
        <f t="shared" si="4"/>
        <v>28</v>
      </c>
      <c r="C870" s="35">
        <v>122.58</v>
      </c>
      <c r="D870" s="35">
        <v>297.94099999999997</v>
      </c>
      <c r="E870" s="41">
        <v>729.47900000000004</v>
      </c>
      <c r="F870" s="35">
        <v>1150</v>
      </c>
      <c r="G870" s="35">
        <v>100</v>
      </c>
      <c r="H870" s="43">
        <v>600</v>
      </c>
      <c r="I870" s="35">
        <v>695</v>
      </c>
      <c r="J870" s="35">
        <v>50</v>
      </c>
      <c r="K870" s="36"/>
      <c r="L870" s="36"/>
      <c r="M870" s="36"/>
      <c r="N870" s="36"/>
      <c r="O870" s="36"/>
      <c r="P870" s="36"/>
      <c r="Q870" s="36"/>
      <c r="R870" s="36"/>
      <c r="S870" s="36"/>
      <c r="T870" s="36"/>
    </row>
    <row r="871" spans="1:20" ht="15.75">
      <c r="A871" s="13">
        <v>68027</v>
      </c>
      <c r="B871" s="44">
        <f t="shared" si="4"/>
        <v>31</v>
      </c>
      <c r="C871" s="35">
        <v>122.58</v>
      </c>
      <c r="D871" s="35">
        <v>297.94099999999997</v>
      </c>
      <c r="E871" s="41">
        <v>729.47900000000004</v>
      </c>
      <c r="F871" s="35">
        <v>1150</v>
      </c>
      <c r="G871" s="35">
        <v>100</v>
      </c>
      <c r="H871" s="43">
        <v>600</v>
      </c>
      <c r="I871" s="35">
        <v>695</v>
      </c>
      <c r="J871" s="35">
        <v>50</v>
      </c>
      <c r="K871" s="36"/>
      <c r="L871" s="36"/>
      <c r="M871" s="36"/>
      <c r="N871" s="36"/>
      <c r="O871" s="36"/>
      <c r="P871" s="36"/>
      <c r="Q871" s="36"/>
      <c r="R871" s="36"/>
      <c r="S871" s="36"/>
      <c r="T871" s="36"/>
    </row>
    <row r="872" spans="1:20" ht="15.75">
      <c r="A872" s="13">
        <v>68057</v>
      </c>
      <c r="B872" s="44">
        <f t="shared" si="4"/>
        <v>30</v>
      </c>
      <c r="C872" s="35">
        <v>141.29300000000001</v>
      </c>
      <c r="D872" s="35">
        <v>267.99299999999999</v>
      </c>
      <c r="E872" s="41">
        <v>829.71400000000006</v>
      </c>
      <c r="F872" s="35">
        <v>1239</v>
      </c>
      <c r="G872" s="35">
        <v>100</v>
      </c>
      <c r="H872" s="43">
        <v>600</v>
      </c>
      <c r="I872" s="35">
        <v>695</v>
      </c>
      <c r="J872" s="35">
        <v>50</v>
      </c>
      <c r="K872" s="36"/>
      <c r="L872" s="36"/>
      <c r="M872" s="36"/>
      <c r="N872" s="36"/>
      <c r="O872" s="36"/>
      <c r="P872" s="36"/>
      <c r="Q872" s="36"/>
      <c r="R872" s="36"/>
      <c r="S872" s="36"/>
      <c r="T872" s="36"/>
    </row>
    <row r="873" spans="1:20" ht="15.75">
      <c r="A873" s="13">
        <v>68088</v>
      </c>
      <c r="B873" s="44">
        <f t="shared" si="4"/>
        <v>31</v>
      </c>
      <c r="C873" s="35">
        <v>194.20500000000001</v>
      </c>
      <c r="D873" s="35">
        <v>267.46600000000001</v>
      </c>
      <c r="E873" s="41">
        <v>812.32899999999995</v>
      </c>
      <c r="F873" s="35">
        <v>1274</v>
      </c>
      <c r="G873" s="35">
        <v>75</v>
      </c>
      <c r="H873" s="43">
        <v>600</v>
      </c>
      <c r="I873" s="35">
        <v>695</v>
      </c>
      <c r="J873" s="35">
        <v>50</v>
      </c>
      <c r="K873" s="36"/>
      <c r="L873" s="36"/>
      <c r="M873" s="36"/>
      <c r="N873" s="36"/>
      <c r="O873" s="36"/>
      <c r="P873" s="36"/>
      <c r="Q873" s="36"/>
      <c r="R873" s="36"/>
      <c r="S873" s="36"/>
      <c r="T873" s="36"/>
    </row>
    <row r="874" spans="1:20" ht="15.75">
      <c r="A874" s="13">
        <v>68118</v>
      </c>
      <c r="B874" s="44">
        <f t="shared" si="4"/>
        <v>30</v>
      </c>
      <c r="C874" s="35">
        <v>194.20500000000001</v>
      </c>
      <c r="D874" s="35">
        <v>267.46600000000001</v>
      </c>
      <c r="E874" s="41">
        <v>812.32899999999995</v>
      </c>
      <c r="F874" s="35">
        <v>1274</v>
      </c>
      <c r="G874" s="35">
        <v>50</v>
      </c>
      <c r="H874" s="43">
        <v>600</v>
      </c>
      <c r="I874" s="35">
        <v>695</v>
      </c>
      <c r="J874" s="35">
        <v>50</v>
      </c>
      <c r="K874" s="36"/>
      <c r="L874" s="36"/>
      <c r="M874" s="36"/>
      <c r="N874" s="36"/>
      <c r="O874" s="36"/>
      <c r="P874" s="36"/>
      <c r="Q874" s="36"/>
      <c r="R874" s="36"/>
      <c r="S874" s="36"/>
      <c r="T874" s="36"/>
    </row>
    <row r="875" spans="1:20" ht="15.75">
      <c r="A875" s="13">
        <v>68149</v>
      </c>
      <c r="B875" s="44">
        <f t="shared" si="4"/>
        <v>31</v>
      </c>
      <c r="C875" s="35">
        <v>194.20500000000001</v>
      </c>
      <c r="D875" s="35">
        <v>267.46600000000001</v>
      </c>
      <c r="E875" s="41">
        <v>812.32899999999995</v>
      </c>
      <c r="F875" s="35">
        <v>1274</v>
      </c>
      <c r="G875" s="35">
        <v>50</v>
      </c>
      <c r="H875" s="43">
        <v>600</v>
      </c>
      <c r="I875" s="35">
        <v>695</v>
      </c>
      <c r="J875" s="35">
        <v>0</v>
      </c>
      <c r="K875" s="36"/>
      <c r="L875" s="36"/>
      <c r="M875" s="36"/>
      <c r="N875" s="36"/>
      <c r="O875" s="36"/>
      <c r="P875" s="36"/>
      <c r="Q875" s="36"/>
      <c r="R875" s="36"/>
      <c r="S875" s="36"/>
      <c r="T875" s="36"/>
    </row>
    <row r="876" spans="1:20" ht="15.75">
      <c r="A876" s="13">
        <v>68180</v>
      </c>
      <c r="B876" s="44">
        <f t="shared" si="4"/>
        <v>31</v>
      </c>
      <c r="C876" s="35">
        <v>194.20500000000001</v>
      </c>
      <c r="D876" s="35">
        <v>267.46600000000001</v>
      </c>
      <c r="E876" s="41">
        <v>812.32899999999995</v>
      </c>
      <c r="F876" s="35">
        <v>1274</v>
      </c>
      <c r="G876" s="35">
        <v>50</v>
      </c>
      <c r="H876" s="43">
        <v>600</v>
      </c>
      <c r="I876" s="35">
        <v>695</v>
      </c>
      <c r="J876" s="35">
        <v>0</v>
      </c>
      <c r="K876" s="36"/>
      <c r="L876" s="36"/>
      <c r="M876" s="36"/>
      <c r="N876" s="36"/>
      <c r="O876" s="36"/>
      <c r="P876" s="36"/>
      <c r="Q876" s="36"/>
      <c r="R876" s="36"/>
      <c r="S876" s="36"/>
      <c r="T876" s="36"/>
    </row>
    <row r="877" spans="1:20" ht="15.75">
      <c r="A877" s="13">
        <v>68210</v>
      </c>
      <c r="B877" s="44">
        <f t="shared" si="4"/>
        <v>30</v>
      </c>
      <c r="C877" s="35">
        <v>194.20500000000001</v>
      </c>
      <c r="D877" s="35">
        <v>267.46600000000001</v>
      </c>
      <c r="E877" s="41">
        <v>812.32899999999995</v>
      </c>
      <c r="F877" s="35">
        <v>1274</v>
      </c>
      <c r="G877" s="35">
        <v>50</v>
      </c>
      <c r="H877" s="43">
        <v>600</v>
      </c>
      <c r="I877" s="35">
        <v>695</v>
      </c>
      <c r="J877" s="35">
        <v>0</v>
      </c>
      <c r="K877" s="36"/>
      <c r="L877" s="36"/>
      <c r="M877" s="36"/>
      <c r="N877" s="36"/>
      <c r="O877" s="36"/>
      <c r="P877" s="36"/>
      <c r="Q877" s="36"/>
      <c r="R877" s="36"/>
      <c r="S877" s="36"/>
      <c r="T877" s="36"/>
    </row>
    <row r="878" spans="1:20" ht="15.75">
      <c r="A878" s="13">
        <v>68241</v>
      </c>
      <c r="B878" s="44">
        <f t="shared" si="4"/>
        <v>31</v>
      </c>
      <c r="C878" s="35">
        <v>131.881</v>
      </c>
      <c r="D878" s="35">
        <v>277.16699999999997</v>
      </c>
      <c r="E878" s="41">
        <v>829.952</v>
      </c>
      <c r="F878" s="35">
        <v>1239</v>
      </c>
      <c r="G878" s="35">
        <v>75</v>
      </c>
      <c r="H878" s="43">
        <v>600</v>
      </c>
      <c r="I878" s="35">
        <v>695</v>
      </c>
      <c r="J878" s="35">
        <v>0</v>
      </c>
      <c r="K878" s="36"/>
      <c r="L878" s="36"/>
      <c r="M878" s="36"/>
      <c r="N878" s="36"/>
      <c r="O878" s="36"/>
      <c r="P878" s="36"/>
      <c r="Q878" s="36"/>
      <c r="R878" s="36"/>
      <c r="S878" s="36"/>
      <c r="T878" s="36"/>
    </row>
    <row r="879" spans="1:20" ht="15.75">
      <c r="A879" s="13">
        <v>68271</v>
      </c>
      <c r="B879" s="44">
        <f t="shared" si="4"/>
        <v>30</v>
      </c>
      <c r="C879" s="35">
        <v>122.58</v>
      </c>
      <c r="D879" s="35">
        <v>297.94099999999997</v>
      </c>
      <c r="E879" s="41">
        <v>729.47900000000004</v>
      </c>
      <c r="F879" s="35">
        <v>1150</v>
      </c>
      <c r="G879" s="35">
        <v>100</v>
      </c>
      <c r="H879" s="43">
        <v>600</v>
      </c>
      <c r="I879" s="35">
        <v>695</v>
      </c>
      <c r="J879" s="35">
        <v>50</v>
      </c>
      <c r="K879" s="36"/>
      <c r="L879" s="36"/>
      <c r="M879" s="36"/>
      <c r="N879" s="36"/>
      <c r="O879" s="36"/>
      <c r="P879" s="36"/>
      <c r="Q879" s="36"/>
      <c r="R879" s="36"/>
      <c r="S879" s="36"/>
      <c r="T879" s="36"/>
    </row>
    <row r="880" spans="1:20" ht="15.75">
      <c r="A880" s="13">
        <v>68302</v>
      </c>
      <c r="B880" s="44">
        <f t="shared" si="4"/>
        <v>31</v>
      </c>
      <c r="C880" s="35">
        <v>122.58</v>
      </c>
      <c r="D880" s="35">
        <v>297.94099999999997</v>
      </c>
      <c r="E880" s="41">
        <v>729.47900000000004</v>
      </c>
      <c r="F880" s="35">
        <v>1150</v>
      </c>
      <c r="G880" s="35">
        <v>100</v>
      </c>
      <c r="H880" s="43">
        <v>600</v>
      </c>
      <c r="I880" s="35">
        <v>695</v>
      </c>
      <c r="J880" s="35">
        <v>50</v>
      </c>
      <c r="K880" s="36"/>
      <c r="L880" s="36"/>
      <c r="M880" s="36"/>
      <c r="N880" s="36"/>
      <c r="O880" s="36"/>
      <c r="P880" s="36"/>
      <c r="Q880" s="36"/>
      <c r="R880" s="36"/>
      <c r="S880" s="36"/>
      <c r="T880" s="36"/>
    </row>
    <row r="881" spans="1:20" ht="15.75">
      <c r="A881" s="13">
        <v>68333</v>
      </c>
      <c r="B881" s="44">
        <f t="shared" si="4"/>
        <v>31</v>
      </c>
      <c r="C881" s="35">
        <v>122.58</v>
      </c>
      <c r="D881" s="35">
        <v>297.94099999999997</v>
      </c>
      <c r="E881" s="41">
        <v>729.47900000000004</v>
      </c>
      <c r="F881" s="35">
        <v>1150</v>
      </c>
      <c r="G881" s="35">
        <v>100</v>
      </c>
      <c r="H881" s="43">
        <v>600</v>
      </c>
      <c r="I881" s="35">
        <v>695</v>
      </c>
      <c r="J881" s="35">
        <v>50</v>
      </c>
      <c r="K881" s="36"/>
      <c r="L881" s="36"/>
      <c r="M881" s="36"/>
      <c r="N881" s="36"/>
      <c r="O881" s="36"/>
      <c r="P881" s="36"/>
      <c r="Q881" s="36"/>
      <c r="R881" s="36"/>
      <c r="S881" s="36"/>
      <c r="T881" s="36"/>
    </row>
    <row r="882" spans="1:20" ht="15.75">
      <c r="A882" s="13">
        <v>68361</v>
      </c>
      <c r="B882" s="44">
        <f t="shared" si="4"/>
        <v>28</v>
      </c>
      <c r="C882" s="35">
        <v>122.58</v>
      </c>
      <c r="D882" s="35">
        <v>297.94099999999997</v>
      </c>
      <c r="E882" s="41">
        <v>729.47900000000004</v>
      </c>
      <c r="F882" s="35">
        <v>1150</v>
      </c>
      <c r="G882" s="35">
        <v>100</v>
      </c>
      <c r="H882" s="43">
        <v>600</v>
      </c>
      <c r="I882" s="35">
        <v>695</v>
      </c>
      <c r="J882" s="35">
        <v>50</v>
      </c>
      <c r="K882" s="36"/>
      <c r="L882" s="36"/>
      <c r="M882" s="36"/>
      <c r="N882" s="36"/>
      <c r="O882" s="36"/>
      <c r="P882" s="36"/>
      <c r="Q882" s="36"/>
      <c r="R882" s="36"/>
      <c r="S882" s="36"/>
      <c r="T882" s="36"/>
    </row>
    <row r="883" spans="1:20" ht="15.75">
      <c r="A883" s="13">
        <v>68392</v>
      </c>
      <c r="B883" s="44">
        <f t="shared" si="4"/>
        <v>31</v>
      </c>
      <c r="C883" s="35">
        <v>122.58</v>
      </c>
      <c r="D883" s="35">
        <v>297.94099999999997</v>
      </c>
      <c r="E883" s="41">
        <v>729.47900000000004</v>
      </c>
      <c r="F883" s="35">
        <v>1150</v>
      </c>
      <c r="G883" s="35">
        <v>100</v>
      </c>
      <c r="H883" s="43">
        <v>600</v>
      </c>
      <c r="I883" s="35">
        <v>695</v>
      </c>
      <c r="J883" s="35">
        <v>50</v>
      </c>
      <c r="K883" s="36"/>
      <c r="L883" s="36"/>
      <c r="M883" s="36"/>
      <c r="N883" s="36"/>
      <c r="O883" s="36"/>
      <c r="P883" s="36"/>
      <c r="Q883" s="36"/>
      <c r="R883" s="36"/>
      <c r="S883" s="36"/>
      <c r="T883" s="36"/>
    </row>
    <row r="884" spans="1:20" ht="15.75">
      <c r="A884" s="13">
        <v>68422</v>
      </c>
      <c r="B884" s="44">
        <f t="shared" si="4"/>
        <v>30</v>
      </c>
      <c r="C884" s="35">
        <v>141.29300000000001</v>
      </c>
      <c r="D884" s="35">
        <v>267.99299999999999</v>
      </c>
      <c r="E884" s="41">
        <v>829.71400000000006</v>
      </c>
      <c r="F884" s="35">
        <v>1239</v>
      </c>
      <c r="G884" s="35">
        <v>100</v>
      </c>
      <c r="H884" s="43">
        <v>600</v>
      </c>
      <c r="I884" s="35">
        <v>695</v>
      </c>
      <c r="J884" s="35">
        <v>50</v>
      </c>
      <c r="K884" s="36"/>
      <c r="L884" s="36"/>
      <c r="M884" s="36"/>
      <c r="N884" s="36"/>
      <c r="O884" s="36"/>
      <c r="P884" s="36"/>
      <c r="Q884" s="36"/>
      <c r="R884" s="36"/>
      <c r="S884" s="36"/>
      <c r="T884" s="36"/>
    </row>
    <row r="885" spans="1:20" ht="15.75">
      <c r="A885" s="13">
        <v>68453</v>
      </c>
      <c r="B885" s="44">
        <f t="shared" si="4"/>
        <v>31</v>
      </c>
      <c r="C885" s="35">
        <v>194.20500000000001</v>
      </c>
      <c r="D885" s="35">
        <v>267.46600000000001</v>
      </c>
      <c r="E885" s="41">
        <v>812.32899999999995</v>
      </c>
      <c r="F885" s="35">
        <v>1274</v>
      </c>
      <c r="G885" s="35">
        <v>75</v>
      </c>
      <c r="H885" s="43">
        <v>600</v>
      </c>
      <c r="I885" s="35">
        <v>695</v>
      </c>
      <c r="J885" s="35">
        <v>50</v>
      </c>
      <c r="K885" s="36"/>
      <c r="L885" s="36"/>
      <c r="M885" s="36"/>
      <c r="N885" s="36"/>
      <c r="O885" s="36"/>
      <c r="P885" s="36"/>
      <c r="Q885" s="36"/>
      <c r="R885" s="36"/>
      <c r="S885" s="36"/>
      <c r="T885" s="36"/>
    </row>
    <row r="886" spans="1:20" ht="15.75">
      <c r="A886" s="13">
        <v>68483</v>
      </c>
      <c r="B886" s="44">
        <f t="shared" si="4"/>
        <v>30</v>
      </c>
      <c r="C886" s="35">
        <v>194.20500000000001</v>
      </c>
      <c r="D886" s="35">
        <v>267.46600000000001</v>
      </c>
      <c r="E886" s="41">
        <v>812.32899999999995</v>
      </c>
      <c r="F886" s="35">
        <v>1274</v>
      </c>
      <c r="G886" s="35">
        <v>50</v>
      </c>
      <c r="H886" s="43">
        <v>600</v>
      </c>
      <c r="I886" s="35">
        <v>695</v>
      </c>
      <c r="J886" s="35">
        <v>50</v>
      </c>
      <c r="K886" s="36"/>
      <c r="L886" s="36"/>
      <c r="M886" s="36"/>
      <c r="N886" s="36"/>
      <c r="O886" s="36"/>
      <c r="P886" s="36"/>
      <c r="Q886" s="36"/>
      <c r="R886" s="36"/>
      <c r="S886" s="36"/>
      <c r="T886" s="36"/>
    </row>
    <row r="887" spans="1:20" ht="15.75">
      <c r="A887" s="13">
        <v>68514</v>
      </c>
      <c r="B887" s="44">
        <f t="shared" si="4"/>
        <v>31</v>
      </c>
      <c r="C887" s="35">
        <v>194.20500000000001</v>
      </c>
      <c r="D887" s="35">
        <v>267.46600000000001</v>
      </c>
      <c r="E887" s="41">
        <v>812.32899999999995</v>
      </c>
      <c r="F887" s="35">
        <v>1274</v>
      </c>
      <c r="G887" s="35">
        <v>50</v>
      </c>
      <c r="H887" s="43">
        <v>600</v>
      </c>
      <c r="I887" s="35">
        <v>695</v>
      </c>
      <c r="J887" s="35">
        <v>0</v>
      </c>
      <c r="K887" s="36"/>
      <c r="L887" s="36"/>
      <c r="M887" s="36"/>
      <c r="N887" s="36"/>
      <c r="O887" s="36"/>
      <c r="P887" s="36"/>
      <c r="Q887" s="36"/>
      <c r="R887" s="36"/>
      <c r="S887" s="36"/>
      <c r="T887" s="36"/>
    </row>
    <row r="888" spans="1:20" ht="15.75">
      <c r="A888" s="13">
        <v>68545</v>
      </c>
      <c r="B888" s="44">
        <f t="shared" si="4"/>
        <v>31</v>
      </c>
      <c r="C888" s="35">
        <v>194.20500000000001</v>
      </c>
      <c r="D888" s="35">
        <v>267.46600000000001</v>
      </c>
      <c r="E888" s="41">
        <v>812.32899999999995</v>
      </c>
      <c r="F888" s="35">
        <v>1274</v>
      </c>
      <c r="G888" s="35">
        <v>50</v>
      </c>
      <c r="H888" s="43">
        <v>600</v>
      </c>
      <c r="I888" s="35">
        <v>695</v>
      </c>
      <c r="J888" s="35">
        <v>0</v>
      </c>
      <c r="K888" s="36"/>
      <c r="L888" s="36"/>
      <c r="M888" s="36"/>
      <c r="N888" s="36"/>
      <c r="O888" s="36"/>
      <c r="P888" s="36"/>
      <c r="Q888" s="36"/>
      <c r="R888" s="36"/>
      <c r="S888" s="36"/>
      <c r="T888" s="36"/>
    </row>
    <row r="889" spans="1:20" ht="15.75">
      <c r="A889" s="13">
        <v>68575</v>
      </c>
      <c r="B889" s="44">
        <f t="shared" si="4"/>
        <v>30</v>
      </c>
      <c r="C889" s="35">
        <v>194.20500000000001</v>
      </c>
      <c r="D889" s="35">
        <v>267.46600000000001</v>
      </c>
      <c r="E889" s="41">
        <v>812.32899999999995</v>
      </c>
      <c r="F889" s="35">
        <v>1274</v>
      </c>
      <c r="G889" s="35">
        <v>50</v>
      </c>
      <c r="H889" s="43">
        <v>600</v>
      </c>
      <c r="I889" s="35">
        <v>695</v>
      </c>
      <c r="J889" s="35">
        <v>0</v>
      </c>
      <c r="K889" s="36"/>
      <c r="L889" s="36"/>
      <c r="M889" s="36"/>
      <c r="N889" s="36"/>
      <c r="O889" s="36"/>
      <c r="P889" s="36"/>
      <c r="Q889" s="36"/>
      <c r="R889" s="36"/>
      <c r="S889" s="36"/>
      <c r="T889" s="36"/>
    </row>
    <row r="890" spans="1:20" ht="15.75">
      <c r="A890" s="13">
        <v>68606</v>
      </c>
      <c r="B890" s="44">
        <f t="shared" si="4"/>
        <v>31</v>
      </c>
      <c r="C890" s="35">
        <v>131.881</v>
      </c>
      <c r="D890" s="35">
        <v>277.16699999999997</v>
      </c>
      <c r="E890" s="41">
        <v>829.952</v>
      </c>
      <c r="F890" s="35">
        <v>1239</v>
      </c>
      <c r="G890" s="35">
        <v>75</v>
      </c>
      <c r="H890" s="43">
        <v>600</v>
      </c>
      <c r="I890" s="35">
        <v>695</v>
      </c>
      <c r="J890" s="35">
        <v>0</v>
      </c>
      <c r="K890" s="36"/>
      <c r="L890" s="36"/>
      <c r="M890" s="36"/>
      <c r="N890" s="36"/>
      <c r="O890" s="36"/>
      <c r="P890" s="36"/>
      <c r="Q890" s="36"/>
      <c r="R890" s="36"/>
      <c r="S890" s="36"/>
      <c r="T890" s="36"/>
    </row>
    <row r="891" spans="1:20" ht="15.75">
      <c r="A891" s="13">
        <v>68636</v>
      </c>
      <c r="B891" s="44">
        <f t="shared" si="4"/>
        <v>30</v>
      </c>
      <c r="C891" s="35">
        <v>122.58</v>
      </c>
      <c r="D891" s="35">
        <v>297.94099999999997</v>
      </c>
      <c r="E891" s="41">
        <v>729.47900000000004</v>
      </c>
      <c r="F891" s="35">
        <v>1150</v>
      </c>
      <c r="G891" s="35">
        <v>100</v>
      </c>
      <c r="H891" s="43">
        <v>600</v>
      </c>
      <c r="I891" s="35">
        <v>695</v>
      </c>
      <c r="J891" s="35">
        <v>50</v>
      </c>
      <c r="K891" s="36"/>
      <c r="L891" s="36"/>
      <c r="M891" s="36"/>
      <c r="N891" s="36"/>
      <c r="O891" s="36"/>
      <c r="P891" s="36"/>
      <c r="Q891" s="36"/>
      <c r="R891" s="36"/>
      <c r="S891" s="36"/>
      <c r="T891" s="36"/>
    </row>
    <row r="892" spans="1:20" ht="15.75">
      <c r="A892" s="13">
        <v>68667</v>
      </c>
      <c r="B892" s="44">
        <f t="shared" si="4"/>
        <v>31</v>
      </c>
      <c r="C892" s="35">
        <v>122.58</v>
      </c>
      <c r="D892" s="35">
        <v>297.94099999999997</v>
      </c>
      <c r="E892" s="41">
        <v>729.47900000000004</v>
      </c>
      <c r="F892" s="35">
        <v>1150</v>
      </c>
      <c r="G892" s="35">
        <v>100</v>
      </c>
      <c r="H892" s="43">
        <v>600</v>
      </c>
      <c r="I892" s="35">
        <v>695</v>
      </c>
      <c r="J892" s="35">
        <v>50</v>
      </c>
      <c r="K892" s="36"/>
      <c r="L892" s="36"/>
      <c r="M892" s="36"/>
      <c r="N892" s="36"/>
      <c r="O892" s="36"/>
      <c r="P892" s="36"/>
      <c r="Q892" s="36"/>
      <c r="R892" s="36"/>
      <c r="S892" s="36"/>
      <c r="T892" s="36"/>
    </row>
    <row r="893" spans="1:20" ht="15.75">
      <c r="A893" s="13">
        <v>68698</v>
      </c>
      <c r="B893" s="44">
        <f t="shared" si="4"/>
        <v>31</v>
      </c>
      <c r="C893" s="35">
        <v>122.58</v>
      </c>
      <c r="D893" s="35">
        <v>297.94099999999997</v>
      </c>
      <c r="E893" s="41">
        <v>729.47900000000004</v>
      </c>
      <c r="F893" s="35">
        <v>1150</v>
      </c>
      <c r="G893" s="35">
        <v>100</v>
      </c>
      <c r="H893" s="43">
        <v>600</v>
      </c>
      <c r="I893" s="35">
        <v>695</v>
      </c>
      <c r="J893" s="35">
        <v>50</v>
      </c>
      <c r="K893" s="36"/>
      <c r="L893" s="36"/>
      <c r="M893" s="36"/>
      <c r="N893" s="36"/>
      <c r="O893" s="36"/>
      <c r="P893" s="36"/>
      <c r="Q893" s="36"/>
      <c r="R893" s="36"/>
      <c r="S893" s="36"/>
      <c r="T893" s="36"/>
    </row>
    <row r="894" spans="1:20" ht="15.75">
      <c r="A894" s="13">
        <v>68727</v>
      </c>
      <c r="B894" s="44">
        <f t="shared" si="4"/>
        <v>29</v>
      </c>
      <c r="C894" s="35">
        <v>122.58</v>
      </c>
      <c r="D894" s="35">
        <v>297.94099999999997</v>
      </c>
      <c r="E894" s="41">
        <v>729.47900000000004</v>
      </c>
      <c r="F894" s="35">
        <v>1150</v>
      </c>
      <c r="G894" s="35">
        <v>100</v>
      </c>
      <c r="H894" s="43">
        <v>600</v>
      </c>
      <c r="I894" s="35">
        <v>695</v>
      </c>
      <c r="J894" s="35">
        <v>50</v>
      </c>
      <c r="K894" s="36"/>
      <c r="L894" s="36"/>
      <c r="M894" s="36"/>
      <c r="N894" s="36"/>
      <c r="O894" s="36"/>
      <c r="P894" s="36"/>
      <c r="Q894" s="36"/>
      <c r="R894" s="36"/>
      <c r="S894" s="36"/>
      <c r="T894" s="36"/>
    </row>
    <row r="895" spans="1:20" ht="15.75">
      <c r="A895" s="13">
        <v>68758</v>
      </c>
      <c r="B895" s="44">
        <f t="shared" si="4"/>
        <v>31</v>
      </c>
      <c r="C895" s="35">
        <v>122.58</v>
      </c>
      <c r="D895" s="35">
        <v>297.94099999999997</v>
      </c>
      <c r="E895" s="41">
        <v>729.47900000000004</v>
      </c>
      <c r="F895" s="35">
        <v>1150</v>
      </c>
      <c r="G895" s="35">
        <v>100</v>
      </c>
      <c r="H895" s="43">
        <v>600</v>
      </c>
      <c r="I895" s="35">
        <v>695</v>
      </c>
      <c r="J895" s="35">
        <v>50</v>
      </c>
      <c r="K895" s="36"/>
      <c r="L895" s="36"/>
      <c r="M895" s="36"/>
      <c r="N895" s="36"/>
      <c r="O895" s="36"/>
      <c r="P895" s="36"/>
      <c r="Q895" s="36"/>
      <c r="R895" s="36"/>
      <c r="S895" s="36"/>
      <c r="T895" s="36"/>
    </row>
    <row r="896" spans="1:20" ht="15.75">
      <c r="A896" s="13">
        <v>68788</v>
      </c>
      <c r="B896" s="44">
        <f t="shared" si="4"/>
        <v>30</v>
      </c>
      <c r="C896" s="35">
        <v>141.29300000000001</v>
      </c>
      <c r="D896" s="35">
        <v>267.99299999999999</v>
      </c>
      <c r="E896" s="41">
        <v>829.71400000000006</v>
      </c>
      <c r="F896" s="35">
        <v>1239</v>
      </c>
      <c r="G896" s="35">
        <v>100</v>
      </c>
      <c r="H896" s="43">
        <v>600</v>
      </c>
      <c r="I896" s="35">
        <v>695</v>
      </c>
      <c r="J896" s="35">
        <v>50</v>
      </c>
      <c r="K896" s="36"/>
      <c r="L896" s="36"/>
      <c r="M896" s="36"/>
      <c r="N896" s="36"/>
      <c r="O896" s="36"/>
      <c r="P896" s="36"/>
      <c r="Q896" s="36"/>
      <c r="R896" s="36"/>
      <c r="S896" s="36"/>
      <c r="T896" s="36"/>
    </row>
    <row r="897" spans="1:20" ht="15.75">
      <c r="A897" s="13">
        <v>68819</v>
      </c>
      <c r="B897" s="44">
        <f t="shared" si="4"/>
        <v>31</v>
      </c>
      <c r="C897" s="35">
        <v>194.20500000000001</v>
      </c>
      <c r="D897" s="35">
        <v>267.46600000000001</v>
      </c>
      <c r="E897" s="41">
        <v>812.32899999999995</v>
      </c>
      <c r="F897" s="35">
        <v>1274</v>
      </c>
      <c r="G897" s="35">
        <v>75</v>
      </c>
      <c r="H897" s="43">
        <v>600</v>
      </c>
      <c r="I897" s="35">
        <v>695</v>
      </c>
      <c r="J897" s="35">
        <v>50</v>
      </c>
      <c r="K897" s="36"/>
      <c r="L897" s="36"/>
      <c r="M897" s="36"/>
      <c r="N897" s="36"/>
      <c r="O897" s="36"/>
      <c r="P897" s="36"/>
      <c r="Q897" s="36"/>
      <c r="R897" s="36"/>
      <c r="S897" s="36"/>
      <c r="T897" s="36"/>
    </row>
    <row r="898" spans="1:20" ht="15.75">
      <c r="A898" s="13">
        <v>68849</v>
      </c>
      <c r="B898" s="44">
        <f t="shared" si="4"/>
        <v>30</v>
      </c>
      <c r="C898" s="35">
        <v>194.20500000000001</v>
      </c>
      <c r="D898" s="35">
        <v>267.46600000000001</v>
      </c>
      <c r="E898" s="41">
        <v>812.32899999999995</v>
      </c>
      <c r="F898" s="35">
        <v>1274</v>
      </c>
      <c r="G898" s="35">
        <v>50</v>
      </c>
      <c r="H898" s="43">
        <v>600</v>
      </c>
      <c r="I898" s="35">
        <v>695</v>
      </c>
      <c r="J898" s="35">
        <v>50</v>
      </c>
      <c r="K898" s="36"/>
      <c r="L898" s="36"/>
      <c r="M898" s="36"/>
      <c r="N898" s="36"/>
      <c r="O898" s="36"/>
      <c r="P898" s="36"/>
      <c r="Q898" s="36"/>
      <c r="R898" s="36"/>
      <c r="S898" s="36"/>
      <c r="T898" s="36"/>
    </row>
    <row r="899" spans="1:20" ht="15.75">
      <c r="A899" s="13">
        <v>68880</v>
      </c>
      <c r="B899" s="44">
        <f t="shared" si="4"/>
        <v>31</v>
      </c>
      <c r="C899" s="35">
        <v>194.20500000000001</v>
      </c>
      <c r="D899" s="35">
        <v>267.46600000000001</v>
      </c>
      <c r="E899" s="41">
        <v>812.32899999999995</v>
      </c>
      <c r="F899" s="35">
        <v>1274</v>
      </c>
      <c r="G899" s="35">
        <v>50</v>
      </c>
      <c r="H899" s="43">
        <v>600</v>
      </c>
      <c r="I899" s="35">
        <v>695</v>
      </c>
      <c r="J899" s="35">
        <v>0</v>
      </c>
      <c r="K899" s="36"/>
      <c r="L899" s="36"/>
      <c r="M899" s="36"/>
      <c r="N899" s="36"/>
      <c r="O899" s="36"/>
      <c r="P899" s="36"/>
      <c r="Q899" s="36"/>
      <c r="R899" s="36"/>
      <c r="S899" s="36"/>
      <c r="T899" s="36"/>
    </row>
    <row r="900" spans="1:20" ht="15.75">
      <c r="A900" s="13">
        <v>68911</v>
      </c>
      <c r="B900" s="44">
        <f t="shared" si="4"/>
        <v>31</v>
      </c>
      <c r="C900" s="35">
        <v>194.20500000000001</v>
      </c>
      <c r="D900" s="35">
        <v>267.46600000000001</v>
      </c>
      <c r="E900" s="41">
        <v>812.32899999999995</v>
      </c>
      <c r="F900" s="35">
        <v>1274</v>
      </c>
      <c r="G900" s="35">
        <v>50</v>
      </c>
      <c r="H900" s="43">
        <v>600</v>
      </c>
      <c r="I900" s="35">
        <v>695</v>
      </c>
      <c r="J900" s="35">
        <v>0</v>
      </c>
      <c r="K900" s="36"/>
      <c r="L900" s="36"/>
      <c r="M900" s="36"/>
      <c r="N900" s="36"/>
      <c r="O900" s="36"/>
      <c r="P900" s="36"/>
      <c r="Q900" s="36"/>
      <c r="R900" s="36"/>
      <c r="S900" s="36"/>
      <c r="T900" s="36"/>
    </row>
    <row r="901" spans="1:20" ht="15.75">
      <c r="A901" s="13">
        <v>68941</v>
      </c>
      <c r="B901" s="44">
        <f t="shared" ref="B901:B964" si="5">EOMONTH(A901,0)-EOMONTH(A901,-1)</f>
        <v>30</v>
      </c>
      <c r="C901" s="35">
        <v>194.20500000000001</v>
      </c>
      <c r="D901" s="35">
        <v>267.46600000000001</v>
      </c>
      <c r="E901" s="41">
        <v>812.32899999999995</v>
      </c>
      <c r="F901" s="35">
        <v>1274</v>
      </c>
      <c r="G901" s="35">
        <v>50</v>
      </c>
      <c r="H901" s="43">
        <v>600</v>
      </c>
      <c r="I901" s="35">
        <v>695</v>
      </c>
      <c r="J901" s="35">
        <v>0</v>
      </c>
      <c r="K901" s="36"/>
      <c r="L901" s="36"/>
      <c r="M901" s="36"/>
      <c r="N901" s="36"/>
      <c r="O901" s="36"/>
      <c r="P901" s="36"/>
      <c r="Q901" s="36"/>
      <c r="R901" s="36"/>
      <c r="S901" s="36"/>
      <c r="T901" s="36"/>
    </row>
    <row r="902" spans="1:20" ht="15.75">
      <c r="A902" s="13">
        <v>68972</v>
      </c>
      <c r="B902" s="44">
        <f t="shared" si="5"/>
        <v>31</v>
      </c>
      <c r="C902" s="35">
        <v>131.881</v>
      </c>
      <c r="D902" s="35">
        <v>277.16699999999997</v>
      </c>
      <c r="E902" s="41">
        <v>829.952</v>
      </c>
      <c r="F902" s="35">
        <v>1239</v>
      </c>
      <c r="G902" s="35">
        <v>75</v>
      </c>
      <c r="H902" s="43">
        <v>600</v>
      </c>
      <c r="I902" s="35">
        <v>695</v>
      </c>
      <c r="J902" s="35">
        <v>0</v>
      </c>
      <c r="K902" s="36"/>
      <c r="L902" s="36"/>
      <c r="M902" s="36"/>
      <c r="N902" s="36"/>
      <c r="O902" s="36"/>
      <c r="P902" s="36"/>
      <c r="Q902" s="36"/>
      <c r="R902" s="36"/>
      <c r="S902" s="36"/>
      <c r="T902" s="36"/>
    </row>
    <row r="903" spans="1:20" ht="15.75">
      <c r="A903" s="13">
        <v>69002</v>
      </c>
      <c r="B903" s="44">
        <f t="shared" si="5"/>
        <v>30</v>
      </c>
      <c r="C903" s="35">
        <v>122.58</v>
      </c>
      <c r="D903" s="35">
        <v>297.94099999999997</v>
      </c>
      <c r="E903" s="41">
        <v>729.47900000000004</v>
      </c>
      <c r="F903" s="35">
        <v>1150</v>
      </c>
      <c r="G903" s="35">
        <v>100</v>
      </c>
      <c r="H903" s="43">
        <v>600</v>
      </c>
      <c r="I903" s="35">
        <v>695</v>
      </c>
      <c r="J903" s="35">
        <v>50</v>
      </c>
      <c r="K903" s="36"/>
      <c r="L903" s="36"/>
      <c r="M903" s="36"/>
      <c r="N903" s="36"/>
      <c r="O903" s="36"/>
      <c r="P903" s="36"/>
      <c r="Q903" s="36"/>
      <c r="R903" s="36"/>
      <c r="S903" s="36"/>
      <c r="T903" s="36"/>
    </row>
    <row r="904" spans="1:20" ht="15.75">
      <c r="A904" s="13">
        <v>69033</v>
      </c>
      <c r="B904" s="44">
        <f t="shared" si="5"/>
        <v>31</v>
      </c>
      <c r="C904" s="35">
        <v>122.58</v>
      </c>
      <c r="D904" s="35">
        <v>297.94099999999997</v>
      </c>
      <c r="E904" s="41">
        <v>729.47900000000004</v>
      </c>
      <c r="F904" s="35">
        <v>1150</v>
      </c>
      <c r="G904" s="35">
        <v>100</v>
      </c>
      <c r="H904" s="43">
        <v>600</v>
      </c>
      <c r="I904" s="35">
        <v>695</v>
      </c>
      <c r="J904" s="35">
        <v>50</v>
      </c>
      <c r="K904" s="36"/>
      <c r="L904" s="36"/>
      <c r="M904" s="36"/>
      <c r="N904" s="36"/>
      <c r="O904" s="36"/>
      <c r="P904" s="36"/>
      <c r="Q904" s="36"/>
      <c r="R904" s="36"/>
      <c r="S904" s="36"/>
      <c r="T904" s="36"/>
    </row>
    <row r="905" spans="1:20" ht="15.75">
      <c r="A905" s="13">
        <v>69064</v>
      </c>
      <c r="B905" s="44">
        <f t="shared" si="5"/>
        <v>31</v>
      </c>
      <c r="C905" s="35">
        <v>122.58</v>
      </c>
      <c r="D905" s="35">
        <v>297.94099999999997</v>
      </c>
      <c r="E905" s="41">
        <v>729.47900000000004</v>
      </c>
      <c r="F905" s="35">
        <v>1150</v>
      </c>
      <c r="G905" s="35">
        <v>100</v>
      </c>
      <c r="H905" s="43">
        <v>600</v>
      </c>
      <c r="I905" s="35">
        <v>695</v>
      </c>
      <c r="J905" s="35">
        <v>50</v>
      </c>
      <c r="K905" s="36"/>
      <c r="L905" s="36"/>
      <c r="M905" s="36"/>
      <c r="N905" s="36"/>
      <c r="O905" s="36"/>
      <c r="P905" s="36"/>
      <c r="Q905" s="36"/>
      <c r="R905" s="36"/>
      <c r="S905" s="36"/>
      <c r="T905" s="36"/>
    </row>
    <row r="906" spans="1:20" ht="15.75">
      <c r="A906" s="13">
        <v>69092</v>
      </c>
      <c r="B906" s="44">
        <f t="shared" si="5"/>
        <v>28</v>
      </c>
      <c r="C906" s="35">
        <v>122.58</v>
      </c>
      <c r="D906" s="35">
        <v>297.94099999999997</v>
      </c>
      <c r="E906" s="41">
        <v>729.47900000000004</v>
      </c>
      <c r="F906" s="35">
        <v>1150</v>
      </c>
      <c r="G906" s="35">
        <v>100</v>
      </c>
      <c r="H906" s="43">
        <v>600</v>
      </c>
      <c r="I906" s="35">
        <v>695</v>
      </c>
      <c r="J906" s="35">
        <v>50</v>
      </c>
      <c r="K906" s="36"/>
      <c r="L906" s="36"/>
      <c r="M906" s="36"/>
      <c r="N906" s="36"/>
      <c r="O906" s="36"/>
      <c r="P906" s="36"/>
      <c r="Q906" s="36"/>
      <c r="R906" s="36"/>
      <c r="S906" s="36"/>
      <c r="T906" s="36"/>
    </row>
    <row r="907" spans="1:20" ht="15.75">
      <c r="A907" s="13">
        <v>69123</v>
      </c>
      <c r="B907" s="44">
        <f t="shared" si="5"/>
        <v>31</v>
      </c>
      <c r="C907" s="35">
        <v>122.58</v>
      </c>
      <c r="D907" s="35">
        <v>297.94099999999997</v>
      </c>
      <c r="E907" s="41">
        <v>729.47900000000004</v>
      </c>
      <c r="F907" s="35">
        <v>1150</v>
      </c>
      <c r="G907" s="35">
        <v>100</v>
      </c>
      <c r="H907" s="43">
        <v>600</v>
      </c>
      <c r="I907" s="35">
        <v>695</v>
      </c>
      <c r="J907" s="35">
        <v>50</v>
      </c>
      <c r="K907" s="36"/>
      <c r="L907" s="36"/>
      <c r="M907" s="36"/>
      <c r="N907" s="36"/>
      <c r="O907" s="36"/>
      <c r="P907" s="36"/>
      <c r="Q907" s="36"/>
      <c r="R907" s="36"/>
      <c r="S907" s="36"/>
      <c r="T907" s="36"/>
    </row>
    <row r="908" spans="1:20" ht="15.75">
      <c r="A908" s="13">
        <v>69153</v>
      </c>
      <c r="B908" s="44">
        <f t="shared" si="5"/>
        <v>30</v>
      </c>
      <c r="C908" s="35">
        <v>141.29300000000001</v>
      </c>
      <c r="D908" s="35">
        <v>267.99299999999999</v>
      </c>
      <c r="E908" s="41">
        <v>829.71400000000006</v>
      </c>
      <c r="F908" s="35">
        <v>1239</v>
      </c>
      <c r="G908" s="35">
        <v>100</v>
      </c>
      <c r="H908" s="43">
        <v>600</v>
      </c>
      <c r="I908" s="35">
        <v>695</v>
      </c>
      <c r="J908" s="35">
        <v>50</v>
      </c>
      <c r="K908" s="36"/>
      <c r="L908" s="36"/>
      <c r="M908" s="36"/>
      <c r="N908" s="36"/>
      <c r="O908" s="36"/>
      <c r="P908" s="36"/>
      <c r="Q908" s="36"/>
      <c r="R908" s="36"/>
      <c r="S908" s="36"/>
      <c r="T908" s="36"/>
    </row>
    <row r="909" spans="1:20" ht="15.75">
      <c r="A909" s="13">
        <v>69184</v>
      </c>
      <c r="B909" s="44">
        <f t="shared" si="5"/>
        <v>31</v>
      </c>
      <c r="C909" s="35">
        <v>194.20500000000001</v>
      </c>
      <c r="D909" s="35">
        <v>267.46600000000001</v>
      </c>
      <c r="E909" s="41">
        <v>812.32899999999995</v>
      </c>
      <c r="F909" s="35">
        <v>1274</v>
      </c>
      <c r="G909" s="35">
        <v>75</v>
      </c>
      <c r="H909" s="43">
        <v>600</v>
      </c>
      <c r="I909" s="35">
        <v>695</v>
      </c>
      <c r="J909" s="35">
        <v>50</v>
      </c>
      <c r="K909" s="36"/>
      <c r="L909" s="36"/>
      <c r="M909" s="36"/>
      <c r="N909" s="36"/>
      <c r="O909" s="36"/>
      <c r="P909" s="36"/>
      <c r="Q909" s="36"/>
      <c r="R909" s="36"/>
      <c r="S909" s="36"/>
      <c r="T909" s="36"/>
    </row>
    <row r="910" spans="1:20" ht="15.75">
      <c r="A910" s="13">
        <v>69214</v>
      </c>
      <c r="B910" s="44">
        <f t="shared" si="5"/>
        <v>30</v>
      </c>
      <c r="C910" s="35">
        <v>194.20500000000001</v>
      </c>
      <c r="D910" s="35">
        <v>267.46600000000001</v>
      </c>
      <c r="E910" s="41">
        <v>812.32899999999995</v>
      </c>
      <c r="F910" s="35">
        <v>1274</v>
      </c>
      <c r="G910" s="35">
        <v>50</v>
      </c>
      <c r="H910" s="43">
        <v>600</v>
      </c>
      <c r="I910" s="35">
        <v>695</v>
      </c>
      <c r="J910" s="35">
        <v>50</v>
      </c>
      <c r="K910" s="36"/>
      <c r="L910" s="36"/>
      <c r="M910" s="36"/>
      <c r="N910" s="36"/>
      <c r="O910" s="36"/>
      <c r="P910" s="36"/>
      <c r="Q910" s="36"/>
      <c r="R910" s="36"/>
      <c r="S910" s="36"/>
      <c r="T910" s="36"/>
    </row>
    <row r="911" spans="1:20" ht="15.75">
      <c r="A911" s="13">
        <v>69245</v>
      </c>
      <c r="B911" s="44">
        <f t="shared" si="5"/>
        <v>31</v>
      </c>
      <c r="C911" s="35">
        <v>194.20500000000001</v>
      </c>
      <c r="D911" s="35">
        <v>267.46600000000001</v>
      </c>
      <c r="E911" s="41">
        <v>812.32899999999995</v>
      </c>
      <c r="F911" s="35">
        <v>1274</v>
      </c>
      <c r="G911" s="35">
        <v>50</v>
      </c>
      <c r="H911" s="43">
        <v>600</v>
      </c>
      <c r="I911" s="35">
        <v>695</v>
      </c>
      <c r="J911" s="35">
        <v>0</v>
      </c>
      <c r="K911" s="36"/>
      <c r="L911" s="36"/>
      <c r="M911" s="36"/>
      <c r="N911" s="36"/>
      <c r="O911" s="36"/>
      <c r="P911" s="36"/>
      <c r="Q911" s="36"/>
      <c r="R911" s="36"/>
      <c r="S911" s="36"/>
      <c r="T911" s="36"/>
    </row>
    <row r="912" spans="1:20" ht="15.75">
      <c r="A912" s="13">
        <v>69276</v>
      </c>
      <c r="B912" s="44">
        <f t="shared" si="5"/>
        <v>31</v>
      </c>
      <c r="C912" s="35">
        <v>194.20500000000001</v>
      </c>
      <c r="D912" s="35">
        <v>267.46600000000001</v>
      </c>
      <c r="E912" s="41">
        <v>812.32899999999995</v>
      </c>
      <c r="F912" s="35">
        <v>1274</v>
      </c>
      <c r="G912" s="35">
        <v>50</v>
      </c>
      <c r="H912" s="43">
        <v>600</v>
      </c>
      <c r="I912" s="35">
        <v>695</v>
      </c>
      <c r="J912" s="35">
        <v>0</v>
      </c>
      <c r="K912" s="36"/>
      <c r="L912" s="36"/>
      <c r="M912" s="36"/>
      <c r="N912" s="36"/>
      <c r="O912" s="36"/>
      <c r="P912" s="36"/>
      <c r="Q912" s="36"/>
      <c r="R912" s="36"/>
      <c r="S912" s="36"/>
      <c r="T912" s="36"/>
    </row>
    <row r="913" spans="1:20" ht="15.75">
      <c r="A913" s="13">
        <v>69306</v>
      </c>
      <c r="B913" s="44">
        <f t="shared" si="5"/>
        <v>30</v>
      </c>
      <c r="C913" s="35">
        <v>194.20500000000001</v>
      </c>
      <c r="D913" s="35">
        <v>267.46600000000001</v>
      </c>
      <c r="E913" s="41">
        <v>812.32899999999995</v>
      </c>
      <c r="F913" s="35">
        <v>1274</v>
      </c>
      <c r="G913" s="35">
        <v>50</v>
      </c>
      <c r="H913" s="43">
        <v>600</v>
      </c>
      <c r="I913" s="35">
        <v>695</v>
      </c>
      <c r="J913" s="35">
        <v>0</v>
      </c>
      <c r="K913" s="36"/>
      <c r="L913" s="36"/>
      <c r="M913" s="36"/>
      <c r="N913" s="36"/>
      <c r="O913" s="36"/>
      <c r="P913" s="36"/>
      <c r="Q913" s="36"/>
      <c r="R913" s="36"/>
      <c r="S913" s="36"/>
      <c r="T913" s="36"/>
    </row>
    <row r="914" spans="1:20" ht="15.75">
      <c r="A914" s="13">
        <v>69337</v>
      </c>
      <c r="B914" s="44">
        <f t="shared" si="5"/>
        <v>31</v>
      </c>
      <c r="C914" s="35">
        <v>131.881</v>
      </c>
      <c r="D914" s="35">
        <v>277.16699999999997</v>
      </c>
      <c r="E914" s="41">
        <v>829.952</v>
      </c>
      <c r="F914" s="35">
        <v>1239</v>
      </c>
      <c r="G914" s="35">
        <v>75</v>
      </c>
      <c r="H914" s="43">
        <v>600</v>
      </c>
      <c r="I914" s="35">
        <v>695</v>
      </c>
      <c r="J914" s="35">
        <v>0</v>
      </c>
      <c r="K914" s="36"/>
      <c r="L914" s="36"/>
      <c r="M914" s="36"/>
      <c r="N914" s="36"/>
      <c r="O914" s="36"/>
      <c r="P914" s="36"/>
      <c r="Q914" s="36"/>
      <c r="R914" s="36"/>
      <c r="S914" s="36"/>
      <c r="T914" s="36"/>
    </row>
    <row r="915" spans="1:20" ht="15.75">
      <c r="A915" s="13">
        <v>69367</v>
      </c>
      <c r="B915" s="44">
        <f t="shared" si="5"/>
        <v>30</v>
      </c>
      <c r="C915" s="35">
        <v>122.58</v>
      </c>
      <c r="D915" s="35">
        <v>297.94099999999997</v>
      </c>
      <c r="E915" s="41">
        <v>729.47900000000004</v>
      </c>
      <c r="F915" s="35">
        <v>1150</v>
      </c>
      <c r="G915" s="35">
        <v>100</v>
      </c>
      <c r="H915" s="43">
        <v>600</v>
      </c>
      <c r="I915" s="35">
        <v>695</v>
      </c>
      <c r="J915" s="35">
        <v>50</v>
      </c>
      <c r="K915" s="36"/>
      <c r="L915" s="36"/>
      <c r="M915" s="36"/>
      <c r="N915" s="36"/>
      <c r="O915" s="36"/>
      <c r="P915" s="36"/>
      <c r="Q915" s="36"/>
      <c r="R915" s="36"/>
      <c r="S915" s="36"/>
      <c r="T915" s="36"/>
    </row>
    <row r="916" spans="1:20" ht="15.75">
      <c r="A916" s="13">
        <v>69398</v>
      </c>
      <c r="B916" s="44">
        <f t="shared" si="5"/>
        <v>31</v>
      </c>
      <c r="C916" s="35">
        <v>122.58</v>
      </c>
      <c r="D916" s="35">
        <v>297.94099999999997</v>
      </c>
      <c r="E916" s="41">
        <v>729.47900000000004</v>
      </c>
      <c r="F916" s="35">
        <v>1150</v>
      </c>
      <c r="G916" s="35">
        <v>100</v>
      </c>
      <c r="H916" s="43">
        <v>600</v>
      </c>
      <c r="I916" s="35">
        <v>695</v>
      </c>
      <c r="J916" s="35">
        <v>50</v>
      </c>
      <c r="K916" s="36"/>
      <c r="L916" s="36"/>
      <c r="M916" s="36"/>
      <c r="N916" s="36"/>
      <c r="O916" s="36"/>
      <c r="P916" s="36"/>
      <c r="Q916" s="36"/>
      <c r="R916" s="36"/>
      <c r="S916" s="36"/>
      <c r="T916" s="36"/>
    </row>
    <row r="917" spans="1:20" ht="15.75">
      <c r="A917" s="13">
        <v>69429</v>
      </c>
      <c r="B917" s="44">
        <f t="shared" si="5"/>
        <v>31</v>
      </c>
      <c r="C917" s="35">
        <v>122.58</v>
      </c>
      <c r="D917" s="35">
        <v>297.94099999999997</v>
      </c>
      <c r="E917" s="41">
        <v>729.47900000000004</v>
      </c>
      <c r="F917" s="35">
        <v>1150</v>
      </c>
      <c r="G917" s="35">
        <v>100</v>
      </c>
      <c r="H917" s="43">
        <v>600</v>
      </c>
      <c r="I917" s="35">
        <v>695</v>
      </c>
      <c r="J917" s="35">
        <v>50</v>
      </c>
      <c r="K917" s="36"/>
      <c r="L917" s="36"/>
      <c r="M917" s="36"/>
      <c r="N917" s="36"/>
      <c r="O917" s="36"/>
      <c r="P917" s="36"/>
      <c r="Q917" s="36"/>
      <c r="R917" s="36"/>
      <c r="S917" s="36"/>
      <c r="T917" s="36"/>
    </row>
    <row r="918" spans="1:20" ht="15.75">
      <c r="A918" s="13">
        <v>69457</v>
      </c>
      <c r="B918" s="44">
        <f t="shared" si="5"/>
        <v>28</v>
      </c>
      <c r="C918" s="35">
        <v>122.58</v>
      </c>
      <c r="D918" s="35">
        <v>297.94099999999997</v>
      </c>
      <c r="E918" s="41">
        <v>729.47900000000004</v>
      </c>
      <c r="F918" s="35">
        <v>1150</v>
      </c>
      <c r="G918" s="35">
        <v>100</v>
      </c>
      <c r="H918" s="43">
        <v>600</v>
      </c>
      <c r="I918" s="35">
        <v>695</v>
      </c>
      <c r="J918" s="35">
        <v>50</v>
      </c>
      <c r="K918" s="36"/>
      <c r="L918" s="36"/>
      <c r="M918" s="36"/>
      <c r="N918" s="36"/>
      <c r="O918" s="36"/>
      <c r="P918" s="36"/>
      <c r="Q918" s="36"/>
      <c r="R918" s="36"/>
      <c r="S918" s="36"/>
      <c r="T918" s="36"/>
    </row>
    <row r="919" spans="1:20" ht="15.75">
      <c r="A919" s="13">
        <v>69488</v>
      </c>
      <c r="B919" s="44">
        <f t="shared" si="5"/>
        <v>31</v>
      </c>
      <c r="C919" s="35">
        <v>122.58</v>
      </c>
      <c r="D919" s="35">
        <v>297.94099999999997</v>
      </c>
      <c r="E919" s="41">
        <v>729.47900000000004</v>
      </c>
      <c r="F919" s="35">
        <v>1150</v>
      </c>
      <c r="G919" s="35">
        <v>100</v>
      </c>
      <c r="H919" s="43">
        <v>600</v>
      </c>
      <c r="I919" s="35">
        <v>695</v>
      </c>
      <c r="J919" s="35">
        <v>50</v>
      </c>
      <c r="K919" s="36"/>
      <c r="L919" s="36"/>
      <c r="M919" s="36"/>
      <c r="N919" s="36"/>
      <c r="O919" s="36"/>
      <c r="P919" s="36"/>
      <c r="Q919" s="36"/>
      <c r="R919" s="36"/>
      <c r="S919" s="36"/>
      <c r="T919" s="36"/>
    </row>
    <row r="920" spans="1:20" ht="15.75">
      <c r="A920" s="13">
        <v>69518</v>
      </c>
      <c r="B920" s="44">
        <f t="shared" si="5"/>
        <v>30</v>
      </c>
      <c r="C920" s="35">
        <v>141.29300000000001</v>
      </c>
      <c r="D920" s="35">
        <v>267.99299999999999</v>
      </c>
      <c r="E920" s="41">
        <v>829.71400000000006</v>
      </c>
      <c r="F920" s="35">
        <v>1239</v>
      </c>
      <c r="G920" s="35">
        <v>100</v>
      </c>
      <c r="H920" s="43">
        <v>600</v>
      </c>
      <c r="I920" s="35">
        <v>695</v>
      </c>
      <c r="J920" s="35">
        <v>50</v>
      </c>
      <c r="K920" s="36"/>
      <c r="L920" s="36"/>
      <c r="M920" s="36"/>
      <c r="N920" s="36"/>
      <c r="O920" s="36"/>
      <c r="P920" s="36"/>
      <c r="Q920" s="36"/>
      <c r="R920" s="36"/>
      <c r="S920" s="36"/>
      <c r="T920" s="36"/>
    </row>
    <row r="921" spans="1:20" ht="15.75">
      <c r="A921" s="13">
        <v>69549</v>
      </c>
      <c r="B921" s="44">
        <f t="shared" si="5"/>
        <v>31</v>
      </c>
      <c r="C921" s="35">
        <v>194.20500000000001</v>
      </c>
      <c r="D921" s="35">
        <v>267.46600000000001</v>
      </c>
      <c r="E921" s="41">
        <v>812.32899999999995</v>
      </c>
      <c r="F921" s="35">
        <v>1274</v>
      </c>
      <c r="G921" s="35">
        <v>75</v>
      </c>
      <c r="H921" s="43">
        <v>600</v>
      </c>
      <c r="I921" s="35">
        <v>695</v>
      </c>
      <c r="J921" s="35">
        <v>50</v>
      </c>
      <c r="K921" s="36"/>
      <c r="L921" s="36"/>
      <c r="M921" s="36"/>
      <c r="N921" s="36"/>
      <c r="O921" s="36"/>
      <c r="P921" s="36"/>
      <c r="Q921" s="36"/>
      <c r="R921" s="36"/>
      <c r="S921" s="36"/>
      <c r="T921" s="36"/>
    </row>
    <row r="922" spans="1:20" ht="15.75">
      <c r="A922" s="13">
        <v>69579</v>
      </c>
      <c r="B922" s="44">
        <f t="shared" si="5"/>
        <v>30</v>
      </c>
      <c r="C922" s="35">
        <v>194.20500000000001</v>
      </c>
      <c r="D922" s="35">
        <v>267.46600000000001</v>
      </c>
      <c r="E922" s="41">
        <v>812.32899999999995</v>
      </c>
      <c r="F922" s="35">
        <v>1274</v>
      </c>
      <c r="G922" s="35">
        <v>50</v>
      </c>
      <c r="H922" s="43">
        <v>600</v>
      </c>
      <c r="I922" s="35">
        <v>695</v>
      </c>
      <c r="J922" s="35">
        <v>50</v>
      </c>
      <c r="K922" s="36"/>
      <c r="L922" s="36"/>
      <c r="M922" s="36"/>
      <c r="N922" s="36"/>
      <c r="O922" s="36"/>
      <c r="P922" s="36"/>
      <c r="Q922" s="36"/>
      <c r="R922" s="36"/>
      <c r="S922" s="36"/>
      <c r="T922" s="36"/>
    </row>
    <row r="923" spans="1:20" ht="15.75">
      <c r="A923" s="13">
        <v>69610</v>
      </c>
      <c r="B923" s="44">
        <f t="shared" si="5"/>
        <v>31</v>
      </c>
      <c r="C923" s="35">
        <v>194.20500000000001</v>
      </c>
      <c r="D923" s="35">
        <v>267.46600000000001</v>
      </c>
      <c r="E923" s="41">
        <v>812.32899999999995</v>
      </c>
      <c r="F923" s="35">
        <v>1274</v>
      </c>
      <c r="G923" s="35">
        <v>50</v>
      </c>
      <c r="H923" s="43">
        <v>600</v>
      </c>
      <c r="I923" s="35">
        <v>695</v>
      </c>
      <c r="J923" s="35">
        <v>0</v>
      </c>
      <c r="K923" s="36"/>
      <c r="L923" s="36"/>
      <c r="M923" s="36"/>
      <c r="N923" s="36"/>
      <c r="O923" s="36"/>
      <c r="P923" s="36"/>
      <c r="Q923" s="36"/>
      <c r="R923" s="36"/>
      <c r="S923" s="36"/>
      <c r="T923" s="36"/>
    </row>
    <row r="924" spans="1:20" ht="15.75">
      <c r="A924" s="13">
        <v>69641</v>
      </c>
      <c r="B924" s="44">
        <f t="shared" si="5"/>
        <v>31</v>
      </c>
      <c r="C924" s="35">
        <v>194.20500000000001</v>
      </c>
      <c r="D924" s="35">
        <v>267.46600000000001</v>
      </c>
      <c r="E924" s="41">
        <v>812.32899999999995</v>
      </c>
      <c r="F924" s="35">
        <v>1274</v>
      </c>
      <c r="G924" s="35">
        <v>50</v>
      </c>
      <c r="H924" s="43">
        <v>600</v>
      </c>
      <c r="I924" s="35">
        <v>695</v>
      </c>
      <c r="J924" s="35">
        <v>0</v>
      </c>
      <c r="K924" s="36"/>
      <c r="L924" s="36"/>
      <c r="M924" s="36"/>
      <c r="N924" s="36"/>
      <c r="O924" s="36"/>
      <c r="P924" s="36"/>
      <c r="Q924" s="36"/>
      <c r="R924" s="36"/>
      <c r="S924" s="36"/>
      <c r="T924" s="36"/>
    </row>
    <row r="925" spans="1:20" ht="15.75">
      <c r="A925" s="13">
        <v>69671</v>
      </c>
      <c r="B925" s="44">
        <f t="shared" si="5"/>
        <v>30</v>
      </c>
      <c r="C925" s="35">
        <v>194.20500000000001</v>
      </c>
      <c r="D925" s="35">
        <v>267.46600000000001</v>
      </c>
      <c r="E925" s="41">
        <v>812.32899999999995</v>
      </c>
      <c r="F925" s="35">
        <v>1274</v>
      </c>
      <c r="G925" s="35">
        <v>50</v>
      </c>
      <c r="H925" s="43">
        <v>600</v>
      </c>
      <c r="I925" s="35">
        <v>695</v>
      </c>
      <c r="J925" s="35">
        <v>0</v>
      </c>
      <c r="K925" s="36"/>
      <c r="L925" s="36"/>
      <c r="M925" s="36"/>
      <c r="N925" s="36"/>
      <c r="O925" s="36"/>
      <c r="P925" s="36"/>
      <c r="Q925" s="36"/>
      <c r="R925" s="36"/>
      <c r="S925" s="36"/>
      <c r="T925" s="36"/>
    </row>
    <row r="926" spans="1:20" ht="15.75">
      <c r="A926" s="13">
        <v>69702</v>
      </c>
      <c r="B926" s="44">
        <f t="shared" si="5"/>
        <v>31</v>
      </c>
      <c r="C926" s="35">
        <v>131.881</v>
      </c>
      <c r="D926" s="35">
        <v>277.16699999999997</v>
      </c>
      <c r="E926" s="41">
        <v>829.952</v>
      </c>
      <c r="F926" s="35">
        <v>1239</v>
      </c>
      <c r="G926" s="35">
        <v>75</v>
      </c>
      <c r="H926" s="43">
        <v>600</v>
      </c>
      <c r="I926" s="35">
        <v>695</v>
      </c>
      <c r="J926" s="35">
        <v>0</v>
      </c>
      <c r="K926" s="36"/>
      <c r="L926" s="36"/>
      <c r="M926" s="36"/>
      <c r="N926" s="36"/>
      <c r="O926" s="36"/>
      <c r="P926" s="36"/>
      <c r="Q926" s="36"/>
      <c r="R926" s="36"/>
      <c r="S926" s="36"/>
      <c r="T926" s="36"/>
    </row>
    <row r="927" spans="1:20" ht="15.75">
      <c r="A927" s="13">
        <v>69732</v>
      </c>
      <c r="B927" s="44">
        <f t="shared" si="5"/>
        <v>30</v>
      </c>
      <c r="C927" s="35">
        <v>122.58</v>
      </c>
      <c r="D927" s="35">
        <v>297.94099999999997</v>
      </c>
      <c r="E927" s="41">
        <v>729.47900000000004</v>
      </c>
      <c r="F927" s="35">
        <v>1150</v>
      </c>
      <c r="G927" s="35">
        <v>100</v>
      </c>
      <c r="H927" s="43">
        <v>600</v>
      </c>
      <c r="I927" s="35">
        <v>695</v>
      </c>
      <c r="J927" s="35">
        <v>50</v>
      </c>
      <c r="K927" s="36"/>
      <c r="L927" s="36"/>
      <c r="M927" s="36"/>
      <c r="N927" s="36"/>
      <c r="O927" s="36"/>
      <c r="P927" s="36"/>
      <c r="Q927" s="36"/>
      <c r="R927" s="36"/>
      <c r="S927" s="36"/>
      <c r="T927" s="36"/>
    </row>
    <row r="928" spans="1:20" ht="15.75">
      <c r="A928" s="13">
        <v>69763</v>
      </c>
      <c r="B928" s="44">
        <f t="shared" si="5"/>
        <v>31</v>
      </c>
      <c r="C928" s="35">
        <v>122.58</v>
      </c>
      <c r="D928" s="35">
        <v>297.94099999999997</v>
      </c>
      <c r="E928" s="41">
        <v>729.47900000000004</v>
      </c>
      <c r="F928" s="35">
        <v>1150</v>
      </c>
      <c r="G928" s="35">
        <v>100</v>
      </c>
      <c r="H928" s="43">
        <v>600</v>
      </c>
      <c r="I928" s="35">
        <v>695</v>
      </c>
      <c r="J928" s="35">
        <v>50</v>
      </c>
      <c r="K928" s="36"/>
      <c r="L928" s="36"/>
      <c r="M928" s="36"/>
      <c r="N928" s="36"/>
      <c r="O928" s="36"/>
      <c r="P928" s="36"/>
      <c r="Q928" s="36"/>
      <c r="R928" s="36"/>
      <c r="S928" s="36"/>
      <c r="T928" s="36"/>
    </row>
    <row r="929" spans="1:20" ht="15.75">
      <c r="A929" s="13">
        <v>69794</v>
      </c>
      <c r="B929" s="44">
        <f t="shared" si="5"/>
        <v>31</v>
      </c>
      <c r="C929" s="35">
        <v>122.58</v>
      </c>
      <c r="D929" s="35">
        <v>297.94099999999997</v>
      </c>
      <c r="E929" s="41">
        <v>729.47900000000004</v>
      </c>
      <c r="F929" s="35">
        <v>1150</v>
      </c>
      <c r="G929" s="35">
        <v>100</v>
      </c>
      <c r="H929" s="43">
        <v>600</v>
      </c>
      <c r="I929" s="35">
        <v>695</v>
      </c>
      <c r="J929" s="35">
        <v>50</v>
      </c>
      <c r="K929" s="36"/>
      <c r="L929" s="36"/>
      <c r="M929" s="36"/>
      <c r="N929" s="36"/>
      <c r="O929" s="36"/>
      <c r="P929" s="36"/>
      <c r="Q929" s="36"/>
      <c r="R929" s="36"/>
      <c r="S929" s="36"/>
      <c r="T929" s="36"/>
    </row>
    <row r="930" spans="1:20" ht="15.75">
      <c r="A930" s="13">
        <v>69822</v>
      </c>
      <c r="B930" s="44">
        <f t="shared" si="5"/>
        <v>28</v>
      </c>
      <c r="C930" s="35">
        <v>122.58</v>
      </c>
      <c r="D930" s="35">
        <v>297.94099999999997</v>
      </c>
      <c r="E930" s="41">
        <v>729.47900000000004</v>
      </c>
      <c r="F930" s="35">
        <v>1150</v>
      </c>
      <c r="G930" s="35">
        <v>100</v>
      </c>
      <c r="H930" s="43">
        <v>600</v>
      </c>
      <c r="I930" s="35">
        <v>695</v>
      </c>
      <c r="J930" s="35">
        <v>50</v>
      </c>
      <c r="K930" s="36"/>
      <c r="L930" s="36"/>
      <c r="M930" s="36"/>
      <c r="N930" s="36"/>
      <c r="O930" s="36"/>
      <c r="P930" s="36"/>
      <c r="Q930" s="36"/>
      <c r="R930" s="36"/>
      <c r="S930" s="36"/>
      <c r="T930" s="36"/>
    </row>
    <row r="931" spans="1:20" ht="15.75">
      <c r="A931" s="13">
        <v>69853</v>
      </c>
      <c r="B931" s="44">
        <f t="shared" si="5"/>
        <v>31</v>
      </c>
      <c r="C931" s="35">
        <v>122.58</v>
      </c>
      <c r="D931" s="35">
        <v>297.94099999999997</v>
      </c>
      <c r="E931" s="41">
        <v>729.47900000000004</v>
      </c>
      <c r="F931" s="35">
        <v>1150</v>
      </c>
      <c r="G931" s="35">
        <v>100</v>
      </c>
      <c r="H931" s="43">
        <v>600</v>
      </c>
      <c r="I931" s="35">
        <v>695</v>
      </c>
      <c r="J931" s="35">
        <v>50</v>
      </c>
      <c r="K931" s="36"/>
      <c r="L931" s="36"/>
      <c r="M931" s="36"/>
      <c r="N931" s="36"/>
      <c r="O931" s="36"/>
      <c r="P931" s="36"/>
      <c r="Q931" s="36"/>
      <c r="R931" s="36"/>
      <c r="S931" s="36"/>
      <c r="T931" s="36"/>
    </row>
    <row r="932" spans="1:20" ht="15.75">
      <c r="A932" s="13">
        <v>69883</v>
      </c>
      <c r="B932" s="44">
        <f t="shared" si="5"/>
        <v>30</v>
      </c>
      <c r="C932" s="35">
        <v>141.29300000000001</v>
      </c>
      <c r="D932" s="35">
        <v>267.99299999999999</v>
      </c>
      <c r="E932" s="41">
        <v>829.71400000000006</v>
      </c>
      <c r="F932" s="35">
        <v>1239</v>
      </c>
      <c r="G932" s="35">
        <v>100</v>
      </c>
      <c r="H932" s="43">
        <v>600</v>
      </c>
      <c r="I932" s="35">
        <v>695</v>
      </c>
      <c r="J932" s="35">
        <v>50</v>
      </c>
      <c r="K932" s="36"/>
      <c r="L932" s="36"/>
      <c r="M932" s="36"/>
      <c r="N932" s="36"/>
      <c r="O932" s="36"/>
      <c r="P932" s="36"/>
      <c r="Q932" s="36"/>
      <c r="R932" s="36"/>
      <c r="S932" s="36"/>
      <c r="T932" s="36"/>
    </row>
    <row r="933" spans="1:20" ht="15.75">
      <c r="A933" s="13">
        <v>69914</v>
      </c>
      <c r="B933" s="44">
        <f t="shared" si="5"/>
        <v>31</v>
      </c>
      <c r="C933" s="35">
        <v>194.20500000000001</v>
      </c>
      <c r="D933" s="35">
        <v>267.46600000000001</v>
      </c>
      <c r="E933" s="41">
        <v>812.32899999999995</v>
      </c>
      <c r="F933" s="35">
        <v>1274</v>
      </c>
      <c r="G933" s="35">
        <v>75</v>
      </c>
      <c r="H933" s="43">
        <v>600</v>
      </c>
      <c r="I933" s="35">
        <v>695</v>
      </c>
      <c r="J933" s="35">
        <v>50</v>
      </c>
      <c r="K933" s="36"/>
      <c r="L933" s="36"/>
      <c r="M933" s="36"/>
      <c r="N933" s="36"/>
      <c r="O933" s="36"/>
      <c r="P933" s="36"/>
      <c r="Q933" s="36"/>
      <c r="R933" s="36"/>
      <c r="S933" s="36"/>
      <c r="T933" s="36"/>
    </row>
    <row r="934" spans="1:20" ht="15.75">
      <c r="A934" s="13">
        <v>69944</v>
      </c>
      <c r="B934" s="44">
        <f t="shared" si="5"/>
        <v>30</v>
      </c>
      <c r="C934" s="35">
        <v>194.20500000000001</v>
      </c>
      <c r="D934" s="35">
        <v>267.46600000000001</v>
      </c>
      <c r="E934" s="41">
        <v>812.32899999999995</v>
      </c>
      <c r="F934" s="35">
        <v>1274</v>
      </c>
      <c r="G934" s="35">
        <v>50</v>
      </c>
      <c r="H934" s="43">
        <v>600</v>
      </c>
      <c r="I934" s="35">
        <v>695</v>
      </c>
      <c r="J934" s="35">
        <v>50</v>
      </c>
      <c r="K934" s="36"/>
      <c r="L934" s="36"/>
      <c r="M934" s="36"/>
      <c r="N934" s="36"/>
      <c r="O934" s="36"/>
      <c r="P934" s="36"/>
      <c r="Q934" s="36"/>
      <c r="R934" s="36"/>
      <c r="S934" s="36"/>
      <c r="T934" s="36"/>
    </row>
    <row r="935" spans="1:20" ht="15.75">
      <c r="A935" s="13">
        <v>69975</v>
      </c>
      <c r="B935" s="44">
        <f t="shared" si="5"/>
        <v>31</v>
      </c>
      <c r="C935" s="35">
        <v>194.20500000000001</v>
      </c>
      <c r="D935" s="35">
        <v>267.46600000000001</v>
      </c>
      <c r="E935" s="41">
        <v>812.32899999999995</v>
      </c>
      <c r="F935" s="35">
        <v>1274</v>
      </c>
      <c r="G935" s="35">
        <v>50</v>
      </c>
      <c r="H935" s="43">
        <v>600</v>
      </c>
      <c r="I935" s="35">
        <v>695</v>
      </c>
      <c r="J935" s="35">
        <v>0</v>
      </c>
      <c r="K935" s="36"/>
      <c r="L935" s="36"/>
      <c r="M935" s="36"/>
      <c r="N935" s="36"/>
      <c r="O935" s="36"/>
      <c r="P935" s="36"/>
      <c r="Q935" s="36"/>
      <c r="R935" s="36"/>
      <c r="S935" s="36"/>
      <c r="T935" s="36"/>
    </row>
    <row r="936" spans="1:20" ht="15.75">
      <c r="A936" s="13">
        <v>70006</v>
      </c>
      <c r="B936" s="44">
        <f t="shared" si="5"/>
        <v>31</v>
      </c>
      <c r="C936" s="35">
        <v>194.20500000000001</v>
      </c>
      <c r="D936" s="35">
        <v>267.46600000000001</v>
      </c>
      <c r="E936" s="41">
        <v>812.32899999999995</v>
      </c>
      <c r="F936" s="35">
        <v>1274</v>
      </c>
      <c r="G936" s="35">
        <v>50</v>
      </c>
      <c r="H936" s="43">
        <v>600</v>
      </c>
      <c r="I936" s="35">
        <v>695</v>
      </c>
      <c r="J936" s="35">
        <v>0</v>
      </c>
      <c r="K936" s="36"/>
      <c r="L936" s="36"/>
      <c r="M936" s="36"/>
      <c r="N936" s="36"/>
      <c r="O936" s="36"/>
      <c r="P936" s="36"/>
      <c r="Q936" s="36"/>
      <c r="R936" s="36"/>
      <c r="S936" s="36"/>
      <c r="T936" s="36"/>
    </row>
    <row r="937" spans="1:20" ht="15.75">
      <c r="A937" s="13">
        <v>70036</v>
      </c>
      <c r="B937" s="44">
        <f t="shared" si="5"/>
        <v>30</v>
      </c>
      <c r="C937" s="35">
        <v>194.20500000000001</v>
      </c>
      <c r="D937" s="35">
        <v>267.46600000000001</v>
      </c>
      <c r="E937" s="41">
        <v>812.32899999999995</v>
      </c>
      <c r="F937" s="35">
        <v>1274</v>
      </c>
      <c r="G937" s="35">
        <v>50</v>
      </c>
      <c r="H937" s="43">
        <v>600</v>
      </c>
      <c r="I937" s="35">
        <v>695</v>
      </c>
      <c r="J937" s="35">
        <v>0</v>
      </c>
      <c r="K937" s="36"/>
      <c r="L937" s="36"/>
      <c r="M937" s="36"/>
      <c r="N937" s="36"/>
      <c r="O937" s="36"/>
      <c r="P937" s="36"/>
      <c r="Q937" s="36"/>
      <c r="R937" s="36"/>
      <c r="S937" s="36"/>
      <c r="T937" s="36"/>
    </row>
    <row r="938" spans="1:20" ht="15.75">
      <c r="A938" s="13">
        <v>70067</v>
      </c>
      <c r="B938" s="44">
        <f t="shared" si="5"/>
        <v>31</v>
      </c>
      <c r="C938" s="35">
        <v>131.881</v>
      </c>
      <c r="D938" s="35">
        <v>277.16699999999997</v>
      </c>
      <c r="E938" s="41">
        <v>829.952</v>
      </c>
      <c r="F938" s="35">
        <v>1239</v>
      </c>
      <c r="G938" s="35">
        <v>75</v>
      </c>
      <c r="H938" s="43">
        <v>600</v>
      </c>
      <c r="I938" s="35">
        <v>695</v>
      </c>
      <c r="J938" s="35">
        <v>0</v>
      </c>
      <c r="K938" s="36"/>
      <c r="L938" s="36"/>
      <c r="M938" s="36"/>
      <c r="N938" s="36"/>
      <c r="O938" s="36"/>
      <c r="P938" s="36"/>
      <c r="Q938" s="36"/>
      <c r="R938" s="36"/>
      <c r="S938" s="36"/>
      <c r="T938" s="36"/>
    </row>
    <row r="939" spans="1:20" ht="15.75">
      <c r="A939" s="13">
        <v>70097</v>
      </c>
      <c r="B939" s="44">
        <f t="shared" si="5"/>
        <v>30</v>
      </c>
      <c r="C939" s="35">
        <v>122.58</v>
      </c>
      <c r="D939" s="35">
        <v>297.94099999999997</v>
      </c>
      <c r="E939" s="41">
        <v>729.47900000000004</v>
      </c>
      <c r="F939" s="35">
        <v>1150</v>
      </c>
      <c r="G939" s="35">
        <v>100</v>
      </c>
      <c r="H939" s="43">
        <v>600</v>
      </c>
      <c r="I939" s="35">
        <v>695</v>
      </c>
      <c r="J939" s="35">
        <v>50</v>
      </c>
      <c r="K939" s="36"/>
      <c r="L939" s="36"/>
      <c r="M939" s="36"/>
      <c r="N939" s="36"/>
      <c r="O939" s="36"/>
      <c r="P939" s="36"/>
      <c r="Q939" s="36"/>
      <c r="R939" s="36"/>
      <c r="S939" s="36"/>
      <c r="T939" s="36"/>
    </row>
    <row r="940" spans="1:20" ht="15.75">
      <c r="A940" s="13">
        <v>70128</v>
      </c>
      <c r="B940" s="44">
        <f t="shared" si="5"/>
        <v>31</v>
      </c>
      <c r="C940" s="35">
        <v>122.58</v>
      </c>
      <c r="D940" s="35">
        <v>297.94099999999997</v>
      </c>
      <c r="E940" s="41">
        <v>729.47900000000004</v>
      </c>
      <c r="F940" s="35">
        <v>1150</v>
      </c>
      <c r="G940" s="35">
        <v>100</v>
      </c>
      <c r="H940" s="43">
        <v>600</v>
      </c>
      <c r="I940" s="35">
        <v>695</v>
      </c>
      <c r="J940" s="35">
        <v>50</v>
      </c>
      <c r="K940" s="36"/>
      <c r="L940" s="36"/>
      <c r="M940" s="36"/>
      <c r="N940" s="36"/>
      <c r="O940" s="36"/>
      <c r="P940" s="36"/>
      <c r="Q940" s="36"/>
      <c r="R940" s="36"/>
      <c r="S940" s="36"/>
      <c r="T940" s="36"/>
    </row>
    <row r="941" spans="1:20" ht="15.75">
      <c r="A941" s="13">
        <v>70159</v>
      </c>
      <c r="B941" s="44">
        <f t="shared" si="5"/>
        <v>31</v>
      </c>
      <c r="C941" s="35">
        <v>122.58</v>
      </c>
      <c r="D941" s="35">
        <v>297.94099999999997</v>
      </c>
      <c r="E941" s="41">
        <v>729.47900000000004</v>
      </c>
      <c r="F941" s="35">
        <v>1150</v>
      </c>
      <c r="G941" s="35">
        <v>100</v>
      </c>
      <c r="H941" s="43">
        <v>600</v>
      </c>
      <c r="I941" s="35">
        <v>695</v>
      </c>
      <c r="J941" s="35">
        <v>50</v>
      </c>
      <c r="K941" s="36"/>
      <c r="L941" s="36"/>
      <c r="M941" s="36"/>
      <c r="N941" s="36"/>
      <c r="O941" s="36"/>
      <c r="P941" s="36"/>
      <c r="Q941" s="36"/>
      <c r="R941" s="36"/>
      <c r="S941" s="36"/>
      <c r="T941" s="36"/>
    </row>
    <row r="942" spans="1:20" ht="15.75">
      <c r="A942" s="13">
        <v>70188</v>
      </c>
      <c r="B942" s="44">
        <f t="shared" si="5"/>
        <v>29</v>
      </c>
      <c r="C942" s="35">
        <v>122.58</v>
      </c>
      <c r="D942" s="35">
        <v>297.94099999999997</v>
      </c>
      <c r="E942" s="41">
        <v>729.47900000000004</v>
      </c>
      <c r="F942" s="35">
        <v>1150</v>
      </c>
      <c r="G942" s="35">
        <v>100</v>
      </c>
      <c r="H942" s="43">
        <v>600</v>
      </c>
      <c r="I942" s="35">
        <v>695</v>
      </c>
      <c r="J942" s="35">
        <v>50</v>
      </c>
      <c r="K942" s="36"/>
      <c r="L942" s="36"/>
      <c r="M942" s="36"/>
      <c r="N942" s="36"/>
      <c r="O942" s="36"/>
      <c r="P942" s="36"/>
      <c r="Q942" s="36"/>
      <c r="R942" s="36"/>
      <c r="S942" s="36"/>
      <c r="T942" s="36"/>
    </row>
    <row r="943" spans="1:20" ht="15.75">
      <c r="A943" s="13">
        <v>70219</v>
      </c>
      <c r="B943" s="44">
        <f t="shared" si="5"/>
        <v>31</v>
      </c>
      <c r="C943" s="35">
        <v>122.58</v>
      </c>
      <c r="D943" s="35">
        <v>297.94099999999997</v>
      </c>
      <c r="E943" s="41">
        <v>729.47900000000004</v>
      </c>
      <c r="F943" s="35">
        <v>1150</v>
      </c>
      <c r="G943" s="35">
        <v>100</v>
      </c>
      <c r="H943" s="43">
        <v>600</v>
      </c>
      <c r="I943" s="35">
        <v>695</v>
      </c>
      <c r="J943" s="35">
        <v>50</v>
      </c>
      <c r="K943" s="36"/>
      <c r="L943" s="36"/>
      <c r="M943" s="36"/>
      <c r="N943" s="36"/>
      <c r="O943" s="36"/>
      <c r="P943" s="36"/>
      <c r="Q943" s="36"/>
      <c r="R943" s="36"/>
      <c r="S943" s="36"/>
      <c r="T943" s="36"/>
    </row>
    <row r="944" spans="1:20" ht="15.75">
      <c r="A944" s="13">
        <v>70249</v>
      </c>
      <c r="B944" s="44">
        <f t="shared" si="5"/>
        <v>30</v>
      </c>
      <c r="C944" s="35">
        <v>141.29300000000001</v>
      </c>
      <c r="D944" s="35">
        <v>267.99299999999999</v>
      </c>
      <c r="E944" s="41">
        <v>829.71400000000006</v>
      </c>
      <c r="F944" s="35">
        <v>1239</v>
      </c>
      <c r="G944" s="35">
        <v>100</v>
      </c>
      <c r="H944" s="43">
        <v>600</v>
      </c>
      <c r="I944" s="35">
        <v>695</v>
      </c>
      <c r="J944" s="35">
        <v>50</v>
      </c>
      <c r="K944" s="36"/>
      <c r="L944" s="36"/>
      <c r="M944" s="36"/>
      <c r="N944" s="36"/>
      <c r="O944" s="36"/>
      <c r="P944" s="36"/>
      <c r="Q944" s="36"/>
      <c r="R944" s="36"/>
      <c r="S944" s="36"/>
      <c r="T944" s="36"/>
    </row>
    <row r="945" spans="1:20" ht="15.75">
      <c r="A945" s="13">
        <v>70280</v>
      </c>
      <c r="B945" s="44">
        <f t="shared" si="5"/>
        <v>31</v>
      </c>
      <c r="C945" s="35">
        <v>194.20500000000001</v>
      </c>
      <c r="D945" s="35">
        <v>267.46600000000001</v>
      </c>
      <c r="E945" s="41">
        <v>812.32899999999995</v>
      </c>
      <c r="F945" s="35">
        <v>1274</v>
      </c>
      <c r="G945" s="35">
        <v>75</v>
      </c>
      <c r="H945" s="43">
        <v>600</v>
      </c>
      <c r="I945" s="35">
        <v>695</v>
      </c>
      <c r="J945" s="35">
        <v>50</v>
      </c>
      <c r="K945" s="36"/>
      <c r="L945" s="36"/>
      <c r="M945" s="36"/>
      <c r="N945" s="36"/>
      <c r="O945" s="36"/>
      <c r="P945" s="36"/>
      <c r="Q945" s="36"/>
      <c r="R945" s="36"/>
      <c r="S945" s="36"/>
      <c r="T945" s="36"/>
    </row>
    <row r="946" spans="1:20" ht="15.75">
      <c r="A946" s="13">
        <v>70310</v>
      </c>
      <c r="B946" s="44">
        <f t="shared" si="5"/>
        <v>30</v>
      </c>
      <c r="C946" s="35">
        <v>194.20500000000001</v>
      </c>
      <c r="D946" s="35">
        <v>267.46600000000001</v>
      </c>
      <c r="E946" s="41">
        <v>812.32899999999995</v>
      </c>
      <c r="F946" s="35">
        <v>1274</v>
      </c>
      <c r="G946" s="35">
        <v>50</v>
      </c>
      <c r="H946" s="43">
        <v>600</v>
      </c>
      <c r="I946" s="35">
        <v>695</v>
      </c>
      <c r="J946" s="35">
        <v>50</v>
      </c>
      <c r="K946" s="36"/>
      <c r="L946" s="36"/>
      <c r="M946" s="36"/>
      <c r="N946" s="36"/>
      <c r="O946" s="36"/>
      <c r="P946" s="36"/>
      <c r="Q946" s="36"/>
      <c r="R946" s="36"/>
      <c r="S946" s="36"/>
      <c r="T946" s="36"/>
    </row>
    <row r="947" spans="1:20" ht="15.75">
      <c r="A947" s="13">
        <v>70341</v>
      </c>
      <c r="B947" s="44">
        <f t="shared" si="5"/>
        <v>31</v>
      </c>
      <c r="C947" s="35">
        <v>194.20500000000001</v>
      </c>
      <c r="D947" s="35">
        <v>267.46600000000001</v>
      </c>
      <c r="E947" s="41">
        <v>812.32899999999995</v>
      </c>
      <c r="F947" s="35">
        <v>1274</v>
      </c>
      <c r="G947" s="35">
        <v>50</v>
      </c>
      <c r="H947" s="43">
        <v>600</v>
      </c>
      <c r="I947" s="35">
        <v>695</v>
      </c>
      <c r="J947" s="35">
        <v>0</v>
      </c>
      <c r="K947" s="36"/>
      <c r="L947" s="36"/>
      <c r="M947" s="36"/>
      <c r="N947" s="36"/>
      <c r="O947" s="36"/>
      <c r="P947" s="36"/>
      <c r="Q947" s="36"/>
      <c r="R947" s="36"/>
      <c r="S947" s="36"/>
      <c r="T947" s="36"/>
    </row>
    <row r="948" spans="1:20" ht="15.75">
      <c r="A948" s="13">
        <v>70372</v>
      </c>
      <c r="B948" s="44">
        <f t="shared" si="5"/>
        <v>31</v>
      </c>
      <c r="C948" s="35">
        <v>194.20500000000001</v>
      </c>
      <c r="D948" s="35">
        <v>267.46600000000001</v>
      </c>
      <c r="E948" s="41">
        <v>812.32899999999995</v>
      </c>
      <c r="F948" s="35">
        <v>1274</v>
      </c>
      <c r="G948" s="35">
        <v>50</v>
      </c>
      <c r="H948" s="43">
        <v>600</v>
      </c>
      <c r="I948" s="35">
        <v>695</v>
      </c>
      <c r="J948" s="35">
        <v>0</v>
      </c>
      <c r="K948" s="36"/>
      <c r="L948" s="36"/>
      <c r="M948" s="36"/>
      <c r="N948" s="36"/>
      <c r="O948" s="36"/>
      <c r="P948" s="36"/>
      <c r="Q948" s="36"/>
      <c r="R948" s="36"/>
      <c r="S948" s="36"/>
      <c r="T948" s="36"/>
    </row>
    <row r="949" spans="1:20" ht="15.75">
      <c r="A949" s="13">
        <v>70402</v>
      </c>
      <c r="B949" s="44">
        <f t="shared" si="5"/>
        <v>30</v>
      </c>
      <c r="C949" s="35">
        <v>194.20500000000001</v>
      </c>
      <c r="D949" s="35">
        <v>267.46600000000001</v>
      </c>
      <c r="E949" s="41">
        <v>812.32899999999995</v>
      </c>
      <c r="F949" s="35">
        <v>1274</v>
      </c>
      <c r="G949" s="35">
        <v>50</v>
      </c>
      <c r="H949" s="43">
        <v>600</v>
      </c>
      <c r="I949" s="35">
        <v>695</v>
      </c>
      <c r="J949" s="35">
        <v>0</v>
      </c>
      <c r="K949" s="36"/>
      <c r="L949" s="36"/>
      <c r="M949" s="36"/>
      <c r="N949" s="36"/>
      <c r="O949" s="36"/>
      <c r="P949" s="36"/>
      <c r="Q949" s="36"/>
      <c r="R949" s="36"/>
      <c r="S949" s="36"/>
      <c r="T949" s="36"/>
    </row>
    <row r="950" spans="1:20" ht="15.75">
      <c r="A950" s="13">
        <v>70433</v>
      </c>
      <c r="B950" s="44">
        <f t="shared" si="5"/>
        <v>31</v>
      </c>
      <c r="C950" s="35">
        <v>131.881</v>
      </c>
      <c r="D950" s="35">
        <v>277.16699999999997</v>
      </c>
      <c r="E950" s="41">
        <v>829.952</v>
      </c>
      <c r="F950" s="35">
        <v>1239</v>
      </c>
      <c r="G950" s="35">
        <v>75</v>
      </c>
      <c r="H950" s="43">
        <v>600</v>
      </c>
      <c r="I950" s="35">
        <v>695</v>
      </c>
      <c r="J950" s="35">
        <v>0</v>
      </c>
      <c r="K950" s="36"/>
      <c r="L950" s="36"/>
      <c r="M950" s="36"/>
      <c r="N950" s="36"/>
      <c r="O950" s="36"/>
      <c r="P950" s="36"/>
      <c r="Q950" s="36"/>
      <c r="R950" s="36"/>
      <c r="S950" s="36"/>
      <c r="T950" s="36"/>
    </row>
    <row r="951" spans="1:20" ht="15.75">
      <c r="A951" s="13">
        <v>70463</v>
      </c>
      <c r="B951" s="44">
        <f t="shared" si="5"/>
        <v>30</v>
      </c>
      <c r="C951" s="35">
        <v>122.58</v>
      </c>
      <c r="D951" s="35">
        <v>297.94099999999997</v>
      </c>
      <c r="E951" s="41">
        <v>729.47900000000004</v>
      </c>
      <c r="F951" s="35">
        <v>1150</v>
      </c>
      <c r="G951" s="35">
        <v>100</v>
      </c>
      <c r="H951" s="43">
        <v>600</v>
      </c>
      <c r="I951" s="35">
        <v>695</v>
      </c>
      <c r="J951" s="35">
        <v>50</v>
      </c>
      <c r="K951" s="36"/>
      <c r="L951" s="36"/>
      <c r="M951" s="36"/>
      <c r="N951" s="36"/>
      <c r="O951" s="36"/>
      <c r="P951" s="36"/>
      <c r="Q951" s="36"/>
      <c r="R951" s="36"/>
      <c r="S951" s="36"/>
      <c r="T951" s="36"/>
    </row>
    <row r="952" spans="1:20" ht="15.75">
      <c r="A952" s="13">
        <v>70494</v>
      </c>
      <c r="B952" s="44">
        <f t="shared" si="5"/>
        <v>31</v>
      </c>
      <c r="C952" s="35">
        <v>122.58</v>
      </c>
      <c r="D952" s="35">
        <v>297.94099999999997</v>
      </c>
      <c r="E952" s="41">
        <v>729.47900000000004</v>
      </c>
      <c r="F952" s="35">
        <v>1150</v>
      </c>
      <c r="G952" s="35">
        <v>100</v>
      </c>
      <c r="H952" s="43">
        <v>600</v>
      </c>
      <c r="I952" s="35">
        <v>695</v>
      </c>
      <c r="J952" s="35">
        <v>50</v>
      </c>
      <c r="K952" s="36"/>
      <c r="L952" s="36"/>
      <c r="M952" s="36"/>
      <c r="N952" s="36"/>
      <c r="O952" s="36"/>
      <c r="P952" s="36"/>
      <c r="Q952" s="36"/>
      <c r="R952" s="36"/>
      <c r="S952" s="36"/>
      <c r="T952" s="36"/>
    </row>
    <row r="953" spans="1:20" ht="15.75">
      <c r="A953" s="13">
        <v>70525</v>
      </c>
      <c r="B953" s="44">
        <f t="shared" si="5"/>
        <v>31</v>
      </c>
      <c r="C953" s="35">
        <v>122.58</v>
      </c>
      <c r="D953" s="35">
        <v>297.94099999999997</v>
      </c>
      <c r="E953" s="41">
        <v>729.47900000000004</v>
      </c>
      <c r="F953" s="35">
        <v>1150</v>
      </c>
      <c r="G953" s="35">
        <v>100</v>
      </c>
      <c r="H953" s="43">
        <v>600</v>
      </c>
      <c r="I953" s="35">
        <v>695</v>
      </c>
      <c r="J953" s="35">
        <v>50</v>
      </c>
      <c r="K953" s="36"/>
      <c r="L953" s="36"/>
      <c r="M953" s="36"/>
      <c r="N953" s="36"/>
      <c r="O953" s="36"/>
      <c r="P953" s="36"/>
      <c r="Q953" s="36"/>
      <c r="R953" s="36"/>
      <c r="S953" s="36"/>
      <c r="T953" s="36"/>
    </row>
    <row r="954" spans="1:20" ht="15.75">
      <c r="A954" s="13">
        <v>70553</v>
      </c>
      <c r="B954" s="44">
        <f t="shared" si="5"/>
        <v>28</v>
      </c>
      <c r="C954" s="35">
        <v>122.58</v>
      </c>
      <c r="D954" s="35">
        <v>297.94099999999997</v>
      </c>
      <c r="E954" s="41">
        <v>729.47900000000004</v>
      </c>
      <c r="F954" s="35">
        <v>1150</v>
      </c>
      <c r="G954" s="35">
        <v>100</v>
      </c>
      <c r="H954" s="43">
        <v>600</v>
      </c>
      <c r="I954" s="35">
        <v>695</v>
      </c>
      <c r="J954" s="35">
        <v>50</v>
      </c>
      <c r="K954" s="36"/>
      <c r="L954" s="36"/>
      <c r="M954" s="36"/>
      <c r="N954" s="36"/>
      <c r="O954" s="36"/>
      <c r="P954" s="36"/>
      <c r="Q954" s="36"/>
      <c r="R954" s="36"/>
      <c r="S954" s="36"/>
      <c r="T954" s="36"/>
    </row>
    <row r="955" spans="1:20" ht="15.75">
      <c r="A955" s="13">
        <v>70584</v>
      </c>
      <c r="B955" s="44">
        <f t="shared" si="5"/>
        <v>31</v>
      </c>
      <c r="C955" s="35">
        <v>122.58</v>
      </c>
      <c r="D955" s="35">
        <v>297.94099999999997</v>
      </c>
      <c r="E955" s="41">
        <v>729.47900000000004</v>
      </c>
      <c r="F955" s="35">
        <v>1150</v>
      </c>
      <c r="G955" s="35">
        <v>100</v>
      </c>
      <c r="H955" s="43">
        <v>600</v>
      </c>
      <c r="I955" s="35">
        <v>695</v>
      </c>
      <c r="J955" s="35">
        <v>50</v>
      </c>
      <c r="K955" s="36"/>
      <c r="L955" s="36"/>
      <c r="M955" s="36"/>
      <c r="N955" s="36"/>
      <c r="O955" s="36"/>
      <c r="P955" s="36"/>
      <c r="Q955" s="36"/>
      <c r="R955" s="36"/>
      <c r="S955" s="36"/>
      <c r="T955" s="36"/>
    </row>
    <row r="956" spans="1:20" ht="15.75">
      <c r="A956" s="13">
        <v>70614</v>
      </c>
      <c r="B956" s="44">
        <f t="shared" si="5"/>
        <v>30</v>
      </c>
      <c r="C956" s="35">
        <v>141.29300000000001</v>
      </c>
      <c r="D956" s="35">
        <v>267.99299999999999</v>
      </c>
      <c r="E956" s="41">
        <v>829.71400000000006</v>
      </c>
      <c r="F956" s="35">
        <v>1239</v>
      </c>
      <c r="G956" s="35">
        <v>100</v>
      </c>
      <c r="H956" s="43">
        <v>600</v>
      </c>
      <c r="I956" s="35">
        <v>695</v>
      </c>
      <c r="J956" s="35">
        <v>50</v>
      </c>
      <c r="K956" s="36"/>
      <c r="L956" s="36"/>
      <c r="M956" s="36"/>
      <c r="N956" s="36"/>
      <c r="O956" s="36"/>
      <c r="P956" s="36"/>
      <c r="Q956" s="36"/>
      <c r="R956" s="36"/>
      <c r="S956" s="36"/>
      <c r="T956" s="36"/>
    </row>
    <row r="957" spans="1:20" ht="15.75">
      <c r="A957" s="13">
        <v>70645</v>
      </c>
      <c r="B957" s="44">
        <f t="shared" si="5"/>
        <v>31</v>
      </c>
      <c r="C957" s="35">
        <v>194.20500000000001</v>
      </c>
      <c r="D957" s="35">
        <v>267.46600000000001</v>
      </c>
      <c r="E957" s="41">
        <v>812.32899999999995</v>
      </c>
      <c r="F957" s="35">
        <v>1274</v>
      </c>
      <c r="G957" s="35">
        <v>75</v>
      </c>
      <c r="H957" s="43">
        <v>600</v>
      </c>
      <c r="I957" s="35">
        <v>695</v>
      </c>
      <c r="J957" s="35">
        <v>50</v>
      </c>
      <c r="K957" s="36"/>
      <c r="L957" s="36"/>
      <c r="M957" s="36"/>
      <c r="N957" s="36"/>
      <c r="O957" s="36"/>
      <c r="P957" s="36"/>
      <c r="Q957" s="36"/>
      <c r="R957" s="36"/>
      <c r="S957" s="36"/>
      <c r="T957" s="36"/>
    </row>
    <row r="958" spans="1:20" ht="15.75">
      <c r="A958" s="13">
        <v>70675</v>
      </c>
      <c r="B958" s="44">
        <f t="shared" si="5"/>
        <v>30</v>
      </c>
      <c r="C958" s="35">
        <v>194.20500000000001</v>
      </c>
      <c r="D958" s="35">
        <v>267.46600000000001</v>
      </c>
      <c r="E958" s="41">
        <v>812.32899999999995</v>
      </c>
      <c r="F958" s="35">
        <v>1274</v>
      </c>
      <c r="G958" s="35">
        <v>50</v>
      </c>
      <c r="H958" s="43">
        <v>600</v>
      </c>
      <c r="I958" s="35">
        <v>695</v>
      </c>
      <c r="J958" s="35">
        <v>50</v>
      </c>
      <c r="K958" s="36"/>
      <c r="L958" s="36"/>
      <c r="M958" s="36"/>
      <c r="N958" s="36"/>
      <c r="O958" s="36"/>
      <c r="P958" s="36"/>
      <c r="Q958" s="36"/>
      <c r="R958" s="36"/>
      <c r="S958" s="36"/>
      <c r="T958" s="36"/>
    </row>
    <row r="959" spans="1:20" ht="15.75">
      <c r="A959" s="13">
        <v>70706</v>
      </c>
      <c r="B959" s="44">
        <f t="shared" si="5"/>
        <v>31</v>
      </c>
      <c r="C959" s="35">
        <v>194.20500000000001</v>
      </c>
      <c r="D959" s="35">
        <v>267.46600000000001</v>
      </c>
      <c r="E959" s="41">
        <v>812.32899999999995</v>
      </c>
      <c r="F959" s="35">
        <v>1274</v>
      </c>
      <c r="G959" s="35">
        <v>50</v>
      </c>
      <c r="H959" s="43">
        <v>600</v>
      </c>
      <c r="I959" s="35">
        <v>695</v>
      </c>
      <c r="J959" s="35">
        <v>0</v>
      </c>
      <c r="K959" s="36"/>
      <c r="L959" s="36"/>
      <c r="M959" s="36"/>
      <c r="N959" s="36"/>
      <c r="O959" s="36"/>
      <c r="P959" s="36"/>
      <c r="Q959" s="36"/>
      <c r="R959" s="36"/>
      <c r="S959" s="36"/>
      <c r="T959" s="36"/>
    </row>
    <row r="960" spans="1:20" ht="15.75">
      <c r="A960" s="13">
        <v>70737</v>
      </c>
      <c r="B960" s="44">
        <f t="shared" si="5"/>
        <v>31</v>
      </c>
      <c r="C960" s="35">
        <v>194.20500000000001</v>
      </c>
      <c r="D960" s="35">
        <v>267.46600000000001</v>
      </c>
      <c r="E960" s="41">
        <v>812.32899999999995</v>
      </c>
      <c r="F960" s="35">
        <v>1274</v>
      </c>
      <c r="G960" s="35">
        <v>50</v>
      </c>
      <c r="H960" s="43">
        <v>600</v>
      </c>
      <c r="I960" s="35">
        <v>695</v>
      </c>
      <c r="J960" s="35">
        <v>0</v>
      </c>
      <c r="K960" s="36"/>
      <c r="L960" s="36"/>
      <c r="M960" s="36"/>
      <c r="N960" s="36"/>
      <c r="O960" s="36"/>
      <c r="P960" s="36"/>
      <c r="Q960" s="36"/>
      <c r="R960" s="36"/>
      <c r="S960" s="36"/>
      <c r="T960" s="36"/>
    </row>
    <row r="961" spans="1:20" ht="15.75">
      <c r="A961" s="13">
        <v>70767</v>
      </c>
      <c r="B961" s="44">
        <f t="shared" si="5"/>
        <v>30</v>
      </c>
      <c r="C961" s="35">
        <v>194.20500000000001</v>
      </c>
      <c r="D961" s="35">
        <v>267.46600000000001</v>
      </c>
      <c r="E961" s="41">
        <v>812.32899999999995</v>
      </c>
      <c r="F961" s="35">
        <v>1274</v>
      </c>
      <c r="G961" s="35">
        <v>50</v>
      </c>
      <c r="H961" s="43">
        <v>600</v>
      </c>
      <c r="I961" s="35">
        <v>695</v>
      </c>
      <c r="J961" s="35">
        <v>0</v>
      </c>
      <c r="K961" s="36"/>
      <c r="L961" s="36"/>
      <c r="M961" s="36"/>
      <c r="N961" s="36"/>
      <c r="O961" s="36"/>
      <c r="P961" s="36"/>
      <c r="Q961" s="36"/>
      <c r="R961" s="36"/>
      <c r="S961" s="36"/>
      <c r="T961" s="36"/>
    </row>
    <row r="962" spans="1:20" ht="15.75">
      <c r="A962" s="13">
        <v>70798</v>
      </c>
      <c r="B962" s="44">
        <f t="shared" si="5"/>
        <v>31</v>
      </c>
      <c r="C962" s="35">
        <v>131.881</v>
      </c>
      <c r="D962" s="35">
        <v>277.16699999999997</v>
      </c>
      <c r="E962" s="41">
        <v>829.952</v>
      </c>
      <c r="F962" s="35">
        <v>1239</v>
      </c>
      <c r="G962" s="35">
        <v>75</v>
      </c>
      <c r="H962" s="43">
        <v>600</v>
      </c>
      <c r="I962" s="35">
        <v>695</v>
      </c>
      <c r="J962" s="35">
        <v>0</v>
      </c>
      <c r="K962" s="36"/>
      <c r="L962" s="36"/>
      <c r="M962" s="36"/>
      <c r="N962" s="36"/>
      <c r="O962" s="36"/>
      <c r="P962" s="36"/>
      <c r="Q962" s="36"/>
      <c r="R962" s="36"/>
      <c r="S962" s="36"/>
      <c r="T962" s="36"/>
    </row>
    <row r="963" spans="1:20" ht="15.75">
      <c r="A963" s="13">
        <v>70828</v>
      </c>
      <c r="B963" s="44">
        <f t="shared" si="5"/>
        <v>30</v>
      </c>
      <c r="C963" s="35">
        <v>122.58</v>
      </c>
      <c r="D963" s="35">
        <v>297.94099999999997</v>
      </c>
      <c r="E963" s="41">
        <v>729.47900000000004</v>
      </c>
      <c r="F963" s="35">
        <v>1150</v>
      </c>
      <c r="G963" s="35">
        <v>100</v>
      </c>
      <c r="H963" s="43">
        <v>600</v>
      </c>
      <c r="I963" s="35">
        <v>695</v>
      </c>
      <c r="J963" s="35">
        <v>50</v>
      </c>
      <c r="K963" s="36"/>
      <c r="L963" s="36"/>
      <c r="M963" s="36"/>
      <c r="N963" s="36"/>
      <c r="O963" s="36"/>
      <c r="P963" s="36"/>
      <c r="Q963" s="36"/>
      <c r="R963" s="36"/>
      <c r="S963" s="36"/>
      <c r="T963" s="36"/>
    </row>
    <row r="964" spans="1:20" ht="15.75">
      <c r="A964" s="13">
        <v>70859</v>
      </c>
      <c r="B964" s="44">
        <f t="shared" si="5"/>
        <v>31</v>
      </c>
      <c r="C964" s="35">
        <v>122.58</v>
      </c>
      <c r="D964" s="35">
        <v>297.94099999999997</v>
      </c>
      <c r="E964" s="41">
        <v>729.47900000000004</v>
      </c>
      <c r="F964" s="35">
        <v>1150</v>
      </c>
      <c r="G964" s="35">
        <v>100</v>
      </c>
      <c r="H964" s="43">
        <v>600</v>
      </c>
      <c r="I964" s="35">
        <v>695</v>
      </c>
      <c r="J964" s="35">
        <v>50</v>
      </c>
      <c r="K964" s="36"/>
      <c r="L964" s="36"/>
      <c r="M964" s="36"/>
      <c r="N964" s="36"/>
      <c r="O964" s="36"/>
      <c r="P964" s="36"/>
      <c r="Q964" s="36"/>
      <c r="R964" s="36"/>
      <c r="S964" s="36"/>
      <c r="T964" s="36"/>
    </row>
    <row r="965" spans="1:20" ht="15.75">
      <c r="A965" s="13">
        <v>70890</v>
      </c>
      <c r="B965" s="44">
        <f t="shared" ref="B965:B1028" si="6">EOMONTH(A965,0)-EOMONTH(A965,-1)</f>
        <v>31</v>
      </c>
      <c r="C965" s="35">
        <v>122.58</v>
      </c>
      <c r="D965" s="35">
        <v>297.94099999999997</v>
      </c>
      <c r="E965" s="41">
        <v>729.47900000000004</v>
      </c>
      <c r="F965" s="35">
        <v>1150</v>
      </c>
      <c r="G965" s="35">
        <v>100</v>
      </c>
      <c r="H965" s="43">
        <v>600</v>
      </c>
      <c r="I965" s="35">
        <v>695</v>
      </c>
      <c r="J965" s="35">
        <v>50</v>
      </c>
      <c r="K965" s="36"/>
      <c r="L965" s="36"/>
      <c r="M965" s="36"/>
      <c r="N965" s="36"/>
      <c r="O965" s="36"/>
      <c r="P965" s="36"/>
      <c r="Q965" s="36"/>
      <c r="R965" s="36"/>
      <c r="S965" s="36"/>
      <c r="T965" s="36"/>
    </row>
    <row r="966" spans="1:20" ht="15.75">
      <c r="A966" s="13">
        <v>70918</v>
      </c>
      <c r="B966" s="44">
        <f t="shared" si="6"/>
        <v>28</v>
      </c>
      <c r="C966" s="35">
        <v>122.58</v>
      </c>
      <c r="D966" s="35">
        <v>297.94099999999997</v>
      </c>
      <c r="E966" s="41">
        <v>729.47900000000004</v>
      </c>
      <c r="F966" s="35">
        <v>1150</v>
      </c>
      <c r="G966" s="35">
        <v>100</v>
      </c>
      <c r="H966" s="43">
        <v>600</v>
      </c>
      <c r="I966" s="35">
        <v>695</v>
      </c>
      <c r="J966" s="35">
        <v>50</v>
      </c>
      <c r="K966" s="36"/>
      <c r="L966" s="36"/>
      <c r="M966" s="36"/>
      <c r="N966" s="36"/>
      <c r="O966" s="36"/>
      <c r="P966" s="36"/>
      <c r="Q966" s="36"/>
      <c r="R966" s="36"/>
      <c r="S966" s="36"/>
      <c r="T966" s="36"/>
    </row>
    <row r="967" spans="1:20" ht="15.75">
      <c r="A967" s="13">
        <v>70949</v>
      </c>
      <c r="B967" s="44">
        <f t="shared" si="6"/>
        <v>31</v>
      </c>
      <c r="C967" s="35">
        <v>122.58</v>
      </c>
      <c r="D967" s="35">
        <v>297.94099999999997</v>
      </c>
      <c r="E967" s="41">
        <v>729.47900000000004</v>
      </c>
      <c r="F967" s="35">
        <v>1150</v>
      </c>
      <c r="G967" s="35">
        <v>100</v>
      </c>
      <c r="H967" s="43">
        <v>600</v>
      </c>
      <c r="I967" s="35">
        <v>695</v>
      </c>
      <c r="J967" s="35">
        <v>50</v>
      </c>
      <c r="K967" s="36"/>
      <c r="L967" s="36"/>
      <c r="M967" s="36"/>
      <c r="N967" s="36"/>
      <c r="O967" s="36"/>
      <c r="P967" s="36"/>
      <c r="Q967" s="36"/>
      <c r="R967" s="36"/>
      <c r="S967" s="36"/>
      <c r="T967" s="36"/>
    </row>
    <row r="968" spans="1:20" ht="15.75">
      <c r="A968" s="13">
        <v>70979</v>
      </c>
      <c r="B968" s="44">
        <f t="shared" si="6"/>
        <v>30</v>
      </c>
      <c r="C968" s="35">
        <v>141.29300000000001</v>
      </c>
      <c r="D968" s="35">
        <v>267.99299999999999</v>
      </c>
      <c r="E968" s="41">
        <v>829.71400000000006</v>
      </c>
      <c r="F968" s="35">
        <v>1239</v>
      </c>
      <c r="G968" s="35">
        <v>100</v>
      </c>
      <c r="H968" s="43">
        <v>600</v>
      </c>
      <c r="I968" s="35">
        <v>695</v>
      </c>
      <c r="J968" s="35">
        <v>50</v>
      </c>
      <c r="K968" s="36"/>
      <c r="L968" s="36"/>
      <c r="M968" s="36"/>
      <c r="N968" s="36"/>
      <c r="O968" s="36"/>
      <c r="P968" s="36"/>
      <c r="Q968" s="36"/>
      <c r="R968" s="36"/>
      <c r="S968" s="36"/>
      <c r="T968" s="36"/>
    </row>
    <row r="969" spans="1:20" ht="15.75">
      <c r="A969" s="13">
        <v>71010</v>
      </c>
      <c r="B969" s="44">
        <f t="shared" si="6"/>
        <v>31</v>
      </c>
      <c r="C969" s="35">
        <v>194.20500000000001</v>
      </c>
      <c r="D969" s="35">
        <v>267.46600000000001</v>
      </c>
      <c r="E969" s="41">
        <v>812.32899999999995</v>
      </c>
      <c r="F969" s="35">
        <v>1274</v>
      </c>
      <c r="G969" s="35">
        <v>75</v>
      </c>
      <c r="H969" s="43">
        <v>600</v>
      </c>
      <c r="I969" s="35">
        <v>695</v>
      </c>
      <c r="J969" s="35">
        <v>50</v>
      </c>
      <c r="K969" s="36"/>
      <c r="L969" s="36"/>
      <c r="M969" s="36"/>
      <c r="N969" s="36"/>
      <c r="O969" s="36"/>
      <c r="P969" s="36"/>
      <c r="Q969" s="36"/>
      <c r="R969" s="36"/>
      <c r="S969" s="36"/>
      <c r="T969" s="36"/>
    </row>
    <row r="970" spans="1:20" ht="15.75">
      <c r="A970" s="13">
        <v>71040</v>
      </c>
      <c r="B970" s="44">
        <f t="shared" si="6"/>
        <v>30</v>
      </c>
      <c r="C970" s="35">
        <v>194.20500000000001</v>
      </c>
      <c r="D970" s="35">
        <v>267.46600000000001</v>
      </c>
      <c r="E970" s="41">
        <v>812.32899999999995</v>
      </c>
      <c r="F970" s="35">
        <v>1274</v>
      </c>
      <c r="G970" s="35">
        <v>50</v>
      </c>
      <c r="H970" s="43">
        <v>600</v>
      </c>
      <c r="I970" s="35">
        <v>695</v>
      </c>
      <c r="J970" s="35">
        <v>50</v>
      </c>
      <c r="K970" s="36"/>
      <c r="L970" s="36"/>
      <c r="M970" s="36"/>
      <c r="N970" s="36"/>
      <c r="O970" s="36"/>
      <c r="P970" s="36"/>
      <c r="Q970" s="36"/>
      <c r="R970" s="36"/>
      <c r="S970" s="36"/>
      <c r="T970" s="36"/>
    </row>
    <row r="971" spans="1:20" ht="15.75">
      <c r="A971" s="13">
        <v>71071</v>
      </c>
      <c r="B971" s="44">
        <f t="shared" si="6"/>
        <v>31</v>
      </c>
      <c r="C971" s="35">
        <v>194.20500000000001</v>
      </c>
      <c r="D971" s="35">
        <v>267.46600000000001</v>
      </c>
      <c r="E971" s="41">
        <v>812.32899999999995</v>
      </c>
      <c r="F971" s="35">
        <v>1274</v>
      </c>
      <c r="G971" s="35">
        <v>50</v>
      </c>
      <c r="H971" s="43">
        <v>600</v>
      </c>
      <c r="I971" s="35">
        <v>695</v>
      </c>
      <c r="J971" s="35">
        <v>0</v>
      </c>
      <c r="K971" s="36"/>
      <c r="L971" s="36"/>
      <c r="M971" s="36"/>
      <c r="N971" s="36"/>
      <c r="O971" s="36"/>
      <c r="P971" s="36"/>
      <c r="Q971" s="36"/>
      <c r="R971" s="36"/>
      <c r="S971" s="36"/>
      <c r="T971" s="36"/>
    </row>
    <row r="972" spans="1:20" ht="15.75">
      <c r="A972" s="13">
        <v>71102</v>
      </c>
      <c r="B972" s="44">
        <f t="shared" si="6"/>
        <v>31</v>
      </c>
      <c r="C972" s="35">
        <v>194.20500000000001</v>
      </c>
      <c r="D972" s="35">
        <v>267.46600000000001</v>
      </c>
      <c r="E972" s="41">
        <v>812.32899999999995</v>
      </c>
      <c r="F972" s="35">
        <v>1274</v>
      </c>
      <c r="G972" s="35">
        <v>50</v>
      </c>
      <c r="H972" s="43">
        <v>600</v>
      </c>
      <c r="I972" s="35">
        <v>695</v>
      </c>
      <c r="J972" s="35">
        <v>0</v>
      </c>
      <c r="K972" s="36"/>
      <c r="L972" s="36"/>
      <c r="M972" s="36"/>
      <c r="N972" s="36"/>
      <c r="O972" s="36"/>
      <c r="P972" s="36"/>
      <c r="Q972" s="36"/>
      <c r="R972" s="36"/>
      <c r="S972" s="36"/>
      <c r="T972" s="36"/>
    </row>
    <row r="973" spans="1:20" ht="15.75">
      <c r="A973" s="13">
        <v>71132</v>
      </c>
      <c r="B973" s="44">
        <f t="shared" si="6"/>
        <v>30</v>
      </c>
      <c r="C973" s="35">
        <v>194.20500000000001</v>
      </c>
      <c r="D973" s="35">
        <v>267.46600000000001</v>
      </c>
      <c r="E973" s="41">
        <v>812.32899999999995</v>
      </c>
      <c r="F973" s="35">
        <v>1274</v>
      </c>
      <c r="G973" s="35">
        <v>50</v>
      </c>
      <c r="H973" s="43">
        <v>600</v>
      </c>
      <c r="I973" s="35">
        <v>695</v>
      </c>
      <c r="J973" s="35">
        <v>0</v>
      </c>
      <c r="K973" s="36"/>
      <c r="L973" s="36"/>
      <c r="M973" s="36"/>
      <c r="N973" s="36"/>
      <c r="O973" s="36"/>
      <c r="P973" s="36"/>
      <c r="Q973" s="36"/>
      <c r="R973" s="36"/>
      <c r="S973" s="36"/>
      <c r="T973" s="36"/>
    </row>
    <row r="974" spans="1:20" ht="15.75">
      <c r="A974" s="13">
        <v>71163</v>
      </c>
      <c r="B974" s="44">
        <f t="shared" si="6"/>
        <v>31</v>
      </c>
      <c r="C974" s="35">
        <v>131.881</v>
      </c>
      <c r="D974" s="35">
        <v>277.16699999999997</v>
      </c>
      <c r="E974" s="41">
        <v>829.952</v>
      </c>
      <c r="F974" s="35">
        <v>1239</v>
      </c>
      <c r="G974" s="35">
        <v>75</v>
      </c>
      <c r="H974" s="43">
        <v>600</v>
      </c>
      <c r="I974" s="35">
        <v>695</v>
      </c>
      <c r="J974" s="35">
        <v>0</v>
      </c>
      <c r="K974" s="36"/>
      <c r="L974" s="36"/>
      <c r="M974" s="36"/>
      <c r="N974" s="36"/>
      <c r="O974" s="36"/>
      <c r="P974" s="36"/>
      <c r="Q974" s="36"/>
      <c r="R974" s="36"/>
      <c r="S974" s="36"/>
      <c r="T974" s="36"/>
    </row>
    <row r="975" spans="1:20" ht="15.75">
      <c r="A975" s="13">
        <v>71193</v>
      </c>
      <c r="B975" s="44">
        <f t="shared" si="6"/>
        <v>30</v>
      </c>
      <c r="C975" s="35">
        <v>122.58</v>
      </c>
      <c r="D975" s="35">
        <v>297.94099999999997</v>
      </c>
      <c r="E975" s="41">
        <v>729.47900000000004</v>
      </c>
      <c r="F975" s="35">
        <v>1150</v>
      </c>
      <c r="G975" s="35">
        <v>100</v>
      </c>
      <c r="H975" s="43">
        <v>600</v>
      </c>
      <c r="I975" s="35">
        <v>695</v>
      </c>
      <c r="J975" s="35">
        <v>50</v>
      </c>
      <c r="K975" s="36"/>
      <c r="L975" s="36"/>
      <c r="M975" s="36"/>
      <c r="N975" s="36"/>
      <c r="O975" s="36"/>
      <c r="P975" s="36"/>
      <c r="Q975" s="36"/>
      <c r="R975" s="36"/>
      <c r="S975" s="36"/>
      <c r="T975" s="36"/>
    </row>
    <row r="976" spans="1:20" ht="15.75">
      <c r="A976" s="13">
        <v>71224</v>
      </c>
      <c r="B976" s="44">
        <f t="shared" si="6"/>
        <v>31</v>
      </c>
      <c r="C976" s="35">
        <v>122.58</v>
      </c>
      <c r="D976" s="35">
        <v>297.94099999999997</v>
      </c>
      <c r="E976" s="41">
        <v>729.47900000000004</v>
      </c>
      <c r="F976" s="35">
        <v>1150</v>
      </c>
      <c r="G976" s="35">
        <v>100</v>
      </c>
      <c r="H976" s="43">
        <v>600</v>
      </c>
      <c r="I976" s="35">
        <v>695</v>
      </c>
      <c r="J976" s="35">
        <v>50</v>
      </c>
      <c r="K976" s="36"/>
      <c r="L976" s="36"/>
      <c r="M976" s="36"/>
      <c r="N976" s="36"/>
      <c r="O976" s="36"/>
      <c r="P976" s="36"/>
      <c r="Q976" s="36"/>
      <c r="R976" s="36"/>
      <c r="S976" s="36"/>
      <c r="T976" s="36"/>
    </row>
    <row r="977" spans="1:20" ht="15.75">
      <c r="A977" s="13">
        <v>71255</v>
      </c>
      <c r="B977" s="44">
        <f t="shared" si="6"/>
        <v>31</v>
      </c>
      <c r="C977" s="35">
        <v>122.58</v>
      </c>
      <c r="D977" s="35">
        <v>297.94099999999997</v>
      </c>
      <c r="E977" s="41">
        <v>729.47900000000004</v>
      </c>
      <c r="F977" s="35">
        <v>1150</v>
      </c>
      <c r="G977" s="35">
        <v>100</v>
      </c>
      <c r="H977" s="43">
        <v>600</v>
      </c>
      <c r="I977" s="35">
        <v>695</v>
      </c>
      <c r="J977" s="35">
        <v>50</v>
      </c>
      <c r="K977" s="36"/>
      <c r="L977" s="36"/>
      <c r="M977" s="36"/>
      <c r="N977" s="36"/>
      <c r="O977" s="36"/>
      <c r="P977" s="36"/>
      <c r="Q977" s="36"/>
      <c r="R977" s="36"/>
      <c r="S977" s="36"/>
      <c r="T977" s="36"/>
    </row>
    <row r="978" spans="1:20" ht="15.75">
      <c r="A978" s="13">
        <v>71283</v>
      </c>
      <c r="B978" s="44">
        <f t="shared" si="6"/>
        <v>28</v>
      </c>
      <c r="C978" s="35">
        <v>122.58</v>
      </c>
      <c r="D978" s="35">
        <v>297.94099999999997</v>
      </c>
      <c r="E978" s="41">
        <v>729.47900000000004</v>
      </c>
      <c r="F978" s="35">
        <v>1150</v>
      </c>
      <c r="G978" s="35">
        <v>100</v>
      </c>
      <c r="H978" s="43">
        <v>600</v>
      </c>
      <c r="I978" s="35">
        <v>695</v>
      </c>
      <c r="J978" s="35">
        <v>50</v>
      </c>
      <c r="K978" s="36"/>
      <c r="L978" s="36"/>
      <c r="M978" s="36"/>
      <c r="N978" s="36"/>
      <c r="O978" s="36"/>
      <c r="P978" s="36"/>
      <c r="Q978" s="36"/>
      <c r="R978" s="36"/>
      <c r="S978" s="36"/>
      <c r="T978" s="36"/>
    </row>
    <row r="979" spans="1:20" ht="15.75">
      <c r="A979" s="13">
        <v>71314</v>
      </c>
      <c r="B979" s="44">
        <f t="shared" si="6"/>
        <v>31</v>
      </c>
      <c r="C979" s="35">
        <v>122.58</v>
      </c>
      <c r="D979" s="35">
        <v>297.94099999999997</v>
      </c>
      <c r="E979" s="41">
        <v>729.47900000000004</v>
      </c>
      <c r="F979" s="35">
        <v>1150</v>
      </c>
      <c r="G979" s="35">
        <v>100</v>
      </c>
      <c r="H979" s="43">
        <v>600</v>
      </c>
      <c r="I979" s="35">
        <v>695</v>
      </c>
      <c r="J979" s="35">
        <v>50</v>
      </c>
      <c r="K979" s="36"/>
      <c r="L979" s="36"/>
      <c r="M979" s="36"/>
      <c r="N979" s="36"/>
      <c r="O979" s="36"/>
      <c r="P979" s="36"/>
      <c r="Q979" s="36"/>
      <c r="R979" s="36"/>
      <c r="S979" s="36"/>
      <c r="T979" s="36"/>
    </row>
    <row r="980" spans="1:20" ht="15.75">
      <c r="A980" s="13">
        <v>71344</v>
      </c>
      <c r="B980" s="44">
        <f t="shared" si="6"/>
        <v>30</v>
      </c>
      <c r="C980" s="35">
        <v>141.29300000000001</v>
      </c>
      <c r="D980" s="35">
        <v>267.99299999999999</v>
      </c>
      <c r="E980" s="41">
        <v>829.71400000000006</v>
      </c>
      <c r="F980" s="35">
        <v>1239</v>
      </c>
      <c r="G980" s="35">
        <v>100</v>
      </c>
      <c r="H980" s="43">
        <v>600</v>
      </c>
      <c r="I980" s="35">
        <v>695</v>
      </c>
      <c r="J980" s="35">
        <v>50</v>
      </c>
      <c r="K980" s="36"/>
      <c r="L980" s="36"/>
      <c r="M980" s="36"/>
      <c r="N980" s="36"/>
      <c r="O980" s="36"/>
      <c r="P980" s="36"/>
      <c r="Q980" s="36"/>
      <c r="R980" s="36"/>
      <c r="S980" s="36"/>
      <c r="T980" s="36"/>
    </row>
    <row r="981" spans="1:20" ht="15.75">
      <c r="A981" s="13">
        <v>71375</v>
      </c>
      <c r="B981" s="44">
        <f t="shared" si="6"/>
        <v>31</v>
      </c>
      <c r="C981" s="35">
        <v>194.20500000000001</v>
      </c>
      <c r="D981" s="35">
        <v>267.46600000000001</v>
      </c>
      <c r="E981" s="41">
        <v>812.32899999999995</v>
      </c>
      <c r="F981" s="35">
        <v>1274</v>
      </c>
      <c r="G981" s="35">
        <v>75</v>
      </c>
      <c r="H981" s="43">
        <v>600</v>
      </c>
      <c r="I981" s="35">
        <v>695</v>
      </c>
      <c r="J981" s="35">
        <v>50</v>
      </c>
      <c r="K981" s="36"/>
      <c r="L981" s="36"/>
      <c r="M981" s="36"/>
      <c r="N981" s="36"/>
      <c r="O981" s="36"/>
      <c r="P981" s="36"/>
      <c r="Q981" s="36"/>
      <c r="R981" s="36"/>
      <c r="S981" s="36"/>
      <c r="T981" s="36"/>
    </row>
    <row r="982" spans="1:20" ht="15.75">
      <c r="A982" s="13">
        <v>71405</v>
      </c>
      <c r="B982" s="44">
        <f t="shared" si="6"/>
        <v>30</v>
      </c>
      <c r="C982" s="35">
        <v>194.20500000000001</v>
      </c>
      <c r="D982" s="35">
        <v>267.46600000000001</v>
      </c>
      <c r="E982" s="41">
        <v>812.32899999999995</v>
      </c>
      <c r="F982" s="35">
        <v>1274</v>
      </c>
      <c r="G982" s="35">
        <v>50</v>
      </c>
      <c r="H982" s="43">
        <v>600</v>
      </c>
      <c r="I982" s="35">
        <v>695</v>
      </c>
      <c r="J982" s="35">
        <v>50</v>
      </c>
      <c r="K982" s="36"/>
      <c r="L982" s="36"/>
      <c r="M982" s="36"/>
      <c r="N982" s="36"/>
      <c r="O982" s="36"/>
      <c r="P982" s="36"/>
      <c r="Q982" s="36"/>
      <c r="R982" s="36"/>
      <c r="S982" s="36"/>
      <c r="T982" s="36"/>
    </row>
    <row r="983" spans="1:20" ht="15.75">
      <c r="A983" s="13">
        <v>71436</v>
      </c>
      <c r="B983" s="44">
        <f t="shared" si="6"/>
        <v>31</v>
      </c>
      <c r="C983" s="35">
        <v>194.20500000000001</v>
      </c>
      <c r="D983" s="35">
        <v>267.46600000000001</v>
      </c>
      <c r="E983" s="41">
        <v>812.32899999999995</v>
      </c>
      <c r="F983" s="35">
        <v>1274</v>
      </c>
      <c r="G983" s="35">
        <v>50</v>
      </c>
      <c r="H983" s="43">
        <v>600</v>
      </c>
      <c r="I983" s="35">
        <v>695</v>
      </c>
      <c r="J983" s="35">
        <v>0</v>
      </c>
      <c r="K983" s="36"/>
      <c r="L983" s="36"/>
      <c r="M983" s="36"/>
      <c r="N983" s="36"/>
      <c r="O983" s="36"/>
      <c r="P983" s="36"/>
      <c r="Q983" s="36"/>
      <c r="R983" s="36"/>
      <c r="S983" s="36"/>
      <c r="T983" s="36"/>
    </row>
    <row r="984" spans="1:20" ht="15.75">
      <c r="A984" s="13">
        <v>71467</v>
      </c>
      <c r="B984" s="44">
        <f t="shared" si="6"/>
        <v>31</v>
      </c>
      <c r="C984" s="35">
        <v>194.20500000000001</v>
      </c>
      <c r="D984" s="35">
        <v>267.46600000000001</v>
      </c>
      <c r="E984" s="41">
        <v>812.32899999999995</v>
      </c>
      <c r="F984" s="35">
        <v>1274</v>
      </c>
      <c r="G984" s="35">
        <v>50</v>
      </c>
      <c r="H984" s="43">
        <v>600</v>
      </c>
      <c r="I984" s="35">
        <v>695</v>
      </c>
      <c r="J984" s="35">
        <v>0</v>
      </c>
      <c r="K984" s="36"/>
      <c r="L984" s="36"/>
      <c r="M984" s="36"/>
      <c r="N984" s="36"/>
      <c r="O984" s="36"/>
      <c r="P984" s="36"/>
      <c r="Q984" s="36"/>
      <c r="R984" s="36"/>
      <c r="S984" s="36"/>
      <c r="T984" s="36"/>
    </row>
    <row r="985" spans="1:20" ht="15.75">
      <c r="A985" s="13">
        <v>71497</v>
      </c>
      <c r="B985" s="44">
        <f t="shared" si="6"/>
        <v>30</v>
      </c>
      <c r="C985" s="35">
        <v>194.20500000000001</v>
      </c>
      <c r="D985" s="35">
        <v>267.46600000000001</v>
      </c>
      <c r="E985" s="41">
        <v>812.32899999999995</v>
      </c>
      <c r="F985" s="35">
        <v>1274</v>
      </c>
      <c r="G985" s="35">
        <v>50</v>
      </c>
      <c r="H985" s="43">
        <v>600</v>
      </c>
      <c r="I985" s="35">
        <v>695</v>
      </c>
      <c r="J985" s="35">
        <v>0</v>
      </c>
      <c r="K985" s="36"/>
      <c r="L985" s="36"/>
      <c r="M985" s="36"/>
      <c r="N985" s="36"/>
      <c r="O985" s="36"/>
      <c r="P985" s="36"/>
      <c r="Q985" s="36"/>
      <c r="R985" s="36"/>
      <c r="S985" s="36"/>
      <c r="T985" s="36"/>
    </row>
    <row r="986" spans="1:20" ht="15.75">
      <c r="A986" s="13">
        <v>71528</v>
      </c>
      <c r="B986" s="44">
        <f t="shared" si="6"/>
        <v>31</v>
      </c>
      <c r="C986" s="35">
        <v>131.881</v>
      </c>
      <c r="D986" s="35">
        <v>277.16699999999997</v>
      </c>
      <c r="E986" s="41">
        <v>829.952</v>
      </c>
      <c r="F986" s="35">
        <v>1239</v>
      </c>
      <c r="G986" s="35">
        <v>75</v>
      </c>
      <c r="H986" s="43">
        <v>600</v>
      </c>
      <c r="I986" s="35">
        <v>695</v>
      </c>
      <c r="J986" s="35">
        <v>0</v>
      </c>
      <c r="K986" s="36"/>
      <c r="L986" s="36"/>
      <c r="M986" s="36"/>
      <c r="N986" s="36"/>
      <c r="O986" s="36"/>
      <c r="P986" s="36"/>
      <c r="Q986" s="36"/>
      <c r="R986" s="36"/>
      <c r="S986" s="36"/>
      <c r="T986" s="36"/>
    </row>
    <row r="987" spans="1:20" ht="15.75">
      <c r="A987" s="13">
        <v>71558</v>
      </c>
      <c r="B987" s="44">
        <f t="shared" si="6"/>
        <v>30</v>
      </c>
      <c r="C987" s="35">
        <v>122.58</v>
      </c>
      <c r="D987" s="35">
        <v>297.94099999999997</v>
      </c>
      <c r="E987" s="41">
        <v>729.47900000000004</v>
      </c>
      <c r="F987" s="35">
        <v>1150</v>
      </c>
      <c r="G987" s="35">
        <v>100</v>
      </c>
      <c r="H987" s="43">
        <v>600</v>
      </c>
      <c r="I987" s="35">
        <v>695</v>
      </c>
      <c r="J987" s="35">
        <v>50</v>
      </c>
      <c r="K987" s="36"/>
      <c r="L987" s="36"/>
      <c r="M987" s="36"/>
      <c r="N987" s="36"/>
      <c r="O987" s="36"/>
      <c r="P987" s="36"/>
      <c r="Q987" s="36"/>
      <c r="R987" s="36"/>
      <c r="S987" s="36"/>
      <c r="T987" s="36"/>
    </row>
    <row r="988" spans="1:20" ht="15.75">
      <c r="A988" s="13">
        <v>71589</v>
      </c>
      <c r="B988" s="44">
        <f t="shared" si="6"/>
        <v>31</v>
      </c>
      <c r="C988" s="35">
        <v>122.58</v>
      </c>
      <c r="D988" s="35">
        <v>297.94099999999997</v>
      </c>
      <c r="E988" s="41">
        <v>729.47900000000004</v>
      </c>
      <c r="F988" s="35">
        <v>1150</v>
      </c>
      <c r="G988" s="35">
        <v>100</v>
      </c>
      <c r="H988" s="43">
        <v>600</v>
      </c>
      <c r="I988" s="35">
        <v>695</v>
      </c>
      <c r="J988" s="35">
        <v>50</v>
      </c>
      <c r="K988" s="36"/>
      <c r="L988" s="36"/>
      <c r="M988" s="36"/>
      <c r="N988" s="36"/>
      <c r="O988" s="36"/>
      <c r="P988" s="36"/>
      <c r="Q988" s="36"/>
      <c r="R988" s="36"/>
      <c r="S988" s="36"/>
      <c r="T988" s="36"/>
    </row>
    <row r="989" spans="1:20" ht="15.75">
      <c r="A989" s="13">
        <v>71620</v>
      </c>
      <c r="B989" s="44">
        <f t="shared" si="6"/>
        <v>31</v>
      </c>
      <c r="C989" s="35">
        <v>122.58</v>
      </c>
      <c r="D989" s="35">
        <v>297.94099999999997</v>
      </c>
      <c r="E989" s="41">
        <v>729.47900000000004</v>
      </c>
      <c r="F989" s="35">
        <v>1150</v>
      </c>
      <c r="G989" s="35">
        <v>100</v>
      </c>
      <c r="H989" s="43">
        <v>600</v>
      </c>
      <c r="I989" s="35">
        <v>695</v>
      </c>
      <c r="J989" s="35">
        <v>50</v>
      </c>
      <c r="K989" s="36"/>
      <c r="L989" s="36"/>
      <c r="M989" s="36"/>
      <c r="N989" s="36"/>
      <c r="O989" s="36"/>
      <c r="P989" s="36"/>
      <c r="Q989" s="36"/>
      <c r="R989" s="36"/>
      <c r="S989" s="36"/>
      <c r="T989" s="36"/>
    </row>
    <row r="990" spans="1:20" ht="15.75">
      <c r="A990" s="13">
        <v>71649</v>
      </c>
      <c r="B990" s="44">
        <f t="shared" si="6"/>
        <v>29</v>
      </c>
      <c r="C990" s="35">
        <v>122.58</v>
      </c>
      <c r="D990" s="35">
        <v>297.94099999999997</v>
      </c>
      <c r="E990" s="41">
        <v>729.47900000000004</v>
      </c>
      <c r="F990" s="35">
        <v>1150</v>
      </c>
      <c r="G990" s="35">
        <v>100</v>
      </c>
      <c r="H990" s="43">
        <v>600</v>
      </c>
      <c r="I990" s="35">
        <v>695</v>
      </c>
      <c r="J990" s="35">
        <v>50</v>
      </c>
      <c r="K990" s="36"/>
      <c r="L990" s="36"/>
      <c r="M990" s="36"/>
      <c r="N990" s="36"/>
      <c r="O990" s="36"/>
      <c r="P990" s="36"/>
      <c r="Q990" s="36"/>
      <c r="R990" s="36"/>
      <c r="S990" s="36"/>
      <c r="T990" s="36"/>
    </row>
    <row r="991" spans="1:20" ht="15.75">
      <c r="A991" s="13">
        <v>71680</v>
      </c>
      <c r="B991" s="44">
        <f t="shared" si="6"/>
        <v>31</v>
      </c>
      <c r="C991" s="35">
        <v>122.58</v>
      </c>
      <c r="D991" s="35">
        <v>297.94099999999997</v>
      </c>
      <c r="E991" s="41">
        <v>729.47900000000004</v>
      </c>
      <c r="F991" s="35">
        <v>1150</v>
      </c>
      <c r="G991" s="35">
        <v>100</v>
      </c>
      <c r="H991" s="43">
        <v>600</v>
      </c>
      <c r="I991" s="35">
        <v>695</v>
      </c>
      <c r="J991" s="35">
        <v>50</v>
      </c>
      <c r="K991" s="36"/>
      <c r="L991" s="36"/>
      <c r="M991" s="36"/>
      <c r="N991" s="36"/>
      <c r="O991" s="36"/>
      <c r="P991" s="36"/>
      <c r="Q991" s="36"/>
      <c r="R991" s="36"/>
      <c r="S991" s="36"/>
      <c r="T991" s="36"/>
    </row>
    <row r="992" spans="1:20" ht="15.75">
      <c r="A992" s="13">
        <v>71710</v>
      </c>
      <c r="B992" s="44">
        <f t="shared" si="6"/>
        <v>30</v>
      </c>
      <c r="C992" s="35">
        <v>141.29300000000001</v>
      </c>
      <c r="D992" s="35">
        <v>267.99299999999999</v>
      </c>
      <c r="E992" s="41">
        <v>829.71400000000006</v>
      </c>
      <c r="F992" s="35">
        <v>1239</v>
      </c>
      <c r="G992" s="35">
        <v>100</v>
      </c>
      <c r="H992" s="43">
        <v>600</v>
      </c>
      <c r="I992" s="35">
        <v>695</v>
      </c>
      <c r="J992" s="35">
        <v>50</v>
      </c>
      <c r="K992" s="36"/>
      <c r="L992" s="36"/>
      <c r="M992" s="36"/>
      <c r="N992" s="36"/>
      <c r="O992" s="36"/>
      <c r="P992" s="36"/>
      <c r="Q992" s="36"/>
      <c r="R992" s="36"/>
      <c r="S992" s="36"/>
      <c r="T992" s="36"/>
    </row>
    <row r="993" spans="1:20" ht="15.75">
      <c r="A993" s="13">
        <v>71741</v>
      </c>
      <c r="B993" s="44">
        <f t="shared" si="6"/>
        <v>31</v>
      </c>
      <c r="C993" s="35">
        <v>194.20500000000001</v>
      </c>
      <c r="D993" s="35">
        <v>267.46600000000001</v>
      </c>
      <c r="E993" s="41">
        <v>812.32899999999995</v>
      </c>
      <c r="F993" s="35">
        <v>1274</v>
      </c>
      <c r="G993" s="35">
        <v>75</v>
      </c>
      <c r="H993" s="43">
        <v>600</v>
      </c>
      <c r="I993" s="35">
        <v>695</v>
      </c>
      <c r="J993" s="35">
        <v>50</v>
      </c>
      <c r="K993" s="36"/>
      <c r="L993" s="36"/>
      <c r="M993" s="36"/>
      <c r="N993" s="36"/>
      <c r="O993" s="36"/>
      <c r="P993" s="36"/>
      <c r="Q993" s="36"/>
      <c r="R993" s="36"/>
      <c r="S993" s="36"/>
      <c r="T993" s="36"/>
    </row>
    <row r="994" spans="1:20" ht="15.75">
      <c r="A994" s="13">
        <v>71771</v>
      </c>
      <c r="B994" s="44">
        <f t="shared" si="6"/>
        <v>30</v>
      </c>
      <c r="C994" s="35">
        <v>194.20500000000001</v>
      </c>
      <c r="D994" s="35">
        <v>267.46600000000001</v>
      </c>
      <c r="E994" s="41">
        <v>812.32899999999995</v>
      </c>
      <c r="F994" s="35">
        <v>1274</v>
      </c>
      <c r="G994" s="35">
        <v>50</v>
      </c>
      <c r="H994" s="43">
        <v>600</v>
      </c>
      <c r="I994" s="35">
        <v>695</v>
      </c>
      <c r="J994" s="35">
        <v>50</v>
      </c>
      <c r="K994" s="36"/>
      <c r="L994" s="36"/>
      <c r="M994" s="36"/>
      <c r="N994" s="36"/>
      <c r="O994" s="36"/>
      <c r="P994" s="36"/>
      <c r="Q994" s="36"/>
      <c r="R994" s="36"/>
      <c r="S994" s="36"/>
      <c r="T994" s="36"/>
    </row>
    <row r="995" spans="1:20" ht="15.75">
      <c r="A995" s="13">
        <v>71802</v>
      </c>
      <c r="B995" s="44">
        <f t="shared" si="6"/>
        <v>31</v>
      </c>
      <c r="C995" s="35">
        <v>194.20500000000001</v>
      </c>
      <c r="D995" s="35">
        <v>267.46600000000001</v>
      </c>
      <c r="E995" s="41">
        <v>812.32899999999995</v>
      </c>
      <c r="F995" s="35">
        <v>1274</v>
      </c>
      <c r="G995" s="35">
        <v>50</v>
      </c>
      <c r="H995" s="43">
        <v>600</v>
      </c>
      <c r="I995" s="35">
        <v>695</v>
      </c>
      <c r="J995" s="35">
        <v>0</v>
      </c>
      <c r="K995" s="36"/>
      <c r="L995" s="36"/>
      <c r="M995" s="36"/>
      <c r="N995" s="36"/>
      <c r="O995" s="36"/>
      <c r="P995" s="36"/>
      <c r="Q995" s="36"/>
      <c r="R995" s="36"/>
      <c r="S995" s="36"/>
      <c r="T995" s="36"/>
    </row>
    <row r="996" spans="1:20" ht="15.75">
      <c r="A996" s="13">
        <v>71833</v>
      </c>
      <c r="B996" s="44">
        <f t="shared" si="6"/>
        <v>31</v>
      </c>
      <c r="C996" s="35">
        <v>194.20500000000001</v>
      </c>
      <c r="D996" s="35">
        <v>267.46600000000001</v>
      </c>
      <c r="E996" s="41">
        <v>812.32899999999995</v>
      </c>
      <c r="F996" s="35">
        <v>1274</v>
      </c>
      <c r="G996" s="35">
        <v>50</v>
      </c>
      <c r="H996" s="43">
        <v>600</v>
      </c>
      <c r="I996" s="35">
        <v>695</v>
      </c>
      <c r="J996" s="35">
        <v>0</v>
      </c>
      <c r="K996" s="36"/>
      <c r="L996" s="36"/>
      <c r="M996" s="36"/>
      <c r="N996" s="36"/>
      <c r="O996" s="36"/>
      <c r="P996" s="36"/>
      <c r="Q996" s="36"/>
      <c r="R996" s="36"/>
      <c r="S996" s="36"/>
      <c r="T996" s="36"/>
    </row>
    <row r="997" spans="1:20" ht="15.75">
      <c r="A997" s="13">
        <v>71863</v>
      </c>
      <c r="B997" s="44">
        <f t="shared" si="6"/>
        <v>30</v>
      </c>
      <c r="C997" s="35">
        <v>194.20500000000001</v>
      </c>
      <c r="D997" s="35">
        <v>267.46600000000001</v>
      </c>
      <c r="E997" s="41">
        <v>812.32899999999995</v>
      </c>
      <c r="F997" s="35">
        <v>1274</v>
      </c>
      <c r="G997" s="35">
        <v>50</v>
      </c>
      <c r="H997" s="43">
        <v>600</v>
      </c>
      <c r="I997" s="35">
        <v>695</v>
      </c>
      <c r="J997" s="35">
        <v>0</v>
      </c>
      <c r="K997" s="36"/>
      <c r="L997" s="36"/>
      <c r="M997" s="36"/>
      <c r="N997" s="36"/>
      <c r="O997" s="36"/>
      <c r="P997" s="36"/>
      <c r="Q997" s="36"/>
      <c r="R997" s="36"/>
      <c r="S997" s="36"/>
      <c r="T997" s="36"/>
    </row>
    <row r="998" spans="1:20" ht="15.75">
      <c r="A998" s="13">
        <v>71894</v>
      </c>
      <c r="B998" s="44">
        <f t="shared" si="6"/>
        <v>31</v>
      </c>
      <c r="C998" s="35">
        <v>131.881</v>
      </c>
      <c r="D998" s="35">
        <v>277.16699999999997</v>
      </c>
      <c r="E998" s="41">
        <v>829.952</v>
      </c>
      <c r="F998" s="35">
        <v>1239</v>
      </c>
      <c r="G998" s="35">
        <v>75</v>
      </c>
      <c r="H998" s="43">
        <v>600</v>
      </c>
      <c r="I998" s="35">
        <v>695</v>
      </c>
      <c r="J998" s="35">
        <v>0</v>
      </c>
      <c r="K998" s="36"/>
      <c r="L998" s="36"/>
      <c r="M998" s="36"/>
      <c r="N998" s="36"/>
      <c r="O998" s="36"/>
      <c r="P998" s="36"/>
      <c r="Q998" s="36"/>
      <c r="R998" s="36"/>
      <c r="S998" s="36"/>
      <c r="T998" s="36"/>
    </row>
    <row r="999" spans="1:20" ht="15.75">
      <c r="A999" s="13">
        <v>71924</v>
      </c>
      <c r="B999" s="44">
        <f t="shared" si="6"/>
        <v>30</v>
      </c>
      <c r="C999" s="35">
        <v>122.58</v>
      </c>
      <c r="D999" s="35">
        <v>297.94099999999997</v>
      </c>
      <c r="E999" s="41">
        <v>729.47900000000004</v>
      </c>
      <c r="F999" s="35">
        <v>1150</v>
      </c>
      <c r="G999" s="35">
        <v>100</v>
      </c>
      <c r="H999" s="43">
        <v>600</v>
      </c>
      <c r="I999" s="35">
        <v>695</v>
      </c>
      <c r="J999" s="35">
        <v>50</v>
      </c>
      <c r="K999" s="36"/>
      <c r="L999" s="36"/>
      <c r="M999" s="36"/>
      <c r="N999" s="36"/>
      <c r="O999" s="36"/>
      <c r="P999" s="36"/>
      <c r="Q999" s="36"/>
      <c r="R999" s="36"/>
      <c r="S999" s="36"/>
      <c r="T999" s="36"/>
    </row>
    <row r="1000" spans="1:20" ht="15.75">
      <c r="A1000" s="13">
        <v>71955</v>
      </c>
      <c r="B1000" s="44">
        <f t="shared" si="6"/>
        <v>31</v>
      </c>
      <c r="C1000" s="35">
        <v>122.58</v>
      </c>
      <c r="D1000" s="35">
        <v>297.94099999999997</v>
      </c>
      <c r="E1000" s="41">
        <v>729.47900000000004</v>
      </c>
      <c r="F1000" s="35">
        <v>1150</v>
      </c>
      <c r="G1000" s="35">
        <v>100</v>
      </c>
      <c r="H1000" s="43">
        <v>600</v>
      </c>
      <c r="I1000" s="35">
        <v>695</v>
      </c>
      <c r="J1000" s="35">
        <v>50</v>
      </c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</row>
    <row r="1001" spans="1:20" ht="15.75">
      <c r="A1001" s="13">
        <v>71986</v>
      </c>
      <c r="B1001" s="44">
        <f t="shared" si="6"/>
        <v>31</v>
      </c>
      <c r="C1001" s="35">
        <v>122.58</v>
      </c>
      <c r="D1001" s="35">
        <v>297.94099999999997</v>
      </c>
      <c r="E1001" s="41">
        <v>729.47900000000004</v>
      </c>
      <c r="F1001" s="35">
        <v>1150</v>
      </c>
      <c r="G1001" s="35">
        <v>100</v>
      </c>
      <c r="H1001" s="43">
        <v>600</v>
      </c>
      <c r="I1001" s="35">
        <v>695</v>
      </c>
      <c r="J1001" s="35">
        <v>50</v>
      </c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</row>
    <row r="1002" spans="1:20" ht="15.75">
      <c r="A1002" s="13">
        <v>72014</v>
      </c>
      <c r="B1002" s="44">
        <f t="shared" si="6"/>
        <v>28</v>
      </c>
      <c r="C1002" s="35">
        <v>122.58</v>
      </c>
      <c r="D1002" s="35">
        <v>297.94099999999997</v>
      </c>
      <c r="E1002" s="41">
        <v>729.47900000000004</v>
      </c>
      <c r="F1002" s="35">
        <v>1150</v>
      </c>
      <c r="G1002" s="35">
        <v>100</v>
      </c>
      <c r="H1002" s="43">
        <v>600</v>
      </c>
      <c r="I1002" s="35">
        <v>695</v>
      </c>
      <c r="J1002" s="35">
        <v>50</v>
      </c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</row>
    <row r="1003" spans="1:20" ht="15.75">
      <c r="A1003" s="13">
        <v>72045</v>
      </c>
      <c r="B1003" s="44">
        <f t="shared" si="6"/>
        <v>31</v>
      </c>
      <c r="C1003" s="35">
        <v>122.58</v>
      </c>
      <c r="D1003" s="35">
        <v>297.94099999999997</v>
      </c>
      <c r="E1003" s="41">
        <v>729.47900000000004</v>
      </c>
      <c r="F1003" s="35">
        <v>1150</v>
      </c>
      <c r="G1003" s="35">
        <v>100</v>
      </c>
      <c r="H1003" s="43">
        <v>600</v>
      </c>
      <c r="I1003" s="35">
        <v>695</v>
      </c>
      <c r="J1003" s="35">
        <v>50</v>
      </c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</row>
    <row r="1004" spans="1:20" ht="15.75">
      <c r="A1004" s="13">
        <v>72075</v>
      </c>
      <c r="B1004" s="44">
        <f t="shared" si="6"/>
        <v>30</v>
      </c>
      <c r="C1004" s="35">
        <v>141.29300000000001</v>
      </c>
      <c r="D1004" s="35">
        <v>267.99299999999999</v>
      </c>
      <c r="E1004" s="41">
        <v>829.71400000000006</v>
      </c>
      <c r="F1004" s="35">
        <v>1239</v>
      </c>
      <c r="G1004" s="35">
        <v>100</v>
      </c>
      <c r="H1004" s="43">
        <v>600</v>
      </c>
      <c r="I1004" s="35">
        <v>695</v>
      </c>
      <c r="J1004" s="35">
        <v>50</v>
      </c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</row>
    <row r="1005" spans="1:20" ht="15.75">
      <c r="A1005" s="13">
        <v>72106</v>
      </c>
      <c r="B1005" s="44">
        <f t="shared" si="6"/>
        <v>31</v>
      </c>
      <c r="C1005" s="35">
        <v>194.20500000000001</v>
      </c>
      <c r="D1005" s="35">
        <v>267.46600000000001</v>
      </c>
      <c r="E1005" s="41">
        <v>812.32899999999995</v>
      </c>
      <c r="F1005" s="35">
        <v>1274</v>
      </c>
      <c r="G1005" s="35">
        <v>75</v>
      </c>
      <c r="H1005" s="43">
        <v>600</v>
      </c>
      <c r="I1005" s="35">
        <v>695</v>
      </c>
      <c r="J1005" s="35">
        <v>50</v>
      </c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</row>
    <row r="1006" spans="1:20" ht="15.75">
      <c r="A1006" s="13">
        <v>72136</v>
      </c>
      <c r="B1006" s="44">
        <f t="shared" si="6"/>
        <v>30</v>
      </c>
      <c r="C1006" s="35">
        <v>194.20500000000001</v>
      </c>
      <c r="D1006" s="35">
        <v>267.46600000000001</v>
      </c>
      <c r="E1006" s="41">
        <v>812.32899999999995</v>
      </c>
      <c r="F1006" s="35">
        <v>1274</v>
      </c>
      <c r="G1006" s="35">
        <v>50</v>
      </c>
      <c r="H1006" s="43">
        <v>600</v>
      </c>
      <c r="I1006" s="35">
        <v>695</v>
      </c>
      <c r="J1006" s="35">
        <v>50</v>
      </c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</row>
    <row r="1007" spans="1:20" ht="15.75">
      <c r="A1007" s="13">
        <v>72167</v>
      </c>
      <c r="B1007" s="44">
        <f t="shared" si="6"/>
        <v>31</v>
      </c>
      <c r="C1007" s="35">
        <v>194.20500000000001</v>
      </c>
      <c r="D1007" s="35">
        <v>267.46600000000001</v>
      </c>
      <c r="E1007" s="41">
        <v>812.32899999999995</v>
      </c>
      <c r="F1007" s="35">
        <v>1274</v>
      </c>
      <c r="G1007" s="35">
        <v>50</v>
      </c>
      <c r="H1007" s="43">
        <v>600</v>
      </c>
      <c r="I1007" s="35">
        <v>695</v>
      </c>
      <c r="J1007" s="35">
        <v>0</v>
      </c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</row>
    <row r="1008" spans="1:20" ht="15.75">
      <c r="A1008" s="13">
        <v>72198</v>
      </c>
      <c r="B1008" s="44">
        <f t="shared" si="6"/>
        <v>31</v>
      </c>
      <c r="C1008" s="35">
        <v>194.20500000000001</v>
      </c>
      <c r="D1008" s="35">
        <v>267.46600000000001</v>
      </c>
      <c r="E1008" s="41">
        <v>812.32899999999995</v>
      </c>
      <c r="F1008" s="35">
        <v>1274</v>
      </c>
      <c r="G1008" s="35">
        <v>50</v>
      </c>
      <c r="H1008" s="43">
        <v>600</v>
      </c>
      <c r="I1008" s="35">
        <v>695</v>
      </c>
      <c r="J1008" s="35">
        <v>0</v>
      </c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</row>
    <row r="1009" spans="1:20" ht="15.75">
      <c r="A1009" s="13">
        <v>72228</v>
      </c>
      <c r="B1009" s="44">
        <f t="shared" si="6"/>
        <v>30</v>
      </c>
      <c r="C1009" s="35">
        <v>194.20500000000001</v>
      </c>
      <c r="D1009" s="35">
        <v>267.46600000000001</v>
      </c>
      <c r="E1009" s="41">
        <v>812.32899999999995</v>
      </c>
      <c r="F1009" s="35">
        <v>1274</v>
      </c>
      <c r="G1009" s="35">
        <v>50</v>
      </c>
      <c r="H1009" s="43">
        <v>600</v>
      </c>
      <c r="I1009" s="35">
        <v>695</v>
      </c>
      <c r="J1009" s="35">
        <v>0</v>
      </c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</row>
    <row r="1010" spans="1:20" ht="15.75">
      <c r="A1010" s="13">
        <v>72259</v>
      </c>
      <c r="B1010" s="44">
        <f t="shared" si="6"/>
        <v>31</v>
      </c>
      <c r="C1010" s="35">
        <v>131.881</v>
      </c>
      <c r="D1010" s="35">
        <v>277.16699999999997</v>
      </c>
      <c r="E1010" s="41">
        <v>829.952</v>
      </c>
      <c r="F1010" s="35">
        <v>1239</v>
      </c>
      <c r="G1010" s="35">
        <v>75</v>
      </c>
      <c r="H1010" s="43">
        <v>600</v>
      </c>
      <c r="I1010" s="35">
        <v>695</v>
      </c>
      <c r="J1010" s="35">
        <v>0</v>
      </c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</row>
    <row r="1011" spans="1:20" ht="15.75">
      <c r="A1011" s="13">
        <v>72289</v>
      </c>
      <c r="B1011" s="44">
        <f t="shared" si="6"/>
        <v>30</v>
      </c>
      <c r="C1011" s="35">
        <v>122.58</v>
      </c>
      <c r="D1011" s="35">
        <v>297.94099999999997</v>
      </c>
      <c r="E1011" s="41">
        <v>729.47900000000004</v>
      </c>
      <c r="F1011" s="35">
        <v>1150</v>
      </c>
      <c r="G1011" s="35">
        <v>100</v>
      </c>
      <c r="H1011" s="43">
        <v>600</v>
      </c>
      <c r="I1011" s="35">
        <v>695</v>
      </c>
      <c r="J1011" s="35">
        <v>50</v>
      </c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</row>
    <row r="1012" spans="1:20" ht="15.75">
      <c r="A1012" s="13">
        <v>72320</v>
      </c>
      <c r="B1012" s="44">
        <f t="shared" si="6"/>
        <v>31</v>
      </c>
      <c r="C1012" s="35">
        <v>122.58</v>
      </c>
      <c r="D1012" s="35">
        <v>297.94099999999997</v>
      </c>
      <c r="E1012" s="41">
        <v>729.47900000000004</v>
      </c>
      <c r="F1012" s="35">
        <v>1150</v>
      </c>
      <c r="G1012" s="35">
        <v>100</v>
      </c>
      <c r="H1012" s="43">
        <v>600</v>
      </c>
      <c r="I1012" s="35">
        <v>695</v>
      </c>
      <c r="J1012" s="35">
        <v>50</v>
      </c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</row>
    <row r="1013" spans="1:20" ht="15.75">
      <c r="A1013" s="13">
        <v>72351</v>
      </c>
      <c r="B1013" s="44">
        <f t="shared" si="6"/>
        <v>31</v>
      </c>
      <c r="C1013" s="35">
        <v>122.58</v>
      </c>
      <c r="D1013" s="35">
        <v>297.94099999999997</v>
      </c>
      <c r="E1013" s="41">
        <v>729.47900000000004</v>
      </c>
      <c r="F1013" s="35">
        <v>1150</v>
      </c>
      <c r="G1013" s="35">
        <v>100</v>
      </c>
      <c r="H1013" s="43">
        <v>600</v>
      </c>
      <c r="I1013" s="35">
        <v>695</v>
      </c>
      <c r="J1013" s="35">
        <v>50</v>
      </c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</row>
    <row r="1014" spans="1:20" ht="15.75">
      <c r="A1014" s="13">
        <v>72379</v>
      </c>
      <c r="B1014" s="44">
        <f t="shared" si="6"/>
        <v>28</v>
      </c>
      <c r="C1014" s="35">
        <v>122.58</v>
      </c>
      <c r="D1014" s="35">
        <v>297.94099999999997</v>
      </c>
      <c r="E1014" s="41">
        <v>729.47900000000004</v>
      </c>
      <c r="F1014" s="35">
        <v>1150</v>
      </c>
      <c r="G1014" s="35">
        <v>100</v>
      </c>
      <c r="H1014" s="43">
        <v>600</v>
      </c>
      <c r="I1014" s="35">
        <v>695</v>
      </c>
      <c r="J1014" s="35">
        <v>50</v>
      </c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</row>
    <row r="1015" spans="1:20" ht="15.75">
      <c r="A1015" s="13">
        <v>72410</v>
      </c>
      <c r="B1015" s="44">
        <f t="shared" si="6"/>
        <v>31</v>
      </c>
      <c r="C1015" s="35">
        <v>122.58</v>
      </c>
      <c r="D1015" s="35">
        <v>297.94099999999997</v>
      </c>
      <c r="E1015" s="41">
        <v>729.47900000000004</v>
      </c>
      <c r="F1015" s="35">
        <v>1150</v>
      </c>
      <c r="G1015" s="35">
        <v>100</v>
      </c>
      <c r="H1015" s="43">
        <v>600</v>
      </c>
      <c r="I1015" s="35">
        <v>695</v>
      </c>
      <c r="J1015" s="35">
        <v>50</v>
      </c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</row>
    <row r="1016" spans="1:20" ht="15.75">
      <c r="A1016" s="13">
        <v>72440</v>
      </c>
      <c r="B1016" s="44">
        <f t="shared" si="6"/>
        <v>30</v>
      </c>
      <c r="C1016" s="35">
        <v>141.29300000000001</v>
      </c>
      <c r="D1016" s="35">
        <v>267.99299999999999</v>
      </c>
      <c r="E1016" s="41">
        <v>829.71400000000006</v>
      </c>
      <c r="F1016" s="35">
        <v>1239</v>
      </c>
      <c r="G1016" s="35">
        <v>100</v>
      </c>
      <c r="H1016" s="43">
        <v>600</v>
      </c>
      <c r="I1016" s="35">
        <v>695</v>
      </c>
      <c r="J1016" s="35">
        <v>50</v>
      </c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</row>
    <row r="1017" spans="1:20" ht="15.75">
      <c r="A1017" s="13">
        <v>72471</v>
      </c>
      <c r="B1017" s="44">
        <f t="shared" si="6"/>
        <v>31</v>
      </c>
      <c r="C1017" s="35">
        <v>194.20500000000001</v>
      </c>
      <c r="D1017" s="35">
        <v>267.46600000000001</v>
      </c>
      <c r="E1017" s="41">
        <v>812.32899999999995</v>
      </c>
      <c r="F1017" s="35">
        <v>1274</v>
      </c>
      <c r="G1017" s="35">
        <v>75</v>
      </c>
      <c r="H1017" s="43">
        <v>600</v>
      </c>
      <c r="I1017" s="35">
        <v>695</v>
      </c>
      <c r="J1017" s="35">
        <v>50</v>
      </c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</row>
    <row r="1018" spans="1:20" ht="15.75">
      <c r="A1018" s="13">
        <v>72501</v>
      </c>
      <c r="B1018" s="44">
        <f t="shared" si="6"/>
        <v>30</v>
      </c>
      <c r="C1018" s="35">
        <v>194.20500000000001</v>
      </c>
      <c r="D1018" s="35">
        <v>267.46600000000001</v>
      </c>
      <c r="E1018" s="41">
        <v>812.32899999999995</v>
      </c>
      <c r="F1018" s="35">
        <v>1274</v>
      </c>
      <c r="G1018" s="35">
        <v>50</v>
      </c>
      <c r="H1018" s="43">
        <v>600</v>
      </c>
      <c r="I1018" s="35">
        <v>695</v>
      </c>
      <c r="J1018" s="35">
        <v>50</v>
      </c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</row>
    <row r="1019" spans="1:20" ht="15.75">
      <c r="A1019" s="13">
        <v>72532</v>
      </c>
      <c r="B1019" s="44">
        <f t="shared" si="6"/>
        <v>31</v>
      </c>
      <c r="C1019" s="35">
        <v>194.20500000000001</v>
      </c>
      <c r="D1019" s="35">
        <v>267.46600000000001</v>
      </c>
      <c r="E1019" s="41">
        <v>812.32899999999995</v>
      </c>
      <c r="F1019" s="35">
        <v>1274</v>
      </c>
      <c r="G1019" s="35">
        <v>50</v>
      </c>
      <c r="H1019" s="43">
        <v>600</v>
      </c>
      <c r="I1019" s="35">
        <v>695</v>
      </c>
      <c r="J1019" s="35">
        <v>0</v>
      </c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</row>
    <row r="1020" spans="1:20" ht="15.75">
      <c r="A1020" s="13">
        <v>72563</v>
      </c>
      <c r="B1020" s="44">
        <f t="shared" si="6"/>
        <v>31</v>
      </c>
      <c r="C1020" s="35">
        <v>194.20500000000001</v>
      </c>
      <c r="D1020" s="35">
        <v>267.46600000000001</v>
      </c>
      <c r="E1020" s="41">
        <v>812.32899999999995</v>
      </c>
      <c r="F1020" s="35">
        <v>1274</v>
      </c>
      <c r="G1020" s="35">
        <v>50</v>
      </c>
      <c r="H1020" s="43">
        <v>600</v>
      </c>
      <c r="I1020" s="35">
        <v>695</v>
      </c>
      <c r="J1020" s="35">
        <v>0</v>
      </c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</row>
    <row r="1021" spans="1:20" ht="15.75">
      <c r="A1021" s="13">
        <v>72593</v>
      </c>
      <c r="B1021" s="44">
        <f t="shared" si="6"/>
        <v>30</v>
      </c>
      <c r="C1021" s="35">
        <v>194.20500000000001</v>
      </c>
      <c r="D1021" s="35">
        <v>267.46600000000001</v>
      </c>
      <c r="E1021" s="41">
        <v>812.32899999999995</v>
      </c>
      <c r="F1021" s="35">
        <v>1274</v>
      </c>
      <c r="G1021" s="35">
        <v>50</v>
      </c>
      <c r="H1021" s="43">
        <v>600</v>
      </c>
      <c r="I1021" s="35">
        <v>695</v>
      </c>
      <c r="J1021" s="35">
        <v>0</v>
      </c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</row>
    <row r="1022" spans="1:20" ht="15.75">
      <c r="A1022" s="13">
        <v>72624</v>
      </c>
      <c r="B1022" s="44">
        <f t="shared" si="6"/>
        <v>31</v>
      </c>
      <c r="C1022" s="35">
        <v>131.881</v>
      </c>
      <c r="D1022" s="35">
        <v>277.16699999999997</v>
      </c>
      <c r="E1022" s="41">
        <v>829.952</v>
      </c>
      <c r="F1022" s="35">
        <v>1239</v>
      </c>
      <c r="G1022" s="35">
        <v>75</v>
      </c>
      <c r="H1022" s="43">
        <v>600</v>
      </c>
      <c r="I1022" s="35">
        <v>695</v>
      </c>
      <c r="J1022" s="35">
        <v>0</v>
      </c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</row>
    <row r="1023" spans="1:20" ht="15.75">
      <c r="A1023" s="13">
        <v>72654</v>
      </c>
      <c r="B1023" s="44">
        <f t="shared" si="6"/>
        <v>30</v>
      </c>
      <c r="C1023" s="35">
        <v>122.58</v>
      </c>
      <c r="D1023" s="35">
        <v>297.94099999999997</v>
      </c>
      <c r="E1023" s="41">
        <v>729.47900000000004</v>
      </c>
      <c r="F1023" s="35">
        <v>1150</v>
      </c>
      <c r="G1023" s="35">
        <v>100</v>
      </c>
      <c r="H1023" s="43">
        <v>600</v>
      </c>
      <c r="I1023" s="35">
        <v>695</v>
      </c>
      <c r="J1023" s="35">
        <v>50</v>
      </c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</row>
    <row r="1024" spans="1:20" ht="15.75">
      <c r="A1024" s="13">
        <v>72685</v>
      </c>
      <c r="B1024" s="44">
        <f t="shared" si="6"/>
        <v>31</v>
      </c>
      <c r="C1024" s="35">
        <v>122.58</v>
      </c>
      <c r="D1024" s="35">
        <v>297.94099999999997</v>
      </c>
      <c r="E1024" s="41">
        <v>729.47900000000004</v>
      </c>
      <c r="F1024" s="35">
        <v>1150</v>
      </c>
      <c r="G1024" s="35">
        <v>100</v>
      </c>
      <c r="H1024" s="43">
        <v>600</v>
      </c>
      <c r="I1024" s="35">
        <v>695</v>
      </c>
      <c r="J1024" s="35">
        <v>50</v>
      </c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</row>
    <row r="1025" spans="1:20" ht="15.75">
      <c r="A1025" s="13">
        <v>72716</v>
      </c>
      <c r="B1025" s="44">
        <f t="shared" si="6"/>
        <v>31</v>
      </c>
      <c r="C1025" s="35">
        <v>122.58</v>
      </c>
      <c r="D1025" s="35">
        <v>297.94099999999997</v>
      </c>
      <c r="E1025" s="41">
        <v>729.47900000000004</v>
      </c>
      <c r="F1025" s="35">
        <v>1150</v>
      </c>
      <c r="G1025" s="35">
        <v>100</v>
      </c>
      <c r="H1025" s="43">
        <v>600</v>
      </c>
      <c r="I1025" s="35">
        <v>695</v>
      </c>
      <c r="J1025" s="35">
        <v>50</v>
      </c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</row>
    <row r="1026" spans="1:20" ht="15.75">
      <c r="A1026" s="13">
        <v>72744</v>
      </c>
      <c r="B1026" s="44">
        <f t="shared" si="6"/>
        <v>28</v>
      </c>
      <c r="C1026" s="35">
        <v>122.58</v>
      </c>
      <c r="D1026" s="35">
        <v>297.94099999999997</v>
      </c>
      <c r="E1026" s="41">
        <v>729.47900000000004</v>
      </c>
      <c r="F1026" s="35">
        <v>1150</v>
      </c>
      <c r="G1026" s="35">
        <v>100</v>
      </c>
      <c r="H1026" s="43">
        <v>600</v>
      </c>
      <c r="I1026" s="35">
        <v>695</v>
      </c>
      <c r="J1026" s="35">
        <v>50</v>
      </c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</row>
    <row r="1027" spans="1:20" ht="15.75">
      <c r="A1027" s="13">
        <v>72775</v>
      </c>
      <c r="B1027" s="44">
        <f t="shared" si="6"/>
        <v>31</v>
      </c>
      <c r="C1027" s="35">
        <v>122.58</v>
      </c>
      <c r="D1027" s="35">
        <v>297.94099999999997</v>
      </c>
      <c r="E1027" s="41">
        <v>729.47900000000004</v>
      </c>
      <c r="F1027" s="35">
        <v>1150</v>
      </c>
      <c r="G1027" s="35">
        <v>100</v>
      </c>
      <c r="H1027" s="43">
        <v>600</v>
      </c>
      <c r="I1027" s="35">
        <v>695</v>
      </c>
      <c r="J1027" s="35">
        <v>50</v>
      </c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</row>
    <row r="1028" spans="1:20" ht="15.75">
      <c r="A1028" s="13">
        <v>72805</v>
      </c>
      <c r="B1028" s="44">
        <f t="shared" si="6"/>
        <v>30</v>
      </c>
      <c r="C1028" s="35">
        <v>141.29300000000001</v>
      </c>
      <c r="D1028" s="35">
        <v>267.99299999999999</v>
      </c>
      <c r="E1028" s="41">
        <v>829.71400000000006</v>
      </c>
      <c r="F1028" s="35">
        <v>1239</v>
      </c>
      <c r="G1028" s="35">
        <v>100</v>
      </c>
      <c r="H1028" s="43">
        <v>600</v>
      </c>
      <c r="I1028" s="35">
        <v>695</v>
      </c>
      <c r="J1028" s="35">
        <v>50</v>
      </c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</row>
    <row r="1029" spans="1:20" ht="15.75">
      <c r="A1029" s="13">
        <v>72836</v>
      </c>
      <c r="B1029" s="44">
        <f t="shared" ref="B1029:B1048" si="7">EOMONTH(A1029,0)-EOMONTH(A1029,-1)</f>
        <v>31</v>
      </c>
      <c r="C1029" s="35">
        <v>194.20500000000001</v>
      </c>
      <c r="D1029" s="35">
        <v>267.46600000000001</v>
      </c>
      <c r="E1029" s="41">
        <v>812.32899999999995</v>
      </c>
      <c r="F1029" s="35">
        <v>1274</v>
      </c>
      <c r="G1029" s="35">
        <v>75</v>
      </c>
      <c r="H1029" s="43">
        <v>600</v>
      </c>
      <c r="I1029" s="35">
        <v>695</v>
      </c>
      <c r="J1029" s="35">
        <v>50</v>
      </c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</row>
    <row r="1030" spans="1:20" ht="15.75">
      <c r="A1030" s="13">
        <v>72866</v>
      </c>
      <c r="B1030" s="44">
        <f t="shared" si="7"/>
        <v>30</v>
      </c>
      <c r="C1030" s="35">
        <v>194.20500000000001</v>
      </c>
      <c r="D1030" s="35">
        <v>267.46600000000001</v>
      </c>
      <c r="E1030" s="41">
        <v>812.32899999999995</v>
      </c>
      <c r="F1030" s="35">
        <v>1274</v>
      </c>
      <c r="G1030" s="35">
        <v>50</v>
      </c>
      <c r="H1030" s="43">
        <v>600</v>
      </c>
      <c r="I1030" s="35">
        <v>695</v>
      </c>
      <c r="J1030" s="35">
        <v>50</v>
      </c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</row>
    <row r="1031" spans="1:20" ht="15.75">
      <c r="A1031" s="13">
        <v>72897</v>
      </c>
      <c r="B1031" s="44">
        <f t="shared" si="7"/>
        <v>31</v>
      </c>
      <c r="C1031" s="35">
        <v>194.20500000000001</v>
      </c>
      <c r="D1031" s="35">
        <v>267.46600000000001</v>
      </c>
      <c r="E1031" s="41">
        <v>812.32899999999995</v>
      </c>
      <c r="F1031" s="35">
        <v>1274</v>
      </c>
      <c r="G1031" s="35">
        <v>50</v>
      </c>
      <c r="H1031" s="43">
        <v>600</v>
      </c>
      <c r="I1031" s="35">
        <v>695</v>
      </c>
      <c r="J1031" s="35">
        <v>0</v>
      </c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</row>
    <row r="1032" spans="1:20" ht="15.75">
      <c r="A1032" s="13">
        <v>72928</v>
      </c>
      <c r="B1032" s="44">
        <f t="shared" si="7"/>
        <v>31</v>
      </c>
      <c r="C1032" s="35">
        <v>194.20500000000001</v>
      </c>
      <c r="D1032" s="35">
        <v>267.46600000000001</v>
      </c>
      <c r="E1032" s="41">
        <v>812.32899999999995</v>
      </c>
      <c r="F1032" s="35">
        <v>1274</v>
      </c>
      <c r="G1032" s="35">
        <v>50</v>
      </c>
      <c r="H1032" s="43">
        <v>600</v>
      </c>
      <c r="I1032" s="35">
        <v>695</v>
      </c>
      <c r="J1032" s="35">
        <v>0</v>
      </c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</row>
    <row r="1033" spans="1:20" ht="15.75">
      <c r="A1033" s="13">
        <v>72958</v>
      </c>
      <c r="B1033" s="44">
        <f t="shared" si="7"/>
        <v>30</v>
      </c>
      <c r="C1033" s="35">
        <v>194.20500000000001</v>
      </c>
      <c r="D1033" s="35">
        <v>267.46600000000001</v>
      </c>
      <c r="E1033" s="41">
        <v>812.32899999999995</v>
      </c>
      <c r="F1033" s="35">
        <v>1274</v>
      </c>
      <c r="G1033" s="35">
        <v>50</v>
      </c>
      <c r="H1033" s="43">
        <v>600</v>
      </c>
      <c r="I1033" s="35">
        <v>695</v>
      </c>
      <c r="J1033" s="35">
        <v>0</v>
      </c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</row>
    <row r="1034" spans="1:20" ht="15.75">
      <c r="A1034" s="13">
        <v>72989</v>
      </c>
      <c r="B1034" s="44">
        <f t="shared" si="7"/>
        <v>31</v>
      </c>
      <c r="C1034" s="35">
        <v>131.881</v>
      </c>
      <c r="D1034" s="35">
        <v>277.16699999999997</v>
      </c>
      <c r="E1034" s="41">
        <v>829.952</v>
      </c>
      <c r="F1034" s="35">
        <v>1239</v>
      </c>
      <c r="G1034" s="35">
        <v>75</v>
      </c>
      <c r="H1034" s="43">
        <v>600</v>
      </c>
      <c r="I1034" s="35">
        <v>695</v>
      </c>
      <c r="J1034" s="35">
        <v>0</v>
      </c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</row>
    <row r="1035" spans="1:20" ht="15.75">
      <c r="A1035" s="13">
        <v>73019</v>
      </c>
      <c r="B1035" s="44">
        <f t="shared" si="7"/>
        <v>30</v>
      </c>
      <c r="C1035" s="35">
        <v>122.58</v>
      </c>
      <c r="D1035" s="35">
        <v>297.94099999999997</v>
      </c>
      <c r="E1035" s="41">
        <v>729.47900000000004</v>
      </c>
      <c r="F1035" s="35">
        <v>1150</v>
      </c>
      <c r="G1035" s="35">
        <v>100</v>
      </c>
      <c r="H1035" s="43">
        <v>600</v>
      </c>
      <c r="I1035" s="35">
        <v>695</v>
      </c>
      <c r="J1035" s="35">
        <v>50</v>
      </c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</row>
    <row r="1036" spans="1:20" ht="15.75">
      <c r="A1036" s="13">
        <v>73050</v>
      </c>
      <c r="B1036" s="44">
        <f t="shared" si="7"/>
        <v>31</v>
      </c>
      <c r="C1036" s="35">
        <v>122.58</v>
      </c>
      <c r="D1036" s="35">
        <v>297.94099999999997</v>
      </c>
      <c r="E1036" s="41">
        <v>729.47900000000004</v>
      </c>
      <c r="F1036" s="35">
        <v>1150</v>
      </c>
      <c r="G1036" s="35">
        <v>100</v>
      </c>
      <c r="H1036" s="43">
        <v>600</v>
      </c>
      <c r="I1036" s="35">
        <v>695</v>
      </c>
      <c r="J1036" s="35">
        <v>50</v>
      </c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</row>
    <row r="1037" spans="1:20" ht="15.75">
      <c r="A1037" s="13">
        <v>73081</v>
      </c>
      <c r="B1037" s="44">
        <f t="shared" si="7"/>
        <v>31</v>
      </c>
      <c r="C1037" s="35">
        <v>122.58</v>
      </c>
      <c r="D1037" s="35">
        <v>297.94099999999997</v>
      </c>
      <c r="E1037" s="41">
        <v>729.47900000000004</v>
      </c>
      <c r="F1037" s="35">
        <v>1150</v>
      </c>
      <c r="G1037" s="35">
        <v>100</v>
      </c>
      <c r="H1037" s="43">
        <v>600</v>
      </c>
      <c r="I1037" s="35">
        <v>695</v>
      </c>
      <c r="J1037" s="35">
        <v>50</v>
      </c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</row>
    <row r="1038" spans="1:20" ht="15.75">
      <c r="A1038" s="13">
        <v>73109</v>
      </c>
      <c r="B1038" s="44">
        <f t="shared" si="7"/>
        <v>28</v>
      </c>
      <c r="C1038" s="35">
        <v>122.58</v>
      </c>
      <c r="D1038" s="35">
        <v>297.94099999999997</v>
      </c>
      <c r="E1038" s="41">
        <v>729.47900000000004</v>
      </c>
      <c r="F1038" s="35">
        <v>1150</v>
      </c>
      <c r="G1038" s="35">
        <v>100</v>
      </c>
      <c r="H1038" s="43">
        <v>600</v>
      </c>
      <c r="I1038" s="35">
        <v>695</v>
      </c>
      <c r="J1038" s="35">
        <v>50</v>
      </c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</row>
    <row r="1039" spans="1:20" ht="15.75">
      <c r="A1039" s="13">
        <v>73140</v>
      </c>
      <c r="B1039" s="44">
        <f t="shared" si="7"/>
        <v>31</v>
      </c>
      <c r="C1039" s="35">
        <v>122.58</v>
      </c>
      <c r="D1039" s="35">
        <v>297.94099999999997</v>
      </c>
      <c r="E1039" s="41">
        <v>729.47900000000004</v>
      </c>
      <c r="F1039" s="35">
        <v>1150</v>
      </c>
      <c r="G1039" s="35">
        <v>100</v>
      </c>
      <c r="H1039" s="43">
        <v>600</v>
      </c>
      <c r="I1039" s="35">
        <v>695</v>
      </c>
      <c r="J1039" s="35">
        <v>50</v>
      </c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</row>
    <row r="1040" spans="1:20" ht="15.75">
      <c r="A1040" s="13">
        <v>73170</v>
      </c>
      <c r="B1040" s="44">
        <f t="shared" si="7"/>
        <v>30</v>
      </c>
      <c r="C1040" s="35">
        <v>141.29300000000001</v>
      </c>
      <c r="D1040" s="35">
        <v>267.99299999999999</v>
      </c>
      <c r="E1040" s="41">
        <v>829.71400000000006</v>
      </c>
      <c r="F1040" s="35">
        <v>1239</v>
      </c>
      <c r="G1040" s="35">
        <v>100</v>
      </c>
      <c r="H1040" s="43">
        <v>600</v>
      </c>
      <c r="I1040" s="35">
        <v>695</v>
      </c>
      <c r="J1040" s="35">
        <v>50</v>
      </c>
      <c r="K1040" s="36"/>
      <c r="L1040" s="36"/>
      <c r="M1040" s="36"/>
      <c r="N1040" s="36"/>
      <c r="O1040" s="36"/>
      <c r="P1040" s="36"/>
      <c r="Q1040" s="36"/>
      <c r="R1040" s="36"/>
      <c r="S1040" s="36"/>
      <c r="T1040" s="36"/>
    </row>
    <row r="1041" spans="1:20" ht="15.75">
      <c r="A1041" s="13">
        <v>73201</v>
      </c>
      <c r="B1041" s="44">
        <f t="shared" si="7"/>
        <v>31</v>
      </c>
      <c r="C1041" s="35">
        <v>194.20500000000001</v>
      </c>
      <c r="D1041" s="35">
        <v>267.46600000000001</v>
      </c>
      <c r="E1041" s="41">
        <v>812.32899999999995</v>
      </c>
      <c r="F1041" s="35">
        <v>1274</v>
      </c>
      <c r="G1041" s="35">
        <v>75</v>
      </c>
      <c r="H1041" s="43">
        <v>600</v>
      </c>
      <c r="I1041" s="35">
        <v>695</v>
      </c>
      <c r="J1041" s="35">
        <v>50</v>
      </c>
      <c r="K1041" s="36"/>
      <c r="L1041" s="36"/>
      <c r="M1041" s="36"/>
      <c r="N1041" s="36"/>
      <c r="O1041" s="36"/>
      <c r="P1041" s="36"/>
      <c r="Q1041" s="36"/>
      <c r="R1041" s="36"/>
      <c r="S1041" s="36"/>
      <c r="T1041" s="36"/>
    </row>
    <row r="1042" spans="1:20" ht="15.75">
      <c r="A1042" s="13">
        <v>73231</v>
      </c>
      <c r="B1042" s="44">
        <f t="shared" si="7"/>
        <v>30</v>
      </c>
      <c r="C1042" s="35">
        <v>194.20500000000001</v>
      </c>
      <c r="D1042" s="35">
        <v>267.46600000000001</v>
      </c>
      <c r="E1042" s="41">
        <v>812.32899999999995</v>
      </c>
      <c r="F1042" s="35">
        <v>1274</v>
      </c>
      <c r="G1042" s="35">
        <v>50</v>
      </c>
      <c r="H1042" s="43">
        <v>600</v>
      </c>
      <c r="I1042" s="35">
        <v>695</v>
      </c>
      <c r="J1042" s="35">
        <v>50</v>
      </c>
      <c r="K1042" s="36"/>
      <c r="L1042" s="36"/>
      <c r="M1042" s="36"/>
      <c r="N1042" s="36"/>
      <c r="O1042" s="36"/>
      <c r="P1042" s="36"/>
      <c r="Q1042" s="36"/>
      <c r="R1042" s="36"/>
      <c r="S1042" s="36"/>
      <c r="T1042" s="36"/>
    </row>
    <row r="1043" spans="1:20" ht="15.75">
      <c r="A1043" s="13">
        <v>73262</v>
      </c>
      <c r="B1043" s="44">
        <f t="shared" si="7"/>
        <v>31</v>
      </c>
      <c r="C1043" s="35">
        <v>194.20500000000001</v>
      </c>
      <c r="D1043" s="35">
        <v>267.46600000000001</v>
      </c>
      <c r="E1043" s="41">
        <v>812.32899999999995</v>
      </c>
      <c r="F1043" s="35">
        <v>1274</v>
      </c>
      <c r="G1043" s="35">
        <v>50</v>
      </c>
      <c r="H1043" s="43">
        <v>600</v>
      </c>
      <c r="I1043" s="35">
        <v>695</v>
      </c>
      <c r="J1043" s="35">
        <v>0</v>
      </c>
      <c r="K1043" s="36"/>
      <c r="L1043" s="36"/>
      <c r="M1043" s="36"/>
      <c r="N1043" s="36"/>
      <c r="O1043" s="36"/>
      <c r="P1043" s="36"/>
      <c r="Q1043" s="36"/>
      <c r="R1043" s="36"/>
      <c r="S1043" s="36"/>
      <c r="T1043" s="36"/>
    </row>
    <row r="1044" spans="1:20" ht="15.75">
      <c r="A1044" s="13">
        <v>73293</v>
      </c>
      <c r="B1044" s="44">
        <f t="shared" si="7"/>
        <v>31</v>
      </c>
      <c r="C1044" s="35">
        <v>194.20500000000001</v>
      </c>
      <c r="D1044" s="35">
        <v>267.46600000000001</v>
      </c>
      <c r="E1044" s="41">
        <v>812.32899999999995</v>
      </c>
      <c r="F1044" s="35">
        <v>1274</v>
      </c>
      <c r="G1044" s="35">
        <v>50</v>
      </c>
      <c r="H1044" s="43">
        <v>600</v>
      </c>
      <c r="I1044" s="35">
        <v>695</v>
      </c>
      <c r="J1044" s="35">
        <v>0</v>
      </c>
      <c r="K1044" s="36"/>
      <c r="L1044" s="36"/>
      <c r="M1044" s="36"/>
      <c r="N1044" s="36"/>
      <c r="O1044" s="36"/>
      <c r="P1044" s="36"/>
      <c r="Q1044" s="36"/>
      <c r="R1044" s="36"/>
      <c r="S1044" s="36"/>
      <c r="T1044" s="36"/>
    </row>
    <row r="1045" spans="1:20" ht="15.75">
      <c r="A1045" s="13">
        <v>73323</v>
      </c>
      <c r="B1045" s="44">
        <f t="shared" si="7"/>
        <v>30</v>
      </c>
      <c r="C1045" s="35">
        <v>194.20500000000001</v>
      </c>
      <c r="D1045" s="35">
        <v>267.46600000000001</v>
      </c>
      <c r="E1045" s="41">
        <v>812.32899999999995</v>
      </c>
      <c r="F1045" s="35">
        <v>1274</v>
      </c>
      <c r="G1045" s="35">
        <v>50</v>
      </c>
      <c r="H1045" s="43">
        <v>600</v>
      </c>
      <c r="I1045" s="35">
        <v>695</v>
      </c>
      <c r="J1045" s="35">
        <v>0</v>
      </c>
      <c r="K1045" s="36"/>
      <c r="L1045" s="36"/>
      <c r="M1045" s="36"/>
      <c r="N1045" s="36"/>
      <c r="O1045" s="36"/>
      <c r="P1045" s="36"/>
      <c r="Q1045" s="36"/>
      <c r="R1045" s="36"/>
      <c r="S1045" s="36"/>
      <c r="T1045" s="36"/>
    </row>
    <row r="1046" spans="1:20" ht="15.75">
      <c r="A1046" s="13">
        <v>73354</v>
      </c>
      <c r="B1046" s="44">
        <f t="shared" si="7"/>
        <v>31</v>
      </c>
      <c r="C1046" s="35">
        <v>131.881</v>
      </c>
      <c r="D1046" s="35">
        <v>277.16699999999997</v>
      </c>
      <c r="E1046" s="41">
        <v>829.952</v>
      </c>
      <c r="F1046" s="35">
        <v>1239</v>
      </c>
      <c r="G1046" s="35">
        <v>75</v>
      </c>
      <c r="H1046" s="43">
        <v>600</v>
      </c>
      <c r="I1046" s="35">
        <v>695</v>
      </c>
      <c r="J1046" s="35">
        <v>0</v>
      </c>
      <c r="K1046" s="36"/>
      <c r="L1046" s="36"/>
      <c r="M1046" s="36"/>
      <c r="N1046" s="36"/>
      <c r="O1046" s="36"/>
      <c r="P1046" s="36"/>
      <c r="Q1046" s="36"/>
      <c r="R1046" s="36"/>
      <c r="S1046" s="36"/>
      <c r="T1046" s="36"/>
    </row>
    <row r="1047" spans="1:20" ht="15.75">
      <c r="A1047" s="13">
        <v>73384</v>
      </c>
      <c r="B1047" s="44">
        <f t="shared" si="7"/>
        <v>30</v>
      </c>
      <c r="C1047" s="35">
        <v>122.58</v>
      </c>
      <c r="D1047" s="35">
        <v>297.94099999999997</v>
      </c>
      <c r="E1047" s="41">
        <v>729.47900000000004</v>
      </c>
      <c r="F1047" s="35">
        <v>1150</v>
      </c>
      <c r="G1047" s="35">
        <v>100</v>
      </c>
      <c r="H1047" s="43">
        <v>600</v>
      </c>
      <c r="I1047" s="35">
        <v>695</v>
      </c>
      <c r="J1047" s="35">
        <v>50</v>
      </c>
      <c r="K1047" s="36"/>
      <c r="L1047" s="36"/>
      <c r="M1047" s="36"/>
      <c r="N1047" s="36"/>
      <c r="O1047" s="36"/>
      <c r="P1047" s="36"/>
      <c r="Q1047" s="36"/>
      <c r="R1047" s="36"/>
      <c r="S1047" s="36"/>
      <c r="T1047" s="36"/>
    </row>
    <row r="1048" spans="1:20" ht="15.75">
      <c r="A1048" s="13">
        <v>73415</v>
      </c>
      <c r="B1048" s="44">
        <f t="shared" si="7"/>
        <v>31</v>
      </c>
      <c r="C1048" s="35">
        <v>122.58</v>
      </c>
      <c r="D1048" s="35">
        <v>297.94099999999997</v>
      </c>
      <c r="E1048" s="41">
        <v>729.47900000000004</v>
      </c>
      <c r="F1048" s="35">
        <v>1150</v>
      </c>
      <c r="G1048" s="35">
        <v>100</v>
      </c>
      <c r="H1048" s="43">
        <v>600</v>
      </c>
      <c r="I1048" s="35">
        <v>695</v>
      </c>
      <c r="J1048" s="35">
        <v>50</v>
      </c>
      <c r="K1048" s="36"/>
      <c r="L1048" s="36"/>
      <c r="M1048" s="36"/>
      <c r="N1048" s="36"/>
      <c r="O1048" s="36"/>
      <c r="P1048" s="36"/>
      <c r="Q1048" s="36"/>
      <c r="R1048" s="36"/>
      <c r="S1048" s="36"/>
      <c r="T1048" s="36"/>
    </row>
    <row r="1049" spans="1:20" ht="15">
      <c r="A1049" s="10"/>
      <c r="B1049" s="42"/>
      <c r="C1049" s="35"/>
      <c r="D1049" s="35"/>
      <c r="E1049" s="41"/>
      <c r="F1049" s="35"/>
      <c r="G1049" s="35"/>
      <c r="H1049" s="35"/>
      <c r="I1049" s="35"/>
      <c r="J1049" s="35"/>
      <c r="K1049" s="36"/>
      <c r="L1049" s="36"/>
      <c r="M1049" s="36"/>
      <c r="N1049" s="36"/>
      <c r="O1049" s="36"/>
      <c r="P1049" s="36"/>
      <c r="Q1049" s="36"/>
      <c r="R1049" s="36"/>
      <c r="S1049" s="36"/>
      <c r="T1049" s="36"/>
    </row>
    <row r="1050" spans="1:20" ht="15.75">
      <c r="A1050" s="3">
        <v>2015</v>
      </c>
      <c r="B1050" s="3">
        <f t="shared" ref="B1050:B1081" si="8">DATE(A1050+1,1,1)-DATE(A1050,1,1)</f>
        <v>365</v>
      </c>
      <c r="C1050" s="38">
        <f>AVERAGE(C17:C28)</f>
        <v>154.75825</v>
      </c>
      <c r="D1050" s="38">
        <f>AVERAGE(D17:D28)</f>
        <v>281.0162499999999</v>
      </c>
      <c r="E1050" s="38">
        <f>AVERAGE(E17:E28)</f>
        <v>822.39216666666641</v>
      </c>
      <c r="F1050" s="38">
        <f>AVERAGE(F17:F28)</f>
        <v>1258.1666666666667</v>
      </c>
      <c r="G1050" s="38">
        <f>AVERAGE(G17:G28)</f>
        <v>79.166666666666671</v>
      </c>
      <c r="H1050" s="40"/>
      <c r="I1050" s="38">
        <f>AVERAGE(I17:I28)</f>
        <v>695</v>
      </c>
      <c r="J1050" s="38">
        <f>AVERAGE(J17:J28)</f>
        <v>33.333333333333336</v>
      </c>
      <c r="K1050" s="36"/>
      <c r="L1050" s="36"/>
      <c r="M1050" s="36"/>
      <c r="N1050" s="36"/>
      <c r="O1050" s="36"/>
      <c r="P1050" s="36"/>
      <c r="Q1050" s="36"/>
      <c r="R1050" s="36"/>
      <c r="S1050" s="36"/>
      <c r="T1050" s="36"/>
    </row>
    <row r="1051" spans="1:20" ht="15.75">
      <c r="A1051" s="3">
        <v>2016</v>
      </c>
      <c r="B1051" s="3">
        <f t="shared" si="8"/>
        <v>366</v>
      </c>
      <c r="C1051" s="38">
        <f>AVERAGE(C29:C40)</f>
        <v>154.75825</v>
      </c>
      <c r="D1051" s="38">
        <f>AVERAGE(D29:D40)</f>
        <v>281.0162499999999</v>
      </c>
      <c r="E1051" s="38">
        <f>AVERAGE(E29:E40)</f>
        <v>822.39216666666641</v>
      </c>
      <c r="F1051" s="38">
        <f>AVERAGE(F29:F40)</f>
        <v>1258.1666666666667</v>
      </c>
      <c r="G1051" s="38">
        <f>AVERAGE(G29:G40)</f>
        <v>79.166666666666671</v>
      </c>
      <c r="H1051" s="40"/>
      <c r="I1051" s="38">
        <f>AVERAGE(I29:I40)</f>
        <v>695</v>
      </c>
      <c r="J1051" s="38">
        <f>AVERAGE(J29:J40)</f>
        <v>33.333333333333336</v>
      </c>
      <c r="K1051" s="36"/>
      <c r="L1051" s="36"/>
      <c r="M1051" s="36"/>
      <c r="N1051" s="36"/>
      <c r="O1051" s="36"/>
      <c r="P1051" s="36"/>
      <c r="Q1051" s="36"/>
      <c r="R1051" s="36"/>
      <c r="S1051" s="36"/>
      <c r="T1051" s="36"/>
    </row>
    <row r="1052" spans="1:20" ht="15">
      <c r="A1052" s="3">
        <v>2017</v>
      </c>
      <c r="B1052" s="3">
        <f t="shared" si="8"/>
        <v>365</v>
      </c>
      <c r="C1052" s="38">
        <f t="shared" ref="C1052:J1052" si="9">AVERAGE(C41:C52)</f>
        <v>154.75825</v>
      </c>
      <c r="D1052" s="38">
        <f t="shared" si="9"/>
        <v>281.0162499999999</v>
      </c>
      <c r="E1052" s="38">
        <f t="shared" si="9"/>
        <v>780.7254999999999</v>
      </c>
      <c r="F1052" s="38">
        <f t="shared" si="9"/>
        <v>1216.5</v>
      </c>
      <c r="G1052" s="38">
        <f t="shared" si="9"/>
        <v>79.166666666666671</v>
      </c>
      <c r="H1052" s="39">
        <f t="shared" si="9"/>
        <v>400</v>
      </c>
      <c r="I1052" s="38">
        <f t="shared" si="9"/>
        <v>695</v>
      </c>
      <c r="J1052" s="38">
        <f t="shared" si="9"/>
        <v>33.333333333333336</v>
      </c>
      <c r="K1052" s="36"/>
      <c r="L1052" s="36"/>
      <c r="M1052" s="36"/>
      <c r="N1052" s="36"/>
      <c r="O1052" s="36"/>
      <c r="P1052" s="36"/>
      <c r="Q1052" s="36"/>
      <c r="R1052" s="36"/>
      <c r="S1052" s="36"/>
      <c r="T1052" s="36"/>
    </row>
    <row r="1053" spans="1:20" ht="15">
      <c r="A1053" s="3">
        <v>2018</v>
      </c>
      <c r="B1053" s="3">
        <f t="shared" si="8"/>
        <v>365</v>
      </c>
      <c r="C1053" s="38">
        <f t="shared" ref="C1053:J1053" si="10">AVERAGE(C53:C64)</f>
        <v>154.75825</v>
      </c>
      <c r="D1053" s="38">
        <f t="shared" si="10"/>
        <v>281.0162499999999</v>
      </c>
      <c r="E1053" s="38">
        <f t="shared" si="10"/>
        <v>780.7254999999999</v>
      </c>
      <c r="F1053" s="38">
        <f t="shared" si="10"/>
        <v>1216.5</v>
      </c>
      <c r="G1053" s="38">
        <f t="shared" si="10"/>
        <v>79.166666666666671</v>
      </c>
      <c r="H1053" s="39">
        <f t="shared" si="10"/>
        <v>400</v>
      </c>
      <c r="I1053" s="38">
        <f t="shared" si="10"/>
        <v>695</v>
      </c>
      <c r="J1053" s="38">
        <f t="shared" si="10"/>
        <v>33.333333333333336</v>
      </c>
      <c r="K1053" s="36"/>
      <c r="L1053" s="36"/>
      <c r="M1053" s="36"/>
      <c r="N1053" s="36"/>
      <c r="O1053" s="36"/>
      <c r="P1053" s="36"/>
      <c r="Q1053" s="36"/>
      <c r="R1053" s="36"/>
      <c r="S1053" s="36"/>
      <c r="T1053" s="36"/>
    </row>
    <row r="1054" spans="1:20" ht="15">
      <c r="A1054" s="3">
        <v>2019</v>
      </c>
      <c r="B1054" s="3">
        <f t="shared" si="8"/>
        <v>365</v>
      </c>
      <c r="C1054" s="38">
        <f t="shared" ref="C1054:J1054" si="11">AVERAGE(C65:C76)</f>
        <v>154.75825</v>
      </c>
      <c r="D1054" s="38">
        <f t="shared" si="11"/>
        <v>281.0162499999999</v>
      </c>
      <c r="E1054" s="38">
        <f t="shared" si="11"/>
        <v>780.7254999999999</v>
      </c>
      <c r="F1054" s="38">
        <f t="shared" si="11"/>
        <v>1216.5</v>
      </c>
      <c r="G1054" s="38">
        <f t="shared" si="11"/>
        <v>79.166666666666671</v>
      </c>
      <c r="H1054" s="39">
        <f t="shared" si="11"/>
        <v>400</v>
      </c>
      <c r="I1054" s="38">
        <f t="shared" si="11"/>
        <v>695</v>
      </c>
      <c r="J1054" s="38">
        <f t="shared" si="11"/>
        <v>33.333333333333336</v>
      </c>
      <c r="K1054" s="36"/>
      <c r="L1054" s="36"/>
      <c r="M1054" s="36"/>
      <c r="N1054" s="36"/>
      <c r="O1054" s="36"/>
      <c r="P1054" s="36"/>
      <c r="Q1054" s="36"/>
      <c r="R1054" s="36"/>
      <c r="S1054" s="36"/>
      <c r="T1054" s="36"/>
    </row>
    <row r="1055" spans="1:20" ht="15">
      <c r="A1055" s="3">
        <v>2020</v>
      </c>
      <c r="B1055" s="3">
        <f t="shared" si="8"/>
        <v>366</v>
      </c>
      <c r="C1055" s="38">
        <f t="shared" ref="C1055:J1055" si="12">AVERAGE(C77:C88)</f>
        <v>154.75825</v>
      </c>
      <c r="D1055" s="38">
        <f t="shared" si="12"/>
        <v>281.0162499999999</v>
      </c>
      <c r="E1055" s="38">
        <f t="shared" si="12"/>
        <v>780.7254999999999</v>
      </c>
      <c r="F1055" s="38">
        <f t="shared" si="12"/>
        <v>1216.5</v>
      </c>
      <c r="G1055" s="38">
        <f t="shared" si="12"/>
        <v>79.166666666666671</v>
      </c>
      <c r="H1055" s="39">
        <f t="shared" si="12"/>
        <v>533.33333333333337</v>
      </c>
      <c r="I1055" s="38">
        <f t="shared" si="12"/>
        <v>695</v>
      </c>
      <c r="J1055" s="38">
        <f t="shared" si="12"/>
        <v>33.333333333333336</v>
      </c>
      <c r="K1055" s="36"/>
      <c r="L1055" s="36"/>
      <c r="M1055" s="36"/>
      <c r="N1055" s="36"/>
      <c r="O1055" s="36"/>
      <c r="P1055" s="36"/>
      <c r="Q1055" s="36"/>
      <c r="R1055" s="36"/>
      <c r="S1055" s="36"/>
      <c r="T1055" s="36"/>
    </row>
    <row r="1056" spans="1:20" ht="15">
      <c r="A1056" s="3">
        <v>2021</v>
      </c>
      <c r="B1056" s="3">
        <f t="shared" si="8"/>
        <v>365</v>
      </c>
      <c r="C1056" s="38">
        <f t="shared" ref="C1056:J1056" si="13">AVERAGE(C89:C100)</f>
        <v>154.75825</v>
      </c>
      <c r="D1056" s="38">
        <f t="shared" si="13"/>
        <v>281.0162499999999</v>
      </c>
      <c r="E1056" s="38">
        <f t="shared" si="13"/>
        <v>780.7254999999999</v>
      </c>
      <c r="F1056" s="38">
        <f t="shared" si="13"/>
        <v>1216.5</v>
      </c>
      <c r="G1056" s="38">
        <f t="shared" si="13"/>
        <v>79.166666666666671</v>
      </c>
      <c r="H1056" s="39">
        <f t="shared" si="13"/>
        <v>600</v>
      </c>
      <c r="I1056" s="38">
        <f t="shared" si="13"/>
        <v>695</v>
      </c>
      <c r="J1056" s="38">
        <f t="shared" si="13"/>
        <v>33.333333333333336</v>
      </c>
      <c r="K1056" s="36"/>
      <c r="L1056" s="36"/>
      <c r="M1056" s="36"/>
      <c r="N1056" s="36"/>
      <c r="O1056" s="36"/>
      <c r="P1056" s="36"/>
      <c r="Q1056" s="36"/>
      <c r="R1056" s="36"/>
      <c r="S1056" s="36"/>
      <c r="T1056" s="36"/>
    </row>
    <row r="1057" spans="1:20" ht="15">
      <c r="A1057" s="3">
        <v>2022</v>
      </c>
      <c r="B1057" s="3">
        <f t="shared" si="8"/>
        <v>365</v>
      </c>
      <c r="C1057" s="38">
        <f t="shared" ref="C1057:J1057" si="14">AVERAGE(C101:C112)</f>
        <v>154.75825</v>
      </c>
      <c r="D1057" s="38">
        <f t="shared" si="14"/>
        <v>281.0162499999999</v>
      </c>
      <c r="E1057" s="38">
        <f t="shared" si="14"/>
        <v>780.7254999999999</v>
      </c>
      <c r="F1057" s="38">
        <f t="shared" si="14"/>
        <v>1216.5</v>
      </c>
      <c r="G1057" s="38">
        <f t="shared" si="14"/>
        <v>79.166666666666671</v>
      </c>
      <c r="H1057" s="39">
        <f t="shared" si="14"/>
        <v>600</v>
      </c>
      <c r="I1057" s="38">
        <f t="shared" si="14"/>
        <v>695</v>
      </c>
      <c r="J1057" s="38">
        <f t="shared" si="14"/>
        <v>33.333333333333336</v>
      </c>
      <c r="K1057" s="36"/>
      <c r="L1057" s="36"/>
      <c r="M1057" s="36"/>
      <c r="N1057" s="36"/>
      <c r="O1057" s="36"/>
      <c r="P1057" s="36"/>
      <c r="Q1057" s="36"/>
      <c r="R1057" s="36"/>
      <c r="S1057" s="36"/>
      <c r="T1057" s="36"/>
    </row>
    <row r="1058" spans="1:20" ht="15">
      <c r="A1058" s="3">
        <v>2023</v>
      </c>
      <c r="B1058" s="3">
        <f t="shared" si="8"/>
        <v>365</v>
      </c>
      <c r="C1058" s="38">
        <f t="shared" ref="C1058:J1058" si="15">AVERAGE(C113:C124)</f>
        <v>154.75825</v>
      </c>
      <c r="D1058" s="38">
        <f t="shared" si="15"/>
        <v>281.0162499999999</v>
      </c>
      <c r="E1058" s="38">
        <f t="shared" si="15"/>
        <v>780.7254999999999</v>
      </c>
      <c r="F1058" s="38">
        <f t="shared" si="15"/>
        <v>1216.5</v>
      </c>
      <c r="G1058" s="38">
        <f t="shared" si="15"/>
        <v>79.166666666666671</v>
      </c>
      <c r="H1058" s="39">
        <f t="shared" si="15"/>
        <v>600</v>
      </c>
      <c r="I1058" s="38">
        <f t="shared" si="15"/>
        <v>695</v>
      </c>
      <c r="J1058" s="38">
        <f t="shared" si="15"/>
        <v>33.333333333333336</v>
      </c>
      <c r="K1058" s="36"/>
      <c r="L1058" s="36"/>
      <c r="M1058" s="36"/>
      <c r="N1058" s="36"/>
      <c r="O1058" s="36"/>
      <c r="P1058" s="36"/>
      <c r="Q1058" s="36"/>
      <c r="R1058" s="36"/>
      <c r="S1058" s="36"/>
      <c r="T1058" s="36"/>
    </row>
    <row r="1059" spans="1:20" ht="15">
      <c r="A1059" s="3">
        <v>2024</v>
      </c>
      <c r="B1059" s="3">
        <f t="shared" si="8"/>
        <v>366</v>
      </c>
      <c r="C1059" s="38">
        <f t="shared" ref="C1059:J1059" si="16">AVERAGE(C125:C136)</f>
        <v>154.75825</v>
      </c>
      <c r="D1059" s="38">
        <f t="shared" si="16"/>
        <v>281.0162499999999</v>
      </c>
      <c r="E1059" s="38">
        <f t="shared" si="16"/>
        <v>780.7254999999999</v>
      </c>
      <c r="F1059" s="38">
        <f t="shared" si="16"/>
        <v>1216.5</v>
      </c>
      <c r="G1059" s="38">
        <f t="shared" si="16"/>
        <v>79.166666666666671</v>
      </c>
      <c r="H1059" s="39">
        <f t="shared" si="16"/>
        <v>600</v>
      </c>
      <c r="I1059" s="38">
        <f t="shared" si="16"/>
        <v>695</v>
      </c>
      <c r="J1059" s="38">
        <f t="shared" si="16"/>
        <v>33.333333333333336</v>
      </c>
      <c r="K1059" s="36"/>
      <c r="L1059" s="36"/>
      <c r="M1059" s="36"/>
      <c r="N1059" s="36"/>
      <c r="O1059" s="36"/>
      <c r="P1059" s="36"/>
      <c r="Q1059" s="36"/>
      <c r="R1059" s="36"/>
      <c r="S1059" s="36"/>
      <c r="T1059" s="36"/>
    </row>
    <row r="1060" spans="1:20" ht="15">
      <c r="A1060" s="3">
        <v>2025</v>
      </c>
      <c r="B1060" s="3">
        <f t="shared" si="8"/>
        <v>365</v>
      </c>
      <c r="C1060" s="38">
        <f t="shared" ref="C1060:J1060" si="17">AVERAGE(C137:C148)</f>
        <v>154.75825</v>
      </c>
      <c r="D1060" s="38">
        <f t="shared" si="17"/>
        <v>281.0162499999999</v>
      </c>
      <c r="E1060" s="38">
        <f t="shared" si="17"/>
        <v>780.7254999999999</v>
      </c>
      <c r="F1060" s="38">
        <f t="shared" si="17"/>
        <v>1216.5</v>
      </c>
      <c r="G1060" s="38">
        <f t="shared" si="17"/>
        <v>79.166666666666671</v>
      </c>
      <c r="H1060" s="39">
        <f t="shared" si="17"/>
        <v>600</v>
      </c>
      <c r="I1060" s="38">
        <f t="shared" si="17"/>
        <v>695</v>
      </c>
      <c r="J1060" s="38">
        <f t="shared" si="17"/>
        <v>33.333333333333336</v>
      </c>
      <c r="K1060" s="36"/>
      <c r="L1060" s="36"/>
      <c r="M1060" s="36"/>
      <c r="N1060" s="36"/>
      <c r="O1060" s="36"/>
      <c r="P1060" s="36"/>
      <c r="Q1060" s="36"/>
      <c r="R1060" s="36"/>
      <c r="S1060" s="36"/>
      <c r="T1060" s="36"/>
    </row>
    <row r="1061" spans="1:20" ht="15">
      <c r="A1061" s="3">
        <v>2026</v>
      </c>
      <c r="B1061" s="3">
        <f t="shared" si="8"/>
        <v>365</v>
      </c>
      <c r="C1061" s="38">
        <f t="shared" ref="C1061:J1061" si="18">AVERAGE(C149:C160)</f>
        <v>154.75825</v>
      </c>
      <c r="D1061" s="38">
        <f t="shared" si="18"/>
        <v>281.0162499999999</v>
      </c>
      <c r="E1061" s="38">
        <f t="shared" si="18"/>
        <v>780.7254999999999</v>
      </c>
      <c r="F1061" s="38">
        <f t="shared" si="18"/>
        <v>1216.5</v>
      </c>
      <c r="G1061" s="38">
        <f t="shared" si="18"/>
        <v>79.166666666666671</v>
      </c>
      <c r="H1061" s="39">
        <f t="shared" si="18"/>
        <v>600</v>
      </c>
      <c r="I1061" s="38">
        <f t="shared" si="18"/>
        <v>695</v>
      </c>
      <c r="J1061" s="38">
        <f t="shared" si="18"/>
        <v>33.333333333333336</v>
      </c>
      <c r="K1061" s="36"/>
      <c r="L1061" s="36"/>
      <c r="M1061" s="36"/>
      <c r="N1061" s="36"/>
      <c r="O1061" s="36"/>
      <c r="P1061" s="36"/>
      <c r="Q1061" s="36"/>
      <c r="R1061" s="36"/>
      <c r="S1061" s="36"/>
      <c r="T1061" s="36"/>
    </row>
    <row r="1062" spans="1:20" ht="15">
      <c r="A1062" s="3">
        <v>2027</v>
      </c>
      <c r="B1062" s="3">
        <f t="shared" si="8"/>
        <v>365</v>
      </c>
      <c r="C1062" s="38">
        <f t="shared" ref="C1062:J1062" si="19">AVERAGE(C161:C172)</f>
        <v>154.75825</v>
      </c>
      <c r="D1062" s="38">
        <f t="shared" si="19"/>
        <v>281.0162499999999</v>
      </c>
      <c r="E1062" s="38">
        <f t="shared" si="19"/>
        <v>780.7254999999999</v>
      </c>
      <c r="F1062" s="38">
        <f t="shared" si="19"/>
        <v>1216.5</v>
      </c>
      <c r="G1062" s="38">
        <f t="shared" si="19"/>
        <v>79.166666666666671</v>
      </c>
      <c r="H1062" s="39">
        <f t="shared" si="19"/>
        <v>600</v>
      </c>
      <c r="I1062" s="38">
        <f t="shared" si="19"/>
        <v>695</v>
      </c>
      <c r="J1062" s="38">
        <f t="shared" si="19"/>
        <v>33.333333333333336</v>
      </c>
      <c r="K1062" s="36"/>
      <c r="L1062" s="36"/>
      <c r="M1062" s="36"/>
      <c r="N1062" s="36"/>
      <c r="O1062" s="36"/>
      <c r="P1062" s="36"/>
      <c r="Q1062" s="36"/>
      <c r="R1062" s="36"/>
      <c r="S1062" s="36"/>
      <c r="T1062" s="36"/>
    </row>
    <row r="1063" spans="1:20" ht="15">
      <c r="A1063" s="3">
        <v>2028</v>
      </c>
      <c r="B1063" s="3">
        <f t="shared" si="8"/>
        <v>366</v>
      </c>
      <c r="C1063" s="38">
        <f t="shared" ref="C1063:J1063" si="20">AVERAGE(C173:C184)</f>
        <v>154.75825</v>
      </c>
      <c r="D1063" s="38">
        <f t="shared" si="20"/>
        <v>281.0162499999999</v>
      </c>
      <c r="E1063" s="38">
        <f t="shared" si="20"/>
        <v>780.7254999999999</v>
      </c>
      <c r="F1063" s="38">
        <f t="shared" si="20"/>
        <v>1216.5</v>
      </c>
      <c r="G1063" s="38">
        <f t="shared" si="20"/>
        <v>79.166666666666671</v>
      </c>
      <c r="H1063" s="39">
        <f t="shared" si="20"/>
        <v>600</v>
      </c>
      <c r="I1063" s="38">
        <f t="shared" si="20"/>
        <v>695</v>
      </c>
      <c r="J1063" s="38">
        <f t="shared" si="20"/>
        <v>33.333333333333336</v>
      </c>
      <c r="K1063" s="36"/>
      <c r="L1063" s="36"/>
      <c r="M1063" s="36"/>
      <c r="N1063" s="36"/>
      <c r="O1063" s="36"/>
      <c r="P1063" s="36"/>
      <c r="Q1063" s="36"/>
      <c r="R1063" s="36"/>
      <c r="S1063" s="36"/>
      <c r="T1063" s="36"/>
    </row>
    <row r="1064" spans="1:20" ht="15">
      <c r="A1064" s="3">
        <v>2029</v>
      </c>
      <c r="B1064" s="3">
        <f t="shared" si="8"/>
        <v>365</v>
      </c>
      <c r="C1064" s="38">
        <f t="shared" ref="C1064:J1064" si="21">AVERAGE(C185:C196)</f>
        <v>154.75825</v>
      </c>
      <c r="D1064" s="38">
        <f t="shared" si="21"/>
        <v>281.0162499999999</v>
      </c>
      <c r="E1064" s="38">
        <f t="shared" si="21"/>
        <v>780.7254999999999</v>
      </c>
      <c r="F1064" s="38">
        <f t="shared" si="21"/>
        <v>1216.5</v>
      </c>
      <c r="G1064" s="38">
        <f t="shared" si="21"/>
        <v>79.166666666666671</v>
      </c>
      <c r="H1064" s="39">
        <f t="shared" si="21"/>
        <v>600</v>
      </c>
      <c r="I1064" s="38">
        <f t="shared" si="21"/>
        <v>695</v>
      </c>
      <c r="J1064" s="38">
        <f t="shared" si="21"/>
        <v>33.333333333333336</v>
      </c>
      <c r="K1064" s="36"/>
      <c r="L1064" s="36"/>
      <c r="M1064" s="36"/>
      <c r="N1064" s="36"/>
      <c r="O1064" s="36"/>
      <c r="P1064" s="36"/>
      <c r="Q1064" s="36"/>
      <c r="R1064" s="36"/>
      <c r="S1064" s="36"/>
      <c r="T1064" s="36"/>
    </row>
    <row r="1065" spans="1:20" ht="15">
      <c r="A1065" s="3">
        <v>2030</v>
      </c>
      <c r="B1065" s="3">
        <f t="shared" si="8"/>
        <v>365</v>
      </c>
      <c r="C1065" s="38">
        <f t="shared" ref="C1065:J1065" si="22">AVERAGE(C197:C208)</f>
        <v>154.75825</v>
      </c>
      <c r="D1065" s="38">
        <f t="shared" si="22"/>
        <v>281.0162499999999</v>
      </c>
      <c r="E1065" s="38">
        <f t="shared" si="22"/>
        <v>780.7254999999999</v>
      </c>
      <c r="F1065" s="38">
        <f t="shared" si="22"/>
        <v>1216.5</v>
      </c>
      <c r="G1065" s="38">
        <f t="shared" si="22"/>
        <v>79.166666666666671</v>
      </c>
      <c r="H1065" s="39">
        <f t="shared" si="22"/>
        <v>600</v>
      </c>
      <c r="I1065" s="38">
        <f t="shared" si="22"/>
        <v>695</v>
      </c>
      <c r="J1065" s="38">
        <f t="shared" si="22"/>
        <v>33.333333333333336</v>
      </c>
      <c r="K1065" s="36"/>
      <c r="L1065" s="36"/>
      <c r="M1065" s="36"/>
      <c r="N1065" s="36"/>
      <c r="O1065" s="36"/>
      <c r="P1065" s="36"/>
      <c r="Q1065" s="36"/>
      <c r="R1065" s="36"/>
      <c r="S1065" s="36"/>
      <c r="T1065" s="36"/>
    </row>
    <row r="1066" spans="1:20" ht="15">
      <c r="A1066" s="3">
        <v>2031</v>
      </c>
      <c r="B1066" s="3">
        <f t="shared" si="8"/>
        <v>365</v>
      </c>
      <c r="C1066" s="38">
        <f t="shared" ref="C1066:J1066" si="23">AVERAGE(C209:C220)</f>
        <v>154.75825</v>
      </c>
      <c r="D1066" s="38">
        <f t="shared" si="23"/>
        <v>281.0162499999999</v>
      </c>
      <c r="E1066" s="38">
        <f t="shared" si="23"/>
        <v>780.7254999999999</v>
      </c>
      <c r="F1066" s="38">
        <f t="shared" si="23"/>
        <v>1216.5</v>
      </c>
      <c r="G1066" s="38">
        <f t="shared" si="23"/>
        <v>79.166666666666671</v>
      </c>
      <c r="H1066" s="39">
        <f t="shared" si="23"/>
        <v>600</v>
      </c>
      <c r="I1066" s="38">
        <f t="shared" si="23"/>
        <v>695</v>
      </c>
      <c r="J1066" s="38">
        <f t="shared" si="23"/>
        <v>33.333333333333336</v>
      </c>
      <c r="K1066" s="36"/>
      <c r="L1066" s="36"/>
      <c r="M1066" s="36"/>
      <c r="N1066" s="36"/>
      <c r="O1066" s="36"/>
      <c r="P1066" s="36"/>
      <c r="Q1066" s="36"/>
      <c r="R1066" s="36"/>
      <c r="S1066" s="36"/>
      <c r="T1066" s="36"/>
    </row>
    <row r="1067" spans="1:20" ht="15">
      <c r="A1067" s="3">
        <v>2032</v>
      </c>
      <c r="B1067" s="3">
        <f t="shared" si="8"/>
        <v>366</v>
      </c>
      <c r="C1067" s="38">
        <f t="shared" ref="C1067:J1067" si="24">AVERAGE(C221:C232)</f>
        <v>154.75825</v>
      </c>
      <c r="D1067" s="38">
        <f t="shared" si="24"/>
        <v>281.0162499999999</v>
      </c>
      <c r="E1067" s="38">
        <f t="shared" si="24"/>
        <v>780.7254999999999</v>
      </c>
      <c r="F1067" s="38">
        <f t="shared" si="24"/>
        <v>1216.5</v>
      </c>
      <c r="G1067" s="38">
        <f t="shared" si="24"/>
        <v>79.166666666666671</v>
      </c>
      <c r="H1067" s="39">
        <f t="shared" si="24"/>
        <v>600</v>
      </c>
      <c r="I1067" s="38">
        <f t="shared" si="24"/>
        <v>695</v>
      </c>
      <c r="J1067" s="38">
        <f t="shared" si="24"/>
        <v>33.333333333333336</v>
      </c>
      <c r="K1067" s="36"/>
      <c r="L1067" s="36"/>
      <c r="M1067" s="36"/>
      <c r="N1067" s="36"/>
      <c r="O1067" s="36"/>
      <c r="P1067" s="36"/>
      <c r="Q1067" s="36"/>
      <c r="R1067" s="36"/>
      <c r="S1067" s="36"/>
      <c r="T1067" s="36"/>
    </row>
    <row r="1068" spans="1:20" ht="15">
      <c r="A1068" s="3">
        <v>2033</v>
      </c>
      <c r="B1068" s="3">
        <f t="shared" si="8"/>
        <v>365</v>
      </c>
      <c r="C1068" s="38">
        <f t="shared" ref="C1068:J1068" si="25">AVERAGE(C233:C244)</f>
        <v>154.75825</v>
      </c>
      <c r="D1068" s="38">
        <f t="shared" si="25"/>
        <v>281.0162499999999</v>
      </c>
      <c r="E1068" s="38">
        <f t="shared" si="25"/>
        <v>780.7254999999999</v>
      </c>
      <c r="F1068" s="38">
        <f t="shared" si="25"/>
        <v>1216.5</v>
      </c>
      <c r="G1068" s="38">
        <f t="shared" si="25"/>
        <v>79.166666666666671</v>
      </c>
      <c r="H1068" s="39">
        <f t="shared" si="25"/>
        <v>600</v>
      </c>
      <c r="I1068" s="38">
        <f t="shared" si="25"/>
        <v>695</v>
      </c>
      <c r="J1068" s="38">
        <f t="shared" si="25"/>
        <v>33.333333333333336</v>
      </c>
      <c r="K1068" s="36"/>
      <c r="L1068" s="36"/>
      <c r="M1068" s="36"/>
      <c r="N1068" s="36"/>
      <c r="O1068" s="36"/>
      <c r="P1068" s="36"/>
      <c r="Q1068" s="36"/>
      <c r="R1068" s="36"/>
      <c r="S1068" s="36"/>
      <c r="T1068" s="36"/>
    </row>
    <row r="1069" spans="1:20" ht="15">
      <c r="A1069" s="3">
        <v>2034</v>
      </c>
      <c r="B1069" s="3">
        <f t="shared" si="8"/>
        <v>365</v>
      </c>
      <c r="C1069" s="38">
        <f t="shared" ref="C1069:J1069" si="26">AVERAGE(C245:C256)</f>
        <v>154.75825</v>
      </c>
      <c r="D1069" s="38">
        <f t="shared" si="26"/>
        <v>281.0162499999999</v>
      </c>
      <c r="E1069" s="38">
        <f t="shared" si="26"/>
        <v>780.7254999999999</v>
      </c>
      <c r="F1069" s="38">
        <f t="shared" si="26"/>
        <v>1216.5</v>
      </c>
      <c r="G1069" s="38">
        <f t="shared" si="26"/>
        <v>79.166666666666671</v>
      </c>
      <c r="H1069" s="39">
        <f t="shared" si="26"/>
        <v>600</v>
      </c>
      <c r="I1069" s="38">
        <f t="shared" si="26"/>
        <v>695</v>
      </c>
      <c r="J1069" s="38">
        <f t="shared" si="26"/>
        <v>33.333333333333336</v>
      </c>
      <c r="K1069" s="36"/>
      <c r="L1069" s="36"/>
      <c r="M1069" s="36"/>
      <c r="N1069" s="36"/>
      <c r="O1069" s="36"/>
      <c r="P1069" s="36"/>
      <c r="Q1069" s="36"/>
      <c r="R1069" s="36"/>
      <c r="S1069" s="36"/>
      <c r="T1069" s="36"/>
    </row>
    <row r="1070" spans="1:20" ht="15">
      <c r="A1070" s="3">
        <v>2035</v>
      </c>
      <c r="B1070" s="3">
        <f t="shared" si="8"/>
        <v>365</v>
      </c>
      <c r="C1070" s="38">
        <f t="shared" ref="C1070:J1070" si="27">AVERAGE(C257:C268)</f>
        <v>154.75825</v>
      </c>
      <c r="D1070" s="38">
        <f t="shared" si="27"/>
        <v>281.0162499999999</v>
      </c>
      <c r="E1070" s="38">
        <f t="shared" si="27"/>
        <v>780.7254999999999</v>
      </c>
      <c r="F1070" s="38">
        <f t="shared" si="27"/>
        <v>1216.5</v>
      </c>
      <c r="G1070" s="38">
        <f t="shared" si="27"/>
        <v>79.166666666666671</v>
      </c>
      <c r="H1070" s="39">
        <f t="shared" si="27"/>
        <v>600</v>
      </c>
      <c r="I1070" s="38">
        <f t="shared" si="27"/>
        <v>695</v>
      </c>
      <c r="J1070" s="38">
        <f t="shared" si="27"/>
        <v>33.333333333333336</v>
      </c>
      <c r="K1070" s="36"/>
      <c r="L1070" s="36"/>
      <c r="M1070" s="36"/>
      <c r="N1070" s="36"/>
      <c r="O1070" s="36"/>
      <c r="P1070" s="36"/>
      <c r="Q1070" s="36"/>
      <c r="R1070" s="36"/>
      <c r="S1070" s="36"/>
      <c r="T1070" s="36"/>
    </row>
    <row r="1071" spans="1:20" ht="15">
      <c r="A1071" s="3">
        <v>2036</v>
      </c>
      <c r="B1071" s="3">
        <f t="shared" si="8"/>
        <v>366</v>
      </c>
      <c r="C1071" s="38">
        <f t="shared" ref="C1071:J1071" si="28">AVERAGE(C269:C280)</f>
        <v>154.75825</v>
      </c>
      <c r="D1071" s="38">
        <f t="shared" si="28"/>
        <v>281.0162499999999</v>
      </c>
      <c r="E1071" s="38">
        <f t="shared" si="28"/>
        <v>780.7254999999999</v>
      </c>
      <c r="F1071" s="38">
        <f t="shared" si="28"/>
        <v>1216.5</v>
      </c>
      <c r="G1071" s="38">
        <f t="shared" si="28"/>
        <v>79.166666666666671</v>
      </c>
      <c r="H1071" s="39">
        <f t="shared" si="28"/>
        <v>600</v>
      </c>
      <c r="I1071" s="38">
        <f t="shared" si="28"/>
        <v>695</v>
      </c>
      <c r="J1071" s="38">
        <f t="shared" si="28"/>
        <v>33.333333333333336</v>
      </c>
      <c r="K1071" s="36"/>
      <c r="L1071" s="36"/>
      <c r="M1071" s="36"/>
      <c r="N1071" s="36"/>
      <c r="O1071" s="36"/>
      <c r="P1071" s="36"/>
      <c r="Q1071" s="36"/>
      <c r="R1071" s="36"/>
      <c r="S1071" s="36"/>
      <c r="T1071" s="36"/>
    </row>
    <row r="1072" spans="1:20" ht="15">
      <c r="A1072" s="3">
        <v>2037</v>
      </c>
      <c r="B1072" s="3">
        <f t="shared" si="8"/>
        <v>365</v>
      </c>
      <c r="C1072" s="38">
        <f t="shared" ref="C1072:J1072" si="29">AVERAGE(C281:C292)</f>
        <v>154.75825</v>
      </c>
      <c r="D1072" s="38">
        <f t="shared" si="29"/>
        <v>281.0162499999999</v>
      </c>
      <c r="E1072" s="38">
        <f t="shared" si="29"/>
        <v>780.7254999999999</v>
      </c>
      <c r="F1072" s="38">
        <f t="shared" si="29"/>
        <v>1216.5</v>
      </c>
      <c r="G1072" s="38">
        <f t="shared" si="29"/>
        <v>79.166666666666671</v>
      </c>
      <c r="H1072" s="39">
        <f t="shared" si="29"/>
        <v>600</v>
      </c>
      <c r="I1072" s="38">
        <f t="shared" si="29"/>
        <v>695</v>
      </c>
      <c r="J1072" s="38">
        <f t="shared" si="29"/>
        <v>33.333333333333336</v>
      </c>
      <c r="K1072" s="36"/>
      <c r="L1072" s="36"/>
      <c r="M1072" s="36"/>
      <c r="N1072" s="36"/>
      <c r="O1072" s="36"/>
      <c r="P1072" s="36"/>
      <c r="Q1072" s="36"/>
      <c r="R1072" s="36"/>
      <c r="S1072" s="36"/>
      <c r="T1072" s="36"/>
    </row>
    <row r="1073" spans="1:20" ht="15">
      <c r="A1073" s="3">
        <f t="shared" ref="A1073:A1104" si="30">A1072+1</f>
        <v>2038</v>
      </c>
      <c r="B1073" s="3">
        <f t="shared" si="8"/>
        <v>365</v>
      </c>
      <c r="C1073" s="35">
        <f t="shared" ref="C1073:J1073" si="31">AVERAGE(C293:C304)</f>
        <v>154.75825</v>
      </c>
      <c r="D1073" s="35">
        <f t="shared" si="31"/>
        <v>281.0162499999999</v>
      </c>
      <c r="E1073" s="35">
        <f t="shared" si="31"/>
        <v>780.7254999999999</v>
      </c>
      <c r="F1073" s="35">
        <f t="shared" si="31"/>
        <v>1216.5</v>
      </c>
      <c r="G1073" s="35">
        <f t="shared" si="31"/>
        <v>79.166666666666671</v>
      </c>
      <c r="H1073" s="37">
        <f t="shared" si="31"/>
        <v>600</v>
      </c>
      <c r="I1073" s="35">
        <f t="shared" si="31"/>
        <v>695</v>
      </c>
      <c r="J1073" s="35">
        <f t="shared" si="31"/>
        <v>33.333333333333336</v>
      </c>
      <c r="K1073" s="36"/>
      <c r="L1073" s="36"/>
      <c r="M1073" s="36"/>
      <c r="N1073" s="36"/>
      <c r="O1073" s="36"/>
      <c r="P1073" s="36"/>
      <c r="Q1073" s="36"/>
      <c r="R1073" s="36"/>
      <c r="S1073" s="36"/>
      <c r="T1073" s="36"/>
    </row>
    <row r="1074" spans="1:20" ht="15">
      <c r="A1074" s="3">
        <f t="shared" si="30"/>
        <v>2039</v>
      </c>
      <c r="B1074" s="3">
        <f t="shared" si="8"/>
        <v>365</v>
      </c>
      <c r="C1074" s="35">
        <f t="shared" ref="C1074:J1074" si="32">AVERAGE(C305:C316)</f>
        <v>154.75825</v>
      </c>
      <c r="D1074" s="35">
        <f t="shared" si="32"/>
        <v>281.0162499999999</v>
      </c>
      <c r="E1074" s="35">
        <f t="shared" si="32"/>
        <v>780.7254999999999</v>
      </c>
      <c r="F1074" s="35">
        <f t="shared" si="32"/>
        <v>1216.5</v>
      </c>
      <c r="G1074" s="35">
        <f t="shared" si="32"/>
        <v>79.166666666666671</v>
      </c>
      <c r="H1074" s="37">
        <f t="shared" si="32"/>
        <v>600</v>
      </c>
      <c r="I1074" s="35">
        <f t="shared" si="32"/>
        <v>695</v>
      </c>
      <c r="J1074" s="35">
        <f t="shared" si="32"/>
        <v>33.333333333333336</v>
      </c>
      <c r="K1074" s="36"/>
      <c r="L1074" s="36"/>
      <c r="M1074" s="36"/>
      <c r="N1074" s="36"/>
      <c r="O1074" s="36"/>
      <c r="P1074" s="36"/>
      <c r="Q1074" s="36"/>
      <c r="R1074" s="36"/>
      <c r="S1074" s="36"/>
      <c r="T1074" s="36"/>
    </row>
    <row r="1075" spans="1:20" ht="15">
      <c r="A1075" s="3">
        <f t="shared" si="30"/>
        <v>2040</v>
      </c>
      <c r="B1075" s="3">
        <f t="shared" si="8"/>
        <v>366</v>
      </c>
      <c r="C1075" s="35">
        <f t="shared" ref="C1075:J1075" si="33">AVERAGE(C317:C328)</f>
        <v>154.75825</v>
      </c>
      <c r="D1075" s="35">
        <f t="shared" si="33"/>
        <v>281.0162499999999</v>
      </c>
      <c r="E1075" s="35">
        <f t="shared" si="33"/>
        <v>780.7254999999999</v>
      </c>
      <c r="F1075" s="35">
        <f t="shared" si="33"/>
        <v>1216.5</v>
      </c>
      <c r="G1075" s="35">
        <f t="shared" si="33"/>
        <v>79.166666666666671</v>
      </c>
      <c r="H1075" s="37">
        <f t="shared" si="33"/>
        <v>600</v>
      </c>
      <c r="I1075" s="35">
        <f t="shared" si="33"/>
        <v>695</v>
      </c>
      <c r="J1075" s="35">
        <f t="shared" si="33"/>
        <v>33.333333333333336</v>
      </c>
      <c r="K1075" s="36"/>
      <c r="L1075" s="36"/>
      <c r="M1075" s="36"/>
      <c r="N1075" s="36"/>
      <c r="O1075" s="36"/>
      <c r="P1075" s="36"/>
      <c r="Q1075" s="36"/>
      <c r="R1075" s="36"/>
      <c r="S1075" s="36"/>
      <c r="T1075" s="36"/>
    </row>
    <row r="1076" spans="1:20" ht="15">
      <c r="A1076" s="3">
        <f t="shared" si="30"/>
        <v>2041</v>
      </c>
      <c r="B1076" s="3">
        <f t="shared" si="8"/>
        <v>365</v>
      </c>
      <c r="C1076" s="35">
        <f t="shared" ref="C1076:J1076" si="34">AVERAGE(C329:C340)</f>
        <v>154.75825</v>
      </c>
      <c r="D1076" s="35">
        <f t="shared" si="34"/>
        <v>281.0162499999999</v>
      </c>
      <c r="E1076" s="35">
        <f t="shared" si="34"/>
        <v>780.7254999999999</v>
      </c>
      <c r="F1076" s="35">
        <f t="shared" si="34"/>
        <v>1216.5</v>
      </c>
      <c r="G1076" s="35">
        <f t="shared" si="34"/>
        <v>79.166666666666671</v>
      </c>
      <c r="H1076" s="37">
        <f t="shared" si="34"/>
        <v>600</v>
      </c>
      <c r="I1076" s="35">
        <f t="shared" si="34"/>
        <v>695</v>
      </c>
      <c r="J1076" s="35">
        <f t="shared" si="34"/>
        <v>33.333333333333336</v>
      </c>
      <c r="K1076" s="36"/>
      <c r="L1076" s="36"/>
      <c r="M1076" s="36"/>
      <c r="N1076" s="36"/>
      <c r="O1076" s="36"/>
      <c r="P1076" s="36"/>
      <c r="Q1076" s="36"/>
      <c r="R1076" s="36"/>
      <c r="S1076" s="36"/>
      <c r="T1076" s="36"/>
    </row>
    <row r="1077" spans="1:20" ht="15">
      <c r="A1077" s="3">
        <f t="shared" si="30"/>
        <v>2042</v>
      </c>
      <c r="B1077" s="3">
        <f t="shared" si="8"/>
        <v>365</v>
      </c>
      <c r="C1077" s="35">
        <f t="shared" ref="C1077:J1077" si="35">AVERAGE(C341:C352)</f>
        <v>154.75825</v>
      </c>
      <c r="D1077" s="35">
        <f t="shared" si="35"/>
        <v>281.0162499999999</v>
      </c>
      <c r="E1077" s="35">
        <f t="shared" si="35"/>
        <v>780.7254999999999</v>
      </c>
      <c r="F1077" s="35">
        <f t="shared" si="35"/>
        <v>1216.5</v>
      </c>
      <c r="G1077" s="35">
        <f t="shared" si="35"/>
        <v>79.166666666666671</v>
      </c>
      <c r="H1077" s="37">
        <f t="shared" si="35"/>
        <v>600</v>
      </c>
      <c r="I1077" s="35">
        <f t="shared" si="35"/>
        <v>695</v>
      </c>
      <c r="J1077" s="35">
        <f t="shared" si="35"/>
        <v>33.333333333333336</v>
      </c>
      <c r="K1077" s="36"/>
      <c r="L1077" s="36"/>
      <c r="M1077" s="36"/>
      <c r="N1077" s="36"/>
      <c r="O1077" s="36"/>
      <c r="P1077" s="36"/>
      <c r="Q1077" s="36"/>
      <c r="R1077" s="36"/>
      <c r="S1077" s="36"/>
      <c r="T1077" s="36"/>
    </row>
    <row r="1078" spans="1:20" ht="15">
      <c r="A1078" s="3">
        <f t="shared" si="30"/>
        <v>2043</v>
      </c>
      <c r="B1078" s="3">
        <f t="shared" si="8"/>
        <v>365</v>
      </c>
      <c r="C1078" s="35">
        <f t="shared" ref="C1078:J1078" si="36">AVERAGE(C353:C364)</f>
        <v>154.75825</v>
      </c>
      <c r="D1078" s="35">
        <f t="shared" si="36"/>
        <v>281.0162499999999</v>
      </c>
      <c r="E1078" s="35">
        <f t="shared" si="36"/>
        <v>780.7254999999999</v>
      </c>
      <c r="F1078" s="35">
        <f t="shared" si="36"/>
        <v>1216.5</v>
      </c>
      <c r="G1078" s="35">
        <f t="shared" si="36"/>
        <v>79.166666666666671</v>
      </c>
      <c r="H1078" s="37">
        <f t="shared" si="36"/>
        <v>600</v>
      </c>
      <c r="I1078" s="35">
        <f t="shared" si="36"/>
        <v>695</v>
      </c>
      <c r="J1078" s="35">
        <f t="shared" si="36"/>
        <v>33.333333333333336</v>
      </c>
      <c r="K1078" s="36"/>
      <c r="L1078" s="36"/>
      <c r="M1078" s="36"/>
      <c r="N1078" s="36"/>
      <c r="O1078" s="36"/>
      <c r="P1078" s="36"/>
      <c r="Q1078" s="36"/>
      <c r="R1078" s="36"/>
      <c r="S1078" s="36"/>
      <c r="T1078" s="36"/>
    </row>
    <row r="1079" spans="1:20" ht="15">
      <c r="A1079" s="3">
        <f t="shared" si="30"/>
        <v>2044</v>
      </c>
      <c r="B1079" s="3">
        <f t="shared" si="8"/>
        <v>366</v>
      </c>
      <c r="C1079" s="35">
        <f t="shared" ref="C1079:J1079" si="37">AVERAGE(C365:C376)</f>
        <v>154.75825</v>
      </c>
      <c r="D1079" s="35">
        <f t="shared" si="37"/>
        <v>281.0162499999999</v>
      </c>
      <c r="E1079" s="35">
        <f t="shared" si="37"/>
        <v>780.7254999999999</v>
      </c>
      <c r="F1079" s="35">
        <f t="shared" si="37"/>
        <v>1216.5</v>
      </c>
      <c r="G1079" s="35">
        <f t="shared" si="37"/>
        <v>79.166666666666671</v>
      </c>
      <c r="H1079" s="37">
        <f t="shared" si="37"/>
        <v>600</v>
      </c>
      <c r="I1079" s="35">
        <f t="shared" si="37"/>
        <v>695</v>
      </c>
      <c r="J1079" s="35">
        <f t="shared" si="37"/>
        <v>33.333333333333336</v>
      </c>
      <c r="K1079" s="36"/>
      <c r="L1079" s="36"/>
      <c r="M1079" s="36"/>
      <c r="N1079" s="36"/>
      <c r="O1079" s="36"/>
      <c r="P1079" s="36"/>
      <c r="Q1079" s="36"/>
      <c r="R1079" s="36"/>
      <c r="S1079" s="36"/>
      <c r="T1079" s="36"/>
    </row>
    <row r="1080" spans="1:20" ht="15">
      <c r="A1080" s="3">
        <f t="shared" si="30"/>
        <v>2045</v>
      </c>
      <c r="B1080" s="3">
        <f t="shared" si="8"/>
        <v>365</v>
      </c>
      <c r="C1080" s="35">
        <f t="shared" ref="C1080:J1080" si="38">AVERAGE(C377:C388)</f>
        <v>154.75825</v>
      </c>
      <c r="D1080" s="35">
        <f t="shared" si="38"/>
        <v>281.0162499999999</v>
      </c>
      <c r="E1080" s="35">
        <f t="shared" si="38"/>
        <v>780.7254999999999</v>
      </c>
      <c r="F1080" s="35">
        <f t="shared" si="38"/>
        <v>1216.5</v>
      </c>
      <c r="G1080" s="35">
        <f t="shared" si="38"/>
        <v>79.166666666666671</v>
      </c>
      <c r="H1080" s="37">
        <f t="shared" si="38"/>
        <v>600</v>
      </c>
      <c r="I1080" s="35">
        <f t="shared" si="38"/>
        <v>695</v>
      </c>
      <c r="J1080" s="35">
        <f t="shared" si="38"/>
        <v>33.333333333333336</v>
      </c>
      <c r="K1080" s="36"/>
      <c r="L1080" s="36"/>
      <c r="M1080" s="36"/>
      <c r="N1080" s="36"/>
      <c r="O1080" s="36"/>
      <c r="P1080" s="36"/>
      <c r="Q1080" s="36"/>
      <c r="R1080" s="36"/>
      <c r="S1080" s="36"/>
      <c r="T1080" s="36"/>
    </row>
    <row r="1081" spans="1:20" ht="15">
      <c r="A1081" s="3">
        <f t="shared" si="30"/>
        <v>2046</v>
      </c>
      <c r="B1081" s="3">
        <f t="shared" si="8"/>
        <v>365</v>
      </c>
      <c r="C1081" s="35">
        <f t="shared" ref="C1081:J1081" si="39">AVERAGE(C389:C400)</f>
        <v>154.75825</v>
      </c>
      <c r="D1081" s="35">
        <f t="shared" si="39"/>
        <v>281.0162499999999</v>
      </c>
      <c r="E1081" s="35">
        <f t="shared" si="39"/>
        <v>780.7254999999999</v>
      </c>
      <c r="F1081" s="35">
        <f t="shared" si="39"/>
        <v>1216.5</v>
      </c>
      <c r="G1081" s="35">
        <f t="shared" si="39"/>
        <v>79.166666666666671</v>
      </c>
      <c r="H1081" s="37">
        <f t="shared" si="39"/>
        <v>600</v>
      </c>
      <c r="I1081" s="35">
        <f t="shared" si="39"/>
        <v>695</v>
      </c>
      <c r="J1081" s="35">
        <f t="shared" si="39"/>
        <v>33.333333333333336</v>
      </c>
      <c r="K1081" s="36"/>
      <c r="L1081" s="36"/>
      <c r="M1081" s="36"/>
      <c r="N1081" s="36"/>
      <c r="O1081" s="36"/>
      <c r="P1081" s="36"/>
      <c r="Q1081" s="36"/>
      <c r="R1081" s="36"/>
      <c r="S1081" s="36"/>
      <c r="T1081" s="36"/>
    </row>
    <row r="1082" spans="1:20" ht="15">
      <c r="A1082" s="3">
        <f t="shared" si="30"/>
        <v>2047</v>
      </c>
      <c r="B1082" s="3">
        <f t="shared" ref="B1082:B1113" si="40">DATE(A1082+1,1,1)-DATE(A1082,1,1)</f>
        <v>365</v>
      </c>
      <c r="C1082" s="35">
        <f t="shared" ref="C1082:J1082" si="41">AVERAGE(C401:C412)</f>
        <v>154.75825</v>
      </c>
      <c r="D1082" s="35">
        <f t="shared" si="41"/>
        <v>281.0162499999999</v>
      </c>
      <c r="E1082" s="35">
        <f t="shared" si="41"/>
        <v>780.7254999999999</v>
      </c>
      <c r="F1082" s="35">
        <f t="shared" si="41"/>
        <v>1216.5</v>
      </c>
      <c r="G1082" s="35">
        <f t="shared" si="41"/>
        <v>79.166666666666671</v>
      </c>
      <c r="H1082" s="37">
        <f t="shared" si="41"/>
        <v>600</v>
      </c>
      <c r="I1082" s="35">
        <f t="shared" si="41"/>
        <v>695</v>
      </c>
      <c r="J1082" s="35">
        <f t="shared" si="41"/>
        <v>33.333333333333336</v>
      </c>
      <c r="K1082" s="36"/>
      <c r="L1082" s="36"/>
      <c r="M1082" s="36"/>
      <c r="N1082" s="36"/>
      <c r="O1082" s="36"/>
      <c r="P1082" s="36"/>
      <c r="Q1082" s="36"/>
      <c r="R1082" s="36"/>
      <c r="S1082" s="36"/>
      <c r="T1082" s="36"/>
    </row>
    <row r="1083" spans="1:20" ht="15">
      <c r="A1083" s="3">
        <f t="shared" si="30"/>
        <v>2048</v>
      </c>
      <c r="B1083" s="3">
        <f t="shared" si="40"/>
        <v>366</v>
      </c>
      <c r="C1083" s="35">
        <f t="shared" ref="C1083:J1083" si="42">AVERAGE(C413:C424)</f>
        <v>154.75825</v>
      </c>
      <c r="D1083" s="35">
        <f t="shared" si="42"/>
        <v>281.0162499999999</v>
      </c>
      <c r="E1083" s="35">
        <f t="shared" si="42"/>
        <v>780.7254999999999</v>
      </c>
      <c r="F1083" s="35">
        <f t="shared" si="42"/>
        <v>1216.5</v>
      </c>
      <c r="G1083" s="35">
        <f t="shared" si="42"/>
        <v>79.166666666666671</v>
      </c>
      <c r="H1083" s="37">
        <f t="shared" si="42"/>
        <v>600</v>
      </c>
      <c r="I1083" s="35">
        <f t="shared" si="42"/>
        <v>695</v>
      </c>
      <c r="J1083" s="35">
        <f t="shared" si="42"/>
        <v>33.333333333333336</v>
      </c>
      <c r="K1083" s="36"/>
      <c r="L1083" s="36"/>
      <c r="M1083" s="36"/>
      <c r="N1083" s="36"/>
      <c r="O1083" s="36"/>
      <c r="P1083" s="36"/>
      <c r="Q1083" s="36"/>
      <c r="R1083" s="36"/>
      <c r="S1083" s="36"/>
      <c r="T1083" s="36"/>
    </row>
    <row r="1084" spans="1:20" ht="15">
      <c r="A1084" s="3">
        <f t="shared" si="30"/>
        <v>2049</v>
      </c>
      <c r="B1084" s="3">
        <f t="shared" si="40"/>
        <v>365</v>
      </c>
      <c r="C1084" s="35">
        <f t="shared" ref="C1084:J1084" si="43">AVERAGE(C425:C436)</f>
        <v>154.75825</v>
      </c>
      <c r="D1084" s="35">
        <f t="shared" si="43"/>
        <v>281.0162499999999</v>
      </c>
      <c r="E1084" s="35">
        <f t="shared" si="43"/>
        <v>780.7254999999999</v>
      </c>
      <c r="F1084" s="35">
        <f t="shared" si="43"/>
        <v>1216.5</v>
      </c>
      <c r="G1084" s="35">
        <f t="shared" si="43"/>
        <v>79.166666666666671</v>
      </c>
      <c r="H1084" s="37">
        <f t="shared" si="43"/>
        <v>600</v>
      </c>
      <c r="I1084" s="35">
        <f t="shared" si="43"/>
        <v>695</v>
      </c>
      <c r="J1084" s="35">
        <f t="shared" si="43"/>
        <v>33.333333333333336</v>
      </c>
      <c r="K1084" s="36"/>
      <c r="L1084" s="36"/>
      <c r="M1084" s="36"/>
      <c r="N1084" s="36"/>
      <c r="O1084" s="36"/>
      <c r="P1084" s="36"/>
      <c r="Q1084" s="36"/>
      <c r="R1084" s="36"/>
      <c r="S1084" s="36"/>
      <c r="T1084" s="36"/>
    </row>
    <row r="1085" spans="1:20" ht="15">
      <c r="A1085" s="3">
        <f t="shared" si="30"/>
        <v>2050</v>
      </c>
      <c r="B1085" s="3">
        <f t="shared" si="40"/>
        <v>365</v>
      </c>
      <c r="C1085" s="35">
        <f t="shared" ref="C1085:J1085" si="44">AVERAGE(C437:C448)</f>
        <v>154.75825</v>
      </c>
      <c r="D1085" s="35">
        <f t="shared" si="44"/>
        <v>281.0162499999999</v>
      </c>
      <c r="E1085" s="35">
        <f t="shared" si="44"/>
        <v>780.7254999999999</v>
      </c>
      <c r="F1085" s="35">
        <f t="shared" si="44"/>
        <v>1216.5</v>
      </c>
      <c r="G1085" s="35">
        <f t="shared" si="44"/>
        <v>79.166666666666671</v>
      </c>
      <c r="H1085" s="37">
        <f t="shared" si="44"/>
        <v>600</v>
      </c>
      <c r="I1085" s="35">
        <f t="shared" si="44"/>
        <v>695</v>
      </c>
      <c r="J1085" s="35">
        <f t="shared" si="44"/>
        <v>33.333333333333336</v>
      </c>
      <c r="K1085" s="36"/>
      <c r="L1085" s="36"/>
      <c r="M1085" s="36"/>
      <c r="N1085" s="36"/>
      <c r="O1085" s="36"/>
      <c r="P1085" s="36"/>
      <c r="Q1085" s="36"/>
      <c r="R1085" s="36"/>
      <c r="S1085" s="36"/>
      <c r="T1085" s="36"/>
    </row>
    <row r="1086" spans="1:20" ht="15">
      <c r="A1086" s="3">
        <f t="shared" si="30"/>
        <v>2051</v>
      </c>
      <c r="B1086" s="3">
        <f t="shared" si="40"/>
        <v>365</v>
      </c>
      <c r="C1086" s="35">
        <f t="shared" ref="C1086:J1086" si="45">AVERAGE(C449:C460)</f>
        <v>154.75825</v>
      </c>
      <c r="D1086" s="35">
        <f t="shared" si="45"/>
        <v>281.0162499999999</v>
      </c>
      <c r="E1086" s="35">
        <f t="shared" si="45"/>
        <v>780.7254999999999</v>
      </c>
      <c r="F1086" s="35">
        <f t="shared" si="45"/>
        <v>1216.5</v>
      </c>
      <c r="G1086" s="35">
        <f t="shared" si="45"/>
        <v>79.166666666666671</v>
      </c>
      <c r="H1086" s="37">
        <f t="shared" si="45"/>
        <v>600</v>
      </c>
      <c r="I1086" s="35">
        <f t="shared" si="45"/>
        <v>695</v>
      </c>
      <c r="J1086" s="35">
        <f t="shared" si="45"/>
        <v>33.333333333333336</v>
      </c>
      <c r="K1086" s="36"/>
      <c r="L1086" s="36"/>
      <c r="M1086" s="36"/>
      <c r="N1086" s="36"/>
      <c r="O1086" s="36"/>
      <c r="P1086" s="36"/>
      <c r="Q1086" s="36"/>
      <c r="R1086" s="36"/>
      <c r="S1086" s="36"/>
      <c r="T1086" s="36"/>
    </row>
    <row r="1087" spans="1:20" ht="15">
      <c r="A1087" s="3">
        <f t="shared" si="30"/>
        <v>2052</v>
      </c>
      <c r="B1087" s="3">
        <f t="shared" si="40"/>
        <v>366</v>
      </c>
      <c r="C1087" s="35">
        <f t="shared" ref="C1087:J1087" si="46">AVERAGE(C461:C472)</f>
        <v>154.75825</v>
      </c>
      <c r="D1087" s="35">
        <f t="shared" si="46"/>
        <v>281.0162499999999</v>
      </c>
      <c r="E1087" s="35">
        <f t="shared" si="46"/>
        <v>780.7254999999999</v>
      </c>
      <c r="F1087" s="35">
        <f t="shared" si="46"/>
        <v>1216.5</v>
      </c>
      <c r="G1087" s="35">
        <f t="shared" si="46"/>
        <v>79.166666666666671</v>
      </c>
      <c r="H1087" s="37">
        <f t="shared" si="46"/>
        <v>600</v>
      </c>
      <c r="I1087" s="35">
        <f t="shared" si="46"/>
        <v>695</v>
      </c>
      <c r="J1087" s="35">
        <f t="shared" si="46"/>
        <v>33.333333333333336</v>
      </c>
      <c r="K1087" s="36"/>
      <c r="L1087" s="36"/>
      <c r="M1087" s="36"/>
      <c r="N1087" s="36"/>
      <c r="O1087" s="36"/>
      <c r="P1087" s="36"/>
      <c r="Q1087" s="36"/>
      <c r="R1087" s="36"/>
      <c r="S1087" s="36"/>
      <c r="T1087" s="36"/>
    </row>
    <row r="1088" spans="1:20" ht="15">
      <c r="A1088" s="3">
        <f t="shared" si="30"/>
        <v>2053</v>
      </c>
      <c r="B1088" s="3">
        <f t="shared" si="40"/>
        <v>365</v>
      </c>
      <c r="C1088" s="35">
        <f t="shared" ref="C1088:J1088" si="47">AVERAGE(C473:C484)</f>
        <v>154.75825</v>
      </c>
      <c r="D1088" s="35">
        <f t="shared" si="47"/>
        <v>281.0162499999999</v>
      </c>
      <c r="E1088" s="35">
        <f t="shared" si="47"/>
        <v>780.7254999999999</v>
      </c>
      <c r="F1088" s="35">
        <f t="shared" si="47"/>
        <v>1216.5</v>
      </c>
      <c r="G1088" s="35">
        <f t="shared" si="47"/>
        <v>79.166666666666671</v>
      </c>
      <c r="H1088" s="37">
        <f t="shared" si="47"/>
        <v>600</v>
      </c>
      <c r="I1088" s="35">
        <f t="shared" si="47"/>
        <v>695</v>
      </c>
      <c r="J1088" s="35">
        <f t="shared" si="47"/>
        <v>33.333333333333336</v>
      </c>
      <c r="K1088" s="36"/>
      <c r="L1088" s="36"/>
      <c r="M1088" s="36"/>
      <c r="N1088" s="36"/>
      <c r="O1088" s="36"/>
      <c r="P1088" s="36"/>
      <c r="Q1088" s="36"/>
      <c r="R1088" s="36"/>
      <c r="S1088" s="36"/>
      <c r="T1088" s="36"/>
    </row>
    <row r="1089" spans="1:20" ht="15">
      <c r="A1089" s="3">
        <f t="shared" si="30"/>
        <v>2054</v>
      </c>
      <c r="B1089" s="3">
        <f t="shared" si="40"/>
        <v>365</v>
      </c>
      <c r="C1089" s="35">
        <f t="shared" ref="C1089:J1096" si="48">AVERAGE(C485:C496)</f>
        <v>154.75825</v>
      </c>
      <c r="D1089" s="35">
        <f t="shared" si="48"/>
        <v>281.0162499999999</v>
      </c>
      <c r="E1089" s="35">
        <f t="shared" si="48"/>
        <v>780.7254999999999</v>
      </c>
      <c r="F1089" s="35">
        <f t="shared" si="48"/>
        <v>1216.5</v>
      </c>
      <c r="G1089" s="35">
        <f t="shared" si="48"/>
        <v>79.166666666666671</v>
      </c>
      <c r="H1089" s="37">
        <f t="shared" si="48"/>
        <v>600</v>
      </c>
      <c r="I1089" s="35">
        <f t="shared" si="48"/>
        <v>695</v>
      </c>
      <c r="J1089" s="35">
        <f t="shared" si="48"/>
        <v>33.333333333333336</v>
      </c>
      <c r="K1089" s="36"/>
      <c r="L1089" s="36"/>
      <c r="M1089" s="36"/>
      <c r="N1089" s="36"/>
      <c r="O1089" s="36"/>
      <c r="P1089" s="36"/>
      <c r="Q1089" s="36"/>
      <c r="R1089" s="36"/>
      <c r="S1089" s="36"/>
      <c r="T1089" s="36"/>
    </row>
    <row r="1090" spans="1:20" ht="15">
      <c r="A1090" s="3">
        <f t="shared" si="30"/>
        <v>2055</v>
      </c>
      <c r="B1090" s="3">
        <f t="shared" si="40"/>
        <v>365</v>
      </c>
      <c r="C1090" s="35">
        <f t="shared" si="48"/>
        <v>154.75825</v>
      </c>
      <c r="D1090" s="35">
        <f t="shared" si="48"/>
        <v>281.0162499999999</v>
      </c>
      <c r="E1090" s="35">
        <f t="shared" si="48"/>
        <v>780.7254999999999</v>
      </c>
      <c r="F1090" s="35">
        <f t="shared" si="48"/>
        <v>1216.5</v>
      </c>
      <c r="G1090" s="35">
        <f t="shared" si="48"/>
        <v>79.166666666666671</v>
      </c>
      <c r="H1090" s="37">
        <f t="shared" si="48"/>
        <v>600</v>
      </c>
      <c r="I1090" s="35">
        <f t="shared" si="48"/>
        <v>695</v>
      </c>
      <c r="J1090" s="35">
        <f t="shared" si="48"/>
        <v>33.333333333333336</v>
      </c>
      <c r="K1090" s="36"/>
      <c r="L1090" s="36"/>
      <c r="M1090" s="36"/>
      <c r="N1090" s="36"/>
      <c r="O1090" s="36"/>
      <c r="P1090" s="36"/>
      <c r="Q1090" s="36"/>
      <c r="R1090" s="36"/>
      <c r="S1090" s="36"/>
      <c r="T1090" s="36"/>
    </row>
    <row r="1091" spans="1:20" ht="15">
      <c r="A1091" s="3">
        <f t="shared" si="30"/>
        <v>2056</v>
      </c>
      <c r="B1091" s="3">
        <f t="shared" si="40"/>
        <v>366</v>
      </c>
      <c r="C1091" s="35">
        <f t="shared" si="48"/>
        <v>154.75824999999998</v>
      </c>
      <c r="D1091" s="35">
        <f t="shared" si="48"/>
        <v>281.0162499999999</v>
      </c>
      <c r="E1091" s="35">
        <f t="shared" si="48"/>
        <v>780.7254999999999</v>
      </c>
      <c r="F1091" s="35">
        <f t="shared" si="48"/>
        <v>1216.5</v>
      </c>
      <c r="G1091" s="35">
        <f t="shared" si="48"/>
        <v>79.166666666666671</v>
      </c>
      <c r="H1091" s="37">
        <f t="shared" si="48"/>
        <v>600</v>
      </c>
      <c r="I1091" s="35">
        <f t="shared" si="48"/>
        <v>695</v>
      </c>
      <c r="J1091" s="35">
        <f t="shared" si="48"/>
        <v>33.333333333333336</v>
      </c>
      <c r="K1091" s="36"/>
      <c r="L1091" s="36"/>
      <c r="M1091" s="36"/>
      <c r="N1091" s="36"/>
      <c r="O1091" s="36"/>
      <c r="P1091" s="36"/>
      <c r="Q1091" s="36"/>
      <c r="R1091" s="36"/>
      <c r="S1091" s="36"/>
      <c r="T1091" s="36"/>
    </row>
    <row r="1092" spans="1:20" ht="15">
      <c r="A1092" s="3">
        <f t="shared" si="30"/>
        <v>2057</v>
      </c>
      <c r="B1092" s="3">
        <f t="shared" si="40"/>
        <v>365</v>
      </c>
      <c r="C1092" s="35">
        <f t="shared" si="48"/>
        <v>154.75825</v>
      </c>
      <c r="D1092" s="35">
        <f t="shared" si="48"/>
        <v>281.0162499999999</v>
      </c>
      <c r="E1092" s="35">
        <f t="shared" si="48"/>
        <v>780.72550000000001</v>
      </c>
      <c r="F1092" s="35">
        <f t="shared" si="48"/>
        <v>1216.5</v>
      </c>
      <c r="G1092" s="35">
        <f t="shared" si="48"/>
        <v>79.166666666666671</v>
      </c>
      <c r="H1092" s="37">
        <f t="shared" si="48"/>
        <v>600</v>
      </c>
      <c r="I1092" s="35">
        <f t="shared" si="48"/>
        <v>695</v>
      </c>
      <c r="J1092" s="35">
        <f t="shared" si="48"/>
        <v>33.333333333333336</v>
      </c>
      <c r="K1092" s="36"/>
      <c r="L1092" s="36"/>
      <c r="M1092" s="36"/>
      <c r="N1092" s="36"/>
      <c r="O1092" s="36"/>
      <c r="P1092" s="36"/>
      <c r="Q1092" s="36"/>
      <c r="R1092" s="36"/>
      <c r="S1092" s="36"/>
      <c r="T1092" s="36"/>
    </row>
    <row r="1093" spans="1:20" ht="15">
      <c r="A1093" s="3">
        <f t="shared" si="30"/>
        <v>2058</v>
      </c>
      <c r="B1093" s="3">
        <f t="shared" si="40"/>
        <v>365</v>
      </c>
      <c r="C1093" s="35">
        <f t="shared" si="48"/>
        <v>154.75824999999998</v>
      </c>
      <c r="D1093" s="35">
        <f t="shared" si="48"/>
        <v>281.01624999999996</v>
      </c>
      <c r="E1093" s="35">
        <f t="shared" si="48"/>
        <v>780.72550000000001</v>
      </c>
      <c r="F1093" s="35">
        <f t="shared" si="48"/>
        <v>1216.5</v>
      </c>
      <c r="G1093" s="35">
        <f t="shared" si="48"/>
        <v>79.166666666666671</v>
      </c>
      <c r="H1093" s="37">
        <f t="shared" si="48"/>
        <v>600</v>
      </c>
      <c r="I1093" s="35">
        <f t="shared" si="48"/>
        <v>695</v>
      </c>
      <c r="J1093" s="35">
        <f t="shared" si="48"/>
        <v>33.333333333333336</v>
      </c>
      <c r="K1093" s="36"/>
      <c r="L1093" s="36"/>
      <c r="M1093" s="36"/>
      <c r="N1093" s="36"/>
      <c r="O1093" s="36"/>
      <c r="P1093" s="36"/>
      <c r="Q1093" s="36"/>
      <c r="R1093" s="36"/>
      <c r="S1093" s="36"/>
      <c r="T1093" s="36"/>
    </row>
    <row r="1094" spans="1:20" ht="15">
      <c r="A1094" s="3">
        <f t="shared" si="30"/>
        <v>2059</v>
      </c>
      <c r="B1094" s="3">
        <f t="shared" si="40"/>
        <v>365</v>
      </c>
      <c r="C1094" s="35">
        <f t="shared" si="48"/>
        <v>154.75824999999998</v>
      </c>
      <c r="D1094" s="35">
        <f t="shared" si="48"/>
        <v>281.01624999999996</v>
      </c>
      <c r="E1094" s="35">
        <f t="shared" si="48"/>
        <v>780.72550000000012</v>
      </c>
      <c r="F1094" s="35">
        <f t="shared" si="48"/>
        <v>1216.5</v>
      </c>
      <c r="G1094" s="35">
        <f t="shared" si="48"/>
        <v>79.166666666666671</v>
      </c>
      <c r="H1094" s="37">
        <f t="shared" si="48"/>
        <v>600</v>
      </c>
      <c r="I1094" s="35">
        <f t="shared" si="48"/>
        <v>695</v>
      </c>
      <c r="J1094" s="35">
        <f t="shared" si="48"/>
        <v>33.333333333333336</v>
      </c>
      <c r="K1094" s="36"/>
      <c r="L1094" s="36"/>
      <c r="M1094" s="36"/>
      <c r="N1094" s="36"/>
      <c r="O1094" s="36"/>
      <c r="P1094" s="36"/>
      <c r="Q1094" s="36"/>
      <c r="R1094" s="36"/>
      <c r="S1094" s="36"/>
      <c r="T1094" s="36"/>
    </row>
    <row r="1095" spans="1:20" ht="15">
      <c r="A1095" s="3">
        <f t="shared" si="30"/>
        <v>2060</v>
      </c>
      <c r="B1095" s="3">
        <f t="shared" si="40"/>
        <v>366</v>
      </c>
      <c r="C1095" s="35">
        <f t="shared" si="48"/>
        <v>154.75824999999998</v>
      </c>
      <c r="D1095" s="35">
        <f t="shared" si="48"/>
        <v>281.01624999999996</v>
      </c>
      <c r="E1095" s="35">
        <f t="shared" si="48"/>
        <v>780.72550000000012</v>
      </c>
      <c r="F1095" s="35">
        <f t="shared" si="48"/>
        <v>1216.5</v>
      </c>
      <c r="G1095" s="35">
        <f t="shared" si="48"/>
        <v>79.166666666666671</v>
      </c>
      <c r="H1095" s="37">
        <f t="shared" si="48"/>
        <v>600</v>
      </c>
      <c r="I1095" s="35">
        <f t="shared" si="48"/>
        <v>695</v>
      </c>
      <c r="J1095" s="35">
        <f t="shared" si="48"/>
        <v>33.333333333333336</v>
      </c>
      <c r="K1095" s="36"/>
      <c r="L1095" s="36"/>
      <c r="M1095" s="36"/>
      <c r="N1095" s="36"/>
      <c r="O1095" s="36"/>
      <c r="P1095" s="36"/>
      <c r="Q1095" s="36"/>
      <c r="R1095" s="36"/>
      <c r="S1095" s="36"/>
      <c r="T1095" s="36"/>
    </row>
    <row r="1096" spans="1:20" ht="15">
      <c r="A1096" s="3">
        <f t="shared" si="30"/>
        <v>2061</v>
      </c>
      <c r="B1096" s="3">
        <f t="shared" si="40"/>
        <v>365</v>
      </c>
      <c r="C1096" s="35">
        <f t="shared" si="48"/>
        <v>154.75825</v>
      </c>
      <c r="D1096" s="35">
        <f t="shared" si="48"/>
        <v>281.01624999999996</v>
      </c>
      <c r="E1096" s="35">
        <f t="shared" si="48"/>
        <v>780.72550000000001</v>
      </c>
      <c r="F1096" s="35">
        <f t="shared" si="48"/>
        <v>1216.5</v>
      </c>
      <c r="G1096" s="35">
        <f t="shared" si="48"/>
        <v>79.166666666666671</v>
      </c>
      <c r="H1096" s="37">
        <f t="shared" si="48"/>
        <v>600</v>
      </c>
      <c r="I1096" s="35">
        <f t="shared" si="48"/>
        <v>695</v>
      </c>
      <c r="J1096" s="35">
        <f t="shared" si="48"/>
        <v>33.333333333333336</v>
      </c>
      <c r="K1096" s="36"/>
      <c r="L1096" s="36"/>
      <c r="M1096" s="36"/>
      <c r="N1096" s="36"/>
      <c r="O1096" s="36"/>
      <c r="P1096" s="36"/>
      <c r="Q1096" s="36"/>
      <c r="R1096" s="36"/>
      <c r="S1096" s="36"/>
      <c r="T1096" s="36"/>
    </row>
    <row r="1097" spans="1:20" ht="15">
      <c r="A1097" s="3">
        <f t="shared" si="30"/>
        <v>2062</v>
      </c>
      <c r="B1097" s="3">
        <f t="shared" si="40"/>
        <v>365</v>
      </c>
      <c r="C1097" s="35">
        <f t="shared" ref="C1097:J1106" ca="1" si="49">AVERAGE(OFFSET(C$581,($A1097-$A$1097)*12,0,12,1))</f>
        <v>154.75825</v>
      </c>
      <c r="D1097" s="35">
        <f t="shared" ca="1" si="49"/>
        <v>281.0162499999999</v>
      </c>
      <c r="E1097" s="35">
        <f t="shared" ca="1" si="49"/>
        <v>780.7254999999999</v>
      </c>
      <c r="F1097" s="35">
        <f t="shared" ca="1" si="49"/>
        <v>1216.5</v>
      </c>
      <c r="G1097" s="35">
        <f t="shared" ca="1" si="49"/>
        <v>79.166666666666671</v>
      </c>
      <c r="H1097" s="35">
        <f t="shared" ca="1" si="49"/>
        <v>600</v>
      </c>
      <c r="I1097" s="35">
        <f t="shared" ca="1" si="49"/>
        <v>695</v>
      </c>
      <c r="J1097" s="35">
        <f t="shared" ca="1" si="49"/>
        <v>33.333333333333336</v>
      </c>
      <c r="K1097" s="36"/>
      <c r="L1097" s="36"/>
      <c r="M1097" s="36"/>
      <c r="N1097" s="36"/>
      <c r="O1097" s="36"/>
      <c r="P1097" s="36"/>
      <c r="Q1097" s="36"/>
      <c r="R1097" s="36"/>
      <c r="S1097" s="36"/>
      <c r="T1097" s="36"/>
    </row>
    <row r="1098" spans="1:20" ht="15">
      <c r="A1098" s="3">
        <f t="shared" si="30"/>
        <v>2063</v>
      </c>
      <c r="B1098" s="3">
        <f t="shared" si="40"/>
        <v>365</v>
      </c>
      <c r="C1098" s="35">
        <f t="shared" ca="1" si="49"/>
        <v>154.75825</v>
      </c>
      <c r="D1098" s="35">
        <f t="shared" ca="1" si="49"/>
        <v>281.0162499999999</v>
      </c>
      <c r="E1098" s="35">
        <f t="shared" ca="1" si="49"/>
        <v>780.7254999999999</v>
      </c>
      <c r="F1098" s="35">
        <f t="shared" ca="1" si="49"/>
        <v>1216.5</v>
      </c>
      <c r="G1098" s="35">
        <f t="shared" ca="1" si="49"/>
        <v>79.166666666666671</v>
      </c>
      <c r="H1098" s="35">
        <f t="shared" ca="1" si="49"/>
        <v>600</v>
      </c>
      <c r="I1098" s="35">
        <f t="shared" ca="1" si="49"/>
        <v>695</v>
      </c>
      <c r="J1098" s="35">
        <f t="shared" ca="1" si="49"/>
        <v>33.333333333333336</v>
      </c>
      <c r="K1098" s="36"/>
      <c r="L1098" s="36"/>
      <c r="M1098" s="36"/>
      <c r="N1098" s="36"/>
      <c r="O1098" s="36"/>
      <c r="P1098" s="36"/>
      <c r="Q1098" s="36"/>
      <c r="R1098" s="36"/>
      <c r="S1098" s="36"/>
      <c r="T1098" s="36"/>
    </row>
    <row r="1099" spans="1:20" ht="15">
      <c r="A1099" s="3">
        <f t="shared" si="30"/>
        <v>2064</v>
      </c>
      <c r="B1099" s="3">
        <f t="shared" si="40"/>
        <v>366</v>
      </c>
      <c r="C1099" s="35">
        <f t="shared" ca="1" si="49"/>
        <v>154.75825</v>
      </c>
      <c r="D1099" s="35">
        <f t="shared" ca="1" si="49"/>
        <v>281.0162499999999</v>
      </c>
      <c r="E1099" s="35">
        <f t="shared" ca="1" si="49"/>
        <v>780.7254999999999</v>
      </c>
      <c r="F1099" s="35">
        <f t="shared" ca="1" si="49"/>
        <v>1216.5</v>
      </c>
      <c r="G1099" s="35">
        <f t="shared" ca="1" si="49"/>
        <v>79.166666666666671</v>
      </c>
      <c r="H1099" s="35">
        <f t="shared" ca="1" si="49"/>
        <v>600</v>
      </c>
      <c r="I1099" s="35">
        <f t="shared" ca="1" si="49"/>
        <v>695</v>
      </c>
      <c r="J1099" s="35">
        <f t="shared" ca="1" si="49"/>
        <v>33.333333333333336</v>
      </c>
      <c r="K1099" s="36"/>
      <c r="L1099" s="36"/>
      <c r="M1099" s="36"/>
      <c r="N1099" s="36"/>
      <c r="O1099" s="36"/>
      <c r="P1099" s="36"/>
      <c r="Q1099" s="36"/>
      <c r="R1099" s="36"/>
      <c r="S1099" s="36"/>
      <c r="T1099" s="36"/>
    </row>
    <row r="1100" spans="1:20" ht="15">
      <c r="A1100" s="3">
        <f t="shared" si="30"/>
        <v>2065</v>
      </c>
      <c r="B1100" s="3">
        <f t="shared" si="40"/>
        <v>365</v>
      </c>
      <c r="C1100" s="35">
        <f t="shared" ca="1" si="49"/>
        <v>154.75825</v>
      </c>
      <c r="D1100" s="35">
        <f t="shared" ca="1" si="49"/>
        <v>281.0162499999999</v>
      </c>
      <c r="E1100" s="35">
        <f t="shared" ca="1" si="49"/>
        <v>780.7254999999999</v>
      </c>
      <c r="F1100" s="35">
        <f t="shared" ca="1" si="49"/>
        <v>1216.5</v>
      </c>
      <c r="G1100" s="35">
        <f t="shared" ca="1" si="49"/>
        <v>79.166666666666671</v>
      </c>
      <c r="H1100" s="35">
        <f t="shared" ca="1" si="49"/>
        <v>600</v>
      </c>
      <c r="I1100" s="35">
        <f t="shared" ca="1" si="49"/>
        <v>695</v>
      </c>
      <c r="J1100" s="35">
        <f t="shared" ca="1" si="49"/>
        <v>33.333333333333336</v>
      </c>
      <c r="K1100" s="36"/>
      <c r="L1100" s="36"/>
      <c r="M1100" s="36"/>
      <c r="N1100" s="36"/>
      <c r="O1100" s="36"/>
      <c r="P1100" s="36"/>
      <c r="Q1100" s="36"/>
      <c r="R1100" s="36"/>
      <c r="S1100" s="36"/>
      <c r="T1100" s="36"/>
    </row>
    <row r="1101" spans="1:20" ht="15">
      <c r="A1101" s="3">
        <f t="shared" si="30"/>
        <v>2066</v>
      </c>
      <c r="B1101" s="3">
        <f t="shared" si="40"/>
        <v>365</v>
      </c>
      <c r="C1101" s="35">
        <f t="shared" ca="1" si="49"/>
        <v>154.75825</v>
      </c>
      <c r="D1101" s="35">
        <f t="shared" ca="1" si="49"/>
        <v>281.0162499999999</v>
      </c>
      <c r="E1101" s="35">
        <f t="shared" ca="1" si="49"/>
        <v>780.7254999999999</v>
      </c>
      <c r="F1101" s="35">
        <f t="shared" ca="1" si="49"/>
        <v>1216.5</v>
      </c>
      <c r="G1101" s="35">
        <f t="shared" ca="1" si="49"/>
        <v>79.166666666666671</v>
      </c>
      <c r="H1101" s="35">
        <f t="shared" ca="1" si="49"/>
        <v>600</v>
      </c>
      <c r="I1101" s="35">
        <f t="shared" ca="1" si="49"/>
        <v>695</v>
      </c>
      <c r="J1101" s="35">
        <f t="shared" ca="1" si="49"/>
        <v>33.333333333333336</v>
      </c>
      <c r="K1101" s="36"/>
      <c r="L1101" s="36"/>
      <c r="M1101" s="36"/>
      <c r="N1101" s="36"/>
      <c r="O1101" s="36"/>
      <c r="P1101" s="36"/>
      <c r="Q1101" s="36"/>
      <c r="R1101" s="36"/>
      <c r="S1101" s="36"/>
      <c r="T1101" s="36"/>
    </row>
    <row r="1102" spans="1:20" ht="15">
      <c r="A1102" s="3">
        <f t="shared" si="30"/>
        <v>2067</v>
      </c>
      <c r="B1102" s="3">
        <f t="shared" si="40"/>
        <v>365</v>
      </c>
      <c r="C1102" s="35">
        <f t="shared" ca="1" si="49"/>
        <v>154.75825</v>
      </c>
      <c r="D1102" s="35">
        <f t="shared" ca="1" si="49"/>
        <v>281.0162499999999</v>
      </c>
      <c r="E1102" s="35">
        <f t="shared" ca="1" si="49"/>
        <v>780.7254999999999</v>
      </c>
      <c r="F1102" s="35">
        <f t="shared" ca="1" si="49"/>
        <v>1216.5</v>
      </c>
      <c r="G1102" s="35">
        <f t="shared" ca="1" si="49"/>
        <v>79.166666666666671</v>
      </c>
      <c r="H1102" s="35">
        <f t="shared" ca="1" si="49"/>
        <v>600</v>
      </c>
      <c r="I1102" s="35">
        <f t="shared" ca="1" si="49"/>
        <v>695</v>
      </c>
      <c r="J1102" s="35">
        <f t="shared" ca="1" si="49"/>
        <v>33.333333333333336</v>
      </c>
      <c r="K1102" s="36"/>
      <c r="L1102" s="36"/>
      <c r="M1102" s="36"/>
      <c r="N1102" s="36"/>
      <c r="O1102" s="36"/>
      <c r="P1102" s="36"/>
      <c r="Q1102" s="36"/>
      <c r="R1102" s="36"/>
      <c r="S1102" s="36"/>
      <c r="T1102" s="36"/>
    </row>
    <row r="1103" spans="1:20" ht="15">
      <c r="A1103" s="3">
        <f t="shared" si="30"/>
        <v>2068</v>
      </c>
      <c r="B1103" s="3">
        <f t="shared" si="40"/>
        <v>366</v>
      </c>
      <c r="C1103" s="35">
        <f t="shared" ca="1" si="49"/>
        <v>154.75825</v>
      </c>
      <c r="D1103" s="35">
        <f t="shared" ca="1" si="49"/>
        <v>281.0162499999999</v>
      </c>
      <c r="E1103" s="35">
        <f t="shared" ca="1" si="49"/>
        <v>780.7254999999999</v>
      </c>
      <c r="F1103" s="35">
        <f t="shared" ca="1" si="49"/>
        <v>1216.5</v>
      </c>
      <c r="G1103" s="35">
        <f t="shared" ca="1" si="49"/>
        <v>79.166666666666671</v>
      </c>
      <c r="H1103" s="35">
        <f t="shared" ca="1" si="49"/>
        <v>600</v>
      </c>
      <c r="I1103" s="35">
        <f t="shared" ca="1" si="49"/>
        <v>695</v>
      </c>
      <c r="J1103" s="35">
        <f t="shared" ca="1" si="49"/>
        <v>33.333333333333336</v>
      </c>
      <c r="K1103" s="36"/>
      <c r="L1103" s="36"/>
      <c r="M1103" s="36"/>
      <c r="N1103" s="36"/>
      <c r="O1103" s="36"/>
      <c r="P1103" s="36"/>
      <c r="Q1103" s="36"/>
      <c r="R1103" s="36"/>
      <c r="S1103" s="36"/>
      <c r="T1103" s="36"/>
    </row>
    <row r="1104" spans="1:20" ht="15">
      <c r="A1104" s="3">
        <f t="shared" si="30"/>
        <v>2069</v>
      </c>
      <c r="B1104" s="3">
        <f t="shared" si="40"/>
        <v>365</v>
      </c>
      <c r="C1104" s="35">
        <f t="shared" ca="1" si="49"/>
        <v>154.75825</v>
      </c>
      <c r="D1104" s="35">
        <f t="shared" ca="1" si="49"/>
        <v>281.0162499999999</v>
      </c>
      <c r="E1104" s="35">
        <f t="shared" ca="1" si="49"/>
        <v>780.7254999999999</v>
      </c>
      <c r="F1104" s="35">
        <f t="shared" ca="1" si="49"/>
        <v>1216.5</v>
      </c>
      <c r="G1104" s="35">
        <f t="shared" ca="1" si="49"/>
        <v>79.166666666666671</v>
      </c>
      <c r="H1104" s="35">
        <f t="shared" ca="1" si="49"/>
        <v>600</v>
      </c>
      <c r="I1104" s="35">
        <f t="shared" ca="1" si="49"/>
        <v>695</v>
      </c>
      <c r="J1104" s="35">
        <f t="shared" ca="1" si="49"/>
        <v>33.333333333333336</v>
      </c>
      <c r="K1104" s="36"/>
      <c r="L1104" s="36"/>
      <c r="M1104" s="36"/>
      <c r="N1104" s="36"/>
      <c r="O1104" s="36"/>
      <c r="P1104" s="36"/>
      <c r="Q1104" s="36"/>
      <c r="R1104" s="36"/>
      <c r="S1104" s="36"/>
      <c r="T1104" s="36"/>
    </row>
    <row r="1105" spans="1:20" ht="15">
      <c r="A1105" s="3">
        <f t="shared" ref="A1105:A1135" si="50">A1104+1</f>
        <v>2070</v>
      </c>
      <c r="B1105" s="3">
        <f t="shared" si="40"/>
        <v>365</v>
      </c>
      <c r="C1105" s="35">
        <f t="shared" ca="1" si="49"/>
        <v>154.75825</v>
      </c>
      <c r="D1105" s="35">
        <f t="shared" ca="1" si="49"/>
        <v>281.0162499999999</v>
      </c>
      <c r="E1105" s="35">
        <f t="shared" ca="1" si="49"/>
        <v>780.7254999999999</v>
      </c>
      <c r="F1105" s="35">
        <f t="shared" ca="1" si="49"/>
        <v>1216.5</v>
      </c>
      <c r="G1105" s="35">
        <f t="shared" ca="1" si="49"/>
        <v>79.166666666666671</v>
      </c>
      <c r="H1105" s="35">
        <f t="shared" ca="1" si="49"/>
        <v>600</v>
      </c>
      <c r="I1105" s="35">
        <f t="shared" ca="1" si="49"/>
        <v>695</v>
      </c>
      <c r="J1105" s="35">
        <f t="shared" ca="1" si="49"/>
        <v>33.333333333333336</v>
      </c>
      <c r="K1105" s="36"/>
      <c r="L1105" s="36"/>
      <c r="M1105" s="36"/>
      <c r="N1105" s="36"/>
      <c r="O1105" s="36"/>
      <c r="P1105" s="36"/>
      <c r="Q1105" s="36"/>
      <c r="R1105" s="36"/>
      <c r="S1105" s="36"/>
      <c r="T1105" s="36"/>
    </row>
    <row r="1106" spans="1:20" ht="15">
      <c r="A1106" s="3">
        <f t="shared" si="50"/>
        <v>2071</v>
      </c>
      <c r="B1106" s="3">
        <f t="shared" si="40"/>
        <v>365</v>
      </c>
      <c r="C1106" s="35">
        <f t="shared" ca="1" si="49"/>
        <v>154.75825</v>
      </c>
      <c r="D1106" s="35">
        <f t="shared" ca="1" si="49"/>
        <v>281.0162499999999</v>
      </c>
      <c r="E1106" s="35">
        <f t="shared" ca="1" si="49"/>
        <v>780.7254999999999</v>
      </c>
      <c r="F1106" s="35">
        <f t="shared" ca="1" si="49"/>
        <v>1216.5</v>
      </c>
      <c r="G1106" s="35">
        <f t="shared" ca="1" si="49"/>
        <v>79.166666666666671</v>
      </c>
      <c r="H1106" s="35">
        <f t="shared" ca="1" si="49"/>
        <v>600</v>
      </c>
      <c r="I1106" s="35">
        <f t="shared" ca="1" si="49"/>
        <v>695</v>
      </c>
      <c r="J1106" s="35">
        <f t="shared" ca="1" si="49"/>
        <v>33.333333333333336</v>
      </c>
      <c r="K1106" s="36"/>
      <c r="L1106" s="36"/>
      <c r="M1106" s="36"/>
      <c r="N1106" s="36"/>
      <c r="O1106" s="36"/>
      <c r="P1106" s="36"/>
      <c r="Q1106" s="36"/>
      <c r="R1106" s="36"/>
      <c r="S1106" s="36"/>
      <c r="T1106" s="36"/>
    </row>
    <row r="1107" spans="1:20" ht="15">
      <c r="A1107" s="3">
        <f t="shared" si="50"/>
        <v>2072</v>
      </c>
      <c r="B1107" s="3">
        <f t="shared" si="40"/>
        <v>366</v>
      </c>
      <c r="C1107" s="35">
        <f t="shared" ref="C1107:J1116" ca="1" si="51">AVERAGE(OFFSET(C$581,($A1107-$A$1097)*12,0,12,1))</f>
        <v>154.75825</v>
      </c>
      <c r="D1107" s="35">
        <f t="shared" ca="1" si="51"/>
        <v>281.0162499999999</v>
      </c>
      <c r="E1107" s="35">
        <f t="shared" ca="1" si="51"/>
        <v>780.7254999999999</v>
      </c>
      <c r="F1107" s="35">
        <f t="shared" ca="1" si="51"/>
        <v>1216.5</v>
      </c>
      <c r="G1107" s="35">
        <f t="shared" ca="1" si="51"/>
        <v>79.166666666666671</v>
      </c>
      <c r="H1107" s="35">
        <f t="shared" ca="1" si="51"/>
        <v>600</v>
      </c>
      <c r="I1107" s="35">
        <f t="shared" ca="1" si="51"/>
        <v>695</v>
      </c>
      <c r="J1107" s="35">
        <f t="shared" ca="1" si="51"/>
        <v>33.333333333333336</v>
      </c>
      <c r="K1107" s="36"/>
      <c r="L1107" s="36"/>
      <c r="M1107" s="36"/>
      <c r="N1107" s="36"/>
      <c r="O1107" s="36"/>
      <c r="P1107" s="36"/>
      <c r="Q1107" s="36"/>
      <c r="R1107" s="36"/>
      <c r="S1107" s="36"/>
      <c r="T1107" s="36"/>
    </row>
    <row r="1108" spans="1:20" ht="15">
      <c r="A1108" s="3">
        <f t="shared" si="50"/>
        <v>2073</v>
      </c>
      <c r="B1108" s="3">
        <f t="shared" si="40"/>
        <v>365</v>
      </c>
      <c r="C1108" s="35">
        <f t="shared" ca="1" si="51"/>
        <v>154.75825</v>
      </c>
      <c r="D1108" s="35">
        <f t="shared" ca="1" si="51"/>
        <v>281.0162499999999</v>
      </c>
      <c r="E1108" s="35">
        <f t="shared" ca="1" si="51"/>
        <v>780.7254999999999</v>
      </c>
      <c r="F1108" s="35">
        <f t="shared" ca="1" si="51"/>
        <v>1216.5</v>
      </c>
      <c r="G1108" s="35">
        <f t="shared" ca="1" si="51"/>
        <v>79.166666666666671</v>
      </c>
      <c r="H1108" s="35">
        <f t="shared" ca="1" si="51"/>
        <v>600</v>
      </c>
      <c r="I1108" s="35">
        <f t="shared" ca="1" si="51"/>
        <v>695</v>
      </c>
      <c r="J1108" s="35">
        <f t="shared" ca="1" si="51"/>
        <v>33.333333333333336</v>
      </c>
      <c r="K1108" s="36"/>
      <c r="L1108" s="36"/>
      <c r="M1108" s="36"/>
      <c r="N1108" s="36"/>
      <c r="O1108" s="36"/>
      <c r="P1108" s="36"/>
      <c r="Q1108" s="36"/>
      <c r="R1108" s="36"/>
      <c r="S1108" s="36"/>
      <c r="T1108" s="36"/>
    </row>
    <row r="1109" spans="1:20" ht="15">
      <c r="A1109" s="3">
        <f t="shared" si="50"/>
        <v>2074</v>
      </c>
      <c r="B1109" s="3">
        <f t="shared" si="40"/>
        <v>365</v>
      </c>
      <c r="C1109" s="35">
        <f t="shared" ca="1" si="51"/>
        <v>154.75825</v>
      </c>
      <c r="D1109" s="35">
        <f t="shared" ca="1" si="51"/>
        <v>281.0162499999999</v>
      </c>
      <c r="E1109" s="35">
        <f t="shared" ca="1" si="51"/>
        <v>780.7254999999999</v>
      </c>
      <c r="F1109" s="35">
        <f t="shared" ca="1" si="51"/>
        <v>1216.5</v>
      </c>
      <c r="G1109" s="35">
        <f t="shared" ca="1" si="51"/>
        <v>79.166666666666671</v>
      </c>
      <c r="H1109" s="35">
        <f t="shared" ca="1" si="51"/>
        <v>600</v>
      </c>
      <c r="I1109" s="35">
        <f t="shared" ca="1" si="51"/>
        <v>695</v>
      </c>
      <c r="J1109" s="35">
        <f t="shared" ca="1" si="51"/>
        <v>33.333333333333336</v>
      </c>
      <c r="K1109" s="36"/>
      <c r="L1109" s="36"/>
      <c r="M1109" s="36"/>
      <c r="N1109" s="36"/>
      <c r="O1109" s="36"/>
      <c r="P1109" s="36"/>
      <c r="Q1109" s="36"/>
      <c r="R1109" s="36"/>
      <c r="S1109" s="36"/>
      <c r="T1109" s="36"/>
    </row>
    <row r="1110" spans="1:20" ht="15">
      <c r="A1110" s="3">
        <f t="shared" si="50"/>
        <v>2075</v>
      </c>
      <c r="B1110" s="3">
        <f t="shared" si="40"/>
        <v>365</v>
      </c>
      <c r="C1110" s="35">
        <f t="shared" ca="1" si="51"/>
        <v>154.75825</v>
      </c>
      <c r="D1110" s="35">
        <f t="shared" ca="1" si="51"/>
        <v>281.0162499999999</v>
      </c>
      <c r="E1110" s="35">
        <f t="shared" ca="1" si="51"/>
        <v>780.7254999999999</v>
      </c>
      <c r="F1110" s="35">
        <f t="shared" ca="1" si="51"/>
        <v>1216.5</v>
      </c>
      <c r="G1110" s="35">
        <f t="shared" ca="1" si="51"/>
        <v>79.166666666666671</v>
      </c>
      <c r="H1110" s="35">
        <f t="shared" ca="1" si="51"/>
        <v>600</v>
      </c>
      <c r="I1110" s="35">
        <f t="shared" ca="1" si="51"/>
        <v>695</v>
      </c>
      <c r="J1110" s="35">
        <f t="shared" ca="1" si="51"/>
        <v>33.333333333333336</v>
      </c>
      <c r="K1110" s="36"/>
      <c r="L1110" s="36"/>
      <c r="M1110" s="36"/>
      <c r="N1110" s="36"/>
      <c r="O1110" s="36"/>
      <c r="P1110" s="36"/>
      <c r="Q1110" s="36"/>
      <c r="R1110" s="36"/>
      <c r="S1110" s="36"/>
      <c r="T1110" s="36"/>
    </row>
    <row r="1111" spans="1:20" ht="15">
      <c r="A1111" s="3">
        <f t="shared" si="50"/>
        <v>2076</v>
      </c>
      <c r="B1111" s="3">
        <f t="shared" si="40"/>
        <v>366</v>
      </c>
      <c r="C1111" s="35">
        <f t="shared" ca="1" si="51"/>
        <v>154.75825</v>
      </c>
      <c r="D1111" s="35">
        <f t="shared" ca="1" si="51"/>
        <v>281.0162499999999</v>
      </c>
      <c r="E1111" s="35">
        <f t="shared" ca="1" si="51"/>
        <v>780.7254999999999</v>
      </c>
      <c r="F1111" s="35">
        <f t="shared" ca="1" si="51"/>
        <v>1216.5</v>
      </c>
      <c r="G1111" s="35">
        <f t="shared" ca="1" si="51"/>
        <v>79.166666666666671</v>
      </c>
      <c r="H1111" s="35">
        <f t="shared" ca="1" si="51"/>
        <v>600</v>
      </c>
      <c r="I1111" s="35">
        <f t="shared" ca="1" si="51"/>
        <v>695</v>
      </c>
      <c r="J1111" s="35">
        <f t="shared" ca="1" si="51"/>
        <v>33.333333333333336</v>
      </c>
      <c r="K1111" s="36"/>
      <c r="L1111" s="36"/>
      <c r="M1111" s="36"/>
      <c r="N1111" s="36"/>
      <c r="O1111" s="36"/>
      <c r="P1111" s="36"/>
      <c r="Q1111" s="36"/>
      <c r="R1111" s="36"/>
      <c r="S1111" s="36"/>
      <c r="T1111" s="36"/>
    </row>
    <row r="1112" spans="1:20" ht="15">
      <c r="A1112" s="3">
        <f t="shared" si="50"/>
        <v>2077</v>
      </c>
      <c r="B1112" s="3">
        <f t="shared" si="40"/>
        <v>365</v>
      </c>
      <c r="C1112" s="35">
        <f t="shared" ca="1" si="51"/>
        <v>154.75825</v>
      </c>
      <c r="D1112" s="35">
        <f t="shared" ca="1" si="51"/>
        <v>281.0162499999999</v>
      </c>
      <c r="E1112" s="35">
        <f t="shared" ca="1" si="51"/>
        <v>780.7254999999999</v>
      </c>
      <c r="F1112" s="35">
        <f t="shared" ca="1" si="51"/>
        <v>1216.5</v>
      </c>
      <c r="G1112" s="35">
        <f t="shared" ca="1" si="51"/>
        <v>79.166666666666671</v>
      </c>
      <c r="H1112" s="35">
        <f t="shared" ca="1" si="51"/>
        <v>600</v>
      </c>
      <c r="I1112" s="35">
        <f t="shared" ca="1" si="51"/>
        <v>695</v>
      </c>
      <c r="J1112" s="35">
        <f t="shared" ca="1" si="51"/>
        <v>33.333333333333336</v>
      </c>
      <c r="K1112" s="36"/>
      <c r="L1112" s="36"/>
      <c r="M1112" s="36"/>
      <c r="N1112" s="36"/>
      <c r="O1112" s="36"/>
      <c r="P1112" s="36"/>
      <c r="Q1112" s="36"/>
      <c r="R1112" s="36"/>
      <c r="S1112" s="36"/>
      <c r="T1112" s="36"/>
    </row>
    <row r="1113" spans="1:20" ht="15">
      <c r="A1113" s="3">
        <f t="shared" si="50"/>
        <v>2078</v>
      </c>
      <c r="B1113" s="3">
        <f t="shared" si="40"/>
        <v>365</v>
      </c>
      <c r="C1113" s="35">
        <f t="shared" ca="1" si="51"/>
        <v>154.75825</v>
      </c>
      <c r="D1113" s="35">
        <f t="shared" ca="1" si="51"/>
        <v>281.0162499999999</v>
      </c>
      <c r="E1113" s="35">
        <f t="shared" ca="1" si="51"/>
        <v>780.7254999999999</v>
      </c>
      <c r="F1113" s="35">
        <f t="shared" ca="1" si="51"/>
        <v>1216.5</v>
      </c>
      <c r="G1113" s="35">
        <f t="shared" ca="1" si="51"/>
        <v>79.166666666666671</v>
      </c>
      <c r="H1113" s="35">
        <f t="shared" ca="1" si="51"/>
        <v>600</v>
      </c>
      <c r="I1113" s="35">
        <f t="shared" ca="1" si="51"/>
        <v>695</v>
      </c>
      <c r="J1113" s="35">
        <f t="shared" ca="1" si="51"/>
        <v>33.333333333333336</v>
      </c>
      <c r="K1113" s="36"/>
      <c r="L1113" s="36"/>
      <c r="M1113" s="36"/>
      <c r="N1113" s="36"/>
      <c r="O1113" s="36"/>
      <c r="P1113" s="36"/>
      <c r="Q1113" s="36"/>
      <c r="R1113" s="36"/>
      <c r="S1113" s="36"/>
      <c r="T1113" s="36"/>
    </row>
    <row r="1114" spans="1:20" ht="15">
      <c r="A1114" s="3">
        <f t="shared" si="50"/>
        <v>2079</v>
      </c>
      <c r="B1114" s="3">
        <f t="shared" ref="B1114:B1135" si="52">DATE(A1114+1,1,1)-DATE(A1114,1,1)</f>
        <v>365</v>
      </c>
      <c r="C1114" s="35">
        <f t="shared" ca="1" si="51"/>
        <v>154.75825</v>
      </c>
      <c r="D1114" s="35">
        <f t="shared" ca="1" si="51"/>
        <v>281.0162499999999</v>
      </c>
      <c r="E1114" s="35">
        <f t="shared" ca="1" si="51"/>
        <v>780.7254999999999</v>
      </c>
      <c r="F1114" s="35">
        <f t="shared" ca="1" si="51"/>
        <v>1216.5</v>
      </c>
      <c r="G1114" s="35">
        <f t="shared" ca="1" si="51"/>
        <v>79.166666666666671</v>
      </c>
      <c r="H1114" s="35">
        <f t="shared" ca="1" si="51"/>
        <v>600</v>
      </c>
      <c r="I1114" s="35">
        <f t="shared" ca="1" si="51"/>
        <v>695</v>
      </c>
      <c r="J1114" s="35">
        <f t="shared" ca="1" si="51"/>
        <v>33.333333333333336</v>
      </c>
      <c r="K1114" s="36"/>
      <c r="L1114" s="36"/>
      <c r="M1114" s="36"/>
      <c r="N1114" s="36"/>
      <c r="O1114" s="36"/>
      <c r="P1114" s="36"/>
      <c r="Q1114" s="36"/>
      <c r="R1114" s="36"/>
      <c r="S1114" s="36"/>
      <c r="T1114" s="36"/>
    </row>
    <row r="1115" spans="1:20" ht="15">
      <c r="A1115" s="3">
        <f t="shared" si="50"/>
        <v>2080</v>
      </c>
      <c r="B1115" s="3">
        <f t="shared" si="52"/>
        <v>366</v>
      </c>
      <c r="C1115" s="35">
        <f t="shared" ca="1" si="51"/>
        <v>154.75825</v>
      </c>
      <c r="D1115" s="35">
        <f t="shared" ca="1" si="51"/>
        <v>281.0162499999999</v>
      </c>
      <c r="E1115" s="35">
        <f t="shared" ca="1" si="51"/>
        <v>780.7254999999999</v>
      </c>
      <c r="F1115" s="35">
        <f t="shared" ca="1" si="51"/>
        <v>1216.5</v>
      </c>
      <c r="G1115" s="35">
        <f t="shared" ca="1" si="51"/>
        <v>79.166666666666671</v>
      </c>
      <c r="H1115" s="35">
        <f t="shared" ca="1" si="51"/>
        <v>600</v>
      </c>
      <c r="I1115" s="35">
        <f t="shared" ca="1" si="51"/>
        <v>695</v>
      </c>
      <c r="J1115" s="35">
        <f t="shared" ca="1" si="51"/>
        <v>33.333333333333336</v>
      </c>
      <c r="K1115" s="36"/>
      <c r="L1115" s="36"/>
      <c r="M1115" s="36"/>
      <c r="N1115" s="36"/>
      <c r="O1115" s="36"/>
      <c r="P1115" s="36"/>
      <c r="Q1115" s="36"/>
      <c r="R1115" s="36"/>
      <c r="S1115" s="36"/>
      <c r="T1115" s="36"/>
    </row>
    <row r="1116" spans="1:20" ht="15">
      <c r="A1116" s="3">
        <f t="shared" si="50"/>
        <v>2081</v>
      </c>
      <c r="B1116" s="3">
        <f t="shared" si="52"/>
        <v>365</v>
      </c>
      <c r="C1116" s="35">
        <f t="shared" ca="1" si="51"/>
        <v>154.75825</v>
      </c>
      <c r="D1116" s="35">
        <f t="shared" ca="1" si="51"/>
        <v>281.0162499999999</v>
      </c>
      <c r="E1116" s="35">
        <f t="shared" ca="1" si="51"/>
        <v>780.7254999999999</v>
      </c>
      <c r="F1116" s="35">
        <f t="shared" ca="1" si="51"/>
        <v>1216.5</v>
      </c>
      <c r="G1116" s="35">
        <f t="shared" ca="1" si="51"/>
        <v>79.166666666666671</v>
      </c>
      <c r="H1116" s="35">
        <f t="shared" ca="1" si="51"/>
        <v>600</v>
      </c>
      <c r="I1116" s="35">
        <f t="shared" ca="1" si="51"/>
        <v>695</v>
      </c>
      <c r="J1116" s="35">
        <f t="shared" ca="1" si="51"/>
        <v>33.333333333333336</v>
      </c>
      <c r="K1116" s="36"/>
      <c r="L1116" s="36"/>
      <c r="M1116" s="36"/>
      <c r="N1116" s="36"/>
      <c r="O1116" s="36"/>
      <c r="P1116" s="36"/>
      <c r="Q1116" s="36"/>
      <c r="R1116" s="36"/>
      <c r="S1116" s="36"/>
      <c r="T1116" s="36"/>
    </row>
    <row r="1117" spans="1:20" ht="15">
      <c r="A1117" s="3">
        <f t="shared" si="50"/>
        <v>2082</v>
      </c>
      <c r="B1117" s="3">
        <f t="shared" si="52"/>
        <v>365</v>
      </c>
      <c r="C1117" s="35">
        <f t="shared" ref="C1117:J1126" ca="1" si="53">AVERAGE(OFFSET(C$581,($A1117-$A$1097)*12,0,12,1))</f>
        <v>154.75825</v>
      </c>
      <c r="D1117" s="35">
        <f t="shared" ca="1" si="53"/>
        <v>281.0162499999999</v>
      </c>
      <c r="E1117" s="35">
        <f t="shared" ca="1" si="53"/>
        <v>780.7254999999999</v>
      </c>
      <c r="F1117" s="35">
        <f t="shared" ca="1" si="53"/>
        <v>1216.5</v>
      </c>
      <c r="G1117" s="35">
        <f t="shared" ca="1" si="53"/>
        <v>79.166666666666671</v>
      </c>
      <c r="H1117" s="35">
        <f t="shared" ca="1" si="53"/>
        <v>600</v>
      </c>
      <c r="I1117" s="35">
        <f t="shared" ca="1" si="53"/>
        <v>695</v>
      </c>
      <c r="J1117" s="35">
        <f t="shared" ca="1" si="53"/>
        <v>33.333333333333336</v>
      </c>
      <c r="K1117" s="36"/>
      <c r="L1117" s="36"/>
      <c r="M1117" s="36"/>
      <c r="N1117" s="36"/>
      <c r="O1117" s="36"/>
      <c r="P1117" s="36"/>
      <c r="Q1117" s="36"/>
      <c r="R1117" s="36"/>
      <c r="S1117" s="36"/>
      <c r="T1117" s="36"/>
    </row>
    <row r="1118" spans="1:20" ht="15">
      <c r="A1118" s="3">
        <f t="shared" si="50"/>
        <v>2083</v>
      </c>
      <c r="B1118" s="3">
        <f t="shared" si="52"/>
        <v>365</v>
      </c>
      <c r="C1118" s="35">
        <f t="shared" ca="1" si="53"/>
        <v>154.75825</v>
      </c>
      <c r="D1118" s="35">
        <f t="shared" ca="1" si="53"/>
        <v>281.0162499999999</v>
      </c>
      <c r="E1118" s="35">
        <f t="shared" ca="1" si="53"/>
        <v>780.7254999999999</v>
      </c>
      <c r="F1118" s="35">
        <f t="shared" ca="1" si="53"/>
        <v>1216.5</v>
      </c>
      <c r="G1118" s="35">
        <f t="shared" ca="1" si="53"/>
        <v>79.166666666666671</v>
      </c>
      <c r="H1118" s="35">
        <f t="shared" ca="1" si="53"/>
        <v>600</v>
      </c>
      <c r="I1118" s="35">
        <f t="shared" ca="1" si="53"/>
        <v>695</v>
      </c>
      <c r="J1118" s="35">
        <f t="shared" ca="1" si="53"/>
        <v>33.333333333333336</v>
      </c>
      <c r="K1118" s="36"/>
      <c r="L1118" s="36"/>
      <c r="M1118" s="36"/>
      <c r="N1118" s="36"/>
      <c r="O1118" s="36"/>
      <c r="P1118" s="36"/>
      <c r="Q1118" s="36"/>
      <c r="R1118" s="36"/>
      <c r="S1118" s="36"/>
      <c r="T1118" s="36"/>
    </row>
    <row r="1119" spans="1:20" ht="15">
      <c r="A1119" s="3">
        <f t="shared" si="50"/>
        <v>2084</v>
      </c>
      <c r="B1119" s="3">
        <f t="shared" si="52"/>
        <v>366</v>
      </c>
      <c r="C1119" s="35">
        <f t="shared" ca="1" si="53"/>
        <v>154.75825</v>
      </c>
      <c r="D1119" s="35">
        <f t="shared" ca="1" si="53"/>
        <v>281.0162499999999</v>
      </c>
      <c r="E1119" s="35">
        <f t="shared" ca="1" si="53"/>
        <v>780.7254999999999</v>
      </c>
      <c r="F1119" s="35">
        <f t="shared" ca="1" si="53"/>
        <v>1216.5</v>
      </c>
      <c r="G1119" s="35">
        <f t="shared" ca="1" si="53"/>
        <v>79.166666666666671</v>
      </c>
      <c r="H1119" s="35">
        <f t="shared" ca="1" si="53"/>
        <v>600</v>
      </c>
      <c r="I1119" s="35">
        <f t="shared" ca="1" si="53"/>
        <v>695</v>
      </c>
      <c r="J1119" s="35">
        <f t="shared" ca="1" si="53"/>
        <v>33.333333333333336</v>
      </c>
      <c r="K1119" s="36"/>
      <c r="L1119" s="36"/>
      <c r="M1119" s="36"/>
      <c r="N1119" s="36"/>
      <c r="O1119" s="36"/>
      <c r="P1119" s="36"/>
      <c r="Q1119" s="36"/>
      <c r="R1119" s="36"/>
      <c r="S1119" s="36"/>
      <c r="T1119" s="36"/>
    </row>
    <row r="1120" spans="1:20" ht="15">
      <c r="A1120" s="3">
        <f t="shared" si="50"/>
        <v>2085</v>
      </c>
      <c r="B1120" s="3">
        <f t="shared" si="52"/>
        <v>365</v>
      </c>
      <c r="C1120" s="35">
        <f t="shared" ca="1" si="53"/>
        <v>154.75825</v>
      </c>
      <c r="D1120" s="35">
        <f t="shared" ca="1" si="53"/>
        <v>281.0162499999999</v>
      </c>
      <c r="E1120" s="35">
        <f t="shared" ca="1" si="53"/>
        <v>780.7254999999999</v>
      </c>
      <c r="F1120" s="35">
        <f t="shared" ca="1" si="53"/>
        <v>1216.5</v>
      </c>
      <c r="G1120" s="35">
        <f t="shared" ca="1" si="53"/>
        <v>79.166666666666671</v>
      </c>
      <c r="H1120" s="35">
        <f t="shared" ca="1" si="53"/>
        <v>600</v>
      </c>
      <c r="I1120" s="35">
        <f t="shared" ca="1" si="53"/>
        <v>695</v>
      </c>
      <c r="J1120" s="35">
        <f t="shared" ca="1" si="53"/>
        <v>33.333333333333336</v>
      </c>
      <c r="K1120" s="36"/>
      <c r="L1120" s="36"/>
      <c r="M1120" s="36"/>
      <c r="N1120" s="36"/>
      <c r="O1120" s="36"/>
      <c r="P1120" s="36"/>
      <c r="Q1120" s="36"/>
      <c r="R1120" s="36"/>
      <c r="S1120" s="36"/>
      <c r="T1120" s="36"/>
    </row>
    <row r="1121" spans="1:20" ht="15">
      <c r="A1121" s="3">
        <f t="shared" si="50"/>
        <v>2086</v>
      </c>
      <c r="B1121" s="3">
        <f t="shared" si="52"/>
        <v>365</v>
      </c>
      <c r="C1121" s="35">
        <f t="shared" ca="1" si="53"/>
        <v>154.75825</v>
      </c>
      <c r="D1121" s="35">
        <f t="shared" ca="1" si="53"/>
        <v>281.0162499999999</v>
      </c>
      <c r="E1121" s="35">
        <f t="shared" ca="1" si="53"/>
        <v>780.7254999999999</v>
      </c>
      <c r="F1121" s="35">
        <f t="shared" ca="1" si="53"/>
        <v>1216.5</v>
      </c>
      <c r="G1121" s="35">
        <f t="shared" ca="1" si="53"/>
        <v>79.166666666666671</v>
      </c>
      <c r="H1121" s="35">
        <f t="shared" ca="1" si="53"/>
        <v>600</v>
      </c>
      <c r="I1121" s="35">
        <f t="shared" ca="1" si="53"/>
        <v>695</v>
      </c>
      <c r="J1121" s="35">
        <f t="shared" ca="1" si="53"/>
        <v>33.333333333333336</v>
      </c>
      <c r="K1121" s="36"/>
      <c r="L1121" s="36"/>
      <c r="M1121" s="36"/>
      <c r="N1121" s="36"/>
      <c r="O1121" s="36"/>
      <c r="P1121" s="36"/>
      <c r="Q1121" s="36"/>
      <c r="R1121" s="36"/>
      <c r="S1121" s="36"/>
      <c r="T1121" s="36"/>
    </row>
    <row r="1122" spans="1:20" ht="15">
      <c r="A1122" s="3">
        <f t="shared" si="50"/>
        <v>2087</v>
      </c>
      <c r="B1122" s="3">
        <f t="shared" si="52"/>
        <v>365</v>
      </c>
      <c r="C1122" s="35">
        <f t="shared" ca="1" si="53"/>
        <v>154.75825</v>
      </c>
      <c r="D1122" s="35">
        <f t="shared" ca="1" si="53"/>
        <v>281.0162499999999</v>
      </c>
      <c r="E1122" s="35">
        <f t="shared" ca="1" si="53"/>
        <v>780.7254999999999</v>
      </c>
      <c r="F1122" s="35">
        <f t="shared" ca="1" si="53"/>
        <v>1216.5</v>
      </c>
      <c r="G1122" s="35">
        <f t="shared" ca="1" si="53"/>
        <v>79.166666666666671</v>
      </c>
      <c r="H1122" s="35">
        <f t="shared" ca="1" si="53"/>
        <v>600</v>
      </c>
      <c r="I1122" s="35">
        <f t="shared" ca="1" si="53"/>
        <v>695</v>
      </c>
      <c r="J1122" s="35">
        <f t="shared" ca="1" si="53"/>
        <v>33.333333333333336</v>
      </c>
      <c r="K1122" s="36"/>
      <c r="L1122" s="36"/>
      <c r="M1122" s="36"/>
      <c r="N1122" s="36"/>
      <c r="O1122" s="36"/>
      <c r="P1122" s="36"/>
      <c r="Q1122" s="36"/>
      <c r="R1122" s="36"/>
      <c r="S1122" s="36"/>
      <c r="T1122" s="36"/>
    </row>
    <row r="1123" spans="1:20" ht="15">
      <c r="A1123" s="3">
        <f t="shared" si="50"/>
        <v>2088</v>
      </c>
      <c r="B1123" s="3">
        <f t="shared" si="52"/>
        <v>366</v>
      </c>
      <c r="C1123" s="35">
        <f t="shared" ca="1" si="53"/>
        <v>154.75825</v>
      </c>
      <c r="D1123" s="35">
        <f t="shared" ca="1" si="53"/>
        <v>281.0162499999999</v>
      </c>
      <c r="E1123" s="35">
        <f t="shared" ca="1" si="53"/>
        <v>780.7254999999999</v>
      </c>
      <c r="F1123" s="35">
        <f t="shared" ca="1" si="53"/>
        <v>1216.5</v>
      </c>
      <c r="G1123" s="35">
        <f t="shared" ca="1" si="53"/>
        <v>79.166666666666671</v>
      </c>
      <c r="H1123" s="35">
        <f t="shared" ca="1" si="53"/>
        <v>600</v>
      </c>
      <c r="I1123" s="35">
        <f t="shared" ca="1" si="53"/>
        <v>695</v>
      </c>
      <c r="J1123" s="35">
        <f t="shared" ca="1" si="53"/>
        <v>33.333333333333336</v>
      </c>
      <c r="K1123" s="36"/>
      <c r="L1123" s="36"/>
      <c r="M1123" s="36"/>
      <c r="N1123" s="36"/>
      <c r="O1123" s="36"/>
      <c r="P1123" s="36"/>
      <c r="Q1123" s="36"/>
      <c r="R1123" s="36"/>
      <c r="S1123" s="36"/>
      <c r="T1123" s="36"/>
    </row>
    <row r="1124" spans="1:20" ht="15">
      <c r="A1124" s="3">
        <f t="shared" si="50"/>
        <v>2089</v>
      </c>
      <c r="B1124" s="3">
        <f t="shared" si="52"/>
        <v>365</v>
      </c>
      <c r="C1124" s="35">
        <f t="shared" ca="1" si="53"/>
        <v>154.75825</v>
      </c>
      <c r="D1124" s="35">
        <f t="shared" ca="1" si="53"/>
        <v>281.0162499999999</v>
      </c>
      <c r="E1124" s="35">
        <f t="shared" ca="1" si="53"/>
        <v>780.7254999999999</v>
      </c>
      <c r="F1124" s="35">
        <f t="shared" ca="1" si="53"/>
        <v>1216.5</v>
      </c>
      <c r="G1124" s="35">
        <f t="shared" ca="1" si="53"/>
        <v>79.166666666666671</v>
      </c>
      <c r="H1124" s="35">
        <f t="shared" ca="1" si="53"/>
        <v>600</v>
      </c>
      <c r="I1124" s="35">
        <f t="shared" ca="1" si="53"/>
        <v>695</v>
      </c>
      <c r="J1124" s="35">
        <f t="shared" ca="1" si="53"/>
        <v>33.333333333333336</v>
      </c>
      <c r="K1124" s="36"/>
      <c r="L1124" s="36"/>
      <c r="M1124" s="36"/>
      <c r="N1124" s="36"/>
      <c r="O1124" s="36"/>
      <c r="P1124" s="36"/>
      <c r="Q1124" s="36"/>
      <c r="R1124" s="36"/>
      <c r="S1124" s="36"/>
      <c r="T1124" s="36"/>
    </row>
    <row r="1125" spans="1:20" ht="15">
      <c r="A1125" s="3">
        <f t="shared" si="50"/>
        <v>2090</v>
      </c>
      <c r="B1125" s="3">
        <f t="shared" si="52"/>
        <v>365</v>
      </c>
      <c r="C1125" s="35">
        <f t="shared" ca="1" si="53"/>
        <v>154.75825</v>
      </c>
      <c r="D1125" s="35">
        <f t="shared" ca="1" si="53"/>
        <v>281.0162499999999</v>
      </c>
      <c r="E1125" s="35">
        <f t="shared" ca="1" si="53"/>
        <v>780.7254999999999</v>
      </c>
      <c r="F1125" s="35">
        <f t="shared" ca="1" si="53"/>
        <v>1216.5</v>
      </c>
      <c r="G1125" s="35">
        <f t="shared" ca="1" si="53"/>
        <v>79.166666666666671</v>
      </c>
      <c r="H1125" s="35">
        <f t="shared" ca="1" si="53"/>
        <v>600</v>
      </c>
      <c r="I1125" s="35">
        <f t="shared" ca="1" si="53"/>
        <v>695</v>
      </c>
      <c r="J1125" s="35">
        <f t="shared" ca="1" si="53"/>
        <v>33.333333333333336</v>
      </c>
      <c r="K1125" s="36"/>
      <c r="L1125" s="36"/>
      <c r="M1125" s="36"/>
      <c r="N1125" s="36"/>
      <c r="O1125" s="36"/>
      <c r="P1125" s="36"/>
      <c r="Q1125" s="36"/>
      <c r="R1125" s="36"/>
      <c r="S1125" s="36"/>
      <c r="T1125" s="36"/>
    </row>
    <row r="1126" spans="1:20" ht="15">
      <c r="A1126" s="3">
        <f t="shared" si="50"/>
        <v>2091</v>
      </c>
      <c r="B1126" s="3">
        <f t="shared" si="52"/>
        <v>365</v>
      </c>
      <c r="C1126" s="35">
        <f t="shared" ca="1" si="53"/>
        <v>154.75825</v>
      </c>
      <c r="D1126" s="35">
        <f t="shared" ca="1" si="53"/>
        <v>281.0162499999999</v>
      </c>
      <c r="E1126" s="35">
        <f t="shared" ca="1" si="53"/>
        <v>780.7254999999999</v>
      </c>
      <c r="F1126" s="35">
        <f t="shared" ca="1" si="53"/>
        <v>1216.5</v>
      </c>
      <c r="G1126" s="35">
        <f t="shared" ca="1" si="53"/>
        <v>79.166666666666671</v>
      </c>
      <c r="H1126" s="35">
        <f t="shared" ca="1" si="53"/>
        <v>600</v>
      </c>
      <c r="I1126" s="35">
        <f t="shared" ca="1" si="53"/>
        <v>695</v>
      </c>
      <c r="J1126" s="35">
        <f t="shared" ca="1" si="53"/>
        <v>33.333333333333336</v>
      </c>
    </row>
    <row r="1127" spans="1:20" ht="15">
      <c r="A1127" s="3">
        <f t="shared" si="50"/>
        <v>2092</v>
      </c>
      <c r="B1127" s="3">
        <f t="shared" si="52"/>
        <v>366</v>
      </c>
      <c r="C1127" s="35">
        <f t="shared" ref="C1127:J1135" ca="1" si="54">AVERAGE(OFFSET(C$581,($A1127-$A$1097)*12,0,12,1))</f>
        <v>154.75825</v>
      </c>
      <c r="D1127" s="35">
        <f t="shared" ca="1" si="54"/>
        <v>281.0162499999999</v>
      </c>
      <c r="E1127" s="35">
        <f t="shared" ca="1" si="54"/>
        <v>780.7254999999999</v>
      </c>
      <c r="F1127" s="35">
        <f t="shared" ca="1" si="54"/>
        <v>1216.5</v>
      </c>
      <c r="G1127" s="35">
        <f t="shared" ca="1" si="54"/>
        <v>79.166666666666671</v>
      </c>
      <c r="H1127" s="35">
        <f t="shared" ca="1" si="54"/>
        <v>600</v>
      </c>
      <c r="I1127" s="35">
        <f t="shared" ca="1" si="54"/>
        <v>695</v>
      </c>
      <c r="J1127" s="35">
        <f t="shared" ca="1" si="54"/>
        <v>33.333333333333336</v>
      </c>
    </row>
    <row r="1128" spans="1:20" ht="15">
      <c r="A1128" s="3">
        <f t="shared" si="50"/>
        <v>2093</v>
      </c>
      <c r="B1128" s="3">
        <f t="shared" si="52"/>
        <v>365</v>
      </c>
      <c r="C1128" s="35">
        <f t="shared" ca="1" si="54"/>
        <v>154.75825</v>
      </c>
      <c r="D1128" s="35">
        <f t="shared" ca="1" si="54"/>
        <v>281.0162499999999</v>
      </c>
      <c r="E1128" s="35">
        <f t="shared" ca="1" si="54"/>
        <v>780.7254999999999</v>
      </c>
      <c r="F1128" s="35">
        <f t="shared" ca="1" si="54"/>
        <v>1216.5</v>
      </c>
      <c r="G1128" s="35">
        <f t="shared" ca="1" si="54"/>
        <v>79.166666666666671</v>
      </c>
      <c r="H1128" s="35">
        <f t="shared" ca="1" si="54"/>
        <v>600</v>
      </c>
      <c r="I1128" s="35">
        <f t="shared" ca="1" si="54"/>
        <v>695</v>
      </c>
      <c r="J1128" s="35">
        <f t="shared" ca="1" si="54"/>
        <v>33.333333333333336</v>
      </c>
    </row>
    <row r="1129" spans="1:20" ht="15">
      <c r="A1129" s="3">
        <f t="shared" si="50"/>
        <v>2094</v>
      </c>
      <c r="B1129" s="3">
        <f t="shared" si="52"/>
        <v>365</v>
      </c>
      <c r="C1129" s="35">
        <f t="shared" ca="1" si="54"/>
        <v>154.75825</v>
      </c>
      <c r="D1129" s="35">
        <f t="shared" ca="1" si="54"/>
        <v>281.0162499999999</v>
      </c>
      <c r="E1129" s="35">
        <f t="shared" ca="1" si="54"/>
        <v>780.7254999999999</v>
      </c>
      <c r="F1129" s="35">
        <f t="shared" ca="1" si="54"/>
        <v>1216.5</v>
      </c>
      <c r="G1129" s="35">
        <f t="shared" ca="1" si="54"/>
        <v>79.166666666666671</v>
      </c>
      <c r="H1129" s="35">
        <f t="shared" ca="1" si="54"/>
        <v>600</v>
      </c>
      <c r="I1129" s="35">
        <f t="shared" ca="1" si="54"/>
        <v>695</v>
      </c>
      <c r="J1129" s="35">
        <f t="shared" ca="1" si="54"/>
        <v>33.333333333333336</v>
      </c>
    </row>
    <row r="1130" spans="1:20" ht="15">
      <c r="A1130" s="3">
        <f t="shared" si="50"/>
        <v>2095</v>
      </c>
      <c r="B1130" s="3">
        <f t="shared" si="52"/>
        <v>365</v>
      </c>
      <c r="C1130" s="35">
        <f t="shared" ca="1" si="54"/>
        <v>154.75825</v>
      </c>
      <c r="D1130" s="35">
        <f t="shared" ca="1" si="54"/>
        <v>281.0162499999999</v>
      </c>
      <c r="E1130" s="35">
        <f t="shared" ca="1" si="54"/>
        <v>780.7254999999999</v>
      </c>
      <c r="F1130" s="35">
        <f t="shared" ca="1" si="54"/>
        <v>1216.5</v>
      </c>
      <c r="G1130" s="35">
        <f t="shared" ca="1" si="54"/>
        <v>79.166666666666671</v>
      </c>
      <c r="H1130" s="35">
        <f t="shared" ca="1" si="54"/>
        <v>600</v>
      </c>
      <c r="I1130" s="35">
        <f t="shared" ca="1" si="54"/>
        <v>695</v>
      </c>
      <c r="J1130" s="35">
        <f t="shared" ca="1" si="54"/>
        <v>33.333333333333336</v>
      </c>
    </row>
    <row r="1131" spans="1:20" ht="15">
      <c r="A1131" s="3">
        <f t="shared" si="50"/>
        <v>2096</v>
      </c>
      <c r="B1131" s="3">
        <f t="shared" si="52"/>
        <v>366</v>
      </c>
      <c r="C1131" s="35">
        <f t="shared" ca="1" si="54"/>
        <v>154.75825</v>
      </c>
      <c r="D1131" s="35">
        <f t="shared" ca="1" si="54"/>
        <v>281.0162499999999</v>
      </c>
      <c r="E1131" s="35">
        <f t="shared" ca="1" si="54"/>
        <v>780.7254999999999</v>
      </c>
      <c r="F1131" s="35">
        <f t="shared" ca="1" si="54"/>
        <v>1216.5</v>
      </c>
      <c r="G1131" s="35">
        <f t="shared" ca="1" si="54"/>
        <v>79.166666666666671</v>
      </c>
      <c r="H1131" s="35">
        <f t="shared" ca="1" si="54"/>
        <v>600</v>
      </c>
      <c r="I1131" s="35">
        <f t="shared" ca="1" si="54"/>
        <v>695</v>
      </c>
      <c r="J1131" s="35">
        <f t="shared" ca="1" si="54"/>
        <v>33.333333333333336</v>
      </c>
    </row>
    <row r="1132" spans="1:20" ht="15">
      <c r="A1132" s="3">
        <f t="shared" si="50"/>
        <v>2097</v>
      </c>
      <c r="B1132" s="3">
        <f t="shared" si="52"/>
        <v>365</v>
      </c>
      <c r="C1132" s="35">
        <f t="shared" ca="1" si="54"/>
        <v>154.75825</v>
      </c>
      <c r="D1132" s="35">
        <f t="shared" ca="1" si="54"/>
        <v>281.0162499999999</v>
      </c>
      <c r="E1132" s="35">
        <f t="shared" ca="1" si="54"/>
        <v>780.7254999999999</v>
      </c>
      <c r="F1132" s="35">
        <f t="shared" ca="1" si="54"/>
        <v>1216.5</v>
      </c>
      <c r="G1132" s="35">
        <f t="shared" ca="1" si="54"/>
        <v>79.166666666666671</v>
      </c>
      <c r="H1132" s="35">
        <f t="shared" ca="1" si="54"/>
        <v>600</v>
      </c>
      <c r="I1132" s="35">
        <f t="shared" ca="1" si="54"/>
        <v>695</v>
      </c>
      <c r="J1132" s="35">
        <f t="shared" ca="1" si="54"/>
        <v>33.333333333333336</v>
      </c>
    </row>
    <row r="1133" spans="1:20" ht="15">
      <c r="A1133" s="3">
        <f t="shared" si="50"/>
        <v>2098</v>
      </c>
      <c r="B1133" s="3">
        <f t="shared" si="52"/>
        <v>365</v>
      </c>
      <c r="C1133" s="35">
        <f t="shared" ca="1" si="54"/>
        <v>154.75825</v>
      </c>
      <c r="D1133" s="35">
        <f t="shared" ca="1" si="54"/>
        <v>281.0162499999999</v>
      </c>
      <c r="E1133" s="35">
        <f t="shared" ca="1" si="54"/>
        <v>780.7254999999999</v>
      </c>
      <c r="F1133" s="35">
        <f t="shared" ca="1" si="54"/>
        <v>1216.5</v>
      </c>
      <c r="G1133" s="35">
        <f t="shared" ca="1" si="54"/>
        <v>79.166666666666671</v>
      </c>
      <c r="H1133" s="35">
        <f t="shared" ca="1" si="54"/>
        <v>600</v>
      </c>
      <c r="I1133" s="35">
        <f t="shared" ca="1" si="54"/>
        <v>695</v>
      </c>
      <c r="J1133" s="35">
        <f t="shared" ca="1" si="54"/>
        <v>33.333333333333336</v>
      </c>
    </row>
    <row r="1134" spans="1:20" ht="15">
      <c r="A1134" s="3">
        <f t="shared" si="50"/>
        <v>2099</v>
      </c>
      <c r="B1134" s="3">
        <f t="shared" si="52"/>
        <v>365</v>
      </c>
      <c r="C1134" s="35">
        <f t="shared" ca="1" si="54"/>
        <v>154.75825</v>
      </c>
      <c r="D1134" s="35">
        <f t="shared" ca="1" si="54"/>
        <v>281.0162499999999</v>
      </c>
      <c r="E1134" s="35">
        <f t="shared" ca="1" si="54"/>
        <v>780.7254999999999</v>
      </c>
      <c r="F1134" s="35">
        <f t="shared" ca="1" si="54"/>
        <v>1216.5</v>
      </c>
      <c r="G1134" s="35">
        <f t="shared" ca="1" si="54"/>
        <v>79.166666666666671</v>
      </c>
      <c r="H1134" s="35">
        <f t="shared" ca="1" si="54"/>
        <v>600</v>
      </c>
      <c r="I1134" s="35">
        <f t="shared" ca="1" si="54"/>
        <v>695</v>
      </c>
      <c r="J1134" s="35">
        <f t="shared" ca="1" si="54"/>
        <v>33.333333333333336</v>
      </c>
    </row>
    <row r="1135" spans="1:20" ht="15">
      <c r="A1135" s="3">
        <f t="shared" si="50"/>
        <v>2100</v>
      </c>
      <c r="B1135" s="3">
        <f t="shared" si="52"/>
        <v>365</v>
      </c>
      <c r="C1135" s="35">
        <f t="shared" ca="1" si="54"/>
        <v>154.75825</v>
      </c>
      <c r="D1135" s="35">
        <f t="shared" ca="1" si="54"/>
        <v>281.0162499999999</v>
      </c>
      <c r="E1135" s="35">
        <f t="shared" ca="1" si="54"/>
        <v>780.7254999999999</v>
      </c>
      <c r="F1135" s="35">
        <f t="shared" ca="1" si="54"/>
        <v>1216.5</v>
      </c>
      <c r="G1135" s="35">
        <f t="shared" ca="1" si="54"/>
        <v>79.166666666666671</v>
      </c>
      <c r="H1135" s="35">
        <f t="shared" ca="1" si="54"/>
        <v>600</v>
      </c>
      <c r="I1135" s="35">
        <f t="shared" ca="1" si="54"/>
        <v>695</v>
      </c>
      <c r="J1135" s="35">
        <f t="shared" ca="1" si="54"/>
        <v>33.333333333333336</v>
      </c>
    </row>
    <row r="1136" spans="1:20">
      <c r="A1136" s="32"/>
      <c r="B1136" s="32"/>
      <c r="C1136" s="34"/>
      <c r="D1136" s="34"/>
      <c r="E1136" s="34"/>
      <c r="F1136" s="34"/>
      <c r="G1136" s="34"/>
    </row>
    <row r="1137" spans="1:2">
      <c r="A1137" s="32"/>
      <c r="B1137" s="32"/>
    </row>
    <row r="1138" spans="1:2">
      <c r="A1138" s="32"/>
      <c r="B1138" s="32"/>
    </row>
    <row r="1139" spans="1:2">
      <c r="A1139" s="32"/>
      <c r="B1139" s="32"/>
    </row>
    <row r="1140" spans="1:2">
      <c r="A1140" s="32"/>
      <c r="B1140" s="32"/>
    </row>
    <row r="1141" spans="1:2">
      <c r="A1141" s="32"/>
      <c r="B1141" s="32"/>
    </row>
    <row r="1142" spans="1:2">
      <c r="A1142" s="32"/>
      <c r="B1142" s="32"/>
    </row>
    <row r="1143" spans="1:2">
      <c r="A1143" s="32"/>
      <c r="B1143" s="32"/>
    </row>
    <row r="1144" spans="1:2">
      <c r="A1144" s="32"/>
      <c r="B1144" s="32"/>
    </row>
    <row r="1145" spans="1:2">
      <c r="A1145" s="32"/>
      <c r="B1145" s="32"/>
    </row>
    <row r="1146" spans="1:2">
      <c r="A1146" s="32"/>
      <c r="B1146" s="32"/>
    </row>
    <row r="1147" spans="1:2">
      <c r="A1147" s="32"/>
      <c r="B1147" s="32"/>
    </row>
    <row r="1148" spans="1:2">
      <c r="A1148" s="32"/>
      <c r="B1148" s="32"/>
    </row>
    <row r="1149" spans="1:2">
      <c r="A1149" s="32"/>
      <c r="B1149" s="32"/>
    </row>
    <row r="1150" spans="1:2">
      <c r="A1150" s="32"/>
      <c r="B1150" s="32"/>
    </row>
    <row r="1151" spans="1:2">
      <c r="A1151" s="32"/>
      <c r="B1151" s="32"/>
    </row>
    <row r="1152" spans="1:2">
      <c r="A1152" s="32"/>
      <c r="B1152" s="32"/>
    </row>
    <row r="1153" spans="1:2">
      <c r="A1153" s="32"/>
      <c r="B1153" s="32"/>
    </row>
    <row r="1154" spans="1:2">
      <c r="A1154" s="32"/>
      <c r="B1154" s="32"/>
    </row>
    <row r="1155" spans="1:2">
      <c r="A1155" s="32"/>
      <c r="B1155" s="32"/>
    </row>
  </sheetData>
  <mergeCells count="1">
    <mergeCell ref="C14:E14"/>
  </mergeCells>
  <pageMargins left="0.25" right="0.25" top="0.5" bottom="0.5" header="0.25" footer="0.25"/>
  <pageSetup scale="75" orientation="portrait" horizontalDpi="1200" verticalDpi="1200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G1155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2.75"/>
  <cols>
    <col min="1" max="1" width="7.5546875" style="33" bestFit="1" customWidth="1"/>
    <col min="2" max="2" width="10" style="33" customWidth="1"/>
    <col min="3" max="3" width="12" style="33" customWidth="1"/>
    <col min="4" max="4" width="12.109375" style="33" bestFit="1" customWidth="1"/>
    <col min="5" max="5" width="8.44140625" style="33" bestFit="1" customWidth="1"/>
    <col min="6" max="16384" width="7.109375" style="32"/>
  </cols>
  <sheetData>
    <row r="1" spans="1:7" ht="15.75">
      <c r="A1" s="85" t="s">
        <v>64</v>
      </c>
    </row>
    <row r="2" spans="1:7" ht="15.75">
      <c r="A2" s="85" t="s">
        <v>65</v>
      </c>
    </row>
    <row r="3" spans="1:7" ht="15.75">
      <c r="A3" s="85" t="s">
        <v>66</v>
      </c>
    </row>
    <row r="4" spans="1:7" ht="15.75">
      <c r="A4" s="85" t="s">
        <v>67</v>
      </c>
    </row>
    <row r="5" spans="1:7" ht="15.75">
      <c r="A5" s="85" t="s">
        <v>69</v>
      </c>
    </row>
    <row r="6" spans="1:7" ht="15.75">
      <c r="A6" s="85" t="s">
        <v>72</v>
      </c>
    </row>
    <row r="8" spans="1:7" ht="20.25">
      <c r="A8" s="31" t="s">
        <v>43</v>
      </c>
    </row>
    <row r="9" spans="1:7" ht="15" customHeight="1">
      <c r="A9" s="57" t="s">
        <v>25</v>
      </c>
    </row>
    <row r="10" spans="1:7" ht="15" customHeight="1">
      <c r="A10" s="62"/>
      <c r="F10" s="60"/>
      <c r="G10" s="60"/>
    </row>
    <row r="11" spans="1:7" ht="15" customHeight="1">
      <c r="A11" s="62"/>
      <c r="B11" s="61"/>
      <c r="C11" s="61"/>
      <c r="D11" s="61"/>
      <c r="E11" s="61"/>
      <c r="F11" s="60"/>
      <c r="G11" s="60"/>
    </row>
    <row r="12" spans="1:7" ht="15" customHeight="1"/>
    <row r="13" spans="1:7" ht="15" customHeight="1">
      <c r="B13" s="59" t="s">
        <v>24</v>
      </c>
      <c r="C13" s="58">
        <f>1-0.261</f>
        <v>0.73899999999999999</v>
      </c>
      <c r="D13" s="59" t="s">
        <v>23</v>
      </c>
      <c r="E13" s="58">
        <f>1+0.261</f>
        <v>1.2610000000000001</v>
      </c>
    </row>
    <row r="14" spans="1:7" ht="15" customHeight="1">
      <c r="A14" s="57"/>
      <c r="B14" s="88" t="s">
        <v>42</v>
      </c>
      <c r="C14" s="88"/>
      <c r="D14" s="56" t="s">
        <v>41</v>
      </c>
      <c r="E14" s="51"/>
    </row>
    <row r="15" spans="1:7" s="54" customFormat="1" ht="63">
      <c r="B15" s="55" t="s">
        <v>40</v>
      </c>
      <c r="C15" s="55" t="s">
        <v>39</v>
      </c>
      <c r="D15" s="55" t="s">
        <v>38</v>
      </c>
      <c r="E15" s="23" t="s">
        <v>37</v>
      </c>
    </row>
    <row r="16" spans="1:7" s="54" customFormat="1" ht="21" customHeight="1">
      <c r="A16" s="20" t="s">
        <v>2</v>
      </c>
      <c r="B16" s="46" t="s">
        <v>1</v>
      </c>
      <c r="C16" s="46" t="s">
        <v>1</v>
      </c>
      <c r="D16" s="46" t="s">
        <v>1</v>
      </c>
      <c r="E16" s="20" t="s">
        <v>36</v>
      </c>
    </row>
    <row r="17" spans="1:5" ht="15">
      <c r="A17" s="13">
        <v>42005</v>
      </c>
      <c r="B17" s="4">
        <f>8.0406 * CHOOSE(CONTROL!$C$9, $C$13, 100%, $E$13) + CHOOSE(CONTROL!$C$28, 0.0003, 0)</f>
        <v>8.0408999999999988</v>
      </c>
      <c r="C17" s="4">
        <f>7.6773 * CHOOSE(CONTROL!$C$9, $C$13, 100%, $E$13) + CHOOSE(CONTROL!$C$28, 0.0003, 0)</f>
        <v>7.6776</v>
      </c>
      <c r="D17" s="4">
        <f>15.1549 * CHOOSE(CONTROL!$C$9, $C$13, 100%, $E$13) + CHOOSE(CONTROL!$C$28, 0, 0)</f>
        <v>15.1549</v>
      </c>
      <c r="E17" s="4">
        <f>56.52 * CHOOSE(CONTROL!$C$9, $C$13, 100%, $E$13) + CHOOSE(CONTROL!$C$28, 0, 0)</f>
        <v>56.52</v>
      </c>
    </row>
    <row r="18" spans="1:5" ht="15">
      <c r="A18" s="13">
        <v>42036</v>
      </c>
      <c r="B18" s="4">
        <f>9.525 * CHOOSE(CONTROL!$C$9, $C$13, 100%, $E$13) + CHOOSE(CONTROL!$C$28, 0.0003, 0)</f>
        <v>9.5252999999999997</v>
      </c>
      <c r="C18" s="4">
        <f>9.1617 * CHOOSE(CONTROL!$C$9, $C$13, 100%, $E$13) + CHOOSE(CONTROL!$C$28, 0.0003, 0)</f>
        <v>9.161999999999999</v>
      </c>
      <c r="D18" s="4">
        <f>14.0001 * CHOOSE(CONTROL!$C$9, $C$13, 100%, $E$13) + CHOOSE(CONTROL!$C$28, 0, 0)</f>
        <v>14.0001</v>
      </c>
      <c r="E18" s="4">
        <f>46.39 * CHOOSE(CONTROL!$C$9, $C$13, 100%, $E$13) + CHOOSE(CONTROL!$C$28, 0, 0)</f>
        <v>46.39</v>
      </c>
    </row>
    <row r="19" spans="1:5" ht="15">
      <c r="A19" s="13">
        <v>42064</v>
      </c>
      <c r="B19" s="4">
        <f>8.4906 * CHOOSE(CONTROL!$C$9, $C$13, 100%, $E$13) + CHOOSE(CONTROL!$C$28, 0.0003, 0)</f>
        <v>8.4908999999999999</v>
      </c>
      <c r="C19" s="4">
        <f>8.1273 * CHOOSE(CONTROL!$C$9, $C$13, 100%, $E$13) + CHOOSE(CONTROL!$C$28, 0.0003, 0)</f>
        <v>8.1275999999999993</v>
      </c>
      <c r="D19" s="4">
        <f>18.4133 * CHOOSE(CONTROL!$C$9, $C$13, 100%, $E$13) + CHOOSE(CONTROL!$C$28, 0, 0)</f>
        <v>18.4133</v>
      </c>
      <c r="E19" s="4">
        <f>50.34 * CHOOSE(CONTROL!$C$9, $C$13, 100%, $E$13) + CHOOSE(CONTROL!$C$28, 0, 0)</f>
        <v>50.34</v>
      </c>
    </row>
    <row r="20" spans="1:5" ht="15">
      <c r="A20" s="13">
        <v>42095</v>
      </c>
      <c r="B20" s="4">
        <f>8.6812 * CHOOSE(CONTROL!$C$9, $C$13, 100%, $E$13) + CHOOSE(CONTROL!$C$28, 0.0003, 0)</f>
        <v>8.6814999999999998</v>
      </c>
      <c r="C20" s="4">
        <f>8.318 * CHOOSE(CONTROL!$C$9, $C$13, 100%, $E$13) + CHOOSE(CONTROL!$C$28, 0.0003, 0)</f>
        <v>8.3182999999999989</v>
      </c>
      <c r="D20" s="4">
        <f>14.2277 * CHOOSE(CONTROL!$C$9, $C$13, 100%, $E$13) + CHOOSE(CONTROL!$C$28, 0, 0)</f>
        <v>14.2277</v>
      </c>
      <c r="E20" s="4">
        <f>45.72 * CHOOSE(CONTROL!$C$9, $C$13, 100%, $E$13) + CHOOSE(CONTROL!$C$28, 0, 0)</f>
        <v>45.72</v>
      </c>
    </row>
    <row r="21" spans="1:5" ht="15">
      <c r="A21" s="13">
        <v>42125</v>
      </c>
      <c r="B21" s="4">
        <f>9.1891 * CHOOSE(CONTROL!$C$9, $C$13, 100%, $E$13) + CHOOSE(CONTROL!$C$28, 0.0136, 0)</f>
        <v>9.2027000000000001</v>
      </c>
      <c r="C21" s="4">
        <f>8.8258 * CHOOSE(CONTROL!$C$9, $C$13, 100%, $E$13) + CHOOSE(CONTROL!$C$28, 0.0136, 0)</f>
        <v>8.8393999999999995</v>
      </c>
      <c r="D21" s="4">
        <f>16.0893 * CHOOSE(CONTROL!$C$9, $C$13, 100%, $E$13) + CHOOSE(CONTROL!$C$28, 0, 0)</f>
        <v>16.089300000000001</v>
      </c>
      <c r="E21" s="4">
        <f>55.26 * CHOOSE(CONTROL!$C$9, $C$13, 100%, $E$13) + CHOOSE(CONTROL!$C$28, 0, 0)</f>
        <v>55.26</v>
      </c>
    </row>
    <row r="22" spans="1:5" ht="15">
      <c r="A22" s="13">
        <v>42156</v>
      </c>
      <c r="B22" s="4">
        <f>9.8047 * CHOOSE(CONTROL!$C$9, $C$13, 100%, $E$13) + CHOOSE(CONTROL!$C$28, 0.0136, 0)</f>
        <v>9.8183000000000007</v>
      </c>
      <c r="C22" s="4">
        <f>9.4414 * CHOOSE(CONTROL!$C$9, $C$13, 100%, $E$13) + CHOOSE(CONTROL!$C$28, 0.0136, 0)</f>
        <v>9.4550000000000001</v>
      </c>
      <c r="D22" s="4">
        <f>15.938 * CHOOSE(CONTROL!$C$9, $C$13, 100%, $E$13) + CHOOSE(CONTROL!$C$28, 0, 0)</f>
        <v>15.938000000000001</v>
      </c>
      <c r="E22" s="4">
        <f>57.26 * CHOOSE(CONTROL!$C$9, $C$13, 100%, $E$13) + CHOOSE(CONTROL!$C$28, 0, 0)</f>
        <v>57.26</v>
      </c>
    </row>
    <row r="23" spans="1:5" ht="15">
      <c r="A23" s="13">
        <v>42186</v>
      </c>
      <c r="B23" s="4">
        <f>9.8281 * CHOOSE(CONTROL!$C$9, $C$13, 100%, $E$13) + CHOOSE(CONTROL!$C$28, 0.0136, 0)</f>
        <v>9.8416999999999994</v>
      </c>
      <c r="C23" s="4">
        <f>9.4648 * CHOOSE(CONTROL!$C$9, $C$13, 100%, $E$13) + CHOOSE(CONTROL!$C$28, 0.0136, 0)</f>
        <v>9.4784000000000006</v>
      </c>
      <c r="D23" s="4">
        <f>15.7298 * CHOOSE(CONTROL!$C$9, $C$13, 100%, $E$13) + CHOOSE(CONTROL!$C$28, 0, 0)</f>
        <v>15.729799999999999</v>
      </c>
      <c r="E23" s="4">
        <f>60.2 * CHOOSE(CONTROL!$C$9, $C$13, 100%, $E$13) + CHOOSE(CONTROL!$C$28, 0, 0)</f>
        <v>60.2</v>
      </c>
    </row>
    <row r="24" spans="1:5" ht="15">
      <c r="A24" s="13">
        <v>42217</v>
      </c>
      <c r="B24" s="4">
        <f>9.8828 * CHOOSE(CONTROL!$C$9, $C$13, 100%, $E$13) + CHOOSE(CONTROL!$C$28, 0.0136, 0)</f>
        <v>9.8963999999999999</v>
      </c>
      <c r="C24" s="4">
        <f>9.5195 * CHOOSE(CONTROL!$C$9, $C$13, 100%, $E$13) + CHOOSE(CONTROL!$C$28, 0.0136, 0)</f>
        <v>9.533100000000001</v>
      </c>
      <c r="D24" s="4">
        <f>15.791 * CHOOSE(CONTROL!$C$9, $C$13, 100%, $E$13) + CHOOSE(CONTROL!$C$28, 0, 0)</f>
        <v>15.791</v>
      </c>
      <c r="E24" s="4">
        <f>60.48 * CHOOSE(CONTROL!$C$9, $C$13, 100%, $E$13) + CHOOSE(CONTROL!$C$28, 0, 0)</f>
        <v>60.48</v>
      </c>
    </row>
    <row r="25" spans="1:5" ht="15">
      <c r="A25" s="13">
        <v>42248</v>
      </c>
      <c r="B25" s="4">
        <f>9.9375 * CHOOSE(CONTROL!$C$9, $C$13, 100%, $E$13) + CHOOSE(CONTROL!$C$28, 0.0136, 0)</f>
        <v>9.9511000000000003</v>
      </c>
      <c r="C25" s="4">
        <f>9.5742 * CHOOSE(CONTROL!$C$9, $C$13, 100%, $E$13) + CHOOSE(CONTROL!$C$28, 0.0136, 0)</f>
        <v>9.5877999999999997</v>
      </c>
      <c r="D25" s="4">
        <f>15.884 * CHOOSE(CONTROL!$C$9, $C$13, 100%, $E$13) + CHOOSE(CONTROL!$C$28, 0, 0)</f>
        <v>15.884</v>
      </c>
      <c r="E25" s="4">
        <f>60.62 * CHOOSE(CONTROL!$C$9, $C$13, 100%, $E$13) + CHOOSE(CONTROL!$C$28, 0, 0)</f>
        <v>60.62</v>
      </c>
    </row>
    <row r="26" spans="1:5" ht="15">
      <c r="A26" s="13">
        <v>42278</v>
      </c>
      <c r="B26" s="4">
        <f>9.9844 * CHOOSE(CONTROL!$C$9, $C$13, 100%, $E$13) + CHOOSE(CONTROL!$C$28, 0.0003, 0)</f>
        <v>9.9847000000000001</v>
      </c>
      <c r="C26" s="4">
        <f>9.6211 * CHOOSE(CONTROL!$C$9, $C$13, 100%, $E$13) + CHOOSE(CONTROL!$C$28, 0.0003, 0)</f>
        <v>9.6213999999999995</v>
      </c>
      <c r="D26" s="4">
        <f>15.9906 * CHOOSE(CONTROL!$C$9, $C$13, 100%, $E$13) + CHOOSE(CONTROL!$C$28, 0, 0)</f>
        <v>15.990600000000001</v>
      </c>
      <c r="E26" s="4">
        <f>60.72 * CHOOSE(CONTROL!$C$9, $C$13, 100%, $E$13) + CHOOSE(CONTROL!$C$28, 0, 0)</f>
        <v>60.72</v>
      </c>
    </row>
    <row r="27" spans="1:5" ht="15">
      <c r="A27" s="13">
        <v>42309</v>
      </c>
      <c r="B27" s="4">
        <f>10.0391 * CHOOSE(CONTROL!$C$9, $C$13, 100%, $E$13) + CHOOSE(CONTROL!$C$28, 0.0003, 0)</f>
        <v>10.039399999999999</v>
      </c>
      <c r="C27" s="4">
        <f>9.6758 * CHOOSE(CONTROL!$C$9, $C$13, 100%, $E$13) + CHOOSE(CONTROL!$C$28, 0.0003, 0)</f>
        <v>9.6760999999999999</v>
      </c>
      <c r="D27" s="4">
        <f>16.0922 * CHOOSE(CONTROL!$C$9, $C$13, 100%, $E$13) + CHOOSE(CONTROL!$C$28, 0, 0)</f>
        <v>16.092199999999998</v>
      </c>
      <c r="E27" s="4">
        <f>60.92 * CHOOSE(CONTROL!$C$9, $C$13, 100%, $E$13) + CHOOSE(CONTROL!$C$28, 0, 0)</f>
        <v>60.92</v>
      </c>
    </row>
    <row r="28" spans="1:5" ht="15">
      <c r="A28" s="13">
        <v>42339</v>
      </c>
      <c r="B28" s="4">
        <f>10.0938 * CHOOSE(CONTROL!$C$9, $C$13, 100%, $E$13) + CHOOSE(CONTROL!$C$28, 0.0003, 0)</f>
        <v>10.094099999999999</v>
      </c>
      <c r="C28" s="4">
        <f>9.7305 * CHOOSE(CONTROL!$C$9, $C$13, 100%, $E$13) + CHOOSE(CONTROL!$C$28, 0.0003, 0)</f>
        <v>9.7307999999999986</v>
      </c>
      <c r="D28" s="4">
        <f>16.1822 * CHOOSE(CONTROL!$C$9, $C$13, 100%, $E$13) + CHOOSE(CONTROL!$C$28, 0, 0)</f>
        <v>16.182200000000002</v>
      </c>
      <c r="E28" s="4">
        <f>61.18 * CHOOSE(CONTROL!$C$9, $C$13, 100%, $E$13) + CHOOSE(CONTROL!$C$28, 0, 0)</f>
        <v>61.18</v>
      </c>
    </row>
    <row r="29" spans="1:5" ht="15">
      <c r="A29" s="13">
        <v>42370</v>
      </c>
      <c r="B29" s="4">
        <f>10.1484 * CHOOSE(CONTROL!$C$9, $C$13, 100%, $E$13) + CHOOSE(CONTROL!$C$28, 0.0003, 0)</f>
        <v>10.1487</v>
      </c>
      <c r="C29" s="4">
        <f>9.7852 * CHOOSE(CONTROL!$C$9, $C$13, 100%, $E$13) + CHOOSE(CONTROL!$C$28, 0.0003, 0)</f>
        <v>9.785499999999999</v>
      </c>
      <c r="D29" s="4">
        <f>16.2694 * CHOOSE(CONTROL!$C$9, $C$13, 100%, $E$13) + CHOOSE(CONTROL!$C$28, 0, 0)</f>
        <v>16.269400000000001</v>
      </c>
      <c r="E29" s="4">
        <f>61.43 * CHOOSE(CONTROL!$C$9, $C$13, 100%, $E$13) + CHOOSE(CONTROL!$C$28, 0, 0)</f>
        <v>61.43</v>
      </c>
    </row>
    <row r="30" spans="1:5" ht="15">
      <c r="A30" s="13">
        <v>42401</v>
      </c>
      <c r="B30" s="4">
        <f>10.1875 * CHOOSE(CONTROL!$C$9, $C$13, 100%, $E$13) + CHOOSE(CONTROL!$C$28, 0.0003, 0)</f>
        <v>10.187799999999999</v>
      </c>
      <c r="C30" s="4">
        <f>9.8242 * CHOOSE(CONTROL!$C$9, $C$13, 100%, $E$13) + CHOOSE(CONTROL!$C$28, 0.0003, 0)</f>
        <v>9.8244999999999987</v>
      </c>
      <c r="D30" s="4">
        <f>16.2982 * CHOOSE(CONTROL!$C$9, $C$13, 100%, $E$13) + CHOOSE(CONTROL!$C$28, 0, 0)</f>
        <v>16.298200000000001</v>
      </c>
      <c r="E30" s="4">
        <f>61.63 * CHOOSE(CONTROL!$C$9, $C$13, 100%, $E$13) + CHOOSE(CONTROL!$C$28, 0, 0)</f>
        <v>61.63</v>
      </c>
    </row>
    <row r="31" spans="1:5" ht="15">
      <c r="A31" s="13">
        <v>42430</v>
      </c>
      <c r="B31" s="4">
        <f>10.2266 * CHOOSE(CONTROL!$C$9, $C$13, 100%, $E$13) + CHOOSE(CONTROL!$C$28, 0.0003, 0)</f>
        <v>10.226899999999999</v>
      </c>
      <c r="C31" s="4">
        <f>9.8633 * CHOOSE(CONTROL!$C$9, $C$13, 100%, $E$13) + CHOOSE(CONTROL!$C$28, 0.0003, 0)</f>
        <v>9.8635999999999999</v>
      </c>
      <c r="D31" s="4">
        <f>16.2571 * CHOOSE(CONTROL!$C$9, $C$13, 100%, $E$13) + CHOOSE(CONTROL!$C$28, 0, 0)</f>
        <v>16.257100000000001</v>
      </c>
      <c r="E31" s="4">
        <f>61.77 * CHOOSE(CONTROL!$C$9, $C$13, 100%, $E$13) + CHOOSE(CONTROL!$C$28, 0, 0)</f>
        <v>61.77</v>
      </c>
    </row>
    <row r="32" spans="1:5" ht="15">
      <c r="A32" s="13">
        <v>42461</v>
      </c>
      <c r="B32" s="4">
        <f>10.2734 * CHOOSE(CONTROL!$C$9, $C$13, 100%, $E$13) + CHOOSE(CONTROL!$C$28, 0.0003, 0)</f>
        <v>10.2737</v>
      </c>
      <c r="C32" s="4">
        <f>9.9102 * CHOOSE(CONTROL!$C$9, $C$13, 100%, $E$13) + CHOOSE(CONTROL!$C$28, 0.0003, 0)</f>
        <v>9.910499999999999</v>
      </c>
      <c r="D32" s="4">
        <f>16.17 * CHOOSE(CONTROL!$C$9, $C$13, 100%, $E$13) + CHOOSE(CONTROL!$C$28, 0, 0)</f>
        <v>16.170000000000002</v>
      </c>
      <c r="E32" s="4">
        <f>61.9 * CHOOSE(CONTROL!$C$9, $C$13, 100%, $E$13) + CHOOSE(CONTROL!$C$28, 0, 0)</f>
        <v>61.9</v>
      </c>
    </row>
    <row r="33" spans="1:5" ht="15">
      <c r="A33" s="13">
        <v>42491</v>
      </c>
      <c r="B33" s="4">
        <f>10.3203 * CHOOSE(CONTROL!$C$9, $C$13, 100%, $E$13) + CHOOSE(CONTROL!$C$28, 0.0136, 0)</f>
        <v>10.3339</v>
      </c>
      <c r="C33" s="4">
        <f>9.957 * CHOOSE(CONTROL!$C$9, $C$13, 100%, $E$13) + CHOOSE(CONTROL!$C$28, 0.0136, 0)</f>
        <v>9.970600000000001</v>
      </c>
      <c r="D33" s="4">
        <f>16.17 * CHOOSE(CONTROL!$C$9, $C$13, 100%, $E$13) + CHOOSE(CONTROL!$C$28, 0, 0)</f>
        <v>16.170000000000002</v>
      </c>
      <c r="E33" s="4">
        <f>62.03 * CHOOSE(CONTROL!$C$9, $C$13, 100%, $E$13) + CHOOSE(CONTROL!$C$28, 0, 0)</f>
        <v>62.03</v>
      </c>
    </row>
    <row r="34" spans="1:5" ht="15">
      <c r="A34" s="13">
        <v>42522</v>
      </c>
      <c r="B34" s="4">
        <f>10.3672 * CHOOSE(CONTROL!$C$9, $C$13, 100%, $E$13) + CHOOSE(CONTROL!$C$28, 0.0136, 0)</f>
        <v>10.380800000000001</v>
      </c>
      <c r="C34" s="4">
        <f>10.0039 * CHOOSE(CONTROL!$C$9, $C$13, 100%, $E$13) + CHOOSE(CONTROL!$C$28, 0.0136, 0)</f>
        <v>10.0175</v>
      </c>
      <c r="D34" s="4">
        <f>16.2146 * CHOOSE(CONTROL!$C$9, $C$13, 100%, $E$13) + CHOOSE(CONTROL!$C$28, 0, 0)</f>
        <v>16.214600000000001</v>
      </c>
      <c r="E34" s="4">
        <f>62.15 * CHOOSE(CONTROL!$C$9, $C$13, 100%, $E$13) + CHOOSE(CONTROL!$C$28, 0, 0)</f>
        <v>62.15</v>
      </c>
    </row>
    <row r="35" spans="1:5" ht="15">
      <c r="A35" s="13">
        <v>42552</v>
      </c>
      <c r="B35" s="4">
        <f>10.4141 * CHOOSE(CONTROL!$C$9, $C$13, 100%, $E$13) + CHOOSE(CONTROL!$C$28, 0.0136, 0)</f>
        <v>10.4277</v>
      </c>
      <c r="C35" s="4">
        <f>10.0508 * CHOOSE(CONTROL!$C$9, $C$13, 100%, $E$13) + CHOOSE(CONTROL!$C$28, 0.0136, 0)</f>
        <v>10.064400000000001</v>
      </c>
      <c r="D35" s="4">
        <f>16.2939 * CHOOSE(CONTROL!$C$9, $C$13, 100%, $E$13) + CHOOSE(CONTROL!$C$28, 0, 0)</f>
        <v>16.293900000000001</v>
      </c>
      <c r="E35" s="4">
        <f>62.21 * CHOOSE(CONTROL!$C$9, $C$13, 100%, $E$13) + CHOOSE(CONTROL!$C$28, 0, 0)</f>
        <v>62.21</v>
      </c>
    </row>
    <row r="36" spans="1:5" ht="15">
      <c r="A36" s="13">
        <v>42583</v>
      </c>
      <c r="B36" s="4">
        <f>10.4609 * CHOOSE(CONTROL!$C$9, $C$13, 100%, $E$13) + CHOOSE(CONTROL!$C$28, 0.0136, 0)</f>
        <v>10.474500000000001</v>
      </c>
      <c r="C36" s="4">
        <f>10.0977 * CHOOSE(CONTROL!$C$9, $C$13, 100%, $E$13) + CHOOSE(CONTROL!$C$28, 0.0136, 0)</f>
        <v>10.1113</v>
      </c>
      <c r="D36" s="4">
        <f>16.371 * CHOOSE(CONTROL!$C$9, $C$13, 100%, $E$13) + CHOOSE(CONTROL!$C$28, 0, 0)</f>
        <v>16.370999999999999</v>
      </c>
      <c r="E36" s="4">
        <f>62.29 * CHOOSE(CONTROL!$C$9, $C$13, 100%, $E$13) + CHOOSE(CONTROL!$C$28, 0, 0)</f>
        <v>62.29</v>
      </c>
    </row>
    <row r="37" spans="1:5" ht="15">
      <c r="A37" s="13">
        <v>42614</v>
      </c>
      <c r="B37" s="4">
        <f>10.5078 * CHOOSE(CONTROL!$C$9, $C$13, 100%, $E$13) + CHOOSE(CONTROL!$C$28, 0.0136, 0)</f>
        <v>10.5214</v>
      </c>
      <c r="C37" s="4">
        <f>10.1445 * CHOOSE(CONTROL!$C$9, $C$13, 100%, $E$13) + CHOOSE(CONTROL!$C$28, 0.0136, 0)</f>
        <v>10.158100000000001</v>
      </c>
      <c r="D37" s="4">
        <f>16.4387 * CHOOSE(CONTROL!$C$9, $C$13, 100%, $E$13) + CHOOSE(CONTROL!$C$28, 0, 0)</f>
        <v>16.438700000000001</v>
      </c>
      <c r="E37" s="4">
        <f>62.39 * CHOOSE(CONTROL!$C$9, $C$13, 100%, $E$13) + CHOOSE(CONTROL!$C$28, 0, 0)</f>
        <v>62.39</v>
      </c>
    </row>
    <row r="38" spans="1:5" ht="15">
      <c r="A38" s="13">
        <v>42644</v>
      </c>
      <c r="B38" s="4">
        <f>10.5547 * CHOOSE(CONTROL!$C$9, $C$13, 100%, $E$13) + CHOOSE(CONTROL!$C$28, 0.0003, 0)</f>
        <v>10.555</v>
      </c>
      <c r="C38" s="4">
        <f>10.1914 * CHOOSE(CONTROL!$C$9, $C$13, 100%, $E$13) + CHOOSE(CONTROL!$C$28, 0.0003, 0)</f>
        <v>10.191699999999999</v>
      </c>
      <c r="D38" s="4">
        <f>16.5165 * CHOOSE(CONTROL!$C$9, $C$13, 100%, $E$13) + CHOOSE(CONTROL!$C$28, 0, 0)</f>
        <v>16.516500000000001</v>
      </c>
      <c r="E38" s="4">
        <f>62.51 * CHOOSE(CONTROL!$C$9, $C$13, 100%, $E$13) + CHOOSE(CONTROL!$C$28, 0, 0)</f>
        <v>62.51</v>
      </c>
    </row>
    <row r="39" spans="1:5" ht="15">
      <c r="A39" s="13">
        <v>42675</v>
      </c>
      <c r="B39" s="4">
        <f>10.6016 * CHOOSE(CONTROL!$C$9, $C$13, 100%, $E$13) + CHOOSE(CONTROL!$C$28, 0.0003, 0)</f>
        <v>10.601899999999999</v>
      </c>
      <c r="C39" s="4">
        <f>10.2383 * CHOOSE(CONTROL!$C$9, $C$13, 100%, $E$13) + CHOOSE(CONTROL!$C$28, 0.0003, 0)</f>
        <v>10.2386</v>
      </c>
      <c r="D39" s="4">
        <f>16.582 * CHOOSE(CONTROL!$C$9, $C$13, 100%, $E$13) + CHOOSE(CONTROL!$C$28, 0, 0)</f>
        <v>16.582000000000001</v>
      </c>
      <c r="E39" s="4">
        <f>62.67 * CHOOSE(CONTROL!$C$9, $C$13, 100%, $E$13) + CHOOSE(CONTROL!$C$28, 0, 0)</f>
        <v>62.67</v>
      </c>
    </row>
    <row r="40" spans="1:5" ht="15">
      <c r="A40" s="13">
        <v>42705</v>
      </c>
      <c r="B40" s="4">
        <f>10.6484 * CHOOSE(CONTROL!$C$9, $C$13, 100%, $E$13) + CHOOSE(CONTROL!$C$28, 0.0003, 0)</f>
        <v>10.6487</v>
      </c>
      <c r="C40" s="4">
        <f>10.2852 * CHOOSE(CONTROL!$C$9, $C$13, 100%, $E$13) + CHOOSE(CONTROL!$C$28, 0.0003, 0)</f>
        <v>10.285499999999999</v>
      </c>
      <c r="D40" s="4">
        <f>16.6541 * CHOOSE(CONTROL!$C$9, $C$13, 100%, $E$13) + CHOOSE(CONTROL!$C$28, 0, 0)</f>
        <v>16.6541</v>
      </c>
      <c r="E40" s="4">
        <f>62.82 * CHOOSE(CONTROL!$C$9, $C$13, 100%, $E$13) + CHOOSE(CONTROL!$C$28, 0, 0)</f>
        <v>62.82</v>
      </c>
    </row>
    <row r="41" spans="1:5" ht="15">
      <c r="A41" s="13">
        <v>42736</v>
      </c>
      <c r="B41" s="4">
        <f>10.375 * CHOOSE(CONTROL!$C$9, $C$13, 100%, $E$13) + CHOOSE(CONTROL!$C$28, 0.0003, 0)</f>
        <v>10.375299999999999</v>
      </c>
      <c r="C41" s="4">
        <f>10.0117 * CHOOSE(CONTROL!$C$9, $C$13, 100%, $E$13) + CHOOSE(CONTROL!$C$28, 0.0003, 0)</f>
        <v>10.011999999999999</v>
      </c>
      <c r="D41" s="4">
        <f>16.7333 * CHOOSE(CONTROL!$C$9, $C$13, 100%, $E$13) + CHOOSE(CONTROL!$C$28, 0, 0)</f>
        <v>16.7333</v>
      </c>
      <c r="E41" s="4">
        <f>62.88 * CHOOSE(CONTROL!$C$9, $C$13, 100%, $E$13) + CHOOSE(CONTROL!$C$28, 0, 0)</f>
        <v>62.88</v>
      </c>
    </row>
    <row r="42" spans="1:5" ht="15">
      <c r="A42" s="13">
        <v>42767</v>
      </c>
      <c r="B42" s="4">
        <f>10.3953 * CHOOSE(CONTROL!$C$9, $C$13, 100%, $E$13) + CHOOSE(CONTROL!$C$28, 0.0003, 0)</f>
        <v>10.3956</v>
      </c>
      <c r="C42" s="4">
        <f>10.032 * CHOOSE(CONTROL!$C$9, $C$13, 100%, $E$13) + CHOOSE(CONTROL!$C$28, 0.0003, 0)</f>
        <v>10.032299999999999</v>
      </c>
      <c r="D42" s="4">
        <f>16.7657 * CHOOSE(CONTROL!$C$9, $C$13, 100%, $E$13) + CHOOSE(CONTROL!$C$28, 0, 0)</f>
        <v>16.765699999999999</v>
      </c>
      <c r="E42" s="4">
        <f>62.96 * CHOOSE(CONTROL!$C$9, $C$13, 100%, $E$13) + CHOOSE(CONTROL!$C$28, 0, 0)</f>
        <v>62.96</v>
      </c>
    </row>
    <row r="43" spans="1:5" ht="15">
      <c r="A43" s="13">
        <v>42795</v>
      </c>
      <c r="B43" s="4">
        <f>10.4297 * CHOOSE(CONTROL!$C$9, $C$13, 100%, $E$13) + CHOOSE(CONTROL!$C$28, 0.0003, 0)</f>
        <v>10.43</v>
      </c>
      <c r="C43" s="4">
        <f>10.0664 * CHOOSE(CONTROL!$C$9, $C$13, 100%, $E$13) + CHOOSE(CONTROL!$C$28, 0.0003, 0)</f>
        <v>10.066699999999999</v>
      </c>
      <c r="D43" s="4">
        <f>16.7405 * CHOOSE(CONTROL!$C$9, $C$13, 100%, $E$13) + CHOOSE(CONTROL!$C$28, 0, 0)</f>
        <v>16.740500000000001</v>
      </c>
      <c r="E43" s="4">
        <f>63.07 * CHOOSE(CONTROL!$C$9, $C$13, 100%, $E$13) + CHOOSE(CONTROL!$C$28, 0, 0)</f>
        <v>63.07</v>
      </c>
    </row>
    <row r="44" spans="1:5" ht="15">
      <c r="A44" s="13">
        <v>42826</v>
      </c>
      <c r="B44" s="4">
        <f>10.4766 * CHOOSE(CONTROL!$C$9, $C$13, 100%, $E$13) + CHOOSE(CONTROL!$C$28, 0.0003, 0)</f>
        <v>10.476899999999999</v>
      </c>
      <c r="C44" s="4">
        <f>10.1133 * CHOOSE(CONTROL!$C$9, $C$13, 100%, $E$13) + CHOOSE(CONTROL!$C$28, 0.0003, 0)</f>
        <v>10.1136</v>
      </c>
      <c r="D44" s="4">
        <f>16.6757 * CHOOSE(CONTROL!$C$9, $C$13, 100%, $E$13) + CHOOSE(CONTROL!$C$28, 0, 0)</f>
        <v>16.675699999999999</v>
      </c>
      <c r="E44" s="4">
        <f>63.2 * CHOOSE(CONTROL!$C$9, $C$13, 100%, $E$13) + CHOOSE(CONTROL!$C$28, 0, 0)</f>
        <v>63.2</v>
      </c>
    </row>
    <row r="45" spans="1:5" ht="15">
      <c r="A45" s="13">
        <v>42856</v>
      </c>
      <c r="B45" s="4">
        <f>10.5266 * CHOOSE(CONTROL!$C$9, $C$13, 100%, $E$13) + CHOOSE(CONTROL!$C$28, 0.0136, 0)</f>
        <v>10.5402</v>
      </c>
      <c r="C45" s="4">
        <f>10.1633 * CHOOSE(CONTROL!$C$9, $C$13, 100%, $E$13) + CHOOSE(CONTROL!$C$28, 0.0136, 0)</f>
        <v>10.1769</v>
      </c>
      <c r="D45" s="4">
        <f>16.6649 * CHOOSE(CONTROL!$C$9, $C$13, 100%, $E$13) + CHOOSE(CONTROL!$C$28, 0, 0)</f>
        <v>16.664899999999999</v>
      </c>
      <c r="E45" s="4">
        <f>63.35 * CHOOSE(CONTROL!$C$9, $C$13, 100%, $E$13) + CHOOSE(CONTROL!$C$28, 0, 0)</f>
        <v>63.35</v>
      </c>
    </row>
    <row r="46" spans="1:5" ht="15">
      <c r="A46" s="13">
        <v>42887</v>
      </c>
      <c r="B46" s="4">
        <f>10.5813 * CHOOSE(CONTROL!$C$9, $C$13, 100%, $E$13) + CHOOSE(CONTROL!$C$28, 0.0136, 0)</f>
        <v>10.594900000000001</v>
      </c>
      <c r="C46" s="4">
        <f>10.218 * CHOOSE(CONTROL!$C$9, $C$13, 100%, $E$13) + CHOOSE(CONTROL!$C$28, 0.0136, 0)</f>
        <v>10.2316</v>
      </c>
      <c r="D46" s="4">
        <f>16.6613 * CHOOSE(CONTROL!$C$9, $C$13, 100%, $E$13) + CHOOSE(CONTROL!$C$28, 0, 0)</f>
        <v>16.661300000000001</v>
      </c>
      <c r="E46" s="4">
        <f>63.52 * CHOOSE(CONTROL!$C$9, $C$13, 100%, $E$13) + CHOOSE(CONTROL!$C$28, 0, 0)</f>
        <v>63.52</v>
      </c>
    </row>
    <row r="47" spans="1:5" ht="15">
      <c r="A47" s="13">
        <v>42917</v>
      </c>
      <c r="B47" s="4">
        <f>10.6312 * CHOOSE(CONTROL!$C$9, $C$13, 100%, $E$13) + CHOOSE(CONTROL!$C$28, 0.0136, 0)</f>
        <v>10.6448</v>
      </c>
      <c r="C47" s="4">
        <f>10.268 * CHOOSE(CONTROL!$C$9, $C$13, 100%, $E$13) + CHOOSE(CONTROL!$C$28, 0.0136, 0)</f>
        <v>10.281600000000001</v>
      </c>
      <c r="D47" s="4">
        <f>16.7045 * CHOOSE(CONTROL!$C$9, $C$13, 100%, $E$13) + CHOOSE(CONTROL!$C$28, 0, 0)</f>
        <v>16.704499999999999</v>
      </c>
      <c r="E47" s="4">
        <f>63.6 * CHOOSE(CONTROL!$C$9, $C$13, 100%, $E$13) + CHOOSE(CONTROL!$C$28, 0, 0)</f>
        <v>63.6</v>
      </c>
    </row>
    <row r="48" spans="1:5" ht="15">
      <c r="A48" s="13">
        <v>42948</v>
      </c>
      <c r="B48" s="4">
        <f>10.6859 * CHOOSE(CONTROL!$C$9, $C$13, 100%, $E$13) + CHOOSE(CONTROL!$C$28, 0.0136, 0)</f>
        <v>10.6995</v>
      </c>
      <c r="C48" s="4">
        <f>10.3227 * CHOOSE(CONTROL!$C$9, $C$13, 100%, $E$13) + CHOOSE(CONTROL!$C$28, 0.0136, 0)</f>
        <v>10.3363</v>
      </c>
      <c r="D48" s="4">
        <f>16.7657 * CHOOSE(CONTROL!$C$9, $C$13, 100%, $E$13) + CHOOSE(CONTROL!$C$28, 0, 0)</f>
        <v>16.765699999999999</v>
      </c>
      <c r="E48" s="4">
        <f>63.73 * CHOOSE(CONTROL!$C$9, $C$13, 100%, $E$13) + CHOOSE(CONTROL!$C$28, 0, 0)</f>
        <v>63.73</v>
      </c>
    </row>
    <row r="49" spans="1:5" ht="15">
      <c r="A49" s="13">
        <v>42979</v>
      </c>
      <c r="B49" s="4">
        <f>10.7406 * CHOOSE(CONTROL!$C$9, $C$13, 100%, $E$13) + CHOOSE(CONTROL!$C$28, 0.0136, 0)</f>
        <v>10.754200000000001</v>
      </c>
      <c r="C49" s="4">
        <f>10.3773 * CHOOSE(CONTROL!$C$9, $C$13, 100%, $E$13) + CHOOSE(CONTROL!$C$28, 0.0136, 0)</f>
        <v>10.3909</v>
      </c>
      <c r="D49" s="4">
        <f>16.8378 * CHOOSE(CONTROL!$C$9, $C$13, 100%, $E$13) + CHOOSE(CONTROL!$C$28, 0, 0)</f>
        <v>16.837800000000001</v>
      </c>
      <c r="E49" s="4">
        <f>63.88 * CHOOSE(CONTROL!$C$9, $C$13, 100%, $E$13) + CHOOSE(CONTROL!$C$28, 0, 0)</f>
        <v>63.88</v>
      </c>
    </row>
    <row r="50" spans="1:5" ht="15">
      <c r="A50" s="13">
        <v>43009</v>
      </c>
      <c r="B50" s="4">
        <f>10.7922 * CHOOSE(CONTROL!$C$9, $C$13, 100%, $E$13) + CHOOSE(CONTROL!$C$28, 0.0003, 0)</f>
        <v>10.792499999999999</v>
      </c>
      <c r="C50" s="4">
        <f>10.4289 * CHOOSE(CONTROL!$C$9, $C$13, 100%, $E$13) + CHOOSE(CONTROL!$C$28, 0.0003, 0)</f>
        <v>10.4292</v>
      </c>
      <c r="D50" s="4">
        <f>16.8954 * CHOOSE(CONTROL!$C$9, $C$13, 100%, $E$13) + CHOOSE(CONTROL!$C$28, 0, 0)</f>
        <v>16.895399999999999</v>
      </c>
      <c r="E50" s="4">
        <f>64.03 * CHOOSE(CONTROL!$C$9, $C$13, 100%, $E$13) + CHOOSE(CONTROL!$C$28, 0, 0)</f>
        <v>64.03</v>
      </c>
    </row>
    <row r="51" spans="1:5" ht="15">
      <c r="A51" s="13">
        <v>43040</v>
      </c>
      <c r="B51" s="4">
        <f>10.8422 * CHOOSE(CONTROL!$C$9, $C$13, 100%, $E$13) + CHOOSE(CONTROL!$C$28, 0.0003, 0)</f>
        <v>10.842499999999999</v>
      </c>
      <c r="C51" s="4">
        <f>10.4789 * CHOOSE(CONTROL!$C$9, $C$13, 100%, $E$13) + CHOOSE(CONTROL!$C$28, 0.0003, 0)</f>
        <v>10.479199999999999</v>
      </c>
      <c r="D51" s="4">
        <f>16.935 * CHOOSE(CONTROL!$C$9, $C$13, 100%, $E$13) + CHOOSE(CONTROL!$C$28, 0, 0)</f>
        <v>16.934999999999999</v>
      </c>
      <c r="E51" s="4">
        <f>64.21 * CHOOSE(CONTROL!$C$9, $C$13, 100%, $E$13) + CHOOSE(CONTROL!$C$28, 0, 0)</f>
        <v>64.209999999999994</v>
      </c>
    </row>
    <row r="52" spans="1:5" ht="15">
      <c r="A52" s="13">
        <v>43070</v>
      </c>
      <c r="B52" s="4">
        <f>10.8953 * CHOOSE(CONTROL!$C$9, $C$13, 100%, $E$13) + CHOOSE(CONTROL!$C$28, 0.0003, 0)</f>
        <v>10.8956</v>
      </c>
      <c r="C52" s="4">
        <f>10.532 * CHOOSE(CONTROL!$C$9, $C$13, 100%, $E$13) + CHOOSE(CONTROL!$C$28, 0.0003, 0)</f>
        <v>10.532299999999999</v>
      </c>
      <c r="D52" s="4">
        <f>16.9675 * CHOOSE(CONTROL!$C$9, $C$13, 100%, $E$13) + CHOOSE(CONTROL!$C$28, 0, 0)</f>
        <v>16.967500000000001</v>
      </c>
      <c r="E52" s="4">
        <f>64.4 * CHOOSE(CONTROL!$C$9, $C$13, 100%, $E$13) + CHOOSE(CONTROL!$C$28, 0, 0)</f>
        <v>64.400000000000006</v>
      </c>
    </row>
    <row r="53" spans="1:5" ht="15">
      <c r="A53" s="13">
        <v>43101</v>
      </c>
      <c r="B53" s="4">
        <f>10.7522 * CHOOSE(CONTROL!$C$9, $C$13, 100%, $E$13) + CHOOSE(CONTROL!$C$28, 0.0003, 0)</f>
        <v>10.7525</v>
      </c>
      <c r="C53" s="4">
        <f>10.3889 * CHOOSE(CONTROL!$C$9, $C$13, 100%, $E$13) + CHOOSE(CONTROL!$C$28, 0.0003, 0)</f>
        <v>10.389199999999999</v>
      </c>
      <c r="D53" s="4">
        <f>16.7244 * CHOOSE(CONTROL!$C$9, $C$13, 100%, $E$13) + CHOOSE(CONTROL!$C$28, 0, 0)</f>
        <v>16.724399999999999</v>
      </c>
      <c r="E53" s="4">
        <f>66.0744875108812 * CHOOSE(CONTROL!$C$9, $C$13, 100%, $E$13) + CHOOSE(CONTROL!$C$28, 0, 0)</f>
        <v>66.074487510881198</v>
      </c>
    </row>
    <row r="54" spans="1:5" ht="15">
      <c r="A54" s="13">
        <v>43132</v>
      </c>
      <c r="B54" s="4">
        <f>10.9891 * CHOOSE(CONTROL!$C$9, $C$13, 100%, $E$13) + CHOOSE(CONTROL!$C$28, 0.0003, 0)</f>
        <v>10.9894</v>
      </c>
      <c r="C54" s="4">
        <f>10.6258 * CHOOSE(CONTROL!$C$9, $C$13, 100%, $E$13) + CHOOSE(CONTROL!$C$28, 0.0003, 0)</f>
        <v>10.626099999999999</v>
      </c>
      <c r="D54" s="4">
        <f>17.2493 * CHOOSE(CONTROL!$C$9, $C$13, 100%, $E$13) + CHOOSE(CONTROL!$C$28, 0, 0)</f>
        <v>17.249300000000002</v>
      </c>
      <c r="E54" s="4">
        <f>67.6433562379612 * CHOOSE(CONTROL!$C$9, $C$13, 100%, $E$13) + CHOOSE(CONTROL!$C$28, 0, 0)</f>
        <v>67.6433562379612</v>
      </c>
    </row>
    <row r="55" spans="1:5" ht="15">
      <c r="A55" s="13">
        <v>43160</v>
      </c>
      <c r="B55" s="4">
        <f>11.6113 * CHOOSE(CONTROL!$C$9, $C$13, 100%, $E$13) + CHOOSE(CONTROL!$C$28, 0.0003, 0)</f>
        <v>11.611599999999999</v>
      </c>
      <c r="C55" s="4">
        <f>11.248 * CHOOSE(CONTROL!$C$9, $C$13, 100%, $E$13) + CHOOSE(CONTROL!$C$28, 0.0003, 0)</f>
        <v>11.248299999999999</v>
      </c>
      <c r="D55" s="4">
        <f>18.071 * CHOOSE(CONTROL!$C$9, $C$13, 100%, $E$13) + CHOOSE(CONTROL!$C$28, 0, 0)</f>
        <v>18.071000000000002</v>
      </c>
      <c r="E55" s="4">
        <f>71.7632888900207 * CHOOSE(CONTROL!$C$9, $C$13, 100%, $E$13) + CHOOSE(CONTROL!$C$28, 0, 0)</f>
        <v>71.763288890020704</v>
      </c>
    </row>
    <row r="56" spans="1:5" ht="15">
      <c r="A56" s="13">
        <v>43191</v>
      </c>
      <c r="B56" s="4">
        <f>12.0534 * CHOOSE(CONTROL!$C$9, $C$13, 100%, $E$13) + CHOOSE(CONTROL!$C$28, 0.0003, 0)</f>
        <v>12.053699999999999</v>
      </c>
      <c r="C56" s="4">
        <f>11.6901 * CHOOSE(CONTROL!$C$9, $C$13, 100%, $E$13) + CHOOSE(CONTROL!$C$28, 0.0003, 0)</f>
        <v>11.690399999999999</v>
      </c>
      <c r="D56" s="4">
        <f>18.5443 * CHOOSE(CONTROL!$C$9, $C$13, 100%, $E$13) + CHOOSE(CONTROL!$C$28, 0, 0)</f>
        <v>18.5443</v>
      </c>
      <c r="E56" s="4">
        <f>74.6905559446307 * CHOOSE(CONTROL!$C$9, $C$13, 100%, $E$13) + CHOOSE(CONTROL!$C$28, 0, 0)</f>
        <v>74.690555944630702</v>
      </c>
    </row>
    <row r="57" spans="1:5" ht="15">
      <c r="A57" s="13">
        <v>43221</v>
      </c>
      <c r="B57" s="4">
        <f>12.3235 * CHOOSE(CONTROL!$C$9, $C$13, 100%, $E$13) + CHOOSE(CONTROL!$C$28, 0.0136, 0)</f>
        <v>12.3371</v>
      </c>
      <c r="C57" s="4">
        <f>11.9602 * CHOOSE(CONTROL!$C$9, $C$13, 100%, $E$13) + CHOOSE(CONTROL!$C$28, 0.0136, 0)</f>
        <v>11.973800000000001</v>
      </c>
      <c r="D57" s="4">
        <f>18.3573 * CHOOSE(CONTROL!$C$9, $C$13, 100%, $E$13) + CHOOSE(CONTROL!$C$28, 0, 0)</f>
        <v>18.357299999999999</v>
      </c>
      <c r="E57" s="4">
        <f>76.4790459581975 * CHOOSE(CONTROL!$C$9, $C$13, 100%, $E$13) + CHOOSE(CONTROL!$C$28, 0, 0)</f>
        <v>76.479045958197503</v>
      </c>
    </row>
    <row r="58" spans="1:5" ht="15">
      <c r="A58" s="13">
        <v>43252</v>
      </c>
      <c r="B58" s="4">
        <f>12.3601 * CHOOSE(CONTROL!$C$9, $C$13, 100%, $E$13) + CHOOSE(CONTROL!$C$28, 0.0136, 0)</f>
        <v>12.373699999999999</v>
      </c>
      <c r="C58" s="4">
        <f>11.9968 * CHOOSE(CONTROL!$C$9, $C$13, 100%, $E$13) + CHOOSE(CONTROL!$C$28, 0.0136, 0)</f>
        <v>12.010400000000001</v>
      </c>
      <c r="D58" s="4">
        <f>18.5096 * CHOOSE(CONTROL!$C$9, $C$13, 100%, $E$13) + CHOOSE(CONTROL!$C$28, 0, 0)</f>
        <v>18.509599999999999</v>
      </c>
      <c r="E58" s="4">
        <f>76.7210360794192 * CHOOSE(CONTROL!$C$9, $C$13, 100%, $E$13) + CHOOSE(CONTROL!$C$28, 0, 0)</f>
        <v>76.721036079419207</v>
      </c>
    </row>
    <row r="59" spans="1:5" ht="15">
      <c r="A59" s="13">
        <v>43282</v>
      </c>
      <c r="B59" s="4">
        <f>12.3564 * CHOOSE(CONTROL!$C$9, $C$13, 100%, $E$13) + CHOOSE(CONTROL!$C$28, 0.0136, 0)</f>
        <v>12.370000000000001</v>
      </c>
      <c r="C59" s="4">
        <f>11.9931 * CHOOSE(CONTROL!$C$9, $C$13, 100%, $E$13) + CHOOSE(CONTROL!$C$28, 0.0136, 0)</f>
        <v>12.0067</v>
      </c>
      <c r="D59" s="4">
        <f>18.7845 * CHOOSE(CONTROL!$C$9, $C$13, 100%, $E$13) + CHOOSE(CONTROL!$C$28, 0, 0)</f>
        <v>18.784500000000001</v>
      </c>
      <c r="E59" s="4">
        <f>76.696633714254 * CHOOSE(CONTROL!$C$9, $C$13, 100%, $E$13) + CHOOSE(CONTROL!$C$28, 0, 0)</f>
        <v>76.696633714254006</v>
      </c>
    </row>
    <row r="60" spans="1:5" ht="15">
      <c r="A60" s="13">
        <v>43313</v>
      </c>
      <c r="B60" s="4">
        <f>12.6337 * CHOOSE(CONTROL!$C$9, $C$13, 100%, $E$13) + CHOOSE(CONTROL!$C$28, 0.0136, 0)</f>
        <v>12.6473</v>
      </c>
      <c r="C60" s="4">
        <f>12.2704 * CHOOSE(CONTROL!$C$9, $C$13, 100%, $E$13) + CHOOSE(CONTROL!$C$28, 0.0136, 0)</f>
        <v>12.284000000000001</v>
      </c>
      <c r="D60" s="4">
        <f>18.6029 * CHOOSE(CONTROL!$C$9, $C$13, 100%, $E$13) + CHOOSE(CONTROL!$C$28, 0, 0)</f>
        <v>18.602900000000002</v>
      </c>
      <c r="E60" s="4">
        <f>78.532911692936 * CHOOSE(CONTROL!$C$9, $C$13, 100%, $E$13) + CHOOSE(CONTROL!$C$28, 0, 0)</f>
        <v>78.532911692935997</v>
      </c>
    </row>
    <row r="61" spans="1:5" ht="15">
      <c r="A61" s="13">
        <v>43344</v>
      </c>
      <c r="B61" s="4">
        <f>12.1611 * CHOOSE(CONTROL!$C$9, $C$13, 100%, $E$13) + CHOOSE(CONTROL!$C$28, 0.0136, 0)</f>
        <v>12.1747</v>
      </c>
      <c r="C61" s="4">
        <f>11.7978 * CHOOSE(CONTROL!$C$9, $C$13, 100%, $E$13) + CHOOSE(CONTROL!$C$28, 0.0136, 0)</f>
        <v>11.811400000000001</v>
      </c>
      <c r="D61" s="4">
        <f>18.5172 * CHOOSE(CONTROL!$C$9, $C$13, 100%, $E$13) + CHOOSE(CONTROL!$C$28, 0, 0)</f>
        <v>18.517199999999999</v>
      </c>
      <c r="E61" s="4">
        <f>75.4033083604979 * CHOOSE(CONTROL!$C$9, $C$13, 100%, $E$13) + CHOOSE(CONTROL!$C$28, 0, 0)</f>
        <v>75.403308360497903</v>
      </c>
    </row>
    <row r="62" spans="1:5" ht="15">
      <c r="A62" s="13">
        <v>43374</v>
      </c>
      <c r="B62" s="4">
        <f>11.7827 * CHOOSE(CONTROL!$C$9, $C$13, 100%, $E$13) + CHOOSE(CONTROL!$C$28, 0.0003, 0)</f>
        <v>11.782999999999999</v>
      </c>
      <c r="C62" s="4">
        <f>11.4194 * CHOOSE(CONTROL!$C$9, $C$13, 100%, $E$13) + CHOOSE(CONTROL!$C$28, 0.0003, 0)</f>
        <v>11.419699999999999</v>
      </c>
      <c r="D62" s="4">
        <f>18.2876 * CHOOSE(CONTROL!$C$9, $C$13, 100%, $E$13) + CHOOSE(CONTROL!$C$28, 0, 0)</f>
        <v>18.287600000000001</v>
      </c>
      <c r="E62" s="4">
        <f>72.897998870203 * CHOOSE(CONTROL!$C$9, $C$13, 100%, $E$13) + CHOOSE(CONTROL!$C$28, 0, 0)</f>
        <v>72.897998870202997</v>
      </c>
    </row>
    <row r="63" spans="1:5" ht="15">
      <c r="A63" s="13">
        <v>43405</v>
      </c>
      <c r="B63" s="4">
        <f>11.539 * CHOOSE(CONTROL!$C$9, $C$13, 100%, $E$13) + CHOOSE(CONTROL!$C$28, 0.0003, 0)</f>
        <v>11.539299999999999</v>
      </c>
      <c r="C63" s="4">
        <f>11.1757 * CHOOSE(CONTROL!$C$9, $C$13, 100%, $E$13) + CHOOSE(CONTROL!$C$28, 0.0003, 0)</f>
        <v>11.176</v>
      </c>
      <c r="D63" s="4">
        <f>18.2086 * CHOOSE(CONTROL!$C$9, $C$13, 100%, $E$13) + CHOOSE(CONTROL!$C$28, 0, 0)</f>
        <v>18.208600000000001</v>
      </c>
      <c r="E63" s="4">
        <f>71.2843924736535 * CHOOSE(CONTROL!$C$9, $C$13, 100%, $E$13) + CHOOSE(CONTROL!$C$28, 0, 0)</f>
        <v>71.284392473653497</v>
      </c>
    </row>
    <row r="64" spans="1:5" ht="15">
      <c r="A64" s="13">
        <v>43435</v>
      </c>
      <c r="B64" s="4">
        <f>11.3704 * CHOOSE(CONTROL!$C$9, $C$13, 100%, $E$13) + CHOOSE(CONTROL!$C$28, 0.0003, 0)</f>
        <v>11.370699999999999</v>
      </c>
      <c r="C64" s="4">
        <f>11.0071 * CHOOSE(CONTROL!$C$9, $C$13, 100%, $E$13) + CHOOSE(CONTROL!$C$28, 0.0003, 0)</f>
        <v>11.007399999999999</v>
      </c>
      <c r="D64" s="4">
        <f>17.6274 * CHOOSE(CONTROL!$C$9, $C$13, 100%, $E$13) + CHOOSE(CONTROL!$C$28, 0, 0)</f>
        <v>17.627400000000002</v>
      </c>
      <c r="E64" s="4">
        <f>70.1679842673452 * CHOOSE(CONTROL!$C$9, $C$13, 100%, $E$13) + CHOOSE(CONTROL!$C$28, 0, 0)</f>
        <v>70.167984267345204</v>
      </c>
    </row>
    <row r="65" spans="1:5" ht="15">
      <c r="A65" s="13">
        <v>43466</v>
      </c>
      <c r="B65" s="4">
        <f>11.1166 * CHOOSE(CONTROL!$C$9, $C$13, 100%, $E$13) + CHOOSE(CONTROL!$C$28, 0.0003, 0)</f>
        <v>11.116899999999999</v>
      </c>
      <c r="C65" s="4">
        <f>10.7533 * CHOOSE(CONTROL!$C$9, $C$13, 100%, $E$13) + CHOOSE(CONTROL!$C$28, 0.0003, 0)</f>
        <v>10.753599999999999</v>
      </c>
      <c r="D65" s="4">
        <f>17.2829 * CHOOSE(CONTROL!$C$9, $C$13, 100%, $E$13) + CHOOSE(CONTROL!$C$28, 0, 0)</f>
        <v>17.282900000000001</v>
      </c>
      <c r="E65" s="4">
        <f>68.7596541662961 * CHOOSE(CONTROL!$C$9, $C$13, 100%, $E$13) + CHOOSE(CONTROL!$C$28, 0, 0)</f>
        <v>68.759654166296102</v>
      </c>
    </row>
    <row r="66" spans="1:5" ht="15">
      <c r="A66" s="13">
        <v>43497</v>
      </c>
      <c r="B66" s="4">
        <f>11.3622 * CHOOSE(CONTROL!$C$9, $C$13, 100%, $E$13) + CHOOSE(CONTROL!$C$28, 0.0003, 0)</f>
        <v>11.362499999999999</v>
      </c>
      <c r="C66" s="4">
        <f>10.9989 * CHOOSE(CONTROL!$C$9, $C$13, 100%, $E$13) + CHOOSE(CONTROL!$C$28, 0.0003, 0)</f>
        <v>10.9992</v>
      </c>
      <c r="D66" s="4">
        <f>17.8275 * CHOOSE(CONTROL!$C$9, $C$13, 100%, $E$13) + CHOOSE(CONTROL!$C$28, 0, 0)</f>
        <v>17.827500000000001</v>
      </c>
      <c r="E66" s="4">
        <f>70.3922793317742 * CHOOSE(CONTROL!$C$9, $C$13, 100%, $E$13) + CHOOSE(CONTROL!$C$28, 0, 0)</f>
        <v>70.392279331774205</v>
      </c>
    </row>
    <row r="67" spans="1:5" ht="15">
      <c r="A67" s="13">
        <v>43525</v>
      </c>
      <c r="B67" s="4">
        <f>12.0071 * CHOOSE(CONTROL!$C$9, $C$13, 100%, $E$13) + CHOOSE(CONTROL!$C$28, 0.0003, 0)</f>
        <v>12.007399999999999</v>
      </c>
      <c r="C67" s="4">
        <f>11.6439 * CHOOSE(CONTROL!$C$9, $C$13, 100%, $E$13) + CHOOSE(CONTROL!$C$28, 0.0003, 0)</f>
        <v>11.6442</v>
      </c>
      <c r="D67" s="4">
        <f>18.68 * CHOOSE(CONTROL!$C$9, $C$13, 100%, $E$13) + CHOOSE(CONTROL!$C$28, 0, 0)</f>
        <v>18.68</v>
      </c>
      <c r="E67" s="4">
        <f>74.6796397792903 * CHOOSE(CONTROL!$C$9, $C$13, 100%, $E$13) + CHOOSE(CONTROL!$C$28, 0, 0)</f>
        <v>74.679639779290298</v>
      </c>
    </row>
    <row r="68" spans="1:5" ht="15">
      <c r="A68" s="13">
        <v>43556</v>
      </c>
      <c r="B68" s="4">
        <f>12.4654 * CHOOSE(CONTROL!$C$9, $C$13, 100%, $E$13) + CHOOSE(CONTROL!$C$28, 0.0003, 0)</f>
        <v>12.4657</v>
      </c>
      <c r="C68" s="4">
        <f>12.1021 * CHOOSE(CONTROL!$C$9, $C$13, 100%, $E$13) + CHOOSE(CONTROL!$C$28, 0.0003, 0)</f>
        <v>12.102399999999999</v>
      </c>
      <c r="D68" s="4">
        <f>19.1711 * CHOOSE(CONTROL!$C$9, $C$13, 100%, $E$13) + CHOOSE(CONTROL!$C$28, 0, 0)</f>
        <v>19.171099999999999</v>
      </c>
      <c r="E68" s="4">
        <f>77.7258665138408 * CHOOSE(CONTROL!$C$9, $C$13, 100%, $E$13) + CHOOSE(CONTROL!$C$28, 0, 0)</f>
        <v>77.725866513840799</v>
      </c>
    </row>
    <row r="69" spans="1:5" ht="15">
      <c r="A69" s="13">
        <v>43586</v>
      </c>
      <c r="B69" s="4">
        <f>12.7453 * CHOOSE(CONTROL!$C$9, $C$13, 100%, $E$13) + CHOOSE(CONTROL!$C$28, 0.0136, 0)</f>
        <v>12.758900000000001</v>
      </c>
      <c r="C69" s="4">
        <f>12.382 * CHOOSE(CONTROL!$C$9, $C$13, 100%, $E$13) + CHOOSE(CONTROL!$C$28, 0.0136, 0)</f>
        <v>12.3956</v>
      </c>
      <c r="D69" s="4">
        <f>18.9771 * CHOOSE(CONTROL!$C$9, $C$13, 100%, $E$13) + CHOOSE(CONTROL!$C$28, 0, 0)</f>
        <v>18.9771</v>
      </c>
      <c r="E69" s="4">
        <f>79.5870380407857 * CHOOSE(CONTROL!$C$9, $C$13, 100%, $E$13) + CHOOSE(CONTROL!$C$28, 0, 0)</f>
        <v>79.5870380407857</v>
      </c>
    </row>
    <row r="70" spans="1:5" ht="15">
      <c r="A70" s="13">
        <v>43617</v>
      </c>
      <c r="B70" s="4">
        <f>12.7832 * CHOOSE(CONTROL!$C$9, $C$13, 100%, $E$13) + CHOOSE(CONTROL!$C$28, 0.0136, 0)</f>
        <v>12.796800000000001</v>
      </c>
      <c r="C70" s="4">
        <f>12.4199 * CHOOSE(CONTROL!$C$9, $C$13, 100%, $E$13) + CHOOSE(CONTROL!$C$28, 0.0136, 0)</f>
        <v>12.4335</v>
      </c>
      <c r="D70" s="4">
        <f>19.1351 * CHOOSE(CONTROL!$C$9, $C$13, 100%, $E$13) + CHOOSE(CONTROL!$C$28, 0, 0)</f>
        <v>19.135100000000001</v>
      </c>
      <c r="E70" s="4">
        <f>79.8388622724019 * CHOOSE(CONTROL!$C$9, $C$13, 100%, $E$13) + CHOOSE(CONTROL!$C$28, 0, 0)</f>
        <v>79.838862272401897</v>
      </c>
    </row>
    <row r="71" spans="1:5" ht="15">
      <c r="A71" s="13">
        <v>43647</v>
      </c>
      <c r="B71" s="4">
        <f>12.7794 * CHOOSE(CONTROL!$C$9, $C$13, 100%, $E$13) + CHOOSE(CONTROL!$C$28, 0.0136, 0)</f>
        <v>12.793000000000001</v>
      </c>
      <c r="C71" s="4">
        <f>12.4161 * CHOOSE(CONTROL!$C$9, $C$13, 100%, $E$13) + CHOOSE(CONTROL!$C$28, 0.0136, 0)</f>
        <v>12.4297</v>
      </c>
      <c r="D71" s="4">
        <f>19.4203 * CHOOSE(CONTROL!$C$9, $C$13, 100%, $E$13) + CHOOSE(CONTROL!$C$28, 0, 0)</f>
        <v>19.420300000000001</v>
      </c>
      <c r="E71" s="4">
        <f>79.8134682322389 * CHOOSE(CONTROL!$C$9, $C$13, 100%, $E$13) + CHOOSE(CONTROL!$C$28, 0, 0)</f>
        <v>79.813468232238904</v>
      </c>
    </row>
    <row r="72" spans="1:5" ht="15">
      <c r="A72" s="13">
        <v>43678</v>
      </c>
      <c r="B72" s="4">
        <f>13.0668 * CHOOSE(CONTROL!$C$9, $C$13, 100%, $E$13) + CHOOSE(CONTROL!$C$28, 0.0136, 0)</f>
        <v>13.080400000000001</v>
      </c>
      <c r="C72" s="4">
        <f>12.7036 * CHOOSE(CONTROL!$C$9, $C$13, 100%, $E$13) + CHOOSE(CONTROL!$C$28, 0.0136, 0)</f>
        <v>12.7172</v>
      </c>
      <c r="D72" s="4">
        <f>19.232 * CHOOSE(CONTROL!$C$9, $C$13, 100%, $E$13) + CHOOSE(CONTROL!$C$28, 0, 0)</f>
        <v>19.231999999999999</v>
      </c>
      <c r="E72" s="4">
        <f>81.724369754503 * CHOOSE(CONTROL!$C$9, $C$13, 100%, $E$13) + CHOOSE(CONTROL!$C$28, 0, 0)</f>
        <v>81.724369754503002</v>
      </c>
    </row>
    <row r="73" spans="1:5" ht="15">
      <c r="A73" s="13">
        <v>43709</v>
      </c>
      <c r="B73" s="4">
        <f>12.5769 * CHOOSE(CONTROL!$C$9, $C$13, 100%, $E$13) + CHOOSE(CONTROL!$C$28, 0.0136, 0)</f>
        <v>12.5905</v>
      </c>
      <c r="C73" s="4">
        <f>12.2137 * CHOOSE(CONTROL!$C$9, $C$13, 100%, $E$13) + CHOOSE(CONTROL!$C$28, 0.0136, 0)</f>
        <v>12.2273</v>
      </c>
      <c r="D73" s="4">
        <f>19.143 * CHOOSE(CONTROL!$C$9, $C$13, 100%, $E$13) + CHOOSE(CONTROL!$C$28, 0, 0)</f>
        <v>19.143000000000001</v>
      </c>
      <c r="E73" s="4">
        <f>78.4675841036011 * CHOOSE(CONTROL!$C$9, $C$13, 100%, $E$13) + CHOOSE(CONTROL!$C$28, 0, 0)</f>
        <v>78.467584103601098</v>
      </c>
    </row>
    <row r="74" spans="1:5" ht="15">
      <c r="A74" s="13">
        <v>43739</v>
      </c>
      <c r="B74" s="4">
        <f>12.1848 * CHOOSE(CONTROL!$C$9, $C$13, 100%, $E$13) + CHOOSE(CONTROL!$C$28, 0.0003, 0)</f>
        <v>12.185099999999998</v>
      </c>
      <c r="C74" s="4">
        <f>11.8215 * CHOOSE(CONTROL!$C$9, $C$13, 100%, $E$13) + CHOOSE(CONTROL!$C$28, 0.0003, 0)</f>
        <v>11.8218</v>
      </c>
      <c r="D74" s="4">
        <f>18.9047 * CHOOSE(CONTROL!$C$9, $C$13, 100%, $E$13) + CHOOSE(CONTROL!$C$28, 0, 0)</f>
        <v>18.904699999999998</v>
      </c>
      <c r="E74" s="4">
        <f>75.8604626468687 * CHOOSE(CONTROL!$C$9, $C$13, 100%, $E$13) + CHOOSE(CONTROL!$C$28, 0, 0)</f>
        <v>75.860462646868697</v>
      </c>
    </row>
    <row r="75" spans="1:5" ht="15">
      <c r="A75" s="13">
        <v>43770</v>
      </c>
      <c r="B75" s="4">
        <f>11.9322 * CHOOSE(CONTROL!$C$9, $C$13, 100%, $E$13) + CHOOSE(CONTROL!$C$28, 0.0003, 0)</f>
        <v>11.932499999999999</v>
      </c>
      <c r="C75" s="4">
        <f>11.5689 * CHOOSE(CONTROL!$C$9, $C$13, 100%, $E$13) + CHOOSE(CONTROL!$C$28, 0.0003, 0)</f>
        <v>11.569199999999999</v>
      </c>
      <c r="D75" s="4">
        <f>18.8228 * CHOOSE(CONTROL!$C$9, $C$13, 100%, $E$13) + CHOOSE(CONTROL!$C$28, 0, 0)</f>
        <v>18.822800000000001</v>
      </c>
      <c r="E75" s="4">
        <f>74.1812817410918 * CHOOSE(CONTROL!$C$9, $C$13, 100%, $E$13) + CHOOSE(CONTROL!$C$28, 0, 0)</f>
        <v>74.181281741091794</v>
      </c>
    </row>
    <row r="76" spans="1:5" ht="15">
      <c r="A76" s="13">
        <v>43800</v>
      </c>
      <c r="B76" s="4">
        <f>11.7574 * CHOOSE(CONTROL!$C$9, $C$13, 100%, $E$13) + CHOOSE(CONTROL!$C$28, 0.0003, 0)</f>
        <v>11.7577</v>
      </c>
      <c r="C76" s="4">
        <f>11.3941 * CHOOSE(CONTROL!$C$9, $C$13, 100%, $E$13) + CHOOSE(CONTROL!$C$28, 0.0003, 0)</f>
        <v>11.394399999999999</v>
      </c>
      <c r="D76" s="4">
        <f>18.2198 * CHOOSE(CONTROL!$C$9, $C$13, 100%, $E$13) + CHOOSE(CONTROL!$C$28, 0, 0)</f>
        <v>18.219799999999999</v>
      </c>
      <c r="E76" s="4">
        <f>73.0195044036356 * CHOOSE(CONTROL!$C$9, $C$13, 100%, $E$13) + CHOOSE(CONTROL!$C$28, 0, 0)</f>
        <v>73.019504403635594</v>
      </c>
    </row>
    <row r="77" spans="1:5" ht="15">
      <c r="A77" s="13">
        <v>43831</v>
      </c>
      <c r="B77" s="4">
        <f>12.8082 * CHOOSE(CONTROL!$C$9, $C$13, 100%, $E$13) + CHOOSE(CONTROL!$C$28, 0.0003, 0)</f>
        <v>12.808499999999999</v>
      </c>
      <c r="C77" s="4">
        <f>12.4449 * CHOOSE(CONTROL!$C$9, $C$13, 100%, $E$13) + CHOOSE(CONTROL!$C$28, 0.0003, 0)</f>
        <v>12.4452</v>
      </c>
      <c r="D77" s="4">
        <f>19.2397 * CHOOSE(CONTROL!$C$9, $C$13, 100%, $E$13) + CHOOSE(CONTROL!$C$28, 0, 0)</f>
        <v>19.239699999999999</v>
      </c>
      <c r="E77" s="4">
        <f>82.0078688574678 * CHOOSE(CONTROL!$C$9, $C$13, 100%, $E$13) + CHOOSE(CONTROL!$C$28, 0, 0)</f>
        <v>82.007868857467798</v>
      </c>
    </row>
    <row r="78" spans="1:5" ht="15">
      <c r="A78" s="13">
        <v>43862</v>
      </c>
      <c r="B78" s="4">
        <f>13.0939 * CHOOSE(CONTROL!$C$9, $C$13, 100%, $E$13) + CHOOSE(CONTROL!$C$28, 0.0003, 0)</f>
        <v>13.094199999999999</v>
      </c>
      <c r="C78" s="4">
        <f>12.7307 * CHOOSE(CONTROL!$C$9, $C$13, 100%, $E$13) + CHOOSE(CONTROL!$C$28, 0.0003, 0)</f>
        <v>12.731</v>
      </c>
      <c r="D78" s="4">
        <f>19.8534 * CHOOSE(CONTROL!$C$9, $C$13, 100%, $E$13) + CHOOSE(CONTROL!$C$28, 0, 0)</f>
        <v>19.853400000000001</v>
      </c>
      <c r="E78" s="4">
        <f>83.9550588497287 * CHOOSE(CONTROL!$C$9, $C$13, 100%, $E$13) + CHOOSE(CONTROL!$C$28, 0, 0)</f>
        <v>83.955058849728701</v>
      </c>
    </row>
    <row r="79" spans="1:5" ht="15">
      <c r="A79" s="13">
        <v>43891</v>
      </c>
      <c r="B79" s="4">
        <f>13.8443 * CHOOSE(CONTROL!$C$9, $C$13, 100%, $E$13) + CHOOSE(CONTROL!$C$28, 0.0003, 0)</f>
        <v>13.8446</v>
      </c>
      <c r="C79" s="4">
        <f>13.4811 * CHOOSE(CONTROL!$C$9, $C$13, 100%, $E$13) + CHOOSE(CONTROL!$C$28, 0.0003, 0)</f>
        <v>13.481399999999999</v>
      </c>
      <c r="D79" s="4">
        <f>20.814 * CHOOSE(CONTROL!$C$9, $C$13, 100%, $E$13) + CHOOSE(CONTROL!$C$28, 0, 0)</f>
        <v>20.814</v>
      </c>
      <c r="E79" s="4">
        <f>89.0684832493664 * CHOOSE(CONTROL!$C$9, $C$13, 100%, $E$13) + CHOOSE(CONTROL!$C$28, 0, 0)</f>
        <v>89.068483249366395</v>
      </c>
    </row>
    <row r="80" spans="1:5" ht="15">
      <c r="A80" s="13">
        <v>43922</v>
      </c>
      <c r="B80" s="4">
        <f>14.3775 * CHOOSE(CONTROL!$C$9, $C$13, 100%, $E$13) + CHOOSE(CONTROL!$C$28, 0.0003, 0)</f>
        <v>14.377799999999999</v>
      </c>
      <c r="C80" s="4">
        <f>14.0142 * CHOOSE(CONTROL!$C$9, $C$13, 100%, $E$13) + CHOOSE(CONTROL!$C$28, 0.0003, 0)</f>
        <v>14.0145</v>
      </c>
      <c r="D80" s="4">
        <f>21.3674 * CHOOSE(CONTROL!$C$9, $C$13, 100%, $E$13) + CHOOSE(CONTROL!$C$28, 0, 0)</f>
        <v>21.3674</v>
      </c>
      <c r="E80" s="4">
        <f>92.7016394306491 * CHOOSE(CONTROL!$C$9, $C$13, 100%, $E$13) + CHOOSE(CONTROL!$C$28, 0, 0)</f>
        <v>92.701639430649095</v>
      </c>
    </row>
    <row r="81" spans="1:5" ht="15">
      <c r="A81" s="13">
        <v>43952</v>
      </c>
      <c r="B81" s="4">
        <f>14.7033 * CHOOSE(CONTROL!$C$9, $C$13, 100%, $E$13) + CHOOSE(CONTROL!$C$28, 0.0136, 0)</f>
        <v>14.716900000000001</v>
      </c>
      <c r="C81" s="4">
        <f>14.34 * CHOOSE(CONTROL!$C$9, $C$13, 100%, $E$13) + CHOOSE(CONTROL!$C$28, 0.0136, 0)</f>
        <v>14.3536</v>
      </c>
      <c r="D81" s="4">
        <f>21.1487 * CHOOSE(CONTROL!$C$9, $C$13, 100%, $E$13) + CHOOSE(CONTROL!$C$28, 0, 0)</f>
        <v>21.148700000000002</v>
      </c>
      <c r="E81" s="4">
        <f>94.9214107828116 * CHOOSE(CONTROL!$C$9, $C$13, 100%, $E$13) + CHOOSE(CONTROL!$C$28, 0, 0)</f>
        <v>94.921410782811606</v>
      </c>
    </row>
    <row r="82" spans="1:5" ht="15">
      <c r="A82" s="13">
        <v>43983</v>
      </c>
      <c r="B82" s="4">
        <f>14.7473 * CHOOSE(CONTROL!$C$9, $C$13, 100%, $E$13) + CHOOSE(CONTROL!$C$28, 0.0136, 0)</f>
        <v>14.760899999999999</v>
      </c>
      <c r="C82" s="4">
        <f>14.3841 * CHOOSE(CONTROL!$C$9, $C$13, 100%, $E$13) + CHOOSE(CONTROL!$C$28, 0.0136, 0)</f>
        <v>14.3977</v>
      </c>
      <c r="D82" s="4">
        <f>21.3268 * CHOOSE(CONTROL!$C$9, $C$13, 100%, $E$13) + CHOOSE(CONTROL!$C$28, 0, 0)</f>
        <v>21.326799999999999</v>
      </c>
      <c r="E82" s="4">
        <f>95.2217550589996 * CHOOSE(CONTROL!$C$9, $C$13, 100%, $E$13) + CHOOSE(CONTROL!$C$28, 0, 0)</f>
        <v>95.221755058999605</v>
      </c>
    </row>
    <row r="83" spans="1:5" ht="15">
      <c r="A83" s="13">
        <v>44013</v>
      </c>
      <c r="B83" s="4">
        <f>14.7429 * CHOOSE(CONTROL!$C$9, $C$13, 100%, $E$13) + CHOOSE(CONTROL!$C$28, 0.0136, 0)</f>
        <v>14.756500000000001</v>
      </c>
      <c r="C83" s="4">
        <f>14.3796 * CHOOSE(CONTROL!$C$9, $C$13, 100%, $E$13) + CHOOSE(CONTROL!$C$28, 0.0136, 0)</f>
        <v>14.3932</v>
      </c>
      <c r="D83" s="4">
        <f>21.6482 * CHOOSE(CONTROL!$C$9, $C$13, 100%, $E$13) + CHOOSE(CONTROL!$C$28, 0, 0)</f>
        <v>21.648199999999999</v>
      </c>
      <c r="E83" s="4">
        <f>95.1914682412328 * CHOOSE(CONTROL!$C$9, $C$13, 100%, $E$13) + CHOOSE(CONTROL!$C$28, 0, 0)</f>
        <v>95.191468241232798</v>
      </c>
    </row>
    <row r="84" spans="1:5" ht="15">
      <c r="A84" s="13">
        <v>44044</v>
      </c>
      <c r="B84" s="4">
        <f>15.0774 * CHOOSE(CONTROL!$C$9, $C$13, 100%, $E$13) + CHOOSE(CONTROL!$C$28, 0.0136, 0)</f>
        <v>15.091000000000001</v>
      </c>
      <c r="C84" s="4">
        <f>14.7141 * CHOOSE(CONTROL!$C$9, $C$13, 100%, $E$13) + CHOOSE(CONTROL!$C$28, 0.0136, 0)</f>
        <v>14.7277</v>
      </c>
      <c r="D84" s="4">
        <f>21.436 * CHOOSE(CONTROL!$C$9, $C$13, 100%, $E$13) + CHOOSE(CONTROL!$C$28, 0, 0)</f>
        <v>21.436</v>
      </c>
      <c r="E84" s="4">
        <f>97.4705512781888 * CHOOSE(CONTROL!$C$9, $C$13, 100%, $E$13) + CHOOSE(CONTROL!$C$28, 0, 0)</f>
        <v>97.470551278188793</v>
      </c>
    </row>
    <row r="85" spans="1:5" ht="15">
      <c r="A85" s="13">
        <v>44075</v>
      </c>
      <c r="B85" s="4">
        <f>14.5073 * CHOOSE(CONTROL!$C$9, $C$13, 100%, $E$13) + CHOOSE(CONTROL!$C$28, 0.0136, 0)</f>
        <v>14.520900000000001</v>
      </c>
      <c r="C85" s="4">
        <f>14.144 * CHOOSE(CONTROL!$C$9, $C$13, 100%, $E$13) + CHOOSE(CONTROL!$C$28, 0.0136, 0)</f>
        <v>14.1576</v>
      </c>
      <c r="D85" s="4">
        <f>21.3357 * CHOOSE(CONTROL!$C$9, $C$13, 100%, $E$13) + CHOOSE(CONTROL!$C$28, 0, 0)</f>
        <v>21.335699999999999</v>
      </c>
      <c r="E85" s="4">
        <f>93.5862668995893 * CHOOSE(CONTROL!$C$9, $C$13, 100%, $E$13) + CHOOSE(CONTROL!$C$28, 0, 0)</f>
        <v>93.586266899589305</v>
      </c>
    </row>
    <row r="86" spans="1:5" ht="15">
      <c r="A86" s="13">
        <v>44105</v>
      </c>
      <c r="B86" s="4">
        <f>14.051 * CHOOSE(CONTROL!$C$9, $C$13, 100%, $E$13) + CHOOSE(CONTROL!$C$28, 0.0003, 0)</f>
        <v>14.051299999999999</v>
      </c>
      <c r="C86" s="4">
        <f>13.6877 * CHOOSE(CONTROL!$C$9, $C$13, 100%, $E$13) + CHOOSE(CONTROL!$C$28, 0.0003, 0)</f>
        <v>13.687999999999999</v>
      </c>
      <c r="D86" s="4">
        <f>21.0672 * CHOOSE(CONTROL!$C$9, $C$13, 100%, $E$13) + CHOOSE(CONTROL!$C$28, 0, 0)</f>
        <v>21.0672</v>
      </c>
      <c r="E86" s="4">
        <f>90.4768202755253 * CHOOSE(CONTROL!$C$9, $C$13, 100%, $E$13) + CHOOSE(CONTROL!$C$28, 0, 0)</f>
        <v>90.476820275525299</v>
      </c>
    </row>
    <row r="87" spans="1:5" ht="15">
      <c r="A87" s="13">
        <v>44136</v>
      </c>
      <c r="B87" s="4">
        <f>13.7571 * CHOOSE(CONTROL!$C$9, $C$13, 100%, $E$13) + CHOOSE(CONTROL!$C$28, 0.0003, 0)</f>
        <v>13.757399999999999</v>
      </c>
      <c r="C87" s="4">
        <f>13.3938 * CHOOSE(CONTROL!$C$9, $C$13, 100%, $E$13) + CHOOSE(CONTROL!$C$28, 0.0003, 0)</f>
        <v>13.3941</v>
      </c>
      <c r="D87" s="4">
        <f>20.9749 * CHOOSE(CONTROL!$C$9, $C$13, 100%, $E$13) + CHOOSE(CONTROL!$C$28, 0, 0)</f>
        <v>20.974900000000002</v>
      </c>
      <c r="E87" s="4">
        <f>88.4741044506919 * CHOOSE(CONTROL!$C$9, $C$13, 100%, $E$13) + CHOOSE(CONTROL!$C$28, 0, 0)</f>
        <v>88.474104450691897</v>
      </c>
    </row>
    <row r="88" spans="1:5" ht="15">
      <c r="A88" s="13">
        <v>44166</v>
      </c>
      <c r="B88" s="4">
        <f>13.5538 * CHOOSE(CONTROL!$C$9, $C$13, 100%, $E$13) + CHOOSE(CONTROL!$C$28, 0.0003, 0)</f>
        <v>13.5541</v>
      </c>
      <c r="C88" s="4">
        <f>13.1905 * CHOOSE(CONTROL!$C$9, $C$13, 100%, $E$13) + CHOOSE(CONTROL!$C$28, 0.0003, 0)</f>
        <v>13.190799999999999</v>
      </c>
      <c r="D88" s="4">
        <f>20.2954 * CHOOSE(CONTROL!$C$9, $C$13, 100%, $E$13) + CHOOSE(CONTROL!$C$28, 0, 0)</f>
        <v>20.295400000000001</v>
      </c>
      <c r="E88" s="4">
        <f>87.0884825378581 * CHOOSE(CONTROL!$C$9, $C$13, 100%, $E$13) + CHOOSE(CONTROL!$C$28, 0, 0)</f>
        <v>87.088482537858098</v>
      </c>
    </row>
    <row r="89" spans="1:5" ht="15">
      <c r="A89" s="13">
        <v>44197</v>
      </c>
      <c r="B89" s="4">
        <f>13.3859 * CHOOSE(CONTROL!$C$9, $C$13, 100%, $E$13) + CHOOSE(CONTROL!$C$28, 0.0003, 0)</f>
        <v>13.386199999999999</v>
      </c>
      <c r="C89" s="4">
        <f>13.0226 * CHOOSE(CONTROL!$C$9, $C$13, 100%, $E$13) + CHOOSE(CONTROL!$C$28, 0.0003, 0)</f>
        <v>13.0229</v>
      </c>
      <c r="D89" s="4">
        <f>20.0158 * CHOOSE(CONTROL!$C$9, $C$13, 100%, $E$13) + CHOOSE(CONTROL!$C$28, 0, 0)</f>
        <v>20.015799999999999</v>
      </c>
      <c r="E89" s="4">
        <f>85.4125030956757 * CHOOSE(CONTROL!$C$9, $C$13, 100%, $E$13) + CHOOSE(CONTROL!$C$28, 0, 0)</f>
        <v>85.412503095675703</v>
      </c>
    </row>
    <row r="90" spans="1:5" ht="15">
      <c r="A90" s="13">
        <v>44228</v>
      </c>
      <c r="B90" s="4">
        <f>13.6854 * CHOOSE(CONTROL!$C$9, $C$13, 100%, $E$13) + CHOOSE(CONTROL!$C$28, 0.0003, 0)</f>
        <v>13.685699999999999</v>
      </c>
      <c r="C90" s="4">
        <f>13.3221 * CHOOSE(CONTROL!$C$9, $C$13, 100%, $E$13) + CHOOSE(CONTROL!$C$28, 0.0003, 0)</f>
        <v>13.3224</v>
      </c>
      <c r="D90" s="4">
        <f>20.6569 * CHOOSE(CONTROL!$C$9, $C$13, 100%, $E$13) + CHOOSE(CONTROL!$C$28, 0, 0)</f>
        <v>20.6569</v>
      </c>
      <c r="E90" s="4">
        <f>87.4405325221069 * CHOOSE(CONTROL!$C$9, $C$13, 100%, $E$13) + CHOOSE(CONTROL!$C$28, 0, 0)</f>
        <v>87.440532522106906</v>
      </c>
    </row>
    <row r="91" spans="1:5" ht="15">
      <c r="A91" s="13">
        <v>44256</v>
      </c>
      <c r="B91" s="4">
        <f>14.4718 * CHOOSE(CONTROL!$C$9, $C$13, 100%, $E$13) + CHOOSE(CONTROL!$C$28, 0.0003, 0)</f>
        <v>14.472099999999999</v>
      </c>
      <c r="C91" s="4">
        <f>14.1085 * CHOOSE(CONTROL!$C$9, $C$13, 100%, $E$13) + CHOOSE(CONTROL!$C$28, 0.0003, 0)</f>
        <v>14.108799999999999</v>
      </c>
      <c r="D91" s="4">
        <f>21.6605 * CHOOSE(CONTROL!$C$9, $C$13, 100%, $E$13) + CHOOSE(CONTROL!$C$28, 0, 0)</f>
        <v>21.660499999999999</v>
      </c>
      <c r="E91" s="4">
        <f>92.7662455719442 * CHOOSE(CONTROL!$C$9, $C$13, 100%, $E$13) + CHOOSE(CONTROL!$C$28, 0, 0)</f>
        <v>92.766245571944197</v>
      </c>
    </row>
    <row r="92" spans="1:5" ht="15">
      <c r="A92" s="13">
        <v>44287</v>
      </c>
      <c r="B92" s="4">
        <f>15.0305 * CHOOSE(CONTROL!$C$9, $C$13, 100%, $E$13) + CHOOSE(CONTROL!$C$28, 0.0003, 0)</f>
        <v>15.030799999999999</v>
      </c>
      <c r="C92" s="4">
        <f>14.6673 * CHOOSE(CONTROL!$C$9, $C$13, 100%, $E$13) + CHOOSE(CONTROL!$C$28, 0.0003, 0)</f>
        <v>14.667599999999998</v>
      </c>
      <c r="D92" s="4">
        <f>22.2385 * CHOOSE(CONTROL!$C$9, $C$13, 100%, $E$13) + CHOOSE(CONTROL!$C$28, 0, 0)</f>
        <v>22.238499999999998</v>
      </c>
      <c r="E92" s="4">
        <f>96.5502356683118 * CHOOSE(CONTROL!$C$9, $C$13, 100%, $E$13) + CHOOSE(CONTROL!$C$28, 0, 0)</f>
        <v>96.550235668311799</v>
      </c>
    </row>
    <row r="93" spans="1:5" ht="15">
      <c r="A93" s="13">
        <v>44317</v>
      </c>
      <c r="B93" s="4">
        <f>15.3719 * CHOOSE(CONTROL!$C$9, $C$13, 100%, $E$13) + CHOOSE(CONTROL!$C$28, 0.0136, 0)</f>
        <v>15.3855</v>
      </c>
      <c r="C93" s="4">
        <f>15.0087 * CHOOSE(CONTROL!$C$9, $C$13, 100%, $E$13) + CHOOSE(CONTROL!$C$28, 0.0136, 0)</f>
        <v>15.0223</v>
      </c>
      <c r="D93" s="4">
        <f>22.0101 * CHOOSE(CONTROL!$C$9, $C$13, 100%, $E$13) + CHOOSE(CONTROL!$C$28, 0, 0)</f>
        <v>22.010100000000001</v>
      </c>
      <c r="E93" s="4">
        <f>98.8621629276069 * CHOOSE(CONTROL!$C$9, $C$13, 100%, $E$13) + CHOOSE(CONTROL!$C$28, 0, 0)</f>
        <v>98.862162927606903</v>
      </c>
    </row>
    <row r="94" spans="1:5" ht="15">
      <c r="A94" s="13">
        <v>44348</v>
      </c>
      <c r="B94" s="4">
        <f>15.4181 * CHOOSE(CONTROL!$C$9, $C$13, 100%, $E$13) + CHOOSE(CONTROL!$C$28, 0.0136, 0)</f>
        <v>15.431700000000001</v>
      </c>
      <c r="C94" s="4">
        <f>15.0549 * CHOOSE(CONTROL!$C$9, $C$13, 100%, $E$13) + CHOOSE(CONTROL!$C$28, 0.0136, 0)</f>
        <v>15.0685</v>
      </c>
      <c r="D94" s="4">
        <f>22.1961 * CHOOSE(CONTROL!$C$9, $C$13, 100%, $E$13) + CHOOSE(CONTROL!$C$28, 0, 0)</f>
        <v>22.196100000000001</v>
      </c>
      <c r="E94" s="4">
        <f>99.1749762804848 * CHOOSE(CONTROL!$C$9, $C$13, 100%, $E$13) + CHOOSE(CONTROL!$C$28, 0, 0)</f>
        <v>99.174976280484799</v>
      </c>
    </row>
    <row r="95" spans="1:5" ht="15">
      <c r="A95" s="13">
        <v>44378</v>
      </c>
      <c r="B95" s="4">
        <f>15.4135 * CHOOSE(CONTROL!$C$9, $C$13, 100%, $E$13) + CHOOSE(CONTROL!$C$28, 0.0136, 0)</f>
        <v>15.427100000000001</v>
      </c>
      <c r="C95" s="4">
        <f>15.0502 * CHOOSE(CONTROL!$C$9, $C$13, 100%, $E$13) + CHOOSE(CONTROL!$C$28, 0.0136, 0)</f>
        <v>15.063800000000001</v>
      </c>
      <c r="D95" s="4">
        <f>22.5318 * CHOOSE(CONTROL!$C$9, $C$13, 100%, $E$13) + CHOOSE(CONTROL!$C$28, 0, 0)</f>
        <v>22.5318</v>
      </c>
      <c r="E95" s="4">
        <f>99.1434320768333 * CHOOSE(CONTROL!$C$9, $C$13, 100%, $E$13) + CHOOSE(CONTROL!$C$28, 0, 0)</f>
        <v>99.143432076833307</v>
      </c>
    </row>
    <row r="96" spans="1:5" ht="15">
      <c r="A96" s="13">
        <v>44409</v>
      </c>
      <c r="B96" s="4">
        <f>15.764 * CHOOSE(CONTROL!$C$9, $C$13, 100%, $E$13) + CHOOSE(CONTROL!$C$28, 0.0136, 0)</f>
        <v>15.7776</v>
      </c>
      <c r="C96" s="4">
        <f>15.4007 * CHOOSE(CONTROL!$C$9, $C$13, 100%, $E$13) + CHOOSE(CONTROL!$C$28, 0.0136, 0)</f>
        <v>15.414300000000001</v>
      </c>
      <c r="D96" s="4">
        <f>22.3101 * CHOOSE(CONTROL!$C$9, $C$13, 100%, $E$13) + CHOOSE(CONTROL!$C$28, 0, 0)</f>
        <v>22.310099999999998</v>
      </c>
      <c r="E96" s="4">
        <f>101.517133401613 * CHOOSE(CONTROL!$C$9, $C$13, 100%, $E$13) + CHOOSE(CONTROL!$C$28, 0, 0)</f>
        <v>101.51713340161299</v>
      </c>
    </row>
    <row r="97" spans="1:5" ht="15">
      <c r="A97" s="13">
        <v>44440</v>
      </c>
      <c r="B97" s="4">
        <f>15.1666 * CHOOSE(CONTROL!$C$9, $C$13, 100%, $E$13) + CHOOSE(CONTROL!$C$28, 0.0136, 0)</f>
        <v>15.180200000000001</v>
      </c>
      <c r="C97" s="4">
        <f>14.8033 * CHOOSE(CONTROL!$C$9, $C$13, 100%, $E$13) + CHOOSE(CONTROL!$C$28, 0.0136, 0)</f>
        <v>14.8169</v>
      </c>
      <c r="D97" s="4">
        <f>22.2054 * CHOOSE(CONTROL!$C$9, $C$13, 100%, $E$13) + CHOOSE(CONTROL!$C$28, 0, 0)</f>
        <v>22.205400000000001</v>
      </c>
      <c r="E97" s="4">
        <f>97.471589283301 * CHOOSE(CONTROL!$C$9, $C$13, 100%, $E$13) + CHOOSE(CONTROL!$C$28, 0, 0)</f>
        <v>97.471589283301</v>
      </c>
    </row>
    <row r="98" spans="1:5" ht="15">
      <c r="A98" s="13">
        <v>44470</v>
      </c>
      <c r="B98" s="4">
        <f>14.6884 * CHOOSE(CONTROL!$C$9, $C$13, 100%, $E$13) + CHOOSE(CONTROL!$C$28, 0.0003, 0)</f>
        <v>14.688699999999999</v>
      </c>
      <c r="C98" s="4">
        <f>14.3251 * CHOOSE(CONTROL!$C$9, $C$13, 100%, $E$13) + CHOOSE(CONTROL!$C$28, 0.0003, 0)</f>
        <v>14.3254</v>
      </c>
      <c r="D98" s="4">
        <f>21.9249 * CHOOSE(CONTROL!$C$9, $C$13, 100%, $E$13) + CHOOSE(CONTROL!$C$28, 0, 0)</f>
        <v>21.924900000000001</v>
      </c>
      <c r="E98" s="4">
        <f>94.2330510417414 * CHOOSE(CONTROL!$C$9, $C$13, 100%, $E$13) + CHOOSE(CONTROL!$C$28, 0, 0)</f>
        <v>94.233051041741405</v>
      </c>
    </row>
    <row r="99" spans="1:5" ht="15">
      <c r="A99" s="13">
        <v>44501</v>
      </c>
      <c r="B99" s="4">
        <f>14.3804 * CHOOSE(CONTROL!$C$9, $C$13, 100%, $E$13) + CHOOSE(CONTROL!$C$28, 0.0003, 0)</f>
        <v>14.380699999999999</v>
      </c>
      <c r="C99" s="4">
        <f>14.0171 * CHOOSE(CONTROL!$C$9, $C$13, 100%, $E$13) + CHOOSE(CONTROL!$C$28, 0.0003, 0)</f>
        <v>14.017399999999999</v>
      </c>
      <c r="D99" s="4">
        <f>21.8285 * CHOOSE(CONTROL!$C$9, $C$13, 100%, $E$13) + CHOOSE(CONTROL!$C$28, 0, 0)</f>
        <v>21.828499999999998</v>
      </c>
      <c r="E99" s="4">
        <f>92.1471905752824 * CHOOSE(CONTROL!$C$9, $C$13, 100%, $E$13) + CHOOSE(CONTROL!$C$28, 0, 0)</f>
        <v>92.147190575282394</v>
      </c>
    </row>
    <row r="100" spans="1:5" ht="15">
      <c r="A100" s="13">
        <v>44531</v>
      </c>
      <c r="B100" s="4">
        <f>14.1673 * CHOOSE(CONTROL!$C$9, $C$13, 100%, $E$13) + CHOOSE(CONTROL!$C$28, 0.0003, 0)</f>
        <v>14.167599999999998</v>
      </c>
      <c r="C100" s="4">
        <f>13.804 * CHOOSE(CONTROL!$C$9, $C$13, 100%, $E$13) + CHOOSE(CONTROL!$C$28, 0.0003, 0)</f>
        <v>13.8043</v>
      </c>
      <c r="D100" s="4">
        <f>21.1187 * CHOOSE(CONTROL!$C$9, $C$13, 100%, $E$13) + CHOOSE(CONTROL!$C$28, 0, 0)</f>
        <v>21.1187</v>
      </c>
      <c r="E100" s="4">
        <f>90.7040432582239 * CHOOSE(CONTROL!$C$9, $C$13, 100%, $E$13) + CHOOSE(CONTROL!$C$28, 0, 0)</f>
        <v>90.704043258223905</v>
      </c>
    </row>
    <row r="101" spans="1:5" ht="15">
      <c r="A101" s="13">
        <v>44562</v>
      </c>
      <c r="B101" s="4">
        <f>14.0661 * CHOOSE(CONTROL!$C$9, $C$13, 100%, $E$13) + CHOOSE(CONTROL!$C$28, 0.0003, 0)</f>
        <v>14.0664</v>
      </c>
      <c r="C101" s="4">
        <f>13.7028 * CHOOSE(CONTROL!$C$9, $C$13, 100%, $E$13) + CHOOSE(CONTROL!$C$28, 0.0003, 0)</f>
        <v>13.703099999999999</v>
      </c>
      <c r="D101" s="4">
        <f>20.9947 * CHOOSE(CONTROL!$C$9, $C$13, 100%, $E$13) + CHOOSE(CONTROL!$C$28, 0, 0)</f>
        <v>20.994700000000002</v>
      </c>
      <c r="E101" s="4">
        <f>89.7194686098829 * CHOOSE(CONTROL!$C$9, $C$13, 100%, $E$13) + CHOOSE(CONTROL!$C$28, 0, 0)</f>
        <v>89.719468609882895</v>
      </c>
    </row>
    <row r="102" spans="1:5" ht="15">
      <c r="A102" s="13">
        <v>44593</v>
      </c>
      <c r="B102" s="4">
        <f>14.3817 * CHOOSE(CONTROL!$C$9, $C$13, 100%, $E$13) + CHOOSE(CONTROL!$C$28, 0.0003, 0)</f>
        <v>14.382</v>
      </c>
      <c r="C102" s="4">
        <f>14.0184 * CHOOSE(CONTROL!$C$9, $C$13, 100%, $E$13) + CHOOSE(CONTROL!$C$28, 0.0003, 0)</f>
        <v>14.018699999999999</v>
      </c>
      <c r="D102" s="4">
        <f>21.6704 * CHOOSE(CONTROL!$C$9, $C$13, 100%, $E$13) + CHOOSE(CONTROL!$C$28, 0, 0)</f>
        <v>21.670400000000001</v>
      </c>
      <c r="E102" s="4">
        <f>91.8497623709824 * CHOOSE(CONTROL!$C$9, $C$13, 100%, $E$13) + CHOOSE(CONTROL!$C$28, 0, 0)</f>
        <v>91.849762370982404</v>
      </c>
    </row>
    <row r="103" spans="1:5" ht="15">
      <c r="A103" s="13">
        <v>44621</v>
      </c>
      <c r="B103" s="4">
        <f>15.2105 * CHOOSE(CONTROL!$C$9, $C$13, 100%, $E$13) + CHOOSE(CONTROL!$C$28, 0.0003, 0)</f>
        <v>15.210799999999999</v>
      </c>
      <c r="C103" s="4">
        <f>14.8473 * CHOOSE(CONTROL!$C$9, $C$13, 100%, $E$13) + CHOOSE(CONTROL!$C$28, 0.0003, 0)</f>
        <v>14.8476</v>
      </c>
      <c r="D103" s="4">
        <f>22.728 * CHOOSE(CONTROL!$C$9, $C$13, 100%, $E$13) + CHOOSE(CONTROL!$C$28, 0, 0)</f>
        <v>22.728000000000002</v>
      </c>
      <c r="E103" s="4">
        <f>97.4440269983156 * CHOOSE(CONTROL!$C$9, $C$13, 100%, $E$13) + CHOOSE(CONTROL!$C$28, 0, 0)</f>
        <v>97.444026998315593</v>
      </c>
    </row>
    <row r="104" spans="1:5" ht="15">
      <c r="A104" s="13">
        <v>44652</v>
      </c>
      <c r="B104" s="4">
        <f>15.7994 * CHOOSE(CONTROL!$C$9, $C$13, 100%, $E$13) + CHOOSE(CONTROL!$C$28, 0.0003, 0)</f>
        <v>15.7997</v>
      </c>
      <c r="C104" s="4">
        <f>15.4362 * CHOOSE(CONTROL!$C$9, $C$13, 100%, $E$13) + CHOOSE(CONTROL!$C$28, 0.0003, 0)</f>
        <v>15.436499999999999</v>
      </c>
      <c r="D104" s="4">
        <f>23.3372 * CHOOSE(CONTROL!$C$9, $C$13, 100%, $E$13) + CHOOSE(CONTROL!$C$28, 0, 0)</f>
        <v>23.337199999999999</v>
      </c>
      <c r="E104" s="4">
        <f>101.418826569414 * CHOOSE(CONTROL!$C$9, $C$13, 100%, $E$13) + CHOOSE(CONTROL!$C$28, 0, 0)</f>
        <v>101.41882656941399</v>
      </c>
    </row>
    <row r="105" spans="1:5" ht="15">
      <c r="A105" s="13">
        <v>44682</v>
      </c>
      <c r="B105" s="4">
        <f>16.1593 * CHOOSE(CONTROL!$C$9, $C$13, 100%, $E$13) + CHOOSE(CONTROL!$C$28, 0.0136, 0)</f>
        <v>16.172900000000002</v>
      </c>
      <c r="C105" s="4">
        <f>15.796 * CHOOSE(CONTROL!$C$9, $C$13, 100%, $E$13) + CHOOSE(CONTROL!$C$28, 0.0136, 0)</f>
        <v>15.8096</v>
      </c>
      <c r="D105" s="4">
        <f>23.0965 * CHOOSE(CONTROL!$C$9, $C$13, 100%, $E$13) + CHOOSE(CONTROL!$C$28, 0, 0)</f>
        <v>23.096499999999999</v>
      </c>
      <c r="E105" s="4">
        <f>103.847333844705 * CHOOSE(CONTROL!$C$9, $C$13, 100%, $E$13) + CHOOSE(CONTROL!$C$28, 0, 0)</f>
        <v>103.84733384470501</v>
      </c>
    </row>
    <row r="106" spans="1:5" ht="15">
      <c r="A106" s="13">
        <v>44713</v>
      </c>
      <c r="B106" s="4">
        <f>16.2079 * CHOOSE(CONTROL!$C$9, $C$13, 100%, $E$13) + CHOOSE(CONTROL!$C$28, 0.0136, 0)</f>
        <v>16.221499999999999</v>
      </c>
      <c r="C106" s="4">
        <f>15.8447 * CHOOSE(CONTROL!$C$9, $C$13, 100%, $E$13) + CHOOSE(CONTROL!$C$28, 0.0136, 0)</f>
        <v>15.8583</v>
      </c>
      <c r="D106" s="4">
        <f>23.2926 * CHOOSE(CONTROL!$C$9, $C$13, 100%, $E$13) + CHOOSE(CONTROL!$C$28, 0, 0)</f>
        <v>23.2926</v>
      </c>
      <c r="E106" s="4">
        <f>104.175920957564 * CHOOSE(CONTROL!$C$9, $C$13, 100%, $E$13) + CHOOSE(CONTROL!$C$28, 0, 0)</f>
        <v>104.175920957564</v>
      </c>
    </row>
    <row r="107" spans="1:5" ht="15">
      <c r="A107" s="13">
        <v>44743</v>
      </c>
      <c r="B107" s="4">
        <f>16.203 * CHOOSE(CONTROL!$C$9, $C$13, 100%, $E$13) + CHOOSE(CONTROL!$C$28, 0.0136, 0)</f>
        <v>16.2166</v>
      </c>
      <c r="C107" s="4">
        <f>15.8397 * CHOOSE(CONTROL!$C$9, $C$13, 100%, $E$13) + CHOOSE(CONTROL!$C$28, 0.0136, 0)</f>
        <v>15.853300000000001</v>
      </c>
      <c r="D107" s="4">
        <f>23.6463 * CHOOSE(CONTROL!$C$9, $C$13, 100%, $E$13) + CHOOSE(CONTROL!$C$28, 0, 0)</f>
        <v>23.6463</v>
      </c>
      <c r="E107" s="4">
        <f>104.142786122654 * CHOOSE(CONTROL!$C$9, $C$13, 100%, $E$13) + CHOOSE(CONTROL!$C$28, 0, 0)</f>
        <v>104.142786122654</v>
      </c>
    </row>
    <row r="108" spans="1:5" ht="15">
      <c r="A108" s="13">
        <v>44774</v>
      </c>
      <c r="B108" s="4">
        <f>16.5724 * CHOOSE(CONTROL!$C$9, $C$13, 100%, $E$13) + CHOOSE(CONTROL!$C$28, 0.0136, 0)</f>
        <v>16.585999999999999</v>
      </c>
      <c r="C108" s="4">
        <f>16.2092 * CHOOSE(CONTROL!$C$9, $C$13, 100%, $E$13) + CHOOSE(CONTROL!$C$28, 0.0136, 0)</f>
        <v>16.222799999999999</v>
      </c>
      <c r="D108" s="4">
        <f>23.4127 * CHOOSE(CONTROL!$C$9, $C$13, 100%, $E$13) + CHOOSE(CONTROL!$C$28, 0, 0)</f>
        <v>23.412700000000001</v>
      </c>
      <c r="E108" s="4">
        <f>106.636182449644 * CHOOSE(CONTROL!$C$9, $C$13, 100%, $E$13) + CHOOSE(CONTROL!$C$28, 0, 0)</f>
        <v>106.636182449644</v>
      </c>
    </row>
    <row r="109" spans="1:5" ht="15">
      <c r="A109" s="13">
        <v>44805</v>
      </c>
      <c r="B109" s="4">
        <f>15.9428 * CHOOSE(CONTROL!$C$9, $C$13, 100%, $E$13) + CHOOSE(CONTROL!$C$28, 0.0136, 0)</f>
        <v>15.9564</v>
      </c>
      <c r="C109" s="4">
        <f>15.5796 * CHOOSE(CONTROL!$C$9, $C$13, 100%, $E$13) + CHOOSE(CONTROL!$C$28, 0.0136, 0)</f>
        <v>15.5932</v>
      </c>
      <c r="D109" s="4">
        <f>23.3023 * CHOOSE(CONTROL!$C$9, $C$13, 100%, $E$13) + CHOOSE(CONTROL!$C$28, 0, 0)</f>
        <v>23.302299999999999</v>
      </c>
      <c r="E109" s="4">
        <f>102.386639872415 * CHOOSE(CONTROL!$C$9, $C$13, 100%, $E$13) + CHOOSE(CONTROL!$C$28, 0, 0)</f>
        <v>102.386639872415</v>
      </c>
    </row>
    <row r="110" spans="1:5" ht="15">
      <c r="A110" s="13">
        <v>44835</v>
      </c>
      <c r="B110" s="4">
        <f>15.4388 * CHOOSE(CONTROL!$C$9, $C$13, 100%, $E$13) + CHOOSE(CONTROL!$C$28, 0.0003, 0)</f>
        <v>15.4391</v>
      </c>
      <c r="C110" s="4">
        <f>15.0755 * CHOOSE(CONTROL!$C$9, $C$13, 100%, $E$13) + CHOOSE(CONTROL!$C$28, 0.0003, 0)</f>
        <v>15.075799999999999</v>
      </c>
      <c r="D110" s="4">
        <f>23.0067 * CHOOSE(CONTROL!$C$9, $C$13, 100%, $E$13) + CHOOSE(CONTROL!$C$28, 0, 0)</f>
        <v>23.006699999999999</v>
      </c>
      <c r="E110" s="4">
        <f>98.9847968216383 * CHOOSE(CONTROL!$C$9, $C$13, 100%, $E$13) + CHOOSE(CONTROL!$C$28, 0, 0)</f>
        <v>98.984796821638298</v>
      </c>
    </row>
    <row r="111" spans="1:5" ht="15">
      <c r="A111" s="13">
        <v>44866</v>
      </c>
      <c r="B111" s="4">
        <f>15.1142 * CHOOSE(CONTROL!$C$9, $C$13, 100%, $E$13) + CHOOSE(CONTROL!$C$28, 0.0003, 0)</f>
        <v>15.1145</v>
      </c>
      <c r="C111" s="4">
        <f>14.7509 * CHOOSE(CONTROL!$C$9, $C$13, 100%, $E$13) + CHOOSE(CONTROL!$C$28, 0.0003, 0)</f>
        <v>14.751199999999999</v>
      </c>
      <c r="D111" s="4">
        <f>22.9051 * CHOOSE(CONTROL!$C$9, $C$13, 100%, $E$13) + CHOOSE(CONTROL!$C$28, 0, 0)</f>
        <v>22.905100000000001</v>
      </c>
      <c r="E111" s="4">
        <f>96.7937558632035 * CHOOSE(CONTROL!$C$9, $C$13, 100%, $E$13) + CHOOSE(CONTROL!$C$28, 0, 0)</f>
        <v>96.793755863203501</v>
      </c>
    </row>
    <row r="112" spans="1:5" ht="15">
      <c r="A112" s="13">
        <v>44896</v>
      </c>
      <c r="B112" s="4">
        <f>14.8896 * CHOOSE(CONTROL!$C$9, $C$13, 100%, $E$13) + CHOOSE(CONTROL!$C$28, 0.0003, 0)</f>
        <v>14.889899999999999</v>
      </c>
      <c r="C112" s="4">
        <f>14.5263 * CHOOSE(CONTROL!$C$9, $C$13, 100%, $E$13) + CHOOSE(CONTROL!$C$28, 0.0003, 0)</f>
        <v>14.5266</v>
      </c>
      <c r="D112" s="4">
        <f>22.157 * CHOOSE(CONTROL!$C$9, $C$13, 100%, $E$13) + CHOOSE(CONTROL!$C$28, 0, 0)</f>
        <v>22.157</v>
      </c>
      <c r="E112" s="4">
        <f>95.2778371660634 * CHOOSE(CONTROL!$C$9, $C$13, 100%, $E$13) + CHOOSE(CONTROL!$C$28, 0, 0)</f>
        <v>95.277837166063406</v>
      </c>
    </row>
    <row r="113" spans="1:5" ht="15">
      <c r="A113" s="13">
        <v>44927</v>
      </c>
      <c r="B113" s="4">
        <f>14.7924 * CHOOSE(CONTROL!$C$9, $C$13, 100%, $E$13) + CHOOSE(CONTROL!$C$28, 0.0003, 0)</f>
        <v>14.7927</v>
      </c>
      <c r="C113" s="4">
        <f>14.4291 * CHOOSE(CONTROL!$C$9, $C$13, 100%, $E$13) + CHOOSE(CONTROL!$C$28, 0.0003, 0)</f>
        <v>14.429399999999999</v>
      </c>
      <c r="D113" s="4">
        <f>21.9492 * CHOOSE(CONTROL!$C$9, $C$13, 100%, $E$13) + CHOOSE(CONTROL!$C$28, 0, 0)</f>
        <v>21.949200000000001</v>
      </c>
      <c r="E113" s="4">
        <f>94.0260553347621 * CHOOSE(CONTROL!$C$9, $C$13, 100%, $E$13) + CHOOSE(CONTROL!$C$28, 0, 0)</f>
        <v>94.026055334762106</v>
      </c>
    </row>
    <row r="114" spans="1:5" ht="15">
      <c r="A114" s="13">
        <v>44958</v>
      </c>
      <c r="B114" s="4">
        <f>15.1252 * CHOOSE(CONTROL!$C$9, $C$13, 100%, $E$13) + CHOOSE(CONTROL!$C$28, 0.0003, 0)</f>
        <v>15.125499999999999</v>
      </c>
      <c r="C114" s="4">
        <f>14.762 * CHOOSE(CONTROL!$C$9, $C$13, 100%, $E$13) + CHOOSE(CONTROL!$C$28, 0.0003, 0)</f>
        <v>14.7623</v>
      </c>
      <c r="D114" s="4">
        <f>22.6585 * CHOOSE(CONTROL!$C$9, $C$13, 100%, $E$13) + CHOOSE(CONTROL!$C$28, 0, 0)</f>
        <v>22.6585</v>
      </c>
      <c r="E114" s="4">
        <f>96.2586044365785 * CHOOSE(CONTROL!$C$9, $C$13, 100%, $E$13) + CHOOSE(CONTROL!$C$28, 0, 0)</f>
        <v>96.258604436578494</v>
      </c>
    </row>
    <row r="115" spans="1:5" ht="15">
      <c r="A115" s="13">
        <v>44986</v>
      </c>
      <c r="B115" s="4">
        <f>15.9994 * CHOOSE(CONTROL!$C$9, $C$13, 100%, $E$13) + CHOOSE(CONTROL!$C$28, 0.0003, 0)</f>
        <v>15.999699999999999</v>
      </c>
      <c r="C115" s="4">
        <f>15.6361 * CHOOSE(CONTROL!$C$9, $C$13, 100%, $E$13) + CHOOSE(CONTROL!$C$28, 0.0003, 0)</f>
        <v>15.6364</v>
      </c>
      <c r="D115" s="4">
        <f>23.7688 * CHOOSE(CONTROL!$C$9, $C$13, 100%, $E$13) + CHOOSE(CONTROL!$C$28, 0, 0)</f>
        <v>23.768799999999999</v>
      </c>
      <c r="E115" s="4">
        <f>102.121397022813 * CHOOSE(CONTROL!$C$9, $C$13, 100%, $E$13) + CHOOSE(CONTROL!$C$28, 0, 0)</f>
        <v>102.121397022813</v>
      </c>
    </row>
    <row r="116" spans="1:5" ht="15">
      <c r="A116" s="13">
        <v>45017</v>
      </c>
      <c r="B116" s="4">
        <f>16.6204 * CHOOSE(CONTROL!$C$9, $C$13, 100%, $E$13) + CHOOSE(CONTROL!$C$28, 0.0003, 0)</f>
        <v>16.620699999999999</v>
      </c>
      <c r="C116" s="4">
        <f>16.2571 * CHOOSE(CONTROL!$C$9, $C$13, 100%, $E$13) + CHOOSE(CONTROL!$C$28, 0.0003, 0)</f>
        <v>16.257400000000001</v>
      </c>
      <c r="D116" s="4">
        <f>24.4085 * CHOOSE(CONTROL!$C$9, $C$13, 100%, $E$13) + CHOOSE(CONTROL!$C$28, 0, 0)</f>
        <v>24.4085</v>
      </c>
      <c r="E116" s="4">
        <f>106.286989287317 * CHOOSE(CONTROL!$C$9, $C$13, 100%, $E$13) + CHOOSE(CONTROL!$C$28, 0, 0)</f>
        <v>106.286989287317</v>
      </c>
    </row>
    <row r="117" spans="1:5" ht="15">
      <c r="A117" s="13">
        <v>45047</v>
      </c>
      <c r="B117" s="4">
        <f>16.9999 * CHOOSE(CONTROL!$C$9, $C$13, 100%, $E$13) + CHOOSE(CONTROL!$C$28, 0.0136, 0)</f>
        <v>17.013500000000001</v>
      </c>
      <c r="C117" s="4">
        <f>16.6366 * CHOOSE(CONTROL!$C$9, $C$13, 100%, $E$13) + CHOOSE(CONTROL!$C$28, 0.0136, 0)</f>
        <v>16.650200000000002</v>
      </c>
      <c r="D117" s="4">
        <f>24.1557 * CHOOSE(CONTROL!$C$9, $C$13, 100%, $E$13) + CHOOSE(CONTROL!$C$28, 0, 0)</f>
        <v>24.1557</v>
      </c>
      <c r="E117" s="4">
        <f>108.832066325616 * CHOOSE(CONTROL!$C$9, $C$13, 100%, $E$13) + CHOOSE(CONTROL!$C$28, 0, 0)</f>
        <v>108.832066325616</v>
      </c>
    </row>
    <row r="118" spans="1:5" ht="15">
      <c r="A118" s="13">
        <v>45078</v>
      </c>
      <c r="B118" s="4">
        <f>17.0512 * CHOOSE(CONTROL!$C$9, $C$13, 100%, $E$13) + CHOOSE(CONTROL!$C$28, 0.0136, 0)</f>
        <v>17.064800000000002</v>
      </c>
      <c r="C118" s="4">
        <f>16.688 * CHOOSE(CONTROL!$C$9, $C$13, 100%, $E$13) + CHOOSE(CONTROL!$C$28, 0.0136, 0)</f>
        <v>16.701599999999999</v>
      </c>
      <c r="D118" s="4">
        <f>24.3616 * CHOOSE(CONTROL!$C$9, $C$13, 100%, $E$13) + CHOOSE(CONTROL!$C$28, 0, 0)</f>
        <v>24.361599999999999</v>
      </c>
      <c r="E118" s="4">
        <f>109.176425811184 * CHOOSE(CONTROL!$C$9, $C$13, 100%, $E$13) + CHOOSE(CONTROL!$C$28, 0, 0)</f>
        <v>109.176425811184</v>
      </c>
    </row>
    <row r="119" spans="1:5" ht="15">
      <c r="A119" s="13">
        <v>45108</v>
      </c>
      <c r="B119" s="4">
        <f>17.0461 * CHOOSE(CONTROL!$C$9, $C$13, 100%, $E$13) + CHOOSE(CONTROL!$C$28, 0.0136, 0)</f>
        <v>17.059699999999999</v>
      </c>
      <c r="C119" s="4">
        <f>16.6828 * CHOOSE(CONTROL!$C$9, $C$13, 100%, $E$13) + CHOOSE(CONTROL!$C$28, 0.0136, 0)</f>
        <v>16.696400000000001</v>
      </c>
      <c r="D119" s="4">
        <f>24.733 * CHOOSE(CONTROL!$C$9, $C$13, 100%, $E$13) + CHOOSE(CONTROL!$C$28, 0, 0)</f>
        <v>24.733000000000001</v>
      </c>
      <c r="E119" s="4">
        <f>109.141700484908 * CHOOSE(CONTROL!$C$9, $C$13, 100%, $E$13) + CHOOSE(CONTROL!$C$28, 0, 0)</f>
        <v>109.141700484908</v>
      </c>
    </row>
    <row r="120" spans="1:5" ht="15">
      <c r="A120" s="13">
        <v>45139</v>
      </c>
      <c r="B120" s="4">
        <f>17.4357 * CHOOSE(CONTROL!$C$9, $C$13, 100%, $E$13) + CHOOSE(CONTROL!$C$28, 0.0136, 0)</f>
        <v>17.449300000000001</v>
      </c>
      <c r="C120" s="4">
        <f>17.0724 * CHOOSE(CONTROL!$C$9, $C$13, 100%, $E$13) + CHOOSE(CONTROL!$C$28, 0.0136, 0)</f>
        <v>17.085999999999999</v>
      </c>
      <c r="D120" s="4">
        <f>24.4877 * CHOOSE(CONTROL!$C$9, $C$13, 100%, $E$13) + CHOOSE(CONTROL!$C$28, 0, 0)</f>
        <v>24.4877</v>
      </c>
      <c r="E120" s="4">
        <f>111.754781287164 * CHOOSE(CONTROL!$C$9, $C$13, 100%, $E$13) + CHOOSE(CONTROL!$C$28, 0, 0)</f>
        <v>111.75478128716399</v>
      </c>
    </row>
    <row r="121" spans="1:5" ht="15">
      <c r="A121" s="13">
        <v>45170</v>
      </c>
      <c r="B121" s="4">
        <f>16.7717 * CHOOSE(CONTROL!$C$9, $C$13, 100%, $E$13) + CHOOSE(CONTROL!$C$28, 0.0136, 0)</f>
        <v>16.785299999999999</v>
      </c>
      <c r="C121" s="4">
        <f>16.4084 * CHOOSE(CONTROL!$C$9, $C$13, 100%, $E$13) + CHOOSE(CONTROL!$C$28, 0.0136, 0)</f>
        <v>16.422000000000001</v>
      </c>
      <c r="D121" s="4">
        <f>24.3718 * CHOOSE(CONTROL!$C$9, $C$13, 100%, $E$13) + CHOOSE(CONTROL!$C$28, 0, 0)</f>
        <v>24.3718</v>
      </c>
      <c r="E121" s="4">
        <f>107.30125819229 * CHOOSE(CONTROL!$C$9, $C$13, 100%, $E$13) + CHOOSE(CONTROL!$C$28, 0, 0)</f>
        <v>107.30125819229001</v>
      </c>
    </row>
    <row r="122" spans="1:5" ht="15">
      <c r="A122" s="13">
        <v>45200</v>
      </c>
      <c r="B122" s="4">
        <f>16.2401 * CHOOSE(CONTROL!$C$9, $C$13, 100%, $E$13) + CHOOSE(CONTROL!$C$28, 0.0003, 0)</f>
        <v>16.240400000000001</v>
      </c>
      <c r="C122" s="4">
        <f>15.8768 * CHOOSE(CONTROL!$C$9, $C$13, 100%, $E$13) + CHOOSE(CONTROL!$C$28, 0.0003, 0)</f>
        <v>15.877099999999999</v>
      </c>
      <c r="D122" s="4">
        <f>24.0615 * CHOOSE(CONTROL!$C$9, $C$13, 100%, $E$13) + CHOOSE(CONTROL!$C$28, 0, 0)</f>
        <v>24.061499999999999</v>
      </c>
      <c r="E122" s="4">
        <f>103.736124694639 * CHOOSE(CONTROL!$C$9, $C$13, 100%, $E$13) + CHOOSE(CONTROL!$C$28, 0, 0)</f>
        <v>103.736124694639</v>
      </c>
    </row>
    <row r="123" spans="1:5" ht="15">
      <c r="A123" s="13">
        <v>45231</v>
      </c>
      <c r="B123" s="4">
        <f>15.8977 * CHOOSE(CONTROL!$C$9, $C$13, 100%, $E$13) + CHOOSE(CONTROL!$C$28, 0.0003, 0)</f>
        <v>15.898</v>
      </c>
      <c r="C123" s="4">
        <f>15.5345 * CHOOSE(CONTROL!$C$9, $C$13, 100%, $E$13) + CHOOSE(CONTROL!$C$28, 0.0003, 0)</f>
        <v>15.534799999999999</v>
      </c>
      <c r="D123" s="4">
        <f>23.9548 * CHOOSE(CONTROL!$C$9, $C$13, 100%, $E$13) + CHOOSE(CONTROL!$C$28, 0, 0)</f>
        <v>23.954799999999999</v>
      </c>
      <c r="E123" s="4">
        <f>101.43991249465 * CHOOSE(CONTROL!$C$9, $C$13, 100%, $E$13) + CHOOSE(CONTROL!$C$28, 0, 0)</f>
        <v>101.43991249465</v>
      </c>
    </row>
    <row r="124" spans="1:5" ht="15">
      <c r="A124" s="13">
        <v>45261</v>
      </c>
      <c r="B124" s="4">
        <f>15.6609 * CHOOSE(CONTROL!$C$9, $C$13, 100%, $E$13) + CHOOSE(CONTROL!$C$28, 0.0003, 0)</f>
        <v>15.661199999999999</v>
      </c>
      <c r="C124" s="4">
        <f>15.2976 * CHOOSE(CONTROL!$C$9, $C$13, 100%, $E$13) + CHOOSE(CONTROL!$C$28, 0.0003, 0)</f>
        <v>15.297899999999998</v>
      </c>
      <c r="D124" s="4">
        <f>23.1694 * CHOOSE(CONTROL!$C$9, $C$13, 100%, $E$13) + CHOOSE(CONTROL!$C$28, 0, 0)</f>
        <v>23.1694</v>
      </c>
      <c r="E124" s="4">
        <f>99.8512288175313 * CHOOSE(CONTROL!$C$9, $C$13, 100%, $E$13) + CHOOSE(CONTROL!$C$28, 0, 0)</f>
        <v>99.851228817531293</v>
      </c>
    </row>
    <row r="125" spans="1:5" ht="15">
      <c r="A125" s="13">
        <v>45292</v>
      </c>
      <c r="B125" s="4">
        <f>15.545 * CHOOSE(CONTROL!$C$9, $C$13, 100%, $E$13) + CHOOSE(CONTROL!$C$28, 0.0003, 0)</f>
        <v>15.545299999999999</v>
      </c>
      <c r="C125" s="4">
        <f>15.1817 * CHOOSE(CONTROL!$C$9, $C$13, 100%, $E$13) + CHOOSE(CONTROL!$C$28, 0.0003, 0)</f>
        <v>15.181999999999999</v>
      </c>
      <c r="D125" s="4">
        <f>23.2042 * CHOOSE(CONTROL!$C$9, $C$13, 100%, $E$13) + CHOOSE(CONTROL!$C$28, 0, 0)</f>
        <v>23.2042</v>
      </c>
      <c r="E125" s="4">
        <f>98.3322701573919 * CHOOSE(CONTROL!$C$9, $C$13, 100%, $E$13) + CHOOSE(CONTROL!$C$28, 0, 0)</f>
        <v>98.332270157391903</v>
      </c>
    </row>
    <row r="126" spans="1:5" ht="15">
      <c r="A126" s="13">
        <v>45323</v>
      </c>
      <c r="B126" s="4">
        <f>15.8957 * CHOOSE(CONTROL!$C$9, $C$13, 100%, $E$13) + CHOOSE(CONTROL!$C$28, 0.0003, 0)</f>
        <v>15.895999999999999</v>
      </c>
      <c r="C126" s="4">
        <f>15.5324 * CHOOSE(CONTROL!$C$9, $C$13, 100%, $E$13) + CHOOSE(CONTROL!$C$28, 0.0003, 0)</f>
        <v>15.5327</v>
      </c>
      <c r="D126" s="4">
        <f>23.9579 * CHOOSE(CONTROL!$C$9, $C$13, 100%, $E$13) + CHOOSE(CONTROL!$C$28, 0, 0)</f>
        <v>23.957899999999999</v>
      </c>
      <c r="E126" s="4">
        <f>100.6670657695 * CHOOSE(CONTROL!$C$9, $C$13, 100%, $E$13) + CHOOSE(CONTROL!$C$28, 0, 0)</f>
        <v>100.6670657695</v>
      </c>
    </row>
    <row r="127" spans="1:5" ht="15">
      <c r="A127" s="13">
        <v>45352</v>
      </c>
      <c r="B127" s="4">
        <f>16.8168 * CHOOSE(CONTROL!$C$9, $C$13, 100%, $E$13) + CHOOSE(CONTROL!$C$28, 0.0003, 0)</f>
        <v>16.8171</v>
      </c>
      <c r="C127" s="4">
        <f>16.4535 * CHOOSE(CONTROL!$C$9, $C$13, 100%, $E$13) + CHOOSE(CONTROL!$C$28, 0.0003, 0)</f>
        <v>16.453799999999998</v>
      </c>
      <c r="D127" s="4">
        <f>25.1376 * CHOOSE(CONTROL!$C$9, $C$13, 100%, $E$13) + CHOOSE(CONTROL!$C$28, 0, 0)</f>
        <v>25.137599999999999</v>
      </c>
      <c r="E127" s="4">
        <f>106.798363125471 * CHOOSE(CONTROL!$C$9, $C$13, 100%, $E$13) + CHOOSE(CONTROL!$C$28, 0, 0)</f>
        <v>106.798363125471</v>
      </c>
    </row>
    <row r="128" spans="1:5" ht="15">
      <c r="A128" s="13">
        <v>45383</v>
      </c>
      <c r="B128" s="4">
        <f>17.4712 * CHOOSE(CONTROL!$C$9, $C$13, 100%, $E$13) + CHOOSE(CONTROL!$C$28, 0.0003, 0)</f>
        <v>17.471499999999999</v>
      </c>
      <c r="C128" s="4">
        <f>17.1079 * CHOOSE(CONTROL!$C$9, $C$13, 100%, $E$13) + CHOOSE(CONTROL!$C$28, 0.0003, 0)</f>
        <v>17.1082</v>
      </c>
      <c r="D128" s="4">
        <f>25.8171 * CHOOSE(CONTROL!$C$9, $C$13, 100%, $E$13) + CHOOSE(CONTROL!$C$28, 0, 0)</f>
        <v>25.8171</v>
      </c>
      <c r="E128" s="4">
        <f>111.154731607169 * CHOOSE(CONTROL!$C$9, $C$13, 100%, $E$13) + CHOOSE(CONTROL!$C$28, 0, 0)</f>
        <v>111.154731607169</v>
      </c>
    </row>
    <row r="129" spans="1:5" ht="15">
      <c r="A129" s="13">
        <v>45413</v>
      </c>
      <c r="B129" s="4">
        <f>17.871 * CHOOSE(CONTROL!$C$9, $C$13, 100%, $E$13) + CHOOSE(CONTROL!$C$28, 0.0136, 0)</f>
        <v>17.884599999999999</v>
      </c>
      <c r="C129" s="4">
        <f>17.5077 * CHOOSE(CONTROL!$C$9, $C$13, 100%, $E$13) + CHOOSE(CONTROL!$C$28, 0.0136, 0)</f>
        <v>17.5213</v>
      </c>
      <c r="D129" s="4">
        <f>25.5486 * CHOOSE(CONTROL!$C$9, $C$13, 100%, $E$13) + CHOOSE(CONTROL!$C$28, 0, 0)</f>
        <v>25.5486</v>
      </c>
      <c r="E129" s="4">
        <f>113.816368341905 * CHOOSE(CONTROL!$C$9, $C$13, 100%, $E$13) + CHOOSE(CONTROL!$C$28, 0, 0)</f>
        <v>113.816368341905</v>
      </c>
    </row>
    <row r="130" spans="1:5" ht="15">
      <c r="A130" s="13">
        <v>45444</v>
      </c>
      <c r="B130" s="4">
        <f>17.9251 * CHOOSE(CONTROL!$C$9, $C$13, 100%, $E$13) + CHOOSE(CONTROL!$C$28, 0.0136, 0)</f>
        <v>17.938700000000001</v>
      </c>
      <c r="C130" s="4">
        <f>17.5618 * CHOOSE(CONTROL!$C$9, $C$13, 100%, $E$13) + CHOOSE(CONTROL!$C$28, 0.0136, 0)</f>
        <v>17.575400000000002</v>
      </c>
      <c r="D130" s="4">
        <f>25.7673 * CHOOSE(CONTROL!$C$9, $C$13, 100%, $E$13) + CHOOSE(CONTROL!$C$28, 0, 0)</f>
        <v>25.767299999999999</v>
      </c>
      <c r="E130" s="4">
        <f>114.176498838134 * CHOOSE(CONTROL!$C$9, $C$13, 100%, $E$13) + CHOOSE(CONTROL!$C$28, 0, 0)</f>
        <v>114.17649883813399</v>
      </c>
    </row>
    <row r="131" spans="1:5" ht="15">
      <c r="A131" s="13">
        <v>45474</v>
      </c>
      <c r="B131" s="4">
        <f>17.9197 * CHOOSE(CONTROL!$C$9, $C$13, 100%, $E$13) + CHOOSE(CONTROL!$C$28, 0.0136, 0)</f>
        <v>17.933299999999999</v>
      </c>
      <c r="C131" s="4">
        <f>17.5564 * CHOOSE(CONTROL!$C$9, $C$13, 100%, $E$13) + CHOOSE(CONTROL!$C$28, 0.0136, 0)</f>
        <v>17.57</v>
      </c>
      <c r="D131" s="4">
        <f>26.1619 * CHOOSE(CONTROL!$C$9, $C$13, 100%, $E$13) + CHOOSE(CONTROL!$C$28, 0, 0)</f>
        <v>26.161899999999999</v>
      </c>
      <c r="E131" s="4">
        <f>114.140183157842 * CHOOSE(CONTROL!$C$9, $C$13, 100%, $E$13) + CHOOSE(CONTROL!$C$28, 0, 0)</f>
        <v>114.140183157842</v>
      </c>
    </row>
    <row r="132" spans="1:5" ht="15">
      <c r="A132" s="13">
        <v>45505</v>
      </c>
      <c r="B132" s="4">
        <f>18.3302 * CHOOSE(CONTROL!$C$9, $C$13, 100%, $E$13) + CHOOSE(CONTROL!$C$28, 0.0136, 0)</f>
        <v>18.343800000000002</v>
      </c>
      <c r="C132" s="4">
        <f>17.9669 * CHOOSE(CONTROL!$C$9, $C$13, 100%, $E$13) + CHOOSE(CONTROL!$C$28, 0.0136, 0)</f>
        <v>17.980499999999999</v>
      </c>
      <c r="D132" s="4">
        <f>25.9013 * CHOOSE(CONTROL!$C$9, $C$13, 100%, $E$13) + CHOOSE(CONTROL!$C$28, 0, 0)</f>
        <v>25.901299999999999</v>
      </c>
      <c r="E132" s="4">
        <f>116.872938099817 * CHOOSE(CONTROL!$C$9, $C$13, 100%, $E$13) + CHOOSE(CONTROL!$C$28, 0, 0)</f>
        <v>116.87293809981701</v>
      </c>
    </row>
    <row r="133" spans="1:5" ht="15">
      <c r="A133" s="13">
        <v>45536</v>
      </c>
      <c r="B133" s="4">
        <f>17.6305 * CHOOSE(CONTROL!$C$9, $C$13, 100%, $E$13) + CHOOSE(CONTROL!$C$28, 0.0136, 0)</f>
        <v>17.644100000000002</v>
      </c>
      <c r="C133" s="4">
        <f>17.2672 * CHOOSE(CONTROL!$C$9, $C$13, 100%, $E$13) + CHOOSE(CONTROL!$C$28, 0.0136, 0)</f>
        <v>17.280799999999999</v>
      </c>
      <c r="D133" s="4">
        <f>25.7782 * CHOOSE(CONTROL!$C$9, $C$13, 100%, $E$13) + CHOOSE(CONTROL!$C$28, 0, 0)</f>
        <v>25.778199999999998</v>
      </c>
      <c r="E133" s="4">
        <f>112.215452102365 * CHOOSE(CONTROL!$C$9, $C$13, 100%, $E$13) + CHOOSE(CONTROL!$C$28, 0, 0)</f>
        <v>112.21545210236501</v>
      </c>
    </row>
    <row r="134" spans="1:5" ht="15">
      <c r="A134" s="13">
        <v>45566</v>
      </c>
      <c r="B134" s="4">
        <f>17.0704 * CHOOSE(CONTROL!$C$9, $C$13, 100%, $E$13) + CHOOSE(CONTROL!$C$28, 0.0003, 0)</f>
        <v>17.070699999999999</v>
      </c>
      <c r="C134" s="4">
        <f>16.7072 * CHOOSE(CONTROL!$C$9, $C$13, 100%, $E$13) + CHOOSE(CONTROL!$C$28, 0.0003, 0)</f>
        <v>16.7075</v>
      </c>
      <c r="D134" s="4">
        <f>25.4485 * CHOOSE(CONTROL!$C$9, $C$13, 100%, $E$13) + CHOOSE(CONTROL!$C$28, 0, 0)</f>
        <v>25.448499999999999</v>
      </c>
      <c r="E134" s="4">
        <f>108.48704225905 * CHOOSE(CONTROL!$C$9, $C$13, 100%, $E$13) + CHOOSE(CONTROL!$C$28, 0, 0)</f>
        <v>108.48704225905</v>
      </c>
    </row>
    <row r="135" spans="1:5" ht="15">
      <c r="A135" s="13">
        <v>45597</v>
      </c>
      <c r="B135" s="4">
        <f>16.7097 * CHOOSE(CONTROL!$C$9, $C$13, 100%, $E$13) + CHOOSE(CONTROL!$C$28, 0.0003, 0)</f>
        <v>16.71</v>
      </c>
      <c r="C135" s="4">
        <f>16.3464 * CHOOSE(CONTROL!$C$9, $C$13, 100%, $E$13) + CHOOSE(CONTROL!$C$28, 0.0003, 0)</f>
        <v>16.346699999999998</v>
      </c>
      <c r="D135" s="4">
        <f>25.3352 * CHOOSE(CONTROL!$C$9, $C$13, 100%, $E$13) + CHOOSE(CONTROL!$C$28, 0, 0)</f>
        <v>25.3352</v>
      </c>
      <c r="E135" s="4">
        <f>106.08566789974 * CHOOSE(CONTROL!$C$9, $C$13, 100%, $E$13) + CHOOSE(CONTROL!$C$28, 0, 0)</f>
        <v>106.08566789974</v>
      </c>
    </row>
    <row r="136" spans="1:5" ht="15">
      <c r="A136" s="13">
        <v>45627</v>
      </c>
      <c r="B136" s="4">
        <f>16.4601 * CHOOSE(CONTROL!$C$9, $C$13, 100%, $E$13) + CHOOSE(CONTROL!$C$28, 0.0003, 0)</f>
        <v>16.4604</v>
      </c>
      <c r="C136" s="4">
        <f>16.0968 * CHOOSE(CONTROL!$C$9, $C$13, 100%, $E$13) + CHOOSE(CONTROL!$C$28, 0.0003, 0)</f>
        <v>16.097100000000001</v>
      </c>
      <c r="D136" s="4">
        <f>24.5007 * CHOOSE(CONTROL!$C$9, $C$13, 100%, $E$13) + CHOOSE(CONTROL!$C$28, 0, 0)</f>
        <v>24.500699999999998</v>
      </c>
      <c r="E136" s="4">
        <f>104.42422552638 * CHOOSE(CONTROL!$C$9, $C$13, 100%, $E$13) + CHOOSE(CONTROL!$C$28, 0, 0)</f>
        <v>104.42422552638</v>
      </c>
    </row>
    <row r="137" spans="1:5" ht="15">
      <c r="A137" s="13">
        <v>45658</v>
      </c>
      <c r="B137" s="4">
        <f>16.7739 * CHOOSE(CONTROL!$C$9, $C$13, 100%, $E$13) + CHOOSE(CONTROL!$C$28, 0.0003, 0)</f>
        <v>16.7742</v>
      </c>
      <c r="C137" s="4">
        <f>16.4106 * CHOOSE(CONTROL!$C$9, $C$13, 100%, $E$13) + CHOOSE(CONTROL!$C$28, 0.0003, 0)</f>
        <v>16.410899999999998</v>
      </c>
      <c r="D137" s="4">
        <f>24.4274 * CHOOSE(CONTROL!$C$9, $C$13, 100%, $E$13) + CHOOSE(CONTROL!$C$28, 0, 0)</f>
        <v>24.427399999999999</v>
      </c>
      <c r="E137" s="4">
        <f>103.540809368942 * CHOOSE(CONTROL!$C$9, $C$13, 100%, $E$13) + CHOOSE(CONTROL!$C$28, 0, 0)</f>
        <v>103.54080936894201</v>
      </c>
    </row>
    <row r="138" spans="1:5" ht="15">
      <c r="A138" s="13">
        <v>45689</v>
      </c>
      <c r="B138" s="4">
        <f>17.1538 * CHOOSE(CONTROL!$C$9, $C$13, 100%, $E$13) + CHOOSE(CONTROL!$C$28, 0.0003, 0)</f>
        <v>17.1541</v>
      </c>
      <c r="C138" s="4">
        <f>16.7905 * CHOOSE(CONTROL!$C$9, $C$13, 100%, $E$13) + CHOOSE(CONTROL!$C$28, 0.0003, 0)</f>
        <v>16.790800000000001</v>
      </c>
      <c r="D138" s="4">
        <f>25.2242 * CHOOSE(CONTROL!$C$9, $C$13, 100%, $E$13) + CHOOSE(CONTROL!$C$28, 0, 0)</f>
        <v>25.2242</v>
      </c>
      <c r="E138" s="4">
        <f>105.999276228314 * CHOOSE(CONTROL!$C$9, $C$13, 100%, $E$13) + CHOOSE(CONTROL!$C$28, 0, 0)</f>
        <v>105.999276228314</v>
      </c>
    </row>
    <row r="139" spans="1:5" ht="15">
      <c r="A139" s="13">
        <v>45717</v>
      </c>
      <c r="B139" s="4">
        <f>18.1514 * CHOOSE(CONTROL!$C$9, $C$13, 100%, $E$13) + CHOOSE(CONTROL!$C$28, 0.0003, 0)</f>
        <v>18.151699999999998</v>
      </c>
      <c r="C139" s="4">
        <f>17.7882 * CHOOSE(CONTROL!$C$9, $C$13, 100%, $E$13) + CHOOSE(CONTROL!$C$28, 0.0003, 0)</f>
        <v>17.788499999999999</v>
      </c>
      <c r="D139" s="4">
        <f>26.4715 * CHOOSE(CONTROL!$C$9, $C$13, 100%, $E$13) + CHOOSE(CONTROL!$C$28, 0, 0)</f>
        <v>26.471499999999999</v>
      </c>
      <c r="E139" s="4">
        <f>112.455340851888 * CHOOSE(CONTROL!$C$9, $C$13, 100%, $E$13) + CHOOSE(CONTROL!$C$28, 0, 0)</f>
        <v>112.455340851888</v>
      </c>
    </row>
    <row r="140" spans="1:5" ht="15">
      <c r="A140" s="13">
        <v>45748</v>
      </c>
      <c r="B140" s="4">
        <f>18.8603 * CHOOSE(CONTROL!$C$9, $C$13, 100%, $E$13) + CHOOSE(CONTROL!$C$28, 0.0003, 0)</f>
        <v>18.860599999999998</v>
      </c>
      <c r="C140" s="4">
        <f>18.497 * CHOOSE(CONTROL!$C$9, $C$13, 100%, $E$13) + CHOOSE(CONTROL!$C$28, 0.0003, 0)</f>
        <v>18.497299999999999</v>
      </c>
      <c r="D140" s="4">
        <f>27.19 * CHOOSE(CONTROL!$C$9, $C$13, 100%, $E$13) + CHOOSE(CONTROL!$C$28, 0, 0)</f>
        <v>27.19</v>
      </c>
      <c r="E140" s="4">
        <f>117.042460805311 * CHOOSE(CONTROL!$C$9, $C$13, 100%, $E$13) + CHOOSE(CONTROL!$C$28, 0, 0)</f>
        <v>117.04246080531099</v>
      </c>
    </row>
    <row r="141" spans="1:5" ht="15">
      <c r="A141" s="13">
        <v>45778</v>
      </c>
      <c r="B141" s="4">
        <f>19.2934 * CHOOSE(CONTROL!$C$9, $C$13, 100%, $E$13) + CHOOSE(CONTROL!$C$28, 0.0136, 0)</f>
        <v>19.306999999999999</v>
      </c>
      <c r="C141" s="4">
        <f>18.9301 * CHOOSE(CONTROL!$C$9, $C$13, 100%, $E$13) + CHOOSE(CONTROL!$C$28, 0.0136, 0)</f>
        <v>18.9437</v>
      </c>
      <c r="D141" s="4">
        <f>26.9061 * CHOOSE(CONTROL!$C$9, $C$13, 100%, $E$13) + CHOOSE(CONTROL!$C$28, 0, 0)</f>
        <v>26.906099999999999</v>
      </c>
      <c r="E141" s="4">
        <f>119.845081158931 * CHOOSE(CONTROL!$C$9, $C$13, 100%, $E$13) + CHOOSE(CONTROL!$C$28, 0, 0)</f>
        <v>119.845081158931</v>
      </c>
    </row>
    <row r="142" spans="1:5" ht="15">
      <c r="A142" s="13">
        <v>45809</v>
      </c>
      <c r="B142" s="4">
        <f>19.352 * CHOOSE(CONTROL!$C$9, $C$13, 100%, $E$13) + CHOOSE(CONTROL!$C$28, 0.0136, 0)</f>
        <v>19.365600000000001</v>
      </c>
      <c r="C142" s="4">
        <f>18.9887 * CHOOSE(CONTROL!$C$9, $C$13, 100%, $E$13) + CHOOSE(CONTROL!$C$28, 0.0136, 0)</f>
        <v>19.002300000000002</v>
      </c>
      <c r="D142" s="4">
        <f>27.1373 * CHOOSE(CONTROL!$C$9, $C$13, 100%, $E$13) + CHOOSE(CONTROL!$C$28, 0, 0)</f>
        <v>27.1373</v>
      </c>
      <c r="E142" s="4">
        <f>120.224287323889 * CHOOSE(CONTROL!$C$9, $C$13, 100%, $E$13) + CHOOSE(CONTROL!$C$28, 0, 0)</f>
        <v>120.224287323889</v>
      </c>
    </row>
    <row r="143" spans="1:5" ht="15">
      <c r="A143" s="13">
        <v>45839</v>
      </c>
      <c r="B143" s="4">
        <f>19.3461 * CHOOSE(CONTROL!$C$9, $C$13, 100%, $E$13) + CHOOSE(CONTROL!$C$28, 0.0136, 0)</f>
        <v>19.3597</v>
      </c>
      <c r="C143" s="4">
        <f>18.9828 * CHOOSE(CONTROL!$C$9, $C$13, 100%, $E$13) + CHOOSE(CONTROL!$C$28, 0.0136, 0)</f>
        <v>18.996400000000001</v>
      </c>
      <c r="D143" s="4">
        <f>27.5545 * CHOOSE(CONTROL!$C$9, $C$13, 100%, $E$13) + CHOOSE(CONTROL!$C$28, 0, 0)</f>
        <v>27.554500000000001</v>
      </c>
      <c r="E143" s="4">
        <f>120.18604804675 * CHOOSE(CONTROL!$C$9, $C$13, 100%, $E$13) + CHOOSE(CONTROL!$C$28, 0, 0)</f>
        <v>120.18604804675</v>
      </c>
    </row>
    <row r="144" spans="1:5" ht="15">
      <c r="A144" s="13">
        <v>45870</v>
      </c>
      <c r="B144" s="4">
        <f>19.7907 * CHOOSE(CONTROL!$C$9, $C$13, 100%, $E$13) + CHOOSE(CONTROL!$C$28, 0.0136, 0)</f>
        <v>19.804300000000001</v>
      </c>
      <c r="C144" s="4">
        <f>19.4275 * CHOOSE(CONTROL!$C$9, $C$13, 100%, $E$13) + CHOOSE(CONTROL!$C$28, 0.0136, 0)</f>
        <v>19.441099999999999</v>
      </c>
      <c r="D144" s="4">
        <f>27.279 * CHOOSE(CONTROL!$C$9, $C$13, 100%, $E$13) + CHOOSE(CONTROL!$C$28, 0, 0)</f>
        <v>27.279</v>
      </c>
      <c r="E144" s="4">
        <f>123.063553651433 * CHOOSE(CONTROL!$C$9, $C$13, 100%, $E$13) + CHOOSE(CONTROL!$C$28, 0, 0)</f>
        <v>123.063553651433</v>
      </c>
    </row>
    <row r="145" spans="1:5" ht="15">
      <c r="A145" s="13">
        <v>45901</v>
      </c>
      <c r="B145" s="4">
        <f>19.0329 * CHOOSE(CONTROL!$C$9, $C$13, 100%, $E$13) + CHOOSE(CONTROL!$C$28, 0.0136, 0)</f>
        <v>19.046500000000002</v>
      </c>
      <c r="C145" s="4">
        <f>18.6696 * CHOOSE(CONTROL!$C$9, $C$13, 100%, $E$13) + CHOOSE(CONTROL!$C$28, 0.0136, 0)</f>
        <v>18.683199999999999</v>
      </c>
      <c r="D145" s="4">
        <f>27.1488 * CHOOSE(CONTROL!$C$9, $C$13, 100%, $E$13) + CHOOSE(CONTROL!$C$28, 0, 0)</f>
        <v>27.148800000000001</v>
      </c>
      <c r="E145" s="4">
        <f>118.159366358402 * CHOOSE(CONTROL!$C$9, $C$13, 100%, $E$13) + CHOOSE(CONTROL!$C$28, 0, 0)</f>
        <v>118.159366358402</v>
      </c>
    </row>
    <row r="146" spans="1:5" ht="15">
      <c r="A146" s="13">
        <v>45931</v>
      </c>
      <c r="B146" s="4">
        <f>18.4262 * CHOOSE(CONTROL!$C$9, $C$13, 100%, $E$13) + CHOOSE(CONTROL!$C$28, 0.0003, 0)</f>
        <v>18.426500000000001</v>
      </c>
      <c r="C146" s="4">
        <f>18.0629 * CHOOSE(CONTROL!$C$9, $C$13, 100%, $E$13) + CHOOSE(CONTROL!$C$28, 0.0003, 0)</f>
        <v>18.063199999999998</v>
      </c>
      <c r="D146" s="4">
        <f>26.8002 * CHOOSE(CONTROL!$C$9, $C$13, 100%, $E$13) + CHOOSE(CONTROL!$C$28, 0, 0)</f>
        <v>26.8002</v>
      </c>
      <c r="E146" s="4">
        <f>114.233467238835 * CHOOSE(CONTROL!$C$9, $C$13, 100%, $E$13) + CHOOSE(CONTROL!$C$28, 0, 0)</f>
        <v>114.233467238835</v>
      </c>
    </row>
    <row r="147" spans="1:5" ht="15">
      <c r="A147" s="13">
        <v>45962</v>
      </c>
      <c r="B147" s="4">
        <f>18.0355 * CHOOSE(CONTROL!$C$9, $C$13, 100%, $E$13) + CHOOSE(CONTROL!$C$28, 0.0003, 0)</f>
        <v>18.035799999999998</v>
      </c>
      <c r="C147" s="4">
        <f>17.6722 * CHOOSE(CONTROL!$C$9, $C$13, 100%, $E$13) + CHOOSE(CONTROL!$C$28, 0.0003, 0)</f>
        <v>17.672499999999999</v>
      </c>
      <c r="D147" s="4">
        <f>26.6804 * CHOOSE(CONTROL!$C$9, $C$13, 100%, $E$13) + CHOOSE(CONTROL!$C$28, 0, 0)</f>
        <v>26.680399999999999</v>
      </c>
      <c r="E147" s="4">
        <f>111.704895038042 * CHOOSE(CONTROL!$C$9, $C$13, 100%, $E$13) + CHOOSE(CONTROL!$C$28, 0, 0)</f>
        <v>111.704895038042</v>
      </c>
    </row>
    <row r="148" spans="1:5" ht="15">
      <c r="A148" s="13">
        <v>45992</v>
      </c>
      <c r="B148" s="4">
        <f>17.7651 * CHOOSE(CONTROL!$C$9, $C$13, 100%, $E$13) + CHOOSE(CONTROL!$C$28, 0.0003, 0)</f>
        <v>17.7654</v>
      </c>
      <c r="C148" s="4">
        <f>17.4018 * CHOOSE(CONTROL!$C$9, $C$13, 100%, $E$13) + CHOOSE(CONTROL!$C$28, 0.0003, 0)</f>
        <v>17.402100000000001</v>
      </c>
      <c r="D148" s="4">
        <f>25.7981 * CHOOSE(CONTROL!$C$9, $C$13, 100%, $E$13) + CHOOSE(CONTROL!$C$28, 0, 0)</f>
        <v>25.798100000000002</v>
      </c>
      <c r="E148" s="4">
        <f>109.955448108949 * CHOOSE(CONTROL!$C$9, $C$13, 100%, $E$13) + CHOOSE(CONTROL!$C$28, 0, 0)</f>
        <v>109.955448108949</v>
      </c>
    </row>
    <row r="149" spans="1:5" ht="15">
      <c r="A149" s="13">
        <v>46023</v>
      </c>
      <c r="B149" s="4">
        <f>17.2971 * CHOOSE(CONTROL!$C$9, $C$13, 100%, $E$13) + CHOOSE(CONTROL!$C$28, 0.0003, 0)</f>
        <v>17.2974</v>
      </c>
      <c r="C149" s="4">
        <f>16.9339 * CHOOSE(CONTROL!$C$9, $C$13, 100%, $E$13) + CHOOSE(CONTROL!$C$28, 0.0003, 0)</f>
        <v>16.934200000000001</v>
      </c>
      <c r="D149" s="4">
        <f>25.1138 * CHOOSE(CONTROL!$C$9, $C$13, 100%, $E$13) + CHOOSE(CONTROL!$C$28, 0, 0)</f>
        <v>25.113800000000001</v>
      </c>
      <c r="E149" s="4">
        <f>107.022544453101 * CHOOSE(CONTROL!$C$9, $C$13, 100%, $E$13) + CHOOSE(CONTROL!$C$28, 0, 0)</f>
        <v>107.02254445310101</v>
      </c>
    </row>
    <row r="150" spans="1:5" ht="15">
      <c r="A150" s="13">
        <v>46054</v>
      </c>
      <c r="B150" s="4">
        <f>17.6895 * CHOOSE(CONTROL!$C$9, $C$13, 100%, $E$13) + CHOOSE(CONTROL!$C$28, 0.0003, 0)</f>
        <v>17.689799999999998</v>
      </c>
      <c r="C150" s="4">
        <f>17.3262 * CHOOSE(CONTROL!$C$9, $C$13, 100%, $E$13) + CHOOSE(CONTROL!$C$28, 0.0003, 0)</f>
        <v>17.326499999999999</v>
      </c>
      <c r="D150" s="4">
        <f>25.9348 * CHOOSE(CONTROL!$C$9, $C$13, 100%, $E$13) + CHOOSE(CONTROL!$C$28, 0, 0)</f>
        <v>25.934799999999999</v>
      </c>
      <c r="E150" s="4">
        <f>109.563681424574 * CHOOSE(CONTROL!$C$9, $C$13, 100%, $E$13) + CHOOSE(CONTROL!$C$28, 0, 0)</f>
        <v>109.563681424574</v>
      </c>
    </row>
    <row r="151" spans="1:5" ht="15">
      <c r="A151" s="13">
        <v>46082</v>
      </c>
      <c r="B151" s="4">
        <f>18.7198 * CHOOSE(CONTROL!$C$9, $C$13, 100%, $E$13) + CHOOSE(CONTROL!$C$28, 0.0003, 0)</f>
        <v>18.720099999999999</v>
      </c>
      <c r="C151" s="4">
        <f>18.3565 * CHOOSE(CONTROL!$C$9, $C$13, 100%, $E$13) + CHOOSE(CONTROL!$C$28, 0.0003, 0)</f>
        <v>18.3568</v>
      </c>
      <c r="D151" s="4">
        <f>27.22 * CHOOSE(CONTROL!$C$9, $C$13, 100%, $E$13) + CHOOSE(CONTROL!$C$28, 0, 0)</f>
        <v>27.22</v>
      </c>
      <c r="E151" s="4">
        <f>116.23684215588 * CHOOSE(CONTROL!$C$9, $C$13, 100%, $E$13) + CHOOSE(CONTROL!$C$28, 0, 0)</f>
        <v>116.23684215588</v>
      </c>
    </row>
    <row r="152" spans="1:5" ht="15">
      <c r="A152" s="13">
        <v>46113</v>
      </c>
      <c r="B152" s="4">
        <f>19.4518 * CHOOSE(CONTROL!$C$9, $C$13, 100%, $E$13) + CHOOSE(CONTROL!$C$28, 0.0003, 0)</f>
        <v>19.452099999999998</v>
      </c>
      <c r="C152" s="4">
        <f>19.0885 * CHOOSE(CONTROL!$C$9, $C$13, 100%, $E$13) + CHOOSE(CONTROL!$C$28, 0.0003, 0)</f>
        <v>19.088799999999999</v>
      </c>
      <c r="D152" s="4">
        <f>27.9603 * CHOOSE(CONTROL!$C$9, $C$13, 100%, $E$13) + CHOOSE(CONTROL!$C$28, 0, 0)</f>
        <v>27.9603</v>
      </c>
      <c r="E152" s="4">
        <f>120.978211787034 * CHOOSE(CONTROL!$C$9, $C$13, 100%, $E$13) + CHOOSE(CONTROL!$C$28, 0, 0)</f>
        <v>120.978211787034</v>
      </c>
    </row>
    <row r="153" spans="1:5" ht="15">
      <c r="A153" s="13">
        <v>46143</v>
      </c>
      <c r="B153" s="4">
        <f>19.8991 * CHOOSE(CONTROL!$C$9, $C$13, 100%, $E$13) + CHOOSE(CONTROL!$C$28, 0.0136, 0)</f>
        <v>19.912700000000001</v>
      </c>
      <c r="C153" s="4">
        <f>19.5358 * CHOOSE(CONTROL!$C$9, $C$13, 100%, $E$13) + CHOOSE(CONTROL!$C$28, 0.0136, 0)</f>
        <v>19.549399999999999</v>
      </c>
      <c r="D153" s="4">
        <f>27.6678 * CHOOSE(CONTROL!$C$9, $C$13, 100%, $E$13) + CHOOSE(CONTROL!$C$28, 0, 0)</f>
        <v>27.6678</v>
      </c>
      <c r="E153" s="4">
        <f>123.875074996897 * CHOOSE(CONTROL!$C$9, $C$13, 100%, $E$13) + CHOOSE(CONTROL!$C$28, 0, 0)</f>
        <v>123.875074996897</v>
      </c>
    </row>
    <row r="154" spans="1:5" ht="15">
      <c r="A154" s="13">
        <v>46174</v>
      </c>
      <c r="B154" s="4">
        <f>19.9596 * CHOOSE(CONTROL!$C$9, $C$13, 100%, $E$13) + CHOOSE(CONTROL!$C$28, 0.0136, 0)</f>
        <v>19.973199999999999</v>
      </c>
      <c r="C154" s="4">
        <f>19.5963 * CHOOSE(CONTROL!$C$9, $C$13, 100%, $E$13) + CHOOSE(CONTROL!$C$28, 0.0136, 0)</f>
        <v>19.6099</v>
      </c>
      <c r="D154" s="4">
        <f>27.906 * CHOOSE(CONTROL!$C$9, $C$13, 100%, $E$13) + CHOOSE(CONTROL!$C$28, 0, 0)</f>
        <v>27.905999999999999</v>
      </c>
      <c r="E154" s="4">
        <f>124.267032611421 * CHOOSE(CONTROL!$C$9, $C$13, 100%, $E$13) + CHOOSE(CONTROL!$C$28, 0, 0)</f>
        <v>124.267032611421</v>
      </c>
    </row>
    <row r="155" spans="1:5" ht="15">
      <c r="A155" s="13">
        <v>46204</v>
      </c>
      <c r="B155" s="4">
        <f>19.9535 * CHOOSE(CONTROL!$C$9, $C$13, 100%, $E$13) + CHOOSE(CONTROL!$C$28, 0.0136, 0)</f>
        <v>19.967099999999999</v>
      </c>
      <c r="C155" s="4">
        <f>19.5902 * CHOOSE(CONTROL!$C$9, $C$13, 100%, $E$13) + CHOOSE(CONTROL!$C$28, 0.0136, 0)</f>
        <v>19.6038</v>
      </c>
      <c r="D155" s="4">
        <f>28.3359 * CHOOSE(CONTROL!$C$9, $C$13, 100%, $E$13) + CHOOSE(CONTROL!$C$28, 0, 0)</f>
        <v>28.335899999999999</v>
      </c>
      <c r="E155" s="4">
        <f>124.227507473822 * CHOOSE(CONTROL!$C$9, $C$13, 100%, $E$13) + CHOOSE(CONTROL!$C$28, 0, 0)</f>
        <v>124.227507473822</v>
      </c>
    </row>
    <row r="156" spans="1:5" ht="15">
      <c r="A156" s="13">
        <v>46235</v>
      </c>
      <c r="B156" s="4">
        <f>20.4127 * CHOOSE(CONTROL!$C$9, $C$13, 100%, $E$13) + CHOOSE(CONTROL!$C$28, 0.0136, 0)</f>
        <v>20.426300000000001</v>
      </c>
      <c r="C156" s="4">
        <f>20.0494 * CHOOSE(CONTROL!$C$9, $C$13, 100%, $E$13) + CHOOSE(CONTROL!$C$28, 0.0136, 0)</f>
        <v>20.062999999999999</v>
      </c>
      <c r="D156" s="4">
        <f>28.052 * CHOOSE(CONTROL!$C$9, $C$13, 100%, $E$13) + CHOOSE(CONTROL!$C$28, 0, 0)</f>
        <v>28.052</v>
      </c>
      <c r="E156" s="4">
        <f>127.201774078151 * CHOOSE(CONTROL!$C$9, $C$13, 100%, $E$13) + CHOOSE(CONTROL!$C$28, 0, 0)</f>
        <v>127.201774078151</v>
      </c>
    </row>
    <row r="157" spans="1:5" ht="15">
      <c r="A157" s="13">
        <v>46266</v>
      </c>
      <c r="B157" s="4">
        <f>19.6301 * CHOOSE(CONTROL!$C$9, $C$13, 100%, $E$13) + CHOOSE(CONTROL!$C$28, 0.0136, 0)</f>
        <v>19.643699999999999</v>
      </c>
      <c r="C157" s="4">
        <f>19.2668 * CHOOSE(CONTROL!$C$9, $C$13, 100%, $E$13) + CHOOSE(CONTROL!$C$28, 0.0136, 0)</f>
        <v>19.2804</v>
      </c>
      <c r="D157" s="4">
        <f>27.9179 * CHOOSE(CONTROL!$C$9, $C$13, 100%, $E$13) + CHOOSE(CONTROL!$C$28, 0, 0)</f>
        <v>27.917899999999999</v>
      </c>
      <c r="E157" s="4">
        <f>122.132675181073 * CHOOSE(CONTROL!$C$9, $C$13, 100%, $E$13) + CHOOSE(CONTROL!$C$28, 0, 0)</f>
        <v>122.132675181073</v>
      </c>
    </row>
    <row r="158" spans="1:5" ht="15">
      <c r="A158" s="13">
        <v>46296</v>
      </c>
      <c r="B158" s="4">
        <f>19.0035 * CHOOSE(CONTROL!$C$9, $C$13, 100%, $E$13) + CHOOSE(CONTROL!$C$28, 0.0003, 0)</f>
        <v>19.003799999999998</v>
      </c>
      <c r="C158" s="4">
        <f>18.6403 * CHOOSE(CONTROL!$C$9, $C$13, 100%, $E$13) + CHOOSE(CONTROL!$C$28, 0.0003, 0)</f>
        <v>18.640599999999999</v>
      </c>
      <c r="D158" s="4">
        <f>27.5587 * CHOOSE(CONTROL!$C$9, $C$13, 100%, $E$13) + CHOOSE(CONTROL!$C$28, 0, 0)</f>
        <v>27.558700000000002</v>
      </c>
      <c r="E158" s="4">
        <f>118.074761054236 * CHOOSE(CONTROL!$C$9, $C$13, 100%, $E$13) + CHOOSE(CONTROL!$C$28, 0, 0)</f>
        <v>118.07476105423601</v>
      </c>
    </row>
    <row r="159" spans="1:5" ht="15">
      <c r="A159" s="13">
        <v>46327</v>
      </c>
      <c r="B159" s="4">
        <f>18.6 * CHOOSE(CONTROL!$C$9, $C$13, 100%, $E$13) + CHOOSE(CONTROL!$C$28, 0.0003, 0)</f>
        <v>18.600300000000001</v>
      </c>
      <c r="C159" s="4">
        <f>18.2367 * CHOOSE(CONTROL!$C$9, $C$13, 100%, $E$13) + CHOOSE(CONTROL!$C$28, 0.0003, 0)</f>
        <v>18.236999999999998</v>
      </c>
      <c r="D159" s="4">
        <f>27.4352 * CHOOSE(CONTROL!$C$9, $C$13, 100%, $E$13) + CHOOSE(CONTROL!$C$28, 0, 0)</f>
        <v>27.435199999999998</v>
      </c>
      <c r="E159" s="4">
        <f>115.461161330499 * CHOOSE(CONTROL!$C$9, $C$13, 100%, $E$13) + CHOOSE(CONTROL!$C$28, 0, 0)</f>
        <v>115.461161330499</v>
      </c>
    </row>
    <row r="160" spans="1:5" ht="15">
      <c r="A160" s="13">
        <v>46357</v>
      </c>
      <c r="B160" s="4">
        <f>18.3208 * CHOOSE(CONTROL!$C$9, $C$13, 100%, $E$13) + CHOOSE(CONTROL!$C$28, 0.0003, 0)</f>
        <v>18.321099999999998</v>
      </c>
      <c r="C160" s="4">
        <f>17.9575 * CHOOSE(CONTROL!$C$9, $C$13, 100%, $E$13) + CHOOSE(CONTROL!$C$28, 0.0003, 0)</f>
        <v>17.957799999999999</v>
      </c>
      <c r="D160" s="4">
        <f>26.5262 * CHOOSE(CONTROL!$C$9, $C$13, 100%, $E$13) + CHOOSE(CONTROL!$C$28, 0, 0)</f>
        <v>26.526199999999999</v>
      </c>
      <c r="E160" s="4">
        <f>113.652886285342 * CHOOSE(CONTROL!$C$9, $C$13, 100%, $E$13) + CHOOSE(CONTROL!$C$28, 0, 0)</f>
        <v>113.65288628534201</v>
      </c>
    </row>
    <row r="161" spans="1:5" ht="15">
      <c r="A161" s="13">
        <v>46388</v>
      </c>
      <c r="B161" s="4">
        <f>17.8331 * CHOOSE(CONTROL!$C$9, $C$13, 100%, $E$13) + CHOOSE(CONTROL!$C$28, 0.0003, 0)</f>
        <v>17.833400000000001</v>
      </c>
      <c r="C161" s="4">
        <f>17.4698 * CHOOSE(CONTROL!$C$9, $C$13, 100%, $E$13) + CHOOSE(CONTROL!$C$28, 0.0003, 0)</f>
        <v>17.470099999999999</v>
      </c>
      <c r="D161" s="4">
        <f>25.7979 * CHOOSE(CONTROL!$C$9, $C$13, 100%, $E$13) + CHOOSE(CONTROL!$C$28, 0, 0)</f>
        <v>25.797899999999998</v>
      </c>
      <c r="E161" s="4">
        <f>110.503886973775 * CHOOSE(CONTROL!$C$9, $C$13, 100%, $E$13) + CHOOSE(CONTROL!$C$28, 0, 0)</f>
        <v>110.503886973775</v>
      </c>
    </row>
    <row r="162" spans="1:5" ht="15">
      <c r="A162" s="13">
        <v>46419</v>
      </c>
      <c r="B162" s="4">
        <f>18.2382 * CHOOSE(CONTROL!$C$9, $C$13, 100%, $E$13) + CHOOSE(CONTROL!$C$28, 0.0003, 0)</f>
        <v>18.238499999999998</v>
      </c>
      <c r="C162" s="4">
        <f>17.8749 * CHOOSE(CONTROL!$C$9, $C$13, 100%, $E$13) + CHOOSE(CONTROL!$C$28, 0.0003, 0)</f>
        <v>17.8752</v>
      </c>
      <c r="D162" s="4">
        <f>26.6431 * CHOOSE(CONTROL!$C$9, $C$13, 100%, $E$13) + CHOOSE(CONTROL!$C$28, 0, 0)</f>
        <v>26.6431</v>
      </c>
      <c r="E162" s="4">
        <f>113.127684736344 * CHOOSE(CONTROL!$C$9, $C$13, 100%, $E$13) + CHOOSE(CONTROL!$C$28, 0, 0)</f>
        <v>113.12768473634399</v>
      </c>
    </row>
    <row r="163" spans="1:5" ht="15">
      <c r="A163" s="13">
        <v>46447</v>
      </c>
      <c r="B163" s="4">
        <f>19.3019 * CHOOSE(CONTROL!$C$9, $C$13, 100%, $E$13) + CHOOSE(CONTROL!$C$28, 0.0003, 0)</f>
        <v>19.302199999999999</v>
      </c>
      <c r="C163" s="4">
        <f>18.9386 * CHOOSE(CONTROL!$C$9, $C$13, 100%, $E$13) + CHOOSE(CONTROL!$C$28, 0.0003, 0)</f>
        <v>18.9389</v>
      </c>
      <c r="D163" s="4">
        <f>27.9661 * CHOOSE(CONTROL!$C$9, $C$13, 100%, $E$13) + CHOOSE(CONTROL!$C$28, 0, 0)</f>
        <v>27.966100000000001</v>
      </c>
      <c r="E163" s="4">
        <f>120.017917097931 * CHOOSE(CONTROL!$C$9, $C$13, 100%, $E$13) + CHOOSE(CONTROL!$C$28, 0, 0)</f>
        <v>120.017917097931</v>
      </c>
    </row>
    <row r="164" spans="1:5" ht="15">
      <c r="A164" s="13">
        <v>46478</v>
      </c>
      <c r="B164" s="4">
        <f>20.0577 * CHOOSE(CONTROL!$C$9, $C$13, 100%, $E$13) + CHOOSE(CONTROL!$C$28, 0.0003, 0)</f>
        <v>20.058</v>
      </c>
      <c r="C164" s="4">
        <f>19.6944 * CHOOSE(CONTROL!$C$9, $C$13, 100%, $E$13) + CHOOSE(CONTROL!$C$28, 0.0003, 0)</f>
        <v>19.694700000000001</v>
      </c>
      <c r="D164" s="4">
        <f>28.7282 * CHOOSE(CONTROL!$C$9, $C$13, 100%, $E$13) + CHOOSE(CONTROL!$C$28, 0, 0)</f>
        <v>28.728200000000001</v>
      </c>
      <c r="E164" s="4">
        <f>124.913519015258 * CHOOSE(CONTROL!$C$9, $C$13, 100%, $E$13) + CHOOSE(CONTROL!$C$28, 0, 0)</f>
        <v>124.913519015258</v>
      </c>
    </row>
    <row r="165" spans="1:5" ht="15">
      <c r="A165" s="13">
        <v>46508</v>
      </c>
      <c r="B165" s="4">
        <f>20.5195 * CHOOSE(CONTROL!$C$9, $C$13, 100%, $E$13) + CHOOSE(CONTROL!$C$28, 0.0136, 0)</f>
        <v>20.533100000000001</v>
      </c>
      <c r="C165" s="4">
        <f>20.1562 * CHOOSE(CONTROL!$C$9, $C$13, 100%, $E$13) + CHOOSE(CONTROL!$C$28, 0.0136, 0)</f>
        <v>20.169799999999999</v>
      </c>
      <c r="D165" s="4">
        <f>28.427 * CHOOSE(CONTROL!$C$9, $C$13, 100%, $E$13) + CHOOSE(CONTROL!$C$28, 0, 0)</f>
        <v>28.427</v>
      </c>
      <c r="E165" s="4">
        <f>127.904614455542 * CHOOSE(CONTROL!$C$9, $C$13, 100%, $E$13) + CHOOSE(CONTROL!$C$28, 0, 0)</f>
        <v>127.904614455542</v>
      </c>
    </row>
    <row r="166" spans="1:5" ht="15">
      <c r="A166" s="13">
        <v>46539</v>
      </c>
      <c r="B166" s="4">
        <f>20.5819 * CHOOSE(CONTROL!$C$9, $C$13, 100%, $E$13) + CHOOSE(CONTROL!$C$28, 0.0136, 0)</f>
        <v>20.595500000000001</v>
      </c>
      <c r="C166" s="4">
        <f>20.2187 * CHOOSE(CONTROL!$C$9, $C$13, 100%, $E$13) + CHOOSE(CONTROL!$C$28, 0.0136, 0)</f>
        <v>20.232299999999999</v>
      </c>
      <c r="D166" s="4">
        <f>28.6723 * CHOOSE(CONTROL!$C$9, $C$13, 100%, $E$13) + CHOOSE(CONTROL!$C$28, 0, 0)</f>
        <v>28.6723</v>
      </c>
      <c r="E166" s="4">
        <f>128.309322081914 * CHOOSE(CONTROL!$C$9, $C$13, 100%, $E$13) + CHOOSE(CONTROL!$C$28, 0, 0)</f>
        <v>128.30932208191399</v>
      </c>
    </row>
    <row r="167" spans="1:5" ht="15">
      <c r="A167" s="13">
        <v>46569</v>
      </c>
      <c r="B167" s="4">
        <f>20.5756 * CHOOSE(CONTROL!$C$9, $C$13, 100%, $E$13) + CHOOSE(CONTROL!$C$28, 0.0136, 0)</f>
        <v>20.589200000000002</v>
      </c>
      <c r="C167" s="4">
        <f>20.2124 * CHOOSE(CONTROL!$C$9, $C$13, 100%, $E$13) + CHOOSE(CONTROL!$C$28, 0.0136, 0)</f>
        <v>20.225999999999999</v>
      </c>
      <c r="D167" s="4">
        <f>29.1148 * CHOOSE(CONTROL!$C$9, $C$13, 100%, $E$13) + CHOOSE(CONTROL!$C$28, 0, 0)</f>
        <v>29.114799999999999</v>
      </c>
      <c r="E167" s="4">
        <f>128.268511228834 * CHOOSE(CONTROL!$C$9, $C$13, 100%, $E$13) + CHOOSE(CONTROL!$C$28, 0, 0)</f>
        <v>128.268511228834</v>
      </c>
    </row>
    <row r="168" spans="1:5" ht="15">
      <c r="A168" s="13">
        <v>46600</v>
      </c>
      <c r="B168" s="4">
        <f>21.0497 * CHOOSE(CONTROL!$C$9, $C$13, 100%, $E$13) + CHOOSE(CONTROL!$C$28, 0.0136, 0)</f>
        <v>21.063300000000002</v>
      </c>
      <c r="C168" s="4">
        <f>20.6865 * CHOOSE(CONTROL!$C$9, $C$13, 100%, $E$13) + CHOOSE(CONTROL!$C$28, 0.0136, 0)</f>
        <v>20.700099999999999</v>
      </c>
      <c r="D168" s="4">
        <f>28.8226 * CHOOSE(CONTROL!$C$9, $C$13, 100%, $E$13) + CHOOSE(CONTROL!$C$28, 0, 0)</f>
        <v>28.822600000000001</v>
      </c>
      <c r="E168" s="4">
        <f>131.339527923066 * CHOOSE(CONTROL!$C$9, $C$13, 100%, $E$13) + CHOOSE(CONTROL!$C$28, 0, 0)</f>
        <v>131.33952792306599</v>
      </c>
    </row>
    <row r="169" spans="1:5" ht="15">
      <c r="A169" s="13">
        <v>46631</v>
      </c>
      <c r="B169" s="4">
        <f>20.2417 * CHOOSE(CONTROL!$C$9, $C$13, 100%, $E$13) + CHOOSE(CONTROL!$C$28, 0.0136, 0)</f>
        <v>20.255300000000002</v>
      </c>
      <c r="C169" s="4">
        <f>19.8784 * CHOOSE(CONTROL!$C$9, $C$13, 100%, $E$13) + CHOOSE(CONTROL!$C$28, 0.0136, 0)</f>
        <v>19.891999999999999</v>
      </c>
      <c r="D169" s="4">
        <f>28.6845 * CHOOSE(CONTROL!$C$9, $C$13, 100%, $E$13) + CHOOSE(CONTROL!$C$28, 0, 0)</f>
        <v>28.6845</v>
      </c>
      <c r="E169" s="4">
        <f>126.105536015621 * CHOOSE(CONTROL!$C$9, $C$13, 100%, $E$13) + CHOOSE(CONTROL!$C$28, 0, 0)</f>
        <v>126.105536015621</v>
      </c>
    </row>
    <row r="170" spans="1:5" ht="15">
      <c r="A170" s="13">
        <v>46661</v>
      </c>
      <c r="B170" s="4">
        <f>19.5949 * CHOOSE(CONTROL!$C$9, $C$13, 100%, $E$13) + CHOOSE(CONTROL!$C$28, 0.0003, 0)</f>
        <v>19.595199999999998</v>
      </c>
      <c r="C170" s="4">
        <f>19.2316 * CHOOSE(CONTROL!$C$9, $C$13, 100%, $E$13) + CHOOSE(CONTROL!$C$28, 0.0003, 0)</f>
        <v>19.2319</v>
      </c>
      <c r="D170" s="4">
        <f>28.3148 * CHOOSE(CONTROL!$C$9, $C$13, 100%, $E$13) + CHOOSE(CONTROL!$C$28, 0, 0)</f>
        <v>28.314800000000002</v>
      </c>
      <c r="E170" s="4">
        <f>121.915621766127 * CHOOSE(CONTROL!$C$9, $C$13, 100%, $E$13) + CHOOSE(CONTROL!$C$28, 0, 0)</f>
        <v>121.915621766127</v>
      </c>
    </row>
    <row r="171" spans="1:5" ht="15">
      <c r="A171" s="13">
        <v>46692</v>
      </c>
      <c r="B171" s="4">
        <f>19.1783 * CHOOSE(CONTROL!$C$9, $C$13, 100%, $E$13) + CHOOSE(CONTROL!$C$28, 0.0003, 0)</f>
        <v>19.178599999999999</v>
      </c>
      <c r="C171" s="4">
        <f>18.815 * CHOOSE(CONTROL!$C$9, $C$13, 100%, $E$13) + CHOOSE(CONTROL!$C$28, 0.0003, 0)</f>
        <v>18.815300000000001</v>
      </c>
      <c r="D171" s="4">
        <f>28.1877 * CHOOSE(CONTROL!$C$9, $C$13, 100%, $E$13) + CHOOSE(CONTROL!$C$28, 0, 0)</f>
        <v>28.1877</v>
      </c>
      <c r="E171" s="4">
        <f>119.217004106246 * CHOOSE(CONTROL!$C$9, $C$13, 100%, $E$13) + CHOOSE(CONTROL!$C$28, 0, 0)</f>
        <v>119.21700410624599</v>
      </c>
    </row>
    <row r="172" spans="1:5" ht="15">
      <c r="A172" s="13">
        <v>46722</v>
      </c>
      <c r="B172" s="4">
        <f>18.89 * CHOOSE(CONTROL!$C$9, $C$13, 100%, $E$13) + CHOOSE(CONTROL!$C$28, 0.0003, 0)</f>
        <v>18.8903</v>
      </c>
      <c r="C172" s="4">
        <f>18.5267 * CHOOSE(CONTROL!$C$9, $C$13, 100%, $E$13) + CHOOSE(CONTROL!$C$28, 0.0003, 0)</f>
        <v>18.527000000000001</v>
      </c>
      <c r="D172" s="4">
        <f>27.2519 * CHOOSE(CONTROL!$C$9, $C$13, 100%, $E$13) + CHOOSE(CONTROL!$C$28, 0, 0)</f>
        <v>27.251899999999999</v>
      </c>
      <c r="E172" s="4">
        <f>117.349907577859 * CHOOSE(CONTROL!$C$9, $C$13, 100%, $E$13) + CHOOSE(CONTROL!$C$28, 0, 0)</f>
        <v>117.349907577859</v>
      </c>
    </row>
    <row r="173" spans="1:5" ht="15">
      <c r="A173" s="13">
        <v>46753</v>
      </c>
      <c r="B173" s="4">
        <f>18.3338 * CHOOSE(CONTROL!$C$9, $C$13, 100%, $E$13) + CHOOSE(CONTROL!$C$28, 0.0003, 0)</f>
        <v>18.334099999999999</v>
      </c>
      <c r="C173" s="4">
        <f>17.9706 * CHOOSE(CONTROL!$C$9, $C$13, 100%, $E$13) + CHOOSE(CONTROL!$C$28, 0.0003, 0)</f>
        <v>17.9709</v>
      </c>
      <c r="D173" s="4">
        <f>26.4281 * CHOOSE(CONTROL!$C$9, $C$13, 100%, $E$13) + CHOOSE(CONTROL!$C$28, 0, 0)</f>
        <v>26.428100000000001</v>
      </c>
      <c r="E173" s="4">
        <f>113.984843818042 * CHOOSE(CONTROL!$C$9, $C$13, 100%, $E$13) + CHOOSE(CONTROL!$C$28, 0, 0)</f>
        <v>113.98484381804199</v>
      </c>
    </row>
    <row r="174" spans="1:5" ht="15">
      <c r="A174" s="13">
        <v>46784</v>
      </c>
      <c r="B174" s="4">
        <f>18.7508 * CHOOSE(CONTROL!$C$9, $C$13, 100%, $E$13) + CHOOSE(CONTROL!$C$28, 0.0003, 0)</f>
        <v>18.751100000000001</v>
      </c>
      <c r="C174" s="4">
        <f>18.3875 * CHOOSE(CONTROL!$C$9, $C$13, 100%, $E$13) + CHOOSE(CONTROL!$C$28, 0.0003, 0)</f>
        <v>18.387799999999999</v>
      </c>
      <c r="D174" s="4">
        <f>27.2955 * CHOOSE(CONTROL!$C$9, $C$13, 100%, $E$13) + CHOOSE(CONTROL!$C$28, 0, 0)</f>
        <v>27.295500000000001</v>
      </c>
      <c r="E174" s="4">
        <f>116.691293214229 * CHOOSE(CONTROL!$C$9, $C$13, 100%, $E$13) + CHOOSE(CONTROL!$C$28, 0, 0)</f>
        <v>116.69129321422901</v>
      </c>
    </row>
    <row r="175" spans="1:5" ht="15">
      <c r="A175" s="13">
        <v>46813</v>
      </c>
      <c r="B175" s="4">
        <f>19.8457 * CHOOSE(CONTROL!$C$9, $C$13, 100%, $E$13) + CHOOSE(CONTROL!$C$28, 0.0003, 0)</f>
        <v>19.846</v>
      </c>
      <c r="C175" s="4">
        <f>19.4824 * CHOOSE(CONTROL!$C$9, $C$13, 100%, $E$13) + CHOOSE(CONTROL!$C$28, 0.0003, 0)</f>
        <v>19.482699999999998</v>
      </c>
      <c r="D175" s="4">
        <f>28.6533 * CHOOSE(CONTROL!$C$9, $C$13, 100%, $E$13) + CHOOSE(CONTROL!$C$28, 0, 0)</f>
        <v>28.653300000000002</v>
      </c>
      <c r="E175" s="4">
        <f>123.798573158073 * CHOOSE(CONTROL!$C$9, $C$13, 100%, $E$13) + CHOOSE(CONTROL!$C$28, 0, 0)</f>
        <v>123.798573158073</v>
      </c>
    </row>
    <row r="176" spans="1:5" ht="15">
      <c r="A176" s="13">
        <v>46844</v>
      </c>
      <c r="B176" s="4">
        <f>20.6237 * CHOOSE(CONTROL!$C$9, $C$13, 100%, $E$13) + CHOOSE(CONTROL!$C$28, 0.0003, 0)</f>
        <v>20.623999999999999</v>
      </c>
      <c r="C176" s="4">
        <f>20.2604 * CHOOSE(CONTROL!$C$9, $C$13, 100%, $E$13) + CHOOSE(CONTROL!$C$28, 0.0003, 0)</f>
        <v>20.2607</v>
      </c>
      <c r="D176" s="4">
        <f>29.4355 * CHOOSE(CONTROL!$C$9, $C$13, 100%, $E$13) + CHOOSE(CONTROL!$C$28, 0, 0)</f>
        <v>29.435500000000001</v>
      </c>
      <c r="E176" s="4">
        <f>128.848390275133 * CHOOSE(CONTROL!$C$9, $C$13, 100%, $E$13) + CHOOSE(CONTROL!$C$28, 0, 0)</f>
        <v>128.848390275133</v>
      </c>
    </row>
    <row r="177" spans="1:5" ht="15">
      <c r="A177" s="13">
        <v>46874</v>
      </c>
      <c r="B177" s="4">
        <f>21.099 * CHOOSE(CONTROL!$C$9, $C$13, 100%, $E$13) + CHOOSE(CONTROL!$C$28, 0.0136, 0)</f>
        <v>21.1126</v>
      </c>
      <c r="C177" s="4">
        <f>20.7357 * CHOOSE(CONTROL!$C$9, $C$13, 100%, $E$13) + CHOOSE(CONTROL!$C$28, 0.0136, 0)</f>
        <v>20.749300000000002</v>
      </c>
      <c r="D177" s="4">
        <f>29.1264 * CHOOSE(CONTROL!$C$9, $C$13, 100%, $E$13) + CHOOSE(CONTROL!$C$28, 0, 0)</f>
        <v>29.1264</v>
      </c>
      <c r="E177" s="4">
        <f>131.933707506432 * CHOOSE(CONTROL!$C$9, $C$13, 100%, $E$13) + CHOOSE(CONTROL!$C$28, 0, 0)</f>
        <v>131.933707506432</v>
      </c>
    </row>
    <row r="178" spans="1:5" ht="15">
      <c r="A178" s="13">
        <v>46905</v>
      </c>
      <c r="B178" s="4">
        <f>21.1633 * CHOOSE(CONTROL!$C$9, $C$13, 100%, $E$13) + CHOOSE(CONTROL!$C$28, 0.0136, 0)</f>
        <v>21.1769</v>
      </c>
      <c r="C178" s="4">
        <f>20.8001 * CHOOSE(CONTROL!$C$9, $C$13, 100%, $E$13) + CHOOSE(CONTROL!$C$28, 0.0136, 0)</f>
        <v>20.813700000000001</v>
      </c>
      <c r="D178" s="4">
        <f>29.3781 * CHOOSE(CONTROL!$C$9, $C$13, 100%, $E$13) + CHOOSE(CONTROL!$C$28, 0, 0)</f>
        <v>29.3781</v>
      </c>
      <c r="E178" s="4">
        <f>132.351163732156 * CHOOSE(CONTROL!$C$9, $C$13, 100%, $E$13) + CHOOSE(CONTROL!$C$28, 0, 0)</f>
        <v>132.35116373215601</v>
      </c>
    </row>
    <row r="179" spans="1:5" ht="15">
      <c r="A179" s="13">
        <v>46935</v>
      </c>
      <c r="B179" s="4">
        <f>21.1568 * CHOOSE(CONTROL!$C$9, $C$13, 100%, $E$13) + CHOOSE(CONTROL!$C$28, 0.0136, 0)</f>
        <v>21.170400000000001</v>
      </c>
      <c r="C179" s="4">
        <f>20.7936 * CHOOSE(CONTROL!$C$9, $C$13, 100%, $E$13) + CHOOSE(CONTROL!$C$28, 0.0136, 0)</f>
        <v>20.807200000000002</v>
      </c>
      <c r="D179" s="4">
        <f>29.8323 * CHOOSE(CONTROL!$C$9, $C$13, 100%, $E$13) + CHOOSE(CONTROL!$C$28, 0, 0)</f>
        <v>29.8323</v>
      </c>
      <c r="E179" s="4">
        <f>132.309067306032 * CHOOSE(CONTROL!$C$9, $C$13, 100%, $E$13) + CHOOSE(CONTROL!$C$28, 0, 0)</f>
        <v>132.30906730603201</v>
      </c>
    </row>
    <row r="180" spans="1:5" ht="15">
      <c r="A180" s="13">
        <v>46966</v>
      </c>
      <c r="B180" s="4">
        <f>21.6449 * CHOOSE(CONTROL!$C$9, $C$13, 100%, $E$13) + CHOOSE(CONTROL!$C$28, 0.0136, 0)</f>
        <v>21.6585</v>
      </c>
      <c r="C180" s="4">
        <f>21.2816 * CHOOSE(CONTROL!$C$9, $C$13, 100%, $E$13) + CHOOSE(CONTROL!$C$28, 0.0136, 0)</f>
        <v>21.295200000000001</v>
      </c>
      <c r="D180" s="4">
        <f>29.5324 * CHOOSE(CONTROL!$C$9, $C$13, 100%, $E$13) + CHOOSE(CONTROL!$C$28, 0, 0)</f>
        <v>29.532399999999999</v>
      </c>
      <c r="E180" s="4">
        <f>135.476823371823 * CHOOSE(CONTROL!$C$9, $C$13, 100%, $E$13) + CHOOSE(CONTROL!$C$28, 0, 0)</f>
        <v>135.476823371823</v>
      </c>
    </row>
    <row r="181" spans="1:5" ht="15">
      <c r="A181" s="13">
        <v>46997</v>
      </c>
      <c r="B181" s="4">
        <f>20.8131 * CHOOSE(CONTROL!$C$9, $C$13, 100%, $E$13) + CHOOSE(CONTROL!$C$28, 0.0136, 0)</f>
        <v>20.826699999999999</v>
      </c>
      <c r="C181" s="4">
        <f>20.4498 * CHOOSE(CONTROL!$C$9, $C$13, 100%, $E$13) + CHOOSE(CONTROL!$C$28, 0.0136, 0)</f>
        <v>20.4634</v>
      </c>
      <c r="D181" s="4">
        <f>29.3906 * CHOOSE(CONTROL!$C$9, $C$13, 100%, $E$13) + CHOOSE(CONTROL!$C$28, 0, 0)</f>
        <v>29.390599999999999</v>
      </c>
      <c r="E181" s="4">
        <f>130.077956721489 * CHOOSE(CONTROL!$C$9, $C$13, 100%, $E$13) + CHOOSE(CONTROL!$C$28, 0, 0)</f>
        <v>130.07795672148899</v>
      </c>
    </row>
    <row r="182" spans="1:5" ht="15">
      <c r="A182" s="13">
        <v>47027</v>
      </c>
      <c r="B182" s="4">
        <f>20.1473 * CHOOSE(CONTROL!$C$9, $C$13, 100%, $E$13) + CHOOSE(CONTROL!$C$28, 0.0003, 0)</f>
        <v>20.147600000000001</v>
      </c>
      <c r="C182" s="4">
        <f>19.784 * CHOOSE(CONTROL!$C$9, $C$13, 100%, $E$13) + CHOOSE(CONTROL!$C$28, 0.0003, 0)</f>
        <v>19.784299999999998</v>
      </c>
      <c r="D182" s="4">
        <f>29.0112 * CHOOSE(CONTROL!$C$9, $C$13, 100%, $E$13) + CHOOSE(CONTROL!$C$28, 0, 0)</f>
        <v>29.011199999999999</v>
      </c>
      <c r="E182" s="4">
        <f>125.756056972814 * CHOOSE(CONTROL!$C$9, $C$13, 100%, $E$13) + CHOOSE(CONTROL!$C$28, 0, 0)</f>
        <v>125.75605697281399</v>
      </c>
    </row>
    <row r="183" spans="1:5" ht="15">
      <c r="A183" s="13">
        <v>47058</v>
      </c>
      <c r="B183" s="4">
        <f>19.7185 * CHOOSE(CONTROL!$C$9, $C$13, 100%, $E$13) + CHOOSE(CONTROL!$C$28, 0.0003, 0)</f>
        <v>19.718799999999998</v>
      </c>
      <c r="C183" s="4">
        <f>19.3552 * CHOOSE(CONTROL!$C$9, $C$13, 100%, $E$13) + CHOOSE(CONTROL!$C$28, 0.0003, 0)</f>
        <v>19.355499999999999</v>
      </c>
      <c r="D183" s="4">
        <f>28.8807 * CHOOSE(CONTROL!$C$9, $C$13, 100%, $E$13) + CHOOSE(CONTROL!$C$28, 0, 0)</f>
        <v>28.880700000000001</v>
      </c>
      <c r="E183" s="4">
        <f>122.9724307954 * CHOOSE(CONTROL!$C$9, $C$13, 100%, $E$13) + CHOOSE(CONTROL!$C$28, 0, 0)</f>
        <v>122.9724307954</v>
      </c>
    </row>
    <row r="184" spans="1:5" ht="15">
      <c r="A184" s="13">
        <v>47088</v>
      </c>
      <c r="B184" s="4">
        <f>19.4218 * CHOOSE(CONTROL!$C$9, $C$13, 100%, $E$13) + CHOOSE(CONTROL!$C$28, 0.0003, 0)</f>
        <v>19.4221</v>
      </c>
      <c r="C184" s="4">
        <f>19.0585 * CHOOSE(CONTROL!$C$9, $C$13, 100%, $E$13) + CHOOSE(CONTROL!$C$28, 0.0003, 0)</f>
        <v>19.058799999999998</v>
      </c>
      <c r="D184" s="4">
        <f>27.9203 * CHOOSE(CONTROL!$C$9, $C$13, 100%, $E$13) + CHOOSE(CONTROL!$C$28, 0, 0)</f>
        <v>27.920300000000001</v>
      </c>
      <c r="E184" s="4">
        <f>121.046519300252 * CHOOSE(CONTROL!$C$9, $C$13, 100%, $E$13) + CHOOSE(CONTROL!$C$28, 0, 0)</f>
        <v>121.046519300252</v>
      </c>
    </row>
    <row r="185" spans="1:5" ht="15">
      <c r="A185" s="13">
        <v>47119</v>
      </c>
      <c r="B185" s="4">
        <f>18.8769 * CHOOSE(CONTROL!$C$9, $C$13, 100%, $E$13) + CHOOSE(CONTROL!$C$28, 0.0003, 0)</f>
        <v>18.877199999999998</v>
      </c>
      <c r="C185" s="4">
        <f>18.5136 * CHOOSE(CONTROL!$C$9, $C$13, 100%, $E$13) + CHOOSE(CONTROL!$C$28, 0.0003, 0)</f>
        <v>18.5139</v>
      </c>
      <c r="D185" s="4">
        <f>27.0121 * CHOOSE(CONTROL!$C$9, $C$13, 100%, $E$13) + CHOOSE(CONTROL!$C$28, 0, 0)</f>
        <v>27.0121</v>
      </c>
      <c r="E185" s="4">
        <f>117.465394324666 * CHOOSE(CONTROL!$C$9, $C$13, 100%, $E$13) + CHOOSE(CONTROL!$C$28, 0, 0)</f>
        <v>117.46539432466599</v>
      </c>
    </row>
    <row r="186" spans="1:5" ht="15">
      <c r="A186" s="13">
        <v>47150</v>
      </c>
      <c r="B186" s="4">
        <f>19.3067 * CHOOSE(CONTROL!$C$9, $C$13, 100%, $E$13) + CHOOSE(CONTROL!$C$28, 0.0003, 0)</f>
        <v>19.306999999999999</v>
      </c>
      <c r="C186" s="4">
        <f>18.9434 * CHOOSE(CONTROL!$C$9, $C$13, 100%, $E$13) + CHOOSE(CONTROL!$C$28, 0.0003, 0)</f>
        <v>18.9437</v>
      </c>
      <c r="D186" s="4">
        <f>27.9001 * CHOOSE(CONTROL!$C$9, $C$13, 100%, $E$13) + CHOOSE(CONTROL!$C$28, 0, 0)</f>
        <v>27.900099999999998</v>
      </c>
      <c r="E186" s="4">
        <f>120.254485706415 * CHOOSE(CONTROL!$C$9, $C$13, 100%, $E$13) + CHOOSE(CONTROL!$C$28, 0, 0)</f>
        <v>120.254485706415</v>
      </c>
    </row>
    <row r="187" spans="1:5" ht="15">
      <c r="A187" s="13">
        <v>47178</v>
      </c>
      <c r="B187" s="4">
        <f>20.4355 * CHOOSE(CONTROL!$C$9, $C$13, 100%, $E$13) + CHOOSE(CONTROL!$C$28, 0.0003, 0)</f>
        <v>20.4358</v>
      </c>
      <c r="C187" s="4">
        <f>20.0722 * CHOOSE(CONTROL!$C$9, $C$13, 100%, $E$13) + CHOOSE(CONTROL!$C$28, 0.0003, 0)</f>
        <v>20.072499999999998</v>
      </c>
      <c r="D187" s="4">
        <f>29.2902 * CHOOSE(CONTROL!$C$9, $C$13, 100%, $E$13) + CHOOSE(CONTROL!$C$28, 0, 0)</f>
        <v>29.290199999999999</v>
      </c>
      <c r="E187" s="4">
        <f>127.578787896205 * CHOOSE(CONTROL!$C$9, $C$13, 100%, $E$13) + CHOOSE(CONTROL!$C$28, 0, 0)</f>
        <v>127.578787896205</v>
      </c>
    </row>
    <row r="188" spans="1:5" ht="15">
      <c r="A188" s="13">
        <v>47209</v>
      </c>
      <c r="B188" s="4">
        <f>21.2375 * CHOOSE(CONTROL!$C$9, $C$13, 100%, $E$13) + CHOOSE(CONTROL!$C$28, 0.0003, 0)</f>
        <v>21.2378</v>
      </c>
      <c r="C188" s="4">
        <f>20.8743 * CHOOSE(CONTROL!$C$9, $C$13, 100%, $E$13) + CHOOSE(CONTROL!$C$28, 0.0003, 0)</f>
        <v>20.874600000000001</v>
      </c>
      <c r="D188" s="4">
        <f>30.091 * CHOOSE(CONTROL!$C$9, $C$13, 100%, $E$13) + CHOOSE(CONTROL!$C$28, 0, 0)</f>
        <v>30.091000000000001</v>
      </c>
      <c r="E188" s="4">
        <f>132.782802211212 * CHOOSE(CONTROL!$C$9, $C$13, 100%, $E$13) + CHOOSE(CONTROL!$C$28, 0, 0)</f>
        <v>132.78280221121199</v>
      </c>
    </row>
    <row r="189" spans="1:5" ht="15">
      <c r="A189" s="13">
        <v>47239</v>
      </c>
      <c r="B189" s="4">
        <f>21.7276 * CHOOSE(CONTROL!$C$9, $C$13, 100%, $E$13) + CHOOSE(CONTROL!$C$28, 0.0136, 0)</f>
        <v>21.741199999999999</v>
      </c>
      <c r="C189" s="4">
        <f>21.3643 * CHOOSE(CONTROL!$C$9, $C$13, 100%, $E$13) + CHOOSE(CONTROL!$C$28, 0.0136, 0)</f>
        <v>21.3779</v>
      </c>
      <c r="D189" s="4">
        <f>29.7746 * CHOOSE(CONTROL!$C$9, $C$13, 100%, $E$13) + CHOOSE(CONTROL!$C$28, 0, 0)</f>
        <v>29.7746</v>
      </c>
      <c r="E189" s="4">
        <f>135.962330234865 * CHOOSE(CONTROL!$C$9, $C$13, 100%, $E$13) + CHOOSE(CONTROL!$C$28, 0, 0)</f>
        <v>135.96233023486499</v>
      </c>
    </row>
    <row r="190" spans="1:5" ht="15">
      <c r="A190" s="13">
        <v>47270</v>
      </c>
      <c r="B190" s="4">
        <f>21.7939 * CHOOSE(CONTROL!$C$9, $C$13, 100%, $E$13) + CHOOSE(CONTROL!$C$28, 0.0136, 0)</f>
        <v>21.807500000000001</v>
      </c>
      <c r="C190" s="4">
        <f>21.4306 * CHOOSE(CONTROL!$C$9, $C$13, 100%, $E$13) + CHOOSE(CONTROL!$C$28, 0.0136, 0)</f>
        <v>21.444199999999999</v>
      </c>
      <c r="D190" s="4">
        <f>30.0323 * CHOOSE(CONTROL!$C$9, $C$13, 100%, $E$13) + CHOOSE(CONTROL!$C$28, 0, 0)</f>
        <v>30.032299999999999</v>
      </c>
      <c r="E190" s="4">
        <f>136.392533571778 * CHOOSE(CONTROL!$C$9, $C$13, 100%, $E$13) + CHOOSE(CONTROL!$C$28, 0, 0)</f>
        <v>136.39253357177799</v>
      </c>
    </row>
    <row r="191" spans="1:5" ht="15">
      <c r="A191" s="13">
        <v>47300</v>
      </c>
      <c r="B191" s="4">
        <f>21.7872 * CHOOSE(CONTROL!$C$9, $C$13, 100%, $E$13) + CHOOSE(CONTROL!$C$28, 0.0136, 0)</f>
        <v>21.800799999999999</v>
      </c>
      <c r="C191" s="4">
        <f>21.4239 * CHOOSE(CONTROL!$C$9, $C$13, 100%, $E$13) + CHOOSE(CONTROL!$C$28, 0.0136, 0)</f>
        <v>21.4375</v>
      </c>
      <c r="D191" s="4">
        <f>30.4972 * CHOOSE(CONTROL!$C$9, $C$13, 100%, $E$13) + CHOOSE(CONTROL!$C$28, 0, 0)</f>
        <v>30.497199999999999</v>
      </c>
      <c r="E191" s="4">
        <f>136.349151722677 * CHOOSE(CONTROL!$C$9, $C$13, 100%, $E$13) + CHOOSE(CONTROL!$C$28, 0, 0)</f>
        <v>136.34915172267699</v>
      </c>
    </row>
    <row r="192" spans="1:5" ht="15">
      <c r="A192" s="13">
        <v>47331</v>
      </c>
      <c r="B192" s="4">
        <f>22.2903 * CHOOSE(CONTROL!$C$9, $C$13, 100%, $E$13) + CHOOSE(CONTROL!$C$28, 0.0136, 0)</f>
        <v>22.303899999999999</v>
      </c>
      <c r="C192" s="4">
        <f>21.927 * CHOOSE(CONTROL!$C$9, $C$13, 100%, $E$13) + CHOOSE(CONTROL!$C$28, 0.0136, 0)</f>
        <v>21.9406</v>
      </c>
      <c r="D192" s="4">
        <f>30.1902 * CHOOSE(CONTROL!$C$9, $C$13, 100%, $E$13) + CHOOSE(CONTROL!$C$28, 0, 0)</f>
        <v>30.190200000000001</v>
      </c>
      <c r="E192" s="4">
        <f>139.613635867485 * CHOOSE(CONTROL!$C$9, $C$13, 100%, $E$13) + CHOOSE(CONTROL!$C$28, 0, 0)</f>
        <v>139.61363586748499</v>
      </c>
    </row>
    <row r="193" spans="1:5" ht="15">
      <c r="A193" s="13">
        <v>47362</v>
      </c>
      <c r="B193" s="4">
        <f>21.4328 * CHOOSE(CONTROL!$C$9, $C$13, 100%, $E$13) + CHOOSE(CONTROL!$C$28, 0.0136, 0)</f>
        <v>21.446400000000001</v>
      </c>
      <c r="C193" s="4">
        <f>21.0695 * CHOOSE(CONTROL!$C$9, $C$13, 100%, $E$13) + CHOOSE(CONTROL!$C$28, 0.0136, 0)</f>
        <v>21.083100000000002</v>
      </c>
      <c r="D193" s="4">
        <f>30.0451 * CHOOSE(CONTROL!$C$9, $C$13, 100%, $E$13) + CHOOSE(CONTROL!$C$28, 0, 0)</f>
        <v>30.045100000000001</v>
      </c>
      <c r="E193" s="4">
        <f>134.049913720354 * CHOOSE(CONTROL!$C$9, $C$13, 100%, $E$13) + CHOOSE(CONTROL!$C$28, 0, 0)</f>
        <v>134.049913720354</v>
      </c>
    </row>
    <row r="194" spans="1:5" ht="15">
      <c r="A194" s="13">
        <v>47392</v>
      </c>
      <c r="B194" s="4">
        <f>20.7464 * CHOOSE(CONTROL!$C$9, $C$13, 100%, $E$13) + CHOOSE(CONTROL!$C$28, 0.0003, 0)</f>
        <v>20.746700000000001</v>
      </c>
      <c r="C194" s="4">
        <f>20.3831 * CHOOSE(CONTROL!$C$9, $C$13, 100%, $E$13) + CHOOSE(CONTROL!$C$28, 0.0003, 0)</f>
        <v>20.383399999999998</v>
      </c>
      <c r="D194" s="4">
        <f>29.6566 * CHOOSE(CONTROL!$C$9, $C$13, 100%, $E$13) + CHOOSE(CONTROL!$C$28, 0, 0)</f>
        <v>29.656600000000001</v>
      </c>
      <c r="E194" s="4">
        <f>129.596043879376 * CHOOSE(CONTROL!$C$9, $C$13, 100%, $E$13) + CHOOSE(CONTROL!$C$28, 0, 0)</f>
        <v>129.596043879376</v>
      </c>
    </row>
    <row r="195" spans="1:5" ht="15">
      <c r="A195" s="13">
        <v>47423</v>
      </c>
      <c r="B195" s="4">
        <f>20.3043 * CHOOSE(CONTROL!$C$9, $C$13, 100%, $E$13) + CHOOSE(CONTROL!$C$28, 0.0003, 0)</f>
        <v>20.304600000000001</v>
      </c>
      <c r="C195" s="4">
        <f>19.941 * CHOOSE(CONTROL!$C$9, $C$13, 100%, $E$13) + CHOOSE(CONTROL!$C$28, 0.0003, 0)</f>
        <v>19.941299999999998</v>
      </c>
      <c r="D195" s="4">
        <f>29.523 * CHOOSE(CONTROL!$C$9, $C$13, 100%, $E$13) + CHOOSE(CONTROL!$C$28, 0, 0)</f>
        <v>29.523</v>
      </c>
      <c r="E195" s="4">
        <f>126.727419107609 * CHOOSE(CONTROL!$C$9, $C$13, 100%, $E$13) + CHOOSE(CONTROL!$C$28, 0, 0)</f>
        <v>126.72741910760899</v>
      </c>
    </row>
    <row r="196" spans="1:5" ht="15">
      <c r="A196" s="13">
        <v>47453</v>
      </c>
      <c r="B196" s="4">
        <f>19.9984 * CHOOSE(CONTROL!$C$9, $C$13, 100%, $E$13) + CHOOSE(CONTROL!$C$28, 0.0003, 0)</f>
        <v>19.998699999999999</v>
      </c>
      <c r="C196" s="4">
        <f>19.6351 * CHOOSE(CONTROL!$C$9, $C$13, 100%, $E$13) + CHOOSE(CONTROL!$C$28, 0.0003, 0)</f>
        <v>19.635400000000001</v>
      </c>
      <c r="D196" s="4">
        <f>28.5398 * CHOOSE(CONTROL!$C$9, $C$13, 100%, $E$13) + CHOOSE(CONTROL!$C$28, 0, 0)</f>
        <v>28.5398</v>
      </c>
      <c r="E196" s="4">
        <f>124.742699511264 * CHOOSE(CONTROL!$C$9, $C$13, 100%, $E$13) + CHOOSE(CONTROL!$C$28, 0, 0)</f>
        <v>124.74269951126399</v>
      </c>
    </row>
    <row r="197" spans="1:5" ht="15">
      <c r="A197" s="13">
        <v>47484</v>
      </c>
      <c r="B197" s="4">
        <f>19.4199 * CHOOSE(CONTROL!$C$9, $C$13, 100%, $E$13) + CHOOSE(CONTROL!$C$28, 0.0003, 0)</f>
        <v>19.420199999999998</v>
      </c>
      <c r="C197" s="4">
        <f>19.0566 * CHOOSE(CONTROL!$C$9, $C$13, 100%, $E$13) + CHOOSE(CONTROL!$C$28, 0.0003, 0)</f>
        <v>19.056899999999999</v>
      </c>
      <c r="D197" s="4">
        <f>27.6032 * CHOOSE(CONTROL!$C$9, $C$13, 100%, $E$13) + CHOOSE(CONTROL!$C$28, 0, 0)</f>
        <v>27.603200000000001</v>
      </c>
      <c r="E197" s="4">
        <f>120.945559154883 * CHOOSE(CONTROL!$C$9, $C$13, 100%, $E$13) + CHOOSE(CONTROL!$C$28, 0, 0)</f>
        <v>120.945559154883</v>
      </c>
    </row>
    <row r="198" spans="1:5" ht="15">
      <c r="A198" s="13">
        <v>47515</v>
      </c>
      <c r="B198" s="4">
        <f>19.8626 * CHOOSE(CONTROL!$C$9, $C$13, 100%, $E$13) + CHOOSE(CONTROL!$C$28, 0.0003, 0)</f>
        <v>19.8629</v>
      </c>
      <c r="C198" s="4">
        <f>19.4994 * CHOOSE(CONTROL!$C$9, $C$13, 100%, $E$13) + CHOOSE(CONTROL!$C$28, 0.0003, 0)</f>
        <v>19.499700000000001</v>
      </c>
      <c r="D198" s="4">
        <f>28.5121 * CHOOSE(CONTROL!$C$9, $C$13, 100%, $E$13) + CHOOSE(CONTROL!$C$28, 0, 0)</f>
        <v>28.5121</v>
      </c>
      <c r="E198" s="4">
        <f>123.817283364716 * CHOOSE(CONTROL!$C$9, $C$13, 100%, $E$13) + CHOOSE(CONTROL!$C$28, 0, 0)</f>
        <v>123.817283364716</v>
      </c>
    </row>
    <row r="199" spans="1:5" ht="15">
      <c r="A199" s="13">
        <v>47543</v>
      </c>
      <c r="B199" s="4">
        <f>21.0253 * CHOOSE(CONTROL!$C$9, $C$13, 100%, $E$13) + CHOOSE(CONTROL!$C$28, 0.0003, 0)</f>
        <v>21.025600000000001</v>
      </c>
      <c r="C199" s="4">
        <f>20.662 * CHOOSE(CONTROL!$C$9, $C$13, 100%, $E$13) + CHOOSE(CONTROL!$C$28, 0.0003, 0)</f>
        <v>20.662299999999998</v>
      </c>
      <c r="D199" s="4">
        <f>29.9349 * CHOOSE(CONTROL!$C$9, $C$13, 100%, $E$13) + CHOOSE(CONTROL!$C$28, 0, 0)</f>
        <v>29.934899999999999</v>
      </c>
      <c r="E199" s="4">
        <f>131.35858375243 * CHOOSE(CONTROL!$C$9, $C$13, 100%, $E$13) + CHOOSE(CONTROL!$C$28, 0, 0)</f>
        <v>131.35858375243001</v>
      </c>
    </row>
    <row r="200" spans="1:5" ht="15">
      <c r="A200" s="13">
        <v>47574</v>
      </c>
      <c r="B200" s="4">
        <f>21.8514 * CHOOSE(CONTROL!$C$9, $C$13, 100%, $E$13) + CHOOSE(CONTROL!$C$28, 0.0003, 0)</f>
        <v>21.851700000000001</v>
      </c>
      <c r="C200" s="4">
        <f>21.4881 * CHOOSE(CONTROL!$C$9, $C$13, 100%, $E$13) + CHOOSE(CONTROL!$C$28, 0.0003, 0)</f>
        <v>21.488399999999999</v>
      </c>
      <c r="D200" s="4">
        <f>30.7544 * CHOOSE(CONTROL!$C$9, $C$13, 100%, $E$13) + CHOOSE(CONTROL!$C$28, 0, 0)</f>
        <v>30.7544</v>
      </c>
      <c r="E200" s="4">
        <f>136.716778178942 * CHOOSE(CONTROL!$C$9, $C$13, 100%, $E$13) + CHOOSE(CONTROL!$C$28, 0, 0)</f>
        <v>136.71677817894201</v>
      </c>
    </row>
    <row r="201" spans="1:5" ht="15">
      <c r="A201" s="13">
        <v>47604</v>
      </c>
      <c r="B201" s="4">
        <f>22.3561 * CHOOSE(CONTROL!$C$9, $C$13, 100%, $E$13) + CHOOSE(CONTROL!$C$28, 0.0136, 0)</f>
        <v>22.369700000000002</v>
      </c>
      <c r="C201" s="4">
        <f>21.9928 * CHOOSE(CONTROL!$C$9, $C$13, 100%, $E$13) + CHOOSE(CONTROL!$C$28, 0.0136, 0)</f>
        <v>22.006399999999999</v>
      </c>
      <c r="D201" s="4">
        <f>30.4306 * CHOOSE(CONTROL!$C$9, $C$13, 100%, $E$13) + CHOOSE(CONTROL!$C$28, 0, 0)</f>
        <v>30.430599999999998</v>
      </c>
      <c r="E201" s="4">
        <f>139.990506555543 * CHOOSE(CONTROL!$C$9, $C$13, 100%, $E$13) + CHOOSE(CONTROL!$C$28, 0, 0)</f>
        <v>139.99050655554299</v>
      </c>
    </row>
    <row r="202" spans="1:5" ht="15">
      <c r="A202" s="13">
        <v>47635</v>
      </c>
      <c r="B202" s="4">
        <f>22.4244 * CHOOSE(CONTROL!$C$9, $C$13, 100%, $E$13) + CHOOSE(CONTROL!$C$28, 0.0136, 0)</f>
        <v>22.437999999999999</v>
      </c>
      <c r="C202" s="4">
        <f>22.0611 * CHOOSE(CONTROL!$C$9, $C$13, 100%, $E$13) + CHOOSE(CONTROL!$C$28, 0.0136, 0)</f>
        <v>22.0747</v>
      </c>
      <c r="D202" s="4">
        <f>30.6943 * CHOOSE(CONTROL!$C$9, $C$13, 100%, $E$13) + CHOOSE(CONTROL!$C$28, 0, 0)</f>
        <v>30.694299999999998</v>
      </c>
      <c r="E202" s="4">
        <f>140.433455591149 * CHOOSE(CONTROL!$C$9, $C$13, 100%, $E$13) + CHOOSE(CONTROL!$C$28, 0, 0)</f>
        <v>140.433455591149</v>
      </c>
    </row>
    <row r="203" spans="1:5" ht="15">
      <c r="A203" s="13">
        <v>47665</v>
      </c>
      <c r="B203" s="4">
        <f>22.4175 * CHOOSE(CONTROL!$C$9, $C$13, 100%, $E$13) + CHOOSE(CONTROL!$C$28, 0.0136, 0)</f>
        <v>22.431100000000001</v>
      </c>
      <c r="C203" s="4">
        <f>22.0542 * CHOOSE(CONTROL!$C$9, $C$13, 100%, $E$13) + CHOOSE(CONTROL!$C$28, 0.0136, 0)</f>
        <v>22.067800000000002</v>
      </c>
      <c r="D203" s="4">
        <f>31.1702 * CHOOSE(CONTROL!$C$9, $C$13, 100%, $E$13) + CHOOSE(CONTROL!$C$28, 0, 0)</f>
        <v>31.170200000000001</v>
      </c>
      <c r="E203" s="4">
        <f>140.388788461509 * CHOOSE(CONTROL!$C$9, $C$13, 100%, $E$13) + CHOOSE(CONTROL!$C$28, 0, 0)</f>
        <v>140.38878846150899</v>
      </c>
    </row>
    <row r="204" spans="1:5" ht="15">
      <c r="A204" s="13">
        <v>47696</v>
      </c>
      <c r="B204" s="4">
        <f>22.9357 * CHOOSE(CONTROL!$C$9, $C$13, 100%, $E$13) + CHOOSE(CONTROL!$C$28, 0.0136, 0)</f>
        <v>22.949300000000001</v>
      </c>
      <c r="C204" s="4">
        <f>22.5724 * CHOOSE(CONTROL!$C$9, $C$13, 100%, $E$13) + CHOOSE(CONTROL!$C$28, 0.0136, 0)</f>
        <v>22.585999999999999</v>
      </c>
      <c r="D204" s="4">
        <f>30.8559 * CHOOSE(CONTROL!$C$9, $C$13, 100%, $E$13) + CHOOSE(CONTROL!$C$28, 0, 0)</f>
        <v>30.855899999999998</v>
      </c>
      <c r="E204" s="4">
        <f>143.74998996699 * CHOOSE(CONTROL!$C$9, $C$13, 100%, $E$13) + CHOOSE(CONTROL!$C$28, 0, 0)</f>
        <v>143.74998996699</v>
      </c>
    </row>
    <row r="205" spans="1:5" ht="15">
      <c r="A205" s="13">
        <v>47727</v>
      </c>
      <c r="B205" s="4">
        <f>22.0525 * CHOOSE(CONTROL!$C$9, $C$13, 100%, $E$13) + CHOOSE(CONTROL!$C$28, 0.0136, 0)</f>
        <v>22.066099999999999</v>
      </c>
      <c r="C205" s="4">
        <f>21.6892 * CHOOSE(CONTROL!$C$9, $C$13, 100%, $E$13) + CHOOSE(CONTROL!$C$28, 0.0136, 0)</f>
        <v>21.7028</v>
      </c>
      <c r="D205" s="4">
        <f>30.7074 * CHOOSE(CONTROL!$C$9, $C$13, 100%, $E$13) + CHOOSE(CONTROL!$C$28, 0, 0)</f>
        <v>30.7074</v>
      </c>
      <c r="E205" s="4">
        <f>138.021430590538 * CHOOSE(CONTROL!$C$9, $C$13, 100%, $E$13) + CHOOSE(CONTROL!$C$28, 0, 0)</f>
        <v>138.02143059053799</v>
      </c>
    </row>
    <row r="206" spans="1:5" ht="15">
      <c r="A206" s="13">
        <v>47757</v>
      </c>
      <c r="B206" s="4">
        <f>21.3455 * CHOOSE(CONTROL!$C$9, $C$13, 100%, $E$13) + CHOOSE(CONTROL!$C$28, 0.0003, 0)</f>
        <v>21.345800000000001</v>
      </c>
      <c r="C206" s="4">
        <f>20.9822 * CHOOSE(CONTROL!$C$9, $C$13, 100%, $E$13) + CHOOSE(CONTROL!$C$28, 0.0003, 0)</f>
        <v>20.982499999999998</v>
      </c>
      <c r="D206" s="4">
        <f>30.3098 * CHOOSE(CONTROL!$C$9, $C$13, 100%, $E$13) + CHOOSE(CONTROL!$C$28, 0, 0)</f>
        <v>30.309799999999999</v>
      </c>
      <c r="E206" s="4">
        <f>133.435605280734 * CHOOSE(CONTROL!$C$9, $C$13, 100%, $E$13) + CHOOSE(CONTROL!$C$28, 0, 0)</f>
        <v>133.43560528073399</v>
      </c>
    </row>
    <row r="207" spans="1:5" ht="15">
      <c r="A207" s="13">
        <v>47788</v>
      </c>
      <c r="B207" s="4">
        <f>20.8902 * CHOOSE(CONTROL!$C$9, $C$13, 100%, $E$13) + CHOOSE(CONTROL!$C$28, 0.0003, 0)</f>
        <v>20.890499999999999</v>
      </c>
      <c r="C207" s="4">
        <f>20.5269 * CHOOSE(CONTROL!$C$9, $C$13, 100%, $E$13) + CHOOSE(CONTROL!$C$28, 0.0003, 0)</f>
        <v>20.527200000000001</v>
      </c>
      <c r="D207" s="4">
        <f>30.1731 * CHOOSE(CONTROL!$C$9, $C$13, 100%, $E$13) + CHOOSE(CONTROL!$C$28, 0, 0)</f>
        <v>30.173100000000002</v>
      </c>
      <c r="E207" s="4">
        <f>130.481991333226 * CHOOSE(CONTROL!$C$9, $C$13, 100%, $E$13) + CHOOSE(CONTROL!$C$28, 0, 0)</f>
        <v>130.48199133322601</v>
      </c>
    </row>
    <row r="208" spans="1:5" ht="15">
      <c r="A208" s="13">
        <v>47818</v>
      </c>
      <c r="B208" s="4">
        <f>20.5751 * CHOOSE(CONTROL!$C$9, $C$13, 100%, $E$13) + CHOOSE(CONTROL!$C$28, 0.0003, 0)</f>
        <v>20.575399999999998</v>
      </c>
      <c r="C208" s="4">
        <f>20.2118 * CHOOSE(CONTROL!$C$9, $C$13, 100%, $E$13) + CHOOSE(CONTROL!$C$28, 0.0003, 0)</f>
        <v>20.2121</v>
      </c>
      <c r="D208" s="4">
        <f>29.1668 * CHOOSE(CONTROL!$C$9, $C$13, 100%, $E$13) + CHOOSE(CONTROL!$C$28, 0, 0)</f>
        <v>29.166799999999999</v>
      </c>
      <c r="E208" s="4">
        <f>128.438470152152 * CHOOSE(CONTROL!$C$9, $C$13, 100%, $E$13) + CHOOSE(CONTROL!$C$28, 0, 0)</f>
        <v>128.43847015215201</v>
      </c>
    </row>
    <row r="209" spans="1:5" ht="15">
      <c r="A209" s="13">
        <v>47849</v>
      </c>
      <c r="B209" s="4">
        <f>20.0969 * CHOOSE(CONTROL!$C$9, $C$13, 100%, $E$13) + CHOOSE(CONTROL!$C$28, 0.0003, 0)</f>
        <v>20.097200000000001</v>
      </c>
      <c r="C209" s="4">
        <f>19.7336 * CHOOSE(CONTROL!$C$9, $C$13, 100%, $E$13) + CHOOSE(CONTROL!$C$28, 0.0003, 0)</f>
        <v>19.733899999999998</v>
      </c>
      <c r="D209" s="4">
        <f>28.3552 * CHOOSE(CONTROL!$C$9, $C$13, 100%, $E$13) + CHOOSE(CONTROL!$C$28, 0, 0)</f>
        <v>28.3552</v>
      </c>
      <c r="E209" s="4">
        <f>125.328013938627 * CHOOSE(CONTROL!$C$9, $C$13, 100%, $E$13) + CHOOSE(CONTROL!$C$28, 0, 0)</f>
        <v>125.328013938627</v>
      </c>
    </row>
    <row r="210" spans="1:5" ht="15">
      <c r="A210" s="13">
        <v>47880</v>
      </c>
      <c r="B210" s="4">
        <f>20.5557 * CHOOSE(CONTROL!$C$9, $C$13, 100%, $E$13) + CHOOSE(CONTROL!$C$28, 0.0003, 0)</f>
        <v>20.556000000000001</v>
      </c>
      <c r="C210" s="4">
        <f>20.1925 * CHOOSE(CONTROL!$C$9, $C$13, 100%, $E$13) + CHOOSE(CONTROL!$C$28, 0.0003, 0)</f>
        <v>20.192799999999998</v>
      </c>
      <c r="D210" s="4">
        <f>29.2906 * CHOOSE(CONTROL!$C$9, $C$13, 100%, $E$13) + CHOOSE(CONTROL!$C$28, 0, 0)</f>
        <v>29.290600000000001</v>
      </c>
      <c r="E210" s="4">
        <f>128.303794895884 * CHOOSE(CONTROL!$C$9, $C$13, 100%, $E$13) + CHOOSE(CONTROL!$C$28, 0, 0)</f>
        <v>128.30379489588401</v>
      </c>
    </row>
    <row r="211" spans="1:5" ht="15">
      <c r="A211" s="13">
        <v>47908</v>
      </c>
      <c r="B211" s="4">
        <f>21.7606 * CHOOSE(CONTROL!$C$9, $C$13, 100%, $E$13) + CHOOSE(CONTROL!$C$28, 0.0003, 0)</f>
        <v>21.760899999999999</v>
      </c>
      <c r="C211" s="4">
        <f>21.3973 * CHOOSE(CONTROL!$C$9, $C$13, 100%, $E$13) + CHOOSE(CONTROL!$C$28, 0.0003, 0)</f>
        <v>21.397600000000001</v>
      </c>
      <c r="D211" s="4">
        <f>30.7549 * CHOOSE(CONTROL!$C$9, $C$13, 100%, $E$13) + CHOOSE(CONTROL!$C$28, 0, 0)</f>
        <v>30.754899999999999</v>
      </c>
      <c r="E211" s="4">
        <f>136.118353832243 * CHOOSE(CONTROL!$C$9, $C$13, 100%, $E$13) + CHOOSE(CONTROL!$C$28, 0, 0)</f>
        <v>136.118353832243</v>
      </c>
    </row>
    <row r="212" spans="1:5" ht="15">
      <c r="A212" s="13">
        <v>47939</v>
      </c>
      <c r="B212" s="4">
        <f>22.6167 * CHOOSE(CONTROL!$C$9, $C$13, 100%, $E$13) + CHOOSE(CONTROL!$C$28, 0.0003, 0)</f>
        <v>22.617000000000001</v>
      </c>
      <c r="C212" s="4">
        <f>22.2534 * CHOOSE(CONTROL!$C$9, $C$13, 100%, $E$13) + CHOOSE(CONTROL!$C$28, 0.0003, 0)</f>
        <v>22.253699999999998</v>
      </c>
      <c r="D212" s="4">
        <f>31.5984 * CHOOSE(CONTROL!$C$9, $C$13, 100%, $E$13) + CHOOSE(CONTROL!$C$28, 0, 0)</f>
        <v>31.598400000000002</v>
      </c>
      <c r="E212" s="4">
        <f>141.670702099217 * CHOOSE(CONTROL!$C$9, $C$13, 100%, $E$13) + CHOOSE(CONTROL!$C$28, 0, 0)</f>
        <v>141.67070209921701</v>
      </c>
    </row>
    <row r="213" spans="1:5" ht="15">
      <c r="A213" s="13">
        <v>47969</v>
      </c>
      <c r="B213" s="4">
        <f>23.1397 * CHOOSE(CONTROL!$C$9, $C$13, 100%, $E$13) + CHOOSE(CONTROL!$C$28, 0.0136, 0)</f>
        <v>23.153300000000002</v>
      </c>
      <c r="C213" s="4">
        <f>22.7765 * CHOOSE(CONTROL!$C$9, $C$13, 100%, $E$13) + CHOOSE(CONTROL!$C$28, 0.0136, 0)</f>
        <v>22.790099999999999</v>
      </c>
      <c r="D213" s="4">
        <f>31.2651 * CHOOSE(CONTROL!$C$9, $C$13, 100%, $E$13) + CHOOSE(CONTROL!$C$28, 0, 0)</f>
        <v>31.2651</v>
      </c>
      <c r="E213" s="4">
        <f>145.063053819123 * CHOOSE(CONTROL!$C$9, $C$13, 100%, $E$13) + CHOOSE(CONTROL!$C$28, 0, 0)</f>
        <v>145.06305381912301</v>
      </c>
    </row>
    <row r="214" spans="1:5" ht="15">
      <c r="A214" s="13">
        <v>48000</v>
      </c>
      <c r="B214" s="4">
        <f>23.2105 * CHOOSE(CONTROL!$C$9, $C$13, 100%, $E$13) + CHOOSE(CONTROL!$C$28, 0.0136, 0)</f>
        <v>23.2241</v>
      </c>
      <c r="C214" s="4">
        <f>22.8472 * CHOOSE(CONTROL!$C$9, $C$13, 100%, $E$13) + CHOOSE(CONTROL!$C$28, 0.0136, 0)</f>
        <v>22.860800000000001</v>
      </c>
      <c r="D214" s="4">
        <f>31.5366 * CHOOSE(CONTROL!$C$9, $C$13, 100%, $E$13) + CHOOSE(CONTROL!$C$28, 0, 0)</f>
        <v>31.5366</v>
      </c>
      <c r="E214" s="4">
        <f>145.522053085375 * CHOOSE(CONTROL!$C$9, $C$13, 100%, $E$13) + CHOOSE(CONTROL!$C$28, 0, 0)</f>
        <v>145.52205308537501</v>
      </c>
    </row>
    <row r="215" spans="1:5" ht="15">
      <c r="A215" s="13">
        <v>48030</v>
      </c>
      <c r="B215" s="4">
        <f>23.2034 * CHOOSE(CONTROL!$C$9, $C$13, 100%, $E$13) + CHOOSE(CONTROL!$C$28, 0.0136, 0)</f>
        <v>23.216999999999999</v>
      </c>
      <c r="C215" s="4">
        <f>22.8401 * CHOOSE(CONTROL!$C$9, $C$13, 100%, $E$13) + CHOOSE(CONTROL!$C$28, 0.0136, 0)</f>
        <v>22.8537</v>
      </c>
      <c r="D215" s="4">
        <f>32.0264 * CHOOSE(CONTROL!$C$9, $C$13, 100%, $E$13) + CHOOSE(CONTROL!$C$28, 0, 0)</f>
        <v>32.026400000000002</v>
      </c>
      <c r="E215" s="4">
        <f>145.47576744508 * CHOOSE(CONTROL!$C$9, $C$13, 100%, $E$13) + CHOOSE(CONTROL!$C$28, 0, 0)</f>
        <v>145.47576744508001</v>
      </c>
    </row>
    <row r="216" spans="1:5" ht="15">
      <c r="A216" s="13">
        <v>48061</v>
      </c>
      <c r="B216" s="4">
        <f>23.7404 * CHOOSE(CONTROL!$C$9, $C$13, 100%, $E$13) + CHOOSE(CONTROL!$C$28, 0.0136, 0)</f>
        <v>23.754000000000001</v>
      </c>
      <c r="C216" s="4">
        <f>23.3771 * CHOOSE(CONTROL!$C$9, $C$13, 100%, $E$13) + CHOOSE(CONTROL!$C$28, 0.0136, 0)</f>
        <v>23.390699999999999</v>
      </c>
      <c r="D216" s="4">
        <f>31.7029 * CHOOSE(CONTROL!$C$9, $C$13, 100%, $E$13) + CHOOSE(CONTROL!$C$28, 0, 0)</f>
        <v>31.7029</v>
      </c>
      <c r="E216" s="4">
        <f>148.958761877229 * CHOOSE(CONTROL!$C$9, $C$13, 100%, $E$13) + CHOOSE(CONTROL!$C$28, 0, 0)</f>
        <v>148.95876187722899</v>
      </c>
    </row>
    <row r="217" spans="1:5" ht="15">
      <c r="A217" s="13">
        <v>48092</v>
      </c>
      <c r="B217" s="4">
        <f>22.8251 * CHOOSE(CONTROL!$C$9, $C$13, 100%, $E$13) + CHOOSE(CONTROL!$C$28, 0.0136, 0)</f>
        <v>22.838699999999999</v>
      </c>
      <c r="C217" s="4">
        <f>22.4619 * CHOOSE(CONTROL!$C$9, $C$13, 100%, $E$13) + CHOOSE(CONTROL!$C$28, 0.0136, 0)</f>
        <v>22.4755</v>
      </c>
      <c r="D217" s="4">
        <f>31.5501 * CHOOSE(CONTROL!$C$9, $C$13, 100%, $E$13) + CHOOSE(CONTROL!$C$28, 0, 0)</f>
        <v>31.5501</v>
      </c>
      <c r="E217" s="4">
        <f>143.022628509481 * CHOOSE(CONTROL!$C$9, $C$13, 100%, $E$13) + CHOOSE(CONTROL!$C$28, 0, 0)</f>
        <v>143.022628509481</v>
      </c>
    </row>
    <row r="218" spans="1:5" ht="15">
      <c r="A218" s="13">
        <v>48122</v>
      </c>
      <c r="B218" s="4">
        <f>22.0925 * CHOOSE(CONTROL!$C$9, $C$13, 100%, $E$13) + CHOOSE(CONTROL!$C$28, 0.0003, 0)</f>
        <v>22.0928</v>
      </c>
      <c r="C218" s="4">
        <f>21.7292 * CHOOSE(CONTROL!$C$9, $C$13, 100%, $E$13) + CHOOSE(CONTROL!$C$28, 0.0003, 0)</f>
        <v>21.729499999999998</v>
      </c>
      <c r="D218" s="4">
        <f>31.1409 * CHOOSE(CONTROL!$C$9, $C$13, 100%, $E$13) + CHOOSE(CONTROL!$C$28, 0, 0)</f>
        <v>31.140899999999998</v>
      </c>
      <c r="E218" s="4">
        <f>138.27063610593 * CHOOSE(CONTROL!$C$9, $C$13, 100%, $E$13) + CHOOSE(CONTROL!$C$28, 0, 0)</f>
        <v>138.27063610593001</v>
      </c>
    </row>
    <row r="219" spans="1:5" ht="15">
      <c r="A219" s="13">
        <v>48153</v>
      </c>
      <c r="B219" s="4">
        <f>21.6206 * CHOOSE(CONTROL!$C$9, $C$13, 100%, $E$13) + CHOOSE(CONTROL!$C$28, 0.0003, 0)</f>
        <v>21.620899999999999</v>
      </c>
      <c r="C219" s="4">
        <f>21.2573 * CHOOSE(CONTROL!$C$9, $C$13, 100%, $E$13) + CHOOSE(CONTROL!$C$28, 0.0003, 0)</f>
        <v>21.2576</v>
      </c>
      <c r="D219" s="4">
        <f>31.0002 * CHOOSE(CONTROL!$C$9, $C$13, 100%, $E$13) + CHOOSE(CONTROL!$C$28, 0, 0)</f>
        <v>31.0002</v>
      </c>
      <c r="E219" s="4">
        <f>135.209998141467 * CHOOSE(CONTROL!$C$9, $C$13, 100%, $E$13) + CHOOSE(CONTROL!$C$28, 0, 0)</f>
        <v>135.209998141467</v>
      </c>
    </row>
    <row r="220" spans="1:5" ht="15">
      <c r="A220" s="13">
        <v>48183</v>
      </c>
      <c r="B220" s="4">
        <f>21.2941 * CHOOSE(CONTROL!$C$9, $C$13, 100%, $E$13) + CHOOSE(CONTROL!$C$28, 0.0003, 0)</f>
        <v>21.2944</v>
      </c>
      <c r="C220" s="4">
        <f>20.9308 * CHOOSE(CONTROL!$C$9, $C$13, 100%, $E$13) + CHOOSE(CONTROL!$C$28, 0.0003, 0)</f>
        <v>20.931100000000001</v>
      </c>
      <c r="D220" s="4">
        <f>29.9644 * CHOOSE(CONTROL!$C$9, $C$13, 100%, $E$13) + CHOOSE(CONTROL!$C$28, 0, 0)</f>
        <v>29.964400000000001</v>
      </c>
      <c r="E220" s="4">
        <f>133.092430098001 * CHOOSE(CONTROL!$C$9, $C$13, 100%, $E$13) + CHOOSE(CONTROL!$C$28, 0, 0)</f>
        <v>133.09243009800099</v>
      </c>
    </row>
    <row r="221" spans="1:5" ht="15">
      <c r="A221" s="13">
        <v>48214</v>
      </c>
      <c r="B221" s="4">
        <f>20.7881 * CHOOSE(CONTROL!$C$9, $C$13, 100%, $E$13) + CHOOSE(CONTROL!$C$28, 0.0003, 0)</f>
        <v>20.788399999999999</v>
      </c>
      <c r="C221" s="4">
        <f>20.4248 * CHOOSE(CONTROL!$C$9, $C$13, 100%, $E$13) + CHOOSE(CONTROL!$C$28, 0.0003, 0)</f>
        <v>20.4251</v>
      </c>
      <c r="D221" s="4">
        <f>29.1072 * CHOOSE(CONTROL!$C$9, $C$13, 100%, $E$13) + CHOOSE(CONTROL!$C$28, 0, 0)</f>
        <v>29.107199999999999</v>
      </c>
      <c r="E221" s="4">
        <f>129.710069271808 * CHOOSE(CONTROL!$C$9, $C$13, 100%, $E$13) + CHOOSE(CONTROL!$C$28, 0, 0)</f>
        <v>129.71006927180801</v>
      </c>
    </row>
    <row r="222" spans="1:5" ht="15">
      <c r="A222" s="13">
        <v>48245</v>
      </c>
      <c r="B222" s="4">
        <f>21.2633 * CHOOSE(CONTROL!$C$9, $C$13, 100%, $E$13) + CHOOSE(CONTROL!$C$28, 0.0003, 0)</f>
        <v>21.2636</v>
      </c>
      <c r="C222" s="4">
        <f>20.9 * CHOOSE(CONTROL!$C$9, $C$13, 100%, $E$13) + CHOOSE(CONTROL!$C$28, 0.0003, 0)</f>
        <v>20.900299999999998</v>
      </c>
      <c r="D222" s="4">
        <f>30.0692 * CHOOSE(CONTROL!$C$9, $C$13, 100%, $E$13) + CHOOSE(CONTROL!$C$28, 0, 0)</f>
        <v>30.069199999999999</v>
      </c>
      <c r="E222" s="4">
        <f>132.789897491957 * CHOOSE(CONTROL!$C$9, $C$13, 100%, $E$13) + CHOOSE(CONTROL!$C$28, 0, 0)</f>
        <v>132.78989749195699</v>
      </c>
    </row>
    <row r="223" spans="1:5" ht="15">
      <c r="A223" s="13">
        <v>48274</v>
      </c>
      <c r="B223" s="4">
        <f>22.5113 * CHOOSE(CONTROL!$C$9, $C$13, 100%, $E$13) + CHOOSE(CONTROL!$C$28, 0.0003, 0)</f>
        <v>22.511599999999998</v>
      </c>
      <c r="C223" s="4">
        <f>22.148 * CHOOSE(CONTROL!$C$9, $C$13, 100%, $E$13) + CHOOSE(CONTROL!$C$28, 0.0003, 0)</f>
        <v>22.148299999999999</v>
      </c>
      <c r="D223" s="4">
        <f>31.575 * CHOOSE(CONTROL!$C$9, $C$13, 100%, $E$13) + CHOOSE(CONTROL!$C$28, 0, 0)</f>
        <v>31.574999999999999</v>
      </c>
      <c r="E223" s="4">
        <f>140.877690070081 * CHOOSE(CONTROL!$C$9, $C$13, 100%, $E$13) + CHOOSE(CONTROL!$C$28, 0, 0)</f>
        <v>140.877690070081</v>
      </c>
    </row>
    <row r="224" spans="1:5" ht="15">
      <c r="A224" s="13">
        <v>48305</v>
      </c>
      <c r="B224" s="4">
        <f>23.398 * CHOOSE(CONTROL!$C$9, $C$13, 100%, $E$13) + CHOOSE(CONTROL!$C$28, 0.0003, 0)</f>
        <v>23.398299999999999</v>
      </c>
      <c r="C224" s="4">
        <f>23.0347 * CHOOSE(CONTROL!$C$9, $C$13, 100%, $E$13) + CHOOSE(CONTROL!$C$28, 0.0003, 0)</f>
        <v>23.035</v>
      </c>
      <c r="D224" s="4">
        <f>32.4425 * CHOOSE(CONTROL!$C$9, $C$13, 100%, $E$13) + CHOOSE(CONTROL!$C$28, 0, 0)</f>
        <v>32.442500000000003</v>
      </c>
      <c r="E224" s="4">
        <f>146.624174480845 * CHOOSE(CONTROL!$C$9, $C$13, 100%, $E$13) + CHOOSE(CONTROL!$C$28, 0, 0)</f>
        <v>146.624174480845</v>
      </c>
    </row>
    <row r="225" spans="1:5" ht="15">
      <c r="A225" s="13">
        <v>48335</v>
      </c>
      <c r="B225" s="4">
        <f>23.9397 * CHOOSE(CONTROL!$C$9, $C$13, 100%, $E$13) + CHOOSE(CONTROL!$C$28, 0.0136, 0)</f>
        <v>23.953299999999999</v>
      </c>
      <c r="C225" s="4">
        <f>23.5764 * CHOOSE(CONTROL!$C$9, $C$13, 100%, $E$13) + CHOOSE(CONTROL!$C$28, 0.0136, 0)</f>
        <v>23.59</v>
      </c>
      <c r="D225" s="4">
        <f>32.0997 * CHOOSE(CONTROL!$C$9, $C$13, 100%, $E$13) + CHOOSE(CONTROL!$C$28, 0, 0)</f>
        <v>32.099699999999999</v>
      </c>
      <c r="E225" s="4">
        <f>150.135138731813 * CHOOSE(CONTROL!$C$9, $C$13, 100%, $E$13) + CHOOSE(CONTROL!$C$28, 0, 0)</f>
        <v>150.13513873181299</v>
      </c>
    </row>
    <row r="226" spans="1:5" ht="15">
      <c r="A226" s="13">
        <v>48366</v>
      </c>
      <c r="B226" s="4">
        <f>24.013 * CHOOSE(CONTROL!$C$9, $C$13, 100%, $E$13) + CHOOSE(CONTROL!$C$28, 0.0136, 0)</f>
        <v>24.026600000000002</v>
      </c>
      <c r="C226" s="4">
        <f>23.6497 * CHOOSE(CONTROL!$C$9, $C$13, 100%, $E$13) + CHOOSE(CONTROL!$C$28, 0.0136, 0)</f>
        <v>23.6633</v>
      </c>
      <c r="D226" s="4">
        <f>32.3788 * CHOOSE(CONTROL!$C$9, $C$13, 100%, $E$13) + CHOOSE(CONTROL!$C$28, 0, 0)</f>
        <v>32.378799999999998</v>
      </c>
      <c r="E226" s="4">
        <f>150.610186765769 * CHOOSE(CONTROL!$C$9, $C$13, 100%, $E$13) + CHOOSE(CONTROL!$C$28, 0, 0)</f>
        <v>150.61018676576899</v>
      </c>
    </row>
    <row r="227" spans="1:5" ht="15">
      <c r="A227" s="13">
        <v>48396</v>
      </c>
      <c r="B227" s="4">
        <f>24.0056 * CHOOSE(CONTROL!$C$9, $C$13, 100%, $E$13) + CHOOSE(CONTROL!$C$28, 0.0136, 0)</f>
        <v>24.019200000000001</v>
      </c>
      <c r="C227" s="4">
        <f>23.6423 * CHOOSE(CONTROL!$C$9, $C$13, 100%, $E$13) + CHOOSE(CONTROL!$C$28, 0.0136, 0)</f>
        <v>23.655899999999999</v>
      </c>
      <c r="D227" s="4">
        <f>32.8825 * CHOOSE(CONTROL!$C$9, $C$13, 100%, $E$13) + CHOOSE(CONTROL!$C$28, 0, 0)</f>
        <v>32.8825</v>
      </c>
      <c r="E227" s="4">
        <f>150.562282762345 * CHOOSE(CONTROL!$C$9, $C$13, 100%, $E$13) + CHOOSE(CONTROL!$C$28, 0, 0)</f>
        <v>150.56228276234501</v>
      </c>
    </row>
    <row r="228" spans="1:5" ht="15">
      <c r="A228" s="13">
        <v>48427</v>
      </c>
      <c r="B228" s="4">
        <f>24.5618 * CHOOSE(CONTROL!$C$9, $C$13, 100%, $E$13) + CHOOSE(CONTROL!$C$28, 0.0136, 0)</f>
        <v>24.575400000000002</v>
      </c>
      <c r="C228" s="4">
        <f>24.1986 * CHOOSE(CONTROL!$C$9, $C$13, 100%, $E$13) + CHOOSE(CONTROL!$C$28, 0.0136, 0)</f>
        <v>24.212199999999999</v>
      </c>
      <c r="D228" s="4">
        <f>32.5499 * CHOOSE(CONTROL!$C$9, $C$13, 100%, $E$13) + CHOOSE(CONTROL!$C$28, 0, 0)</f>
        <v>32.549900000000001</v>
      </c>
      <c r="E228" s="4">
        <f>154.167059020018 * CHOOSE(CONTROL!$C$9, $C$13, 100%, $E$13) + CHOOSE(CONTROL!$C$28, 0, 0)</f>
        <v>154.167059020018</v>
      </c>
    </row>
    <row r="229" spans="1:5" ht="15">
      <c r="A229" s="13">
        <v>48458</v>
      </c>
      <c r="B229" s="4">
        <f>23.6139 * CHOOSE(CONTROL!$C$9, $C$13, 100%, $E$13) + CHOOSE(CONTROL!$C$28, 0.0136, 0)</f>
        <v>23.627500000000001</v>
      </c>
      <c r="C229" s="4">
        <f>23.2506 * CHOOSE(CONTROL!$C$9, $C$13, 100%, $E$13) + CHOOSE(CONTROL!$C$28, 0.0136, 0)</f>
        <v>23.264199999999999</v>
      </c>
      <c r="D229" s="4">
        <f>32.3927 * CHOOSE(CONTROL!$C$9, $C$13, 100%, $E$13) + CHOOSE(CONTROL!$C$28, 0, 0)</f>
        <v>32.392699999999998</v>
      </c>
      <c r="E229" s="4">
        <f>148.023370580861 * CHOOSE(CONTROL!$C$9, $C$13, 100%, $E$13) + CHOOSE(CONTROL!$C$28, 0, 0)</f>
        <v>148.02337058086101</v>
      </c>
    </row>
    <row r="230" spans="1:5" ht="15">
      <c r="A230" s="13">
        <v>48488</v>
      </c>
      <c r="B230" s="4">
        <f>22.855 * CHOOSE(CONTROL!$C$9, $C$13, 100%, $E$13) + CHOOSE(CONTROL!$C$28, 0.0003, 0)</f>
        <v>22.8553</v>
      </c>
      <c r="C230" s="4">
        <f>22.4917 * CHOOSE(CONTROL!$C$9, $C$13, 100%, $E$13) + CHOOSE(CONTROL!$C$28, 0.0003, 0)</f>
        <v>22.492000000000001</v>
      </c>
      <c r="D230" s="4">
        <f>31.9719 * CHOOSE(CONTROL!$C$9, $C$13, 100%, $E$13) + CHOOSE(CONTROL!$C$28, 0, 0)</f>
        <v>31.971900000000002</v>
      </c>
      <c r="E230" s="4">
        <f>143.105226229307 * CHOOSE(CONTROL!$C$9, $C$13, 100%, $E$13) + CHOOSE(CONTROL!$C$28, 0, 0)</f>
        <v>143.10522622930699</v>
      </c>
    </row>
    <row r="231" spans="1:5" ht="15">
      <c r="A231" s="13">
        <v>48519</v>
      </c>
      <c r="B231" s="4">
        <f>22.3662 * CHOOSE(CONTROL!$C$9, $C$13, 100%, $E$13) + CHOOSE(CONTROL!$C$28, 0.0003, 0)</f>
        <v>22.366499999999998</v>
      </c>
      <c r="C231" s="4">
        <f>22.0029 * CHOOSE(CONTROL!$C$9, $C$13, 100%, $E$13) + CHOOSE(CONTROL!$C$28, 0.0003, 0)</f>
        <v>22.0032</v>
      </c>
      <c r="D231" s="4">
        <f>31.8272 * CHOOSE(CONTROL!$C$9, $C$13, 100%, $E$13) + CHOOSE(CONTROL!$C$28, 0, 0)</f>
        <v>31.827200000000001</v>
      </c>
      <c r="E231" s="4">
        <f>139.93757400288 * CHOOSE(CONTROL!$C$9, $C$13, 100%, $E$13) + CHOOSE(CONTROL!$C$28, 0, 0)</f>
        <v>139.93757400288001</v>
      </c>
    </row>
    <row r="232" spans="1:5" ht="15">
      <c r="A232" s="13">
        <v>48549</v>
      </c>
      <c r="B232" s="4">
        <f>22.028 * CHOOSE(CONTROL!$C$9, $C$13, 100%, $E$13) + CHOOSE(CONTROL!$C$28, 0.0003, 0)</f>
        <v>22.028299999999998</v>
      </c>
      <c r="C232" s="4">
        <f>21.6647 * CHOOSE(CONTROL!$C$9, $C$13, 100%, $E$13) + CHOOSE(CONTROL!$C$28, 0.0003, 0)</f>
        <v>21.664999999999999</v>
      </c>
      <c r="D232" s="4">
        <f>30.7621 * CHOOSE(CONTROL!$C$9, $C$13, 100%, $E$13) + CHOOSE(CONTROL!$C$28, 0, 0)</f>
        <v>30.7621</v>
      </c>
      <c r="E232" s="4">
        <f>137.745965846222 * CHOOSE(CONTROL!$C$9, $C$13, 100%, $E$13) + CHOOSE(CONTROL!$C$28, 0, 0)</f>
        <v>137.74596584622199</v>
      </c>
    </row>
    <row r="233" spans="1:5" ht="15">
      <c r="A233" s="13">
        <v>48580</v>
      </c>
      <c r="B233" s="4">
        <f>21.4792 * CHOOSE(CONTROL!$C$9, $C$13, 100%, $E$13) + CHOOSE(CONTROL!$C$28, 0.0003, 0)</f>
        <v>21.479499999999998</v>
      </c>
      <c r="C233" s="4">
        <f>21.1159 * CHOOSE(CONTROL!$C$9, $C$13, 100%, $E$13) + CHOOSE(CONTROL!$C$28, 0.0003, 0)</f>
        <v>21.116199999999999</v>
      </c>
      <c r="D233" s="4">
        <f>29.8592 * CHOOSE(CONTROL!$C$9, $C$13, 100%, $E$13) + CHOOSE(CONTROL!$C$28, 0, 0)</f>
        <v>29.859200000000001</v>
      </c>
      <c r="E233" s="4">
        <f>134.091697606109 * CHOOSE(CONTROL!$C$9, $C$13, 100%, $E$13) + CHOOSE(CONTROL!$C$28, 0, 0)</f>
        <v>134.09169760610899</v>
      </c>
    </row>
    <row r="234" spans="1:5" ht="15">
      <c r="A234" s="13">
        <v>48611</v>
      </c>
      <c r="B234" s="4">
        <f>21.9708 * CHOOSE(CONTROL!$C$9, $C$13, 100%, $E$13) + CHOOSE(CONTROL!$C$28, 0.0003, 0)</f>
        <v>21.9711</v>
      </c>
      <c r="C234" s="4">
        <f>21.6075 * CHOOSE(CONTROL!$C$9, $C$13, 100%, $E$13) + CHOOSE(CONTROL!$C$28, 0.0003, 0)</f>
        <v>21.607800000000001</v>
      </c>
      <c r="D234" s="4">
        <f>30.8477 * CHOOSE(CONTROL!$C$9, $C$13, 100%, $E$13) + CHOOSE(CONTROL!$C$28, 0, 0)</f>
        <v>30.8477</v>
      </c>
      <c r="E234" s="4">
        <f>137.275562950515 * CHOOSE(CONTROL!$C$9, $C$13, 100%, $E$13) + CHOOSE(CONTROL!$C$28, 0, 0)</f>
        <v>137.275562950515</v>
      </c>
    </row>
    <row r="235" spans="1:5" ht="15">
      <c r="A235" s="13">
        <v>48639</v>
      </c>
      <c r="B235" s="4">
        <f>23.2619 * CHOOSE(CONTROL!$C$9, $C$13, 100%, $E$13) + CHOOSE(CONTROL!$C$28, 0.0003, 0)</f>
        <v>23.2622</v>
      </c>
      <c r="C235" s="4">
        <f>22.8986 * CHOOSE(CONTROL!$C$9, $C$13, 100%, $E$13) + CHOOSE(CONTROL!$C$28, 0.0003, 0)</f>
        <v>22.898899999999998</v>
      </c>
      <c r="D235" s="4">
        <f>32.3951 * CHOOSE(CONTROL!$C$9, $C$13, 100%, $E$13) + CHOOSE(CONTROL!$C$28, 0, 0)</f>
        <v>32.395099999999999</v>
      </c>
      <c r="E235" s="4">
        <f>145.636562545806 * CHOOSE(CONTROL!$C$9, $C$13, 100%, $E$13) + CHOOSE(CONTROL!$C$28, 0, 0)</f>
        <v>145.63656254580599</v>
      </c>
    </row>
    <row r="236" spans="1:5" ht="15">
      <c r="A236" s="13">
        <v>48670</v>
      </c>
      <c r="B236" s="4">
        <f>24.1792 * CHOOSE(CONTROL!$C$9, $C$13, 100%, $E$13) + CHOOSE(CONTROL!$C$28, 0.0003, 0)</f>
        <v>24.179500000000001</v>
      </c>
      <c r="C236" s="4">
        <f>23.8159 * CHOOSE(CONTROL!$C$9, $C$13, 100%, $E$13) + CHOOSE(CONTROL!$C$28, 0.0003, 0)</f>
        <v>23.816199999999998</v>
      </c>
      <c r="D236" s="4">
        <f>33.2865 * CHOOSE(CONTROL!$C$9, $C$13, 100%, $E$13) + CHOOSE(CONTROL!$C$28, 0, 0)</f>
        <v>33.286499999999997</v>
      </c>
      <c r="E236" s="4">
        <f>151.57716418323 * CHOOSE(CONTROL!$C$9, $C$13, 100%, $E$13) + CHOOSE(CONTROL!$C$28, 0, 0)</f>
        <v>151.57716418323</v>
      </c>
    </row>
    <row r="237" spans="1:5" ht="15">
      <c r="A237" s="13">
        <v>48700</v>
      </c>
      <c r="B237" s="4">
        <f>24.7397 * CHOOSE(CONTROL!$C$9, $C$13, 100%, $E$13) + CHOOSE(CONTROL!$C$28, 0.0136, 0)</f>
        <v>24.753299999999999</v>
      </c>
      <c r="C237" s="4">
        <f>24.3764 * CHOOSE(CONTROL!$C$9, $C$13, 100%, $E$13) + CHOOSE(CONTROL!$C$28, 0.0136, 0)</f>
        <v>24.39</v>
      </c>
      <c r="D237" s="4">
        <f>32.9343 * CHOOSE(CONTROL!$C$9, $C$13, 100%, $E$13) + CHOOSE(CONTROL!$C$28, 0, 0)</f>
        <v>32.9343</v>
      </c>
      <c r="E237" s="4">
        <f>155.206729407345 * CHOOSE(CONTROL!$C$9, $C$13, 100%, $E$13) + CHOOSE(CONTROL!$C$28, 0, 0)</f>
        <v>155.20672940734499</v>
      </c>
    </row>
    <row r="238" spans="1:5" ht="15">
      <c r="A238" s="13">
        <v>48731</v>
      </c>
      <c r="B238" s="4">
        <f>24.8155 * CHOOSE(CONTROL!$C$9, $C$13, 100%, $E$13) + CHOOSE(CONTROL!$C$28, 0.0136, 0)</f>
        <v>24.8291</v>
      </c>
      <c r="C238" s="4">
        <f>24.4522 * CHOOSE(CONTROL!$C$9, $C$13, 100%, $E$13) + CHOOSE(CONTROL!$C$28, 0.0136, 0)</f>
        <v>24.465800000000002</v>
      </c>
      <c r="D238" s="4">
        <f>33.2211 * CHOOSE(CONTROL!$C$9, $C$13, 100%, $E$13) + CHOOSE(CONTROL!$C$28, 0, 0)</f>
        <v>33.2211</v>
      </c>
      <c r="E238" s="4">
        <f>155.697824645173 * CHOOSE(CONTROL!$C$9, $C$13, 100%, $E$13) + CHOOSE(CONTROL!$C$28, 0, 0)</f>
        <v>155.697824645173</v>
      </c>
    </row>
    <row r="239" spans="1:5" ht="15">
      <c r="A239" s="13">
        <v>48761</v>
      </c>
      <c r="B239" s="4">
        <f>24.8079 * CHOOSE(CONTROL!$C$9, $C$13, 100%, $E$13) + CHOOSE(CONTROL!$C$28, 0.0136, 0)</f>
        <v>24.8215</v>
      </c>
      <c r="C239" s="4">
        <f>24.4446 * CHOOSE(CONTROL!$C$9, $C$13, 100%, $E$13) + CHOOSE(CONTROL!$C$28, 0.0136, 0)</f>
        <v>24.458200000000001</v>
      </c>
      <c r="D239" s="4">
        <f>33.7387 * CHOOSE(CONTROL!$C$9, $C$13, 100%, $E$13) + CHOOSE(CONTROL!$C$28, 0, 0)</f>
        <v>33.738700000000001</v>
      </c>
      <c r="E239" s="4">
        <f>155.648302436317 * CHOOSE(CONTROL!$C$9, $C$13, 100%, $E$13) + CHOOSE(CONTROL!$C$28, 0, 0)</f>
        <v>155.64830243631701</v>
      </c>
    </row>
    <row r="240" spans="1:5" ht="15">
      <c r="A240" s="13">
        <v>48792</v>
      </c>
      <c r="B240" s="4">
        <f>25.3833 * CHOOSE(CONTROL!$C$9, $C$13, 100%, $E$13) + CHOOSE(CONTROL!$C$28, 0.0136, 0)</f>
        <v>25.396899999999999</v>
      </c>
      <c r="C240" s="4">
        <f>25.02 * CHOOSE(CONTROL!$C$9, $C$13, 100%, $E$13) + CHOOSE(CONTROL!$C$28, 0.0136, 0)</f>
        <v>25.0336</v>
      </c>
      <c r="D240" s="4">
        <f>33.3969 * CHOOSE(CONTROL!$C$9, $C$13, 100%, $E$13) + CHOOSE(CONTROL!$C$28, 0, 0)</f>
        <v>33.396900000000002</v>
      </c>
      <c r="E240" s="4">
        <f>159.374848652776 * CHOOSE(CONTROL!$C$9, $C$13, 100%, $E$13) + CHOOSE(CONTROL!$C$28, 0, 0)</f>
        <v>159.374848652776</v>
      </c>
    </row>
    <row r="241" spans="1:5" ht="15">
      <c r="A241" s="13">
        <v>48823</v>
      </c>
      <c r="B241" s="4">
        <f>24.4026 * CHOOSE(CONTROL!$C$9, $C$13, 100%, $E$13) + CHOOSE(CONTROL!$C$28, 0.0136, 0)</f>
        <v>24.4162</v>
      </c>
      <c r="C241" s="4">
        <f>24.0393 * CHOOSE(CONTROL!$C$9, $C$13, 100%, $E$13) + CHOOSE(CONTROL!$C$28, 0.0136, 0)</f>
        <v>24.052900000000001</v>
      </c>
      <c r="D241" s="4">
        <f>33.2354 * CHOOSE(CONTROL!$C$9, $C$13, 100%, $E$13) + CHOOSE(CONTROL!$C$28, 0, 0)</f>
        <v>33.235399999999998</v>
      </c>
      <c r="E241" s="4">
        <f>153.023625366916 * CHOOSE(CONTROL!$C$9, $C$13, 100%, $E$13) + CHOOSE(CONTROL!$C$28, 0, 0)</f>
        <v>153.02362536691601</v>
      </c>
    </row>
    <row r="242" spans="1:5" ht="15">
      <c r="A242" s="13">
        <v>48853</v>
      </c>
      <c r="B242" s="4">
        <f>23.6175 * CHOOSE(CONTROL!$C$9, $C$13, 100%, $E$13) + CHOOSE(CONTROL!$C$28, 0.0003, 0)</f>
        <v>23.617799999999999</v>
      </c>
      <c r="C242" s="4">
        <f>23.2542 * CHOOSE(CONTROL!$C$9, $C$13, 100%, $E$13) + CHOOSE(CONTROL!$C$28, 0.0003, 0)</f>
        <v>23.2545</v>
      </c>
      <c r="D242" s="4">
        <f>32.8029 * CHOOSE(CONTROL!$C$9, $C$13, 100%, $E$13) + CHOOSE(CONTROL!$C$28, 0, 0)</f>
        <v>32.802900000000001</v>
      </c>
      <c r="E242" s="4">
        <f>147.939345257638 * CHOOSE(CONTROL!$C$9, $C$13, 100%, $E$13) + CHOOSE(CONTROL!$C$28, 0, 0)</f>
        <v>147.939345257638</v>
      </c>
    </row>
    <row r="243" spans="1:5" ht="15">
      <c r="A243" s="13">
        <v>48884</v>
      </c>
      <c r="B243" s="4">
        <f>23.1118 * CHOOSE(CONTROL!$C$9, $C$13, 100%, $E$13) + CHOOSE(CONTROL!$C$28, 0.0003, 0)</f>
        <v>23.112099999999998</v>
      </c>
      <c r="C243" s="4">
        <f>22.7485 * CHOOSE(CONTROL!$C$9, $C$13, 100%, $E$13) + CHOOSE(CONTROL!$C$28, 0.0003, 0)</f>
        <v>22.748799999999999</v>
      </c>
      <c r="D243" s="4">
        <f>32.6543 * CHOOSE(CONTROL!$C$9, $C$13, 100%, $E$13) + CHOOSE(CONTROL!$C$28, 0, 0)</f>
        <v>32.654299999999999</v>
      </c>
      <c r="E243" s="4">
        <f>144.664689196995 * CHOOSE(CONTROL!$C$9, $C$13, 100%, $E$13) + CHOOSE(CONTROL!$C$28, 0, 0)</f>
        <v>144.664689196995</v>
      </c>
    </row>
    <row r="244" spans="1:5" ht="15">
      <c r="A244" s="13">
        <v>48914</v>
      </c>
      <c r="B244" s="4">
        <f>22.762 * CHOOSE(CONTROL!$C$9, $C$13, 100%, $E$13) + CHOOSE(CONTROL!$C$28, 0.0003, 0)</f>
        <v>22.7623</v>
      </c>
      <c r="C244" s="4">
        <f>22.3987 * CHOOSE(CONTROL!$C$9, $C$13, 100%, $E$13) + CHOOSE(CONTROL!$C$28, 0.0003, 0)</f>
        <v>22.399000000000001</v>
      </c>
      <c r="D244" s="4">
        <f>31.5598 * CHOOSE(CONTROL!$C$9, $C$13, 100%, $E$13) + CHOOSE(CONTROL!$C$28, 0, 0)</f>
        <v>31.559799999999999</v>
      </c>
      <c r="E244" s="4">
        <f>142.399048141805 * CHOOSE(CONTROL!$C$9, $C$13, 100%, $E$13) + CHOOSE(CONTROL!$C$28, 0, 0)</f>
        <v>142.399048141805</v>
      </c>
    </row>
    <row r="245" spans="1:5" ht="15">
      <c r="A245" s="13">
        <v>48945</v>
      </c>
      <c r="B245" s="4">
        <f>22.1703 * CHOOSE(CONTROL!$C$9, $C$13, 100%, $E$13) + CHOOSE(CONTROL!$C$28, 0.0003, 0)</f>
        <v>22.1706</v>
      </c>
      <c r="C245" s="4">
        <f>21.807 * CHOOSE(CONTROL!$C$9, $C$13, 100%, $E$13) + CHOOSE(CONTROL!$C$28, 0.0003, 0)</f>
        <v>21.807299999999998</v>
      </c>
      <c r="D245" s="4">
        <f>30.6112 * CHOOSE(CONTROL!$C$9, $C$13, 100%, $E$13) + CHOOSE(CONTROL!$C$28, 0, 0)</f>
        <v>30.6112</v>
      </c>
      <c r="E245" s="4">
        <f>138.472926489847 * CHOOSE(CONTROL!$C$9, $C$13, 100%, $E$13) + CHOOSE(CONTROL!$C$28, 0, 0)</f>
        <v>138.472926489847</v>
      </c>
    </row>
    <row r="246" spans="1:5" ht="15">
      <c r="A246" s="13">
        <v>48976</v>
      </c>
      <c r="B246" s="4">
        <f>22.6784 * CHOOSE(CONTROL!$C$9, $C$13, 100%, $E$13) + CHOOSE(CONTROL!$C$28, 0.0003, 0)</f>
        <v>22.678699999999999</v>
      </c>
      <c r="C246" s="4">
        <f>22.3151 * CHOOSE(CONTROL!$C$9, $C$13, 100%, $E$13) + CHOOSE(CONTROL!$C$28, 0.0003, 0)</f>
        <v>22.3154</v>
      </c>
      <c r="D246" s="4">
        <f>31.6263 * CHOOSE(CONTROL!$C$9, $C$13, 100%, $E$13) + CHOOSE(CONTROL!$C$28, 0, 0)</f>
        <v>31.626300000000001</v>
      </c>
      <c r="E246" s="4">
        <f>141.760819473979 * CHOOSE(CONTROL!$C$9, $C$13, 100%, $E$13) + CHOOSE(CONTROL!$C$28, 0, 0)</f>
        <v>141.76081947397901</v>
      </c>
    </row>
    <row r="247" spans="1:5" ht="15">
      <c r="A247" s="13">
        <v>49004</v>
      </c>
      <c r="B247" s="4">
        <f>24.0125 * CHOOSE(CONTROL!$C$9, $C$13, 100%, $E$13) + CHOOSE(CONTROL!$C$28, 0.0003, 0)</f>
        <v>24.012799999999999</v>
      </c>
      <c r="C247" s="4">
        <f>23.6492 * CHOOSE(CONTROL!$C$9, $C$13, 100%, $E$13) + CHOOSE(CONTROL!$C$28, 0.0003, 0)</f>
        <v>23.6495</v>
      </c>
      <c r="D247" s="4">
        <f>33.2152 * CHOOSE(CONTROL!$C$9, $C$13, 100%, $E$13) + CHOOSE(CONTROL!$C$28, 0, 0)</f>
        <v>33.215200000000003</v>
      </c>
      <c r="E247" s="4">
        <f>150.395001179555 * CHOOSE(CONTROL!$C$9, $C$13, 100%, $E$13) + CHOOSE(CONTROL!$C$28, 0, 0)</f>
        <v>150.39500117955501</v>
      </c>
    </row>
    <row r="248" spans="1:5" ht="15">
      <c r="A248" s="13">
        <v>49035</v>
      </c>
      <c r="B248" s="4">
        <f>24.9605 * CHOOSE(CONTROL!$C$9, $C$13, 100%, $E$13) + CHOOSE(CONTROL!$C$28, 0.0003, 0)</f>
        <v>24.960799999999999</v>
      </c>
      <c r="C248" s="4">
        <f>24.5972 * CHOOSE(CONTROL!$C$9, $C$13, 100%, $E$13) + CHOOSE(CONTROL!$C$28, 0.0003, 0)</f>
        <v>24.5975</v>
      </c>
      <c r="D248" s="4">
        <f>34.1305 * CHOOSE(CONTROL!$C$9, $C$13, 100%, $E$13) + CHOOSE(CONTROL!$C$28, 0, 0)</f>
        <v>34.130499999999998</v>
      </c>
      <c r="E248" s="4">
        <f>156.529702346967 * CHOOSE(CONTROL!$C$9, $C$13, 100%, $E$13) + CHOOSE(CONTROL!$C$28, 0, 0)</f>
        <v>156.52970234696701</v>
      </c>
    </row>
    <row r="249" spans="1:5" ht="15">
      <c r="A249" s="13">
        <v>49065</v>
      </c>
      <c r="B249" s="4">
        <f>25.5396 * CHOOSE(CONTROL!$C$9, $C$13, 100%, $E$13) + CHOOSE(CONTROL!$C$28, 0.0136, 0)</f>
        <v>25.5532</v>
      </c>
      <c r="C249" s="4">
        <f>25.1763 * CHOOSE(CONTROL!$C$9, $C$13, 100%, $E$13) + CHOOSE(CONTROL!$C$28, 0.0136, 0)</f>
        <v>25.189900000000002</v>
      </c>
      <c r="D249" s="4">
        <f>33.7688 * CHOOSE(CONTROL!$C$9, $C$13, 100%, $E$13) + CHOOSE(CONTROL!$C$28, 0, 0)</f>
        <v>33.768799999999999</v>
      </c>
      <c r="E249" s="4">
        <f>160.277857731989 * CHOOSE(CONTROL!$C$9, $C$13, 100%, $E$13) + CHOOSE(CONTROL!$C$28, 0, 0)</f>
        <v>160.277857731989</v>
      </c>
    </row>
    <row r="250" spans="1:5" ht="15">
      <c r="A250" s="13">
        <v>49096</v>
      </c>
      <c r="B250" s="4">
        <f>25.618 * CHOOSE(CONTROL!$C$9, $C$13, 100%, $E$13) + CHOOSE(CONTROL!$C$28, 0.0136, 0)</f>
        <v>25.631599999999999</v>
      </c>
      <c r="C250" s="4">
        <f>25.2547 * CHOOSE(CONTROL!$C$9, $C$13, 100%, $E$13) + CHOOSE(CONTROL!$C$28, 0.0136, 0)</f>
        <v>25.2683</v>
      </c>
      <c r="D250" s="4">
        <f>34.0634 * CHOOSE(CONTROL!$C$9, $C$13, 100%, $E$13) + CHOOSE(CONTROL!$C$28, 0, 0)</f>
        <v>34.063400000000001</v>
      </c>
      <c r="E250" s="4">
        <f>160.784998710746 * CHOOSE(CONTROL!$C$9, $C$13, 100%, $E$13) + CHOOSE(CONTROL!$C$28, 0, 0)</f>
        <v>160.78499871074601</v>
      </c>
    </row>
    <row r="251" spans="1:5" ht="15">
      <c r="A251" s="13">
        <v>49126</v>
      </c>
      <c r="B251" s="4">
        <f>25.6101 * CHOOSE(CONTROL!$C$9, $C$13, 100%, $E$13) + CHOOSE(CONTROL!$C$28, 0.0136, 0)</f>
        <v>25.623699999999999</v>
      </c>
      <c r="C251" s="4">
        <f>25.2468 * CHOOSE(CONTROL!$C$9, $C$13, 100%, $E$13) + CHOOSE(CONTROL!$C$28, 0.0136, 0)</f>
        <v>25.260400000000001</v>
      </c>
      <c r="D251" s="4">
        <f>34.5949 * CHOOSE(CONTROL!$C$9, $C$13, 100%, $E$13) + CHOOSE(CONTROL!$C$28, 0, 0)</f>
        <v>34.594900000000003</v>
      </c>
      <c r="E251" s="4">
        <f>160.733858443981 * CHOOSE(CONTROL!$C$9, $C$13, 100%, $E$13) + CHOOSE(CONTROL!$C$28, 0, 0)</f>
        <v>160.73385844398101</v>
      </c>
    </row>
    <row r="252" spans="1:5" ht="15">
      <c r="A252" s="13">
        <v>49157</v>
      </c>
      <c r="B252" s="4">
        <f>26.2047 * CHOOSE(CONTROL!$C$9, $C$13, 100%, $E$13) + CHOOSE(CONTROL!$C$28, 0.0136, 0)</f>
        <v>26.218299999999999</v>
      </c>
      <c r="C252" s="4">
        <f>25.8415 * CHOOSE(CONTROL!$C$9, $C$13, 100%, $E$13) + CHOOSE(CONTROL!$C$28, 0.0136, 0)</f>
        <v>25.8551</v>
      </c>
      <c r="D252" s="4">
        <f>34.2439 * CHOOSE(CONTROL!$C$9, $C$13, 100%, $E$13) + CHOOSE(CONTROL!$C$28, 0, 0)</f>
        <v>34.243899999999996</v>
      </c>
      <c r="E252" s="4">
        <f>164.582163518085 * CHOOSE(CONTROL!$C$9, $C$13, 100%, $E$13) + CHOOSE(CONTROL!$C$28, 0, 0)</f>
        <v>164.582163518085</v>
      </c>
    </row>
    <row r="253" spans="1:5" ht="15">
      <c r="A253" s="13">
        <v>49188</v>
      </c>
      <c r="B253" s="4">
        <f>25.1913 * CHOOSE(CONTROL!$C$9, $C$13, 100%, $E$13) + CHOOSE(CONTROL!$C$28, 0.0136, 0)</f>
        <v>25.204899999999999</v>
      </c>
      <c r="C253" s="4">
        <f>24.828 * CHOOSE(CONTROL!$C$9, $C$13, 100%, $E$13) + CHOOSE(CONTROL!$C$28, 0.0136, 0)</f>
        <v>24.8416</v>
      </c>
      <c r="D253" s="4">
        <f>34.078 * CHOOSE(CONTROL!$C$9, $C$13, 100%, $E$13) + CHOOSE(CONTROL!$C$28, 0, 0)</f>
        <v>34.078000000000003</v>
      </c>
      <c r="E253" s="4">
        <f>158.023424305409 * CHOOSE(CONTROL!$C$9, $C$13, 100%, $E$13) + CHOOSE(CONTROL!$C$28, 0, 0)</f>
        <v>158.02342430540901</v>
      </c>
    </row>
    <row r="254" spans="1:5" ht="15">
      <c r="A254" s="13">
        <v>49218</v>
      </c>
      <c r="B254" s="4">
        <f>24.38 * CHOOSE(CONTROL!$C$9, $C$13, 100%, $E$13) + CHOOSE(CONTROL!$C$28, 0.0003, 0)</f>
        <v>24.380299999999998</v>
      </c>
      <c r="C254" s="4">
        <f>24.0167 * CHOOSE(CONTROL!$C$9, $C$13, 100%, $E$13) + CHOOSE(CONTROL!$C$28, 0.0003, 0)</f>
        <v>24.016999999999999</v>
      </c>
      <c r="D254" s="4">
        <f>33.634 * CHOOSE(CONTROL!$C$9, $C$13, 100%, $E$13) + CHOOSE(CONTROL!$C$28, 0, 0)</f>
        <v>33.634</v>
      </c>
      <c r="E254" s="4">
        <f>152.773023584151 * CHOOSE(CONTROL!$C$9, $C$13, 100%, $E$13) + CHOOSE(CONTROL!$C$28, 0, 0)</f>
        <v>152.77302358415099</v>
      </c>
    </row>
    <row r="255" spans="1:5" ht="15">
      <c r="A255" s="13">
        <v>49249</v>
      </c>
      <c r="B255" s="4">
        <f>23.8574 * CHOOSE(CONTROL!$C$9, $C$13, 100%, $E$13) + CHOOSE(CONTROL!$C$28, 0.0003, 0)</f>
        <v>23.857699999999998</v>
      </c>
      <c r="C255" s="4">
        <f>23.4942 * CHOOSE(CONTROL!$C$9, $C$13, 100%, $E$13) + CHOOSE(CONTROL!$C$28, 0.0003, 0)</f>
        <v>23.494499999999999</v>
      </c>
      <c r="D255" s="4">
        <f>33.4813 * CHOOSE(CONTROL!$C$9, $C$13, 100%, $E$13) + CHOOSE(CONTROL!$C$28, 0, 0)</f>
        <v>33.481299999999997</v>
      </c>
      <c r="E255" s="4">
        <f>149.391373444282 * CHOOSE(CONTROL!$C$9, $C$13, 100%, $E$13) + CHOOSE(CONTROL!$C$28, 0, 0)</f>
        <v>149.39137344428201</v>
      </c>
    </row>
    <row r="256" spans="1:5" ht="15">
      <c r="A256" s="13">
        <v>49279</v>
      </c>
      <c r="B256" s="4">
        <f>23.4959 * CHOOSE(CONTROL!$C$9, $C$13, 100%, $E$13) + CHOOSE(CONTROL!$C$28, 0.0003, 0)</f>
        <v>23.496199999999998</v>
      </c>
      <c r="C256" s="4">
        <f>23.1326 * CHOOSE(CONTROL!$C$9, $C$13, 100%, $E$13) + CHOOSE(CONTROL!$C$28, 0.0003, 0)</f>
        <v>23.132899999999999</v>
      </c>
      <c r="D256" s="4">
        <f>32.3574 * CHOOSE(CONTROL!$C$9, $C$13, 100%, $E$13) + CHOOSE(CONTROL!$C$28, 0, 0)</f>
        <v>32.357399999999998</v>
      </c>
      <c r="E256" s="4">
        <f>147.05170623976 * CHOOSE(CONTROL!$C$9, $C$13, 100%, $E$13) + CHOOSE(CONTROL!$C$28, 0, 0)</f>
        <v>147.05170623975999</v>
      </c>
    </row>
    <row r="257" spans="1:5" ht="15">
      <c r="A257" s="13">
        <v>49310</v>
      </c>
      <c r="B257" s="4">
        <f>22.8615 * CHOOSE(CONTROL!$C$9, $C$13, 100%, $E$13) + CHOOSE(CONTROL!$C$28, 0.0003, 0)</f>
        <v>22.861799999999999</v>
      </c>
      <c r="C257" s="4">
        <f>22.4982 * CHOOSE(CONTROL!$C$9, $C$13, 100%, $E$13) + CHOOSE(CONTROL!$C$28, 0.0003, 0)</f>
        <v>22.4985</v>
      </c>
      <c r="D257" s="4">
        <f>31.3883 * CHOOSE(CONTROL!$C$9, $C$13, 100%, $E$13) + CHOOSE(CONTROL!$C$28, 0, 0)</f>
        <v>31.388300000000001</v>
      </c>
      <c r="E257" s="4">
        <f>142.853728374705 * CHOOSE(CONTROL!$C$9, $C$13, 100%, $E$13) + CHOOSE(CONTROL!$C$28, 0, 0)</f>
        <v>142.85372837470501</v>
      </c>
    </row>
    <row r="258" spans="1:5" ht="15">
      <c r="A258" s="13">
        <v>49341</v>
      </c>
      <c r="B258" s="4">
        <f>23.3859 * CHOOSE(CONTROL!$C$9, $C$13, 100%, $E$13) + CHOOSE(CONTROL!$C$28, 0.0003, 0)</f>
        <v>23.386199999999999</v>
      </c>
      <c r="C258" s="4">
        <f>23.0226 * CHOOSE(CONTROL!$C$9, $C$13, 100%, $E$13) + CHOOSE(CONTROL!$C$28, 0.0003, 0)</f>
        <v>23.0229</v>
      </c>
      <c r="D258" s="4">
        <f>32.4308 * CHOOSE(CONTROL!$C$9, $C$13, 100%, $E$13) + CHOOSE(CONTROL!$C$28, 0, 0)</f>
        <v>32.430799999999998</v>
      </c>
      <c r="E258" s="4">
        <f>146.245638859927 * CHOOSE(CONTROL!$C$9, $C$13, 100%, $E$13) + CHOOSE(CONTROL!$C$28, 0, 0)</f>
        <v>146.245638859927</v>
      </c>
    </row>
    <row r="259" spans="1:5" ht="15">
      <c r="A259" s="13">
        <v>49369</v>
      </c>
      <c r="B259" s="4">
        <f>24.7632 * CHOOSE(CONTROL!$C$9, $C$13, 100%, $E$13) + CHOOSE(CONTROL!$C$28, 0.0003, 0)</f>
        <v>24.763500000000001</v>
      </c>
      <c r="C259" s="4">
        <f>24.3999 * CHOOSE(CONTROL!$C$9, $C$13, 100%, $E$13) + CHOOSE(CONTROL!$C$28, 0.0003, 0)</f>
        <v>24.400199999999998</v>
      </c>
      <c r="D259" s="4">
        <f>34.0627 * CHOOSE(CONTROL!$C$9, $C$13, 100%, $E$13) + CHOOSE(CONTROL!$C$28, 0, 0)</f>
        <v>34.0627</v>
      </c>
      <c r="E259" s="4">
        <f>155.152976051192 * CHOOSE(CONTROL!$C$9, $C$13, 100%, $E$13) + CHOOSE(CONTROL!$C$28, 0, 0)</f>
        <v>155.15297605119201</v>
      </c>
    </row>
    <row r="260" spans="1:5" ht="15">
      <c r="A260" s="13">
        <v>49400</v>
      </c>
      <c r="B260" s="4">
        <f>25.7417 * CHOOSE(CONTROL!$C$9, $C$13, 100%, $E$13) + CHOOSE(CONTROL!$C$28, 0.0003, 0)</f>
        <v>25.742000000000001</v>
      </c>
      <c r="C260" s="4">
        <f>25.3784 * CHOOSE(CONTROL!$C$9, $C$13, 100%, $E$13) + CHOOSE(CONTROL!$C$28, 0.0003, 0)</f>
        <v>25.378699999999998</v>
      </c>
      <c r="D260" s="4">
        <f>35.0027 * CHOOSE(CONTROL!$C$9, $C$13, 100%, $E$13) + CHOOSE(CONTROL!$C$28, 0, 0)</f>
        <v>35.002699999999997</v>
      </c>
      <c r="E260" s="4">
        <f>161.48175783146 * CHOOSE(CONTROL!$C$9, $C$13, 100%, $E$13) + CHOOSE(CONTROL!$C$28, 0, 0)</f>
        <v>161.48175783145999</v>
      </c>
    </row>
    <row r="261" spans="1:5" ht="15">
      <c r="A261" s="13">
        <v>49430</v>
      </c>
      <c r="B261" s="4">
        <f>26.3396 * CHOOSE(CONTROL!$C$9, $C$13, 100%, $E$13) + CHOOSE(CONTROL!$C$28, 0.0136, 0)</f>
        <v>26.353200000000001</v>
      </c>
      <c r="C261" s="4">
        <f>25.9763 * CHOOSE(CONTROL!$C$9, $C$13, 100%, $E$13) + CHOOSE(CONTROL!$C$28, 0.0136, 0)</f>
        <v>25.989899999999999</v>
      </c>
      <c r="D261" s="4">
        <f>34.6312 * CHOOSE(CONTROL!$C$9, $C$13, 100%, $E$13) + CHOOSE(CONTROL!$C$28, 0, 0)</f>
        <v>34.6312</v>
      </c>
      <c r="E261" s="4">
        <f>165.348491819475 * CHOOSE(CONTROL!$C$9, $C$13, 100%, $E$13) + CHOOSE(CONTROL!$C$28, 0, 0)</f>
        <v>165.34849181947499</v>
      </c>
    </row>
    <row r="262" spans="1:5" ht="15">
      <c r="A262" s="14">
        <v>49461</v>
      </c>
      <c r="B262" s="4">
        <f>26.4205 * CHOOSE(CONTROL!$C$9, $C$13, 100%, $E$13) + CHOOSE(CONTROL!$C$28, 0.0136, 0)</f>
        <v>26.434100000000001</v>
      </c>
      <c r="C262" s="4">
        <f>26.0572 * CHOOSE(CONTROL!$C$9, $C$13, 100%, $E$13) + CHOOSE(CONTROL!$C$28, 0.0136, 0)</f>
        <v>26.070800000000002</v>
      </c>
      <c r="D262" s="4">
        <f>34.9337 * CHOOSE(CONTROL!$C$9, $C$13, 100%, $E$13) + CHOOSE(CONTROL!$C$28, 0, 0)</f>
        <v>34.933700000000002</v>
      </c>
      <c r="E262" s="4">
        <f>165.871676975329 * CHOOSE(CONTROL!$C$9, $C$13, 100%, $E$13) + CHOOSE(CONTROL!$C$28, 0, 0)</f>
        <v>165.871676975329</v>
      </c>
    </row>
    <row r="263" spans="1:5" ht="15">
      <c r="A263" s="14">
        <v>49491</v>
      </c>
      <c r="B263" s="4">
        <f>26.4123 * CHOOSE(CONTROL!$C$9, $C$13, 100%, $E$13) + CHOOSE(CONTROL!$C$28, 0.0136, 0)</f>
        <v>26.425899999999999</v>
      </c>
      <c r="C263" s="4">
        <f>26.049 * CHOOSE(CONTROL!$C$9, $C$13, 100%, $E$13) + CHOOSE(CONTROL!$C$28, 0.0136, 0)</f>
        <v>26.0626</v>
      </c>
      <c r="D263" s="4">
        <f>35.4796 * CHOOSE(CONTROL!$C$9, $C$13, 100%, $E$13) + CHOOSE(CONTROL!$C$28, 0, 0)</f>
        <v>35.479599999999998</v>
      </c>
      <c r="E263" s="4">
        <f>165.818918808352 * CHOOSE(CONTROL!$C$9, $C$13, 100%, $E$13) + CHOOSE(CONTROL!$C$28, 0, 0)</f>
        <v>165.81891880835201</v>
      </c>
    </row>
    <row r="264" spans="1:5" ht="15">
      <c r="A264" s="14">
        <v>49522</v>
      </c>
      <c r="B264" s="4">
        <f>27.0262 * CHOOSE(CONTROL!$C$9, $C$13, 100%, $E$13) + CHOOSE(CONTROL!$C$28, 0.0136, 0)</f>
        <v>27.0398</v>
      </c>
      <c r="C264" s="4">
        <f>26.6629 * CHOOSE(CONTROL!$C$9, $C$13, 100%, $E$13) + CHOOSE(CONTROL!$C$28, 0.0136, 0)</f>
        <v>26.676500000000001</v>
      </c>
      <c r="D264" s="4">
        <f>35.1191 * CHOOSE(CONTROL!$C$9, $C$13, 100%, $E$13) + CHOOSE(CONTROL!$C$28, 0, 0)</f>
        <v>35.119100000000003</v>
      </c>
      <c r="E264" s="4">
        <f>169.788970873363 * CHOOSE(CONTROL!$C$9, $C$13, 100%, $E$13) + CHOOSE(CONTROL!$C$28, 0, 0)</f>
        <v>169.78897087336301</v>
      </c>
    </row>
    <row r="265" spans="1:5" ht="15">
      <c r="A265" s="14">
        <v>49553</v>
      </c>
      <c r="B265" s="4">
        <f>25.98 * CHOOSE(CONTROL!$C$9, $C$13, 100%, $E$13) + CHOOSE(CONTROL!$C$28, 0.0136, 0)</f>
        <v>25.993600000000001</v>
      </c>
      <c r="C265" s="4">
        <f>25.6167 * CHOOSE(CONTROL!$C$9, $C$13, 100%, $E$13) + CHOOSE(CONTROL!$C$28, 0.0136, 0)</f>
        <v>25.630300000000002</v>
      </c>
      <c r="D265" s="4">
        <f>34.9488 * CHOOSE(CONTROL!$C$9, $C$13, 100%, $E$13) + CHOOSE(CONTROL!$C$28, 0, 0)</f>
        <v>34.948799999999999</v>
      </c>
      <c r="E265" s="4">
        <f>163.022735958577 * CHOOSE(CONTROL!$C$9, $C$13, 100%, $E$13) + CHOOSE(CONTROL!$C$28, 0, 0)</f>
        <v>163.02273595857699</v>
      </c>
    </row>
    <row r="266" spans="1:5" ht="15">
      <c r="A266" s="14">
        <v>49583</v>
      </c>
      <c r="B266" s="4">
        <f>25.1425 * CHOOSE(CONTROL!$C$9, $C$13, 100%, $E$13) + CHOOSE(CONTROL!$C$28, 0.0003, 0)</f>
        <v>25.142799999999998</v>
      </c>
      <c r="C266" s="4">
        <f>24.7792 * CHOOSE(CONTROL!$C$9, $C$13, 100%, $E$13) + CHOOSE(CONTROL!$C$28, 0.0003, 0)</f>
        <v>24.779499999999999</v>
      </c>
      <c r="D266" s="4">
        <f>34.4928 * CHOOSE(CONTROL!$C$9, $C$13, 100%, $E$13) + CHOOSE(CONTROL!$C$28, 0, 0)</f>
        <v>34.492800000000003</v>
      </c>
      <c r="E266" s="4">
        <f>157.606230815617 * CHOOSE(CONTROL!$C$9, $C$13, 100%, $E$13) + CHOOSE(CONTROL!$C$28, 0, 0)</f>
        <v>157.60623081561701</v>
      </c>
    </row>
    <row r="267" spans="1:5" ht="15">
      <c r="A267" s="14">
        <v>49614</v>
      </c>
      <c r="B267" s="4">
        <f>24.6031 * CHOOSE(CONTROL!$C$9, $C$13, 100%, $E$13) + CHOOSE(CONTROL!$C$28, 0.0003, 0)</f>
        <v>24.603400000000001</v>
      </c>
      <c r="C267" s="4">
        <f>24.2398 * CHOOSE(CONTROL!$C$9, $C$13, 100%, $E$13) + CHOOSE(CONTROL!$C$28, 0.0003, 0)</f>
        <v>24.240099999999998</v>
      </c>
      <c r="D267" s="4">
        <f>34.336 * CHOOSE(CONTROL!$C$9, $C$13, 100%, $E$13) + CHOOSE(CONTROL!$C$28, 0, 0)</f>
        <v>34.335999999999999</v>
      </c>
      <c r="E267" s="4">
        <f>154.11759702427 * CHOOSE(CONTROL!$C$9, $C$13, 100%, $E$13) + CHOOSE(CONTROL!$C$28, 0, 0)</f>
        <v>154.11759702427</v>
      </c>
    </row>
    <row r="268" spans="1:5" ht="15">
      <c r="A268" s="14">
        <v>49644</v>
      </c>
      <c r="B268" s="4">
        <f>24.2299 * CHOOSE(CONTROL!$C$9, $C$13, 100%, $E$13) + CHOOSE(CONTROL!$C$28, 0.0003, 0)</f>
        <v>24.2302</v>
      </c>
      <c r="C268" s="4">
        <f>23.8666 * CHOOSE(CONTROL!$C$9, $C$13, 100%, $E$13) + CHOOSE(CONTROL!$C$28, 0.0003, 0)</f>
        <v>23.866899999999998</v>
      </c>
      <c r="D268" s="4">
        <f>33.1817 * CHOOSE(CONTROL!$C$9, $C$13, 100%, $E$13) + CHOOSE(CONTROL!$C$28, 0, 0)</f>
        <v>33.181699999999999</v>
      </c>
      <c r="E268" s="4">
        <f>151.703910885078 * CHOOSE(CONTROL!$C$9, $C$13, 100%, $E$13) + CHOOSE(CONTROL!$C$28, 0, 0)</f>
        <v>151.70391088507799</v>
      </c>
    </row>
    <row r="269" spans="1:5" ht="15">
      <c r="A269" s="14">
        <v>49675</v>
      </c>
      <c r="B269" s="4">
        <f>23.2088 * CHOOSE(CONTROL!$C$9, $C$13, 100%, $E$13) + CHOOSE(CONTROL!$C$28, 0.0003, 0)</f>
        <v>23.209099999999999</v>
      </c>
      <c r="C269" s="4">
        <f>22.8455 * CHOOSE(CONTROL!$C$9, $C$13, 100%, $E$13) + CHOOSE(CONTROL!$C$28, 0.0003, 0)</f>
        <v>22.845800000000001</v>
      </c>
      <c r="D269" s="4">
        <f>31.9102 * CHOOSE(CONTROL!$C$9, $C$13, 100%, $E$13) + CHOOSE(CONTROL!$C$28, 0, 0)</f>
        <v>31.9102</v>
      </c>
      <c r="E269" s="4">
        <f>145.384826561507 * CHOOSE(CONTROL!$C$9, $C$13, 100%, $E$13) + CHOOSE(CONTROL!$C$28, 0, 0)</f>
        <v>145.384826561507</v>
      </c>
    </row>
    <row r="270" spans="1:5" ht="15">
      <c r="A270" s="14">
        <v>49706</v>
      </c>
      <c r="B270" s="4">
        <f>23.7415 * CHOOSE(CONTROL!$C$9, $C$13, 100%, $E$13) + CHOOSE(CONTROL!$C$28, 0.0003, 0)</f>
        <v>23.741799999999998</v>
      </c>
      <c r="C270" s="4">
        <f>23.3782 * CHOOSE(CONTROL!$C$9, $C$13, 100%, $E$13) + CHOOSE(CONTROL!$C$28, 0.0003, 0)</f>
        <v>23.378499999999999</v>
      </c>
      <c r="D270" s="4">
        <f>32.971 * CHOOSE(CONTROL!$C$9, $C$13, 100%, $E$13) + CHOOSE(CONTROL!$C$28, 0, 0)</f>
        <v>32.970999999999997</v>
      </c>
      <c r="E270" s="4">
        <f>148.836835292513 * CHOOSE(CONTROL!$C$9, $C$13, 100%, $E$13) + CHOOSE(CONTROL!$C$28, 0, 0)</f>
        <v>148.836835292513</v>
      </c>
    </row>
    <row r="271" spans="1:5" ht="15">
      <c r="A271" s="14">
        <v>49735</v>
      </c>
      <c r="B271" s="4">
        <f>25.1404 * CHOOSE(CONTROL!$C$9, $C$13, 100%, $E$13) + CHOOSE(CONTROL!$C$28, 0.0003, 0)</f>
        <v>25.140699999999999</v>
      </c>
      <c r="C271" s="4">
        <f>24.7771 * CHOOSE(CONTROL!$C$9, $C$13, 100%, $E$13) + CHOOSE(CONTROL!$C$28, 0.0003, 0)</f>
        <v>24.7774</v>
      </c>
      <c r="D271" s="4">
        <f>34.6318 * CHOOSE(CONTROL!$C$9, $C$13, 100%, $E$13) + CHOOSE(CONTROL!$C$28, 0, 0)</f>
        <v>34.631799999999998</v>
      </c>
      <c r="E271" s="4">
        <f>157.901993671019 * CHOOSE(CONTROL!$C$9, $C$13, 100%, $E$13) + CHOOSE(CONTROL!$C$28, 0, 0)</f>
        <v>157.901993671019</v>
      </c>
    </row>
    <row r="272" spans="1:5" ht="15">
      <c r="A272" s="14">
        <v>49766</v>
      </c>
      <c r="B272" s="4">
        <f>26.1343 * CHOOSE(CONTROL!$C$9, $C$13, 100%, $E$13) + CHOOSE(CONTROL!$C$28, 0.0003, 0)</f>
        <v>26.134599999999999</v>
      </c>
      <c r="C272" s="4">
        <f>25.7711 * CHOOSE(CONTROL!$C$9, $C$13, 100%, $E$13) + CHOOSE(CONTROL!$C$28, 0.0003, 0)</f>
        <v>25.7714</v>
      </c>
      <c r="D272" s="4">
        <f>35.5884 * CHOOSE(CONTROL!$C$9, $C$13, 100%, $E$13) + CHOOSE(CONTROL!$C$28, 0, 0)</f>
        <v>35.5884</v>
      </c>
      <c r="E272" s="4">
        <f>164.342909508067 * CHOOSE(CONTROL!$C$9, $C$13, 100%, $E$13) + CHOOSE(CONTROL!$C$28, 0, 0)</f>
        <v>164.34290950806701</v>
      </c>
    </row>
    <row r="273" spans="1:5" ht="15">
      <c r="A273" s="14">
        <v>49796</v>
      </c>
      <c r="B273" s="4">
        <f>26.7416 * CHOOSE(CONTROL!$C$9, $C$13, 100%, $E$13) + CHOOSE(CONTROL!$C$28, 0.0136, 0)</f>
        <v>26.755199999999999</v>
      </c>
      <c r="C273" s="4">
        <f>26.3783 * CHOOSE(CONTROL!$C$9, $C$13, 100%, $E$13) + CHOOSE(CONTROL!$C$28, 0.0136, 0)</f>
        <v>26.3919</v>
      </c>
      <c r="D273" s="4">
        <f>35.2104 * CHOOSE(CONTROL!$C$9, $C$13, 100%, $E$13) + CHOOSE(CONTROL!$C$28, 0, 0)</f>
        <v>35.2104</v>
      </c>
      <c r="E273" s="4">
        <f>168.278154717296 * CHOOSE(CONTROL!$C$9, $C$13, 100%, $E$13) + CHOOSE(CONTROL!$C$28, 0, 0)</f>
        <v>168.27815471729599</v>
      </c>
    </row>
    <row r="274" spans="1:5" ht="15">
      <c r="A274" s="14">
        <v>49827</v>
      </c>
      <c r="B274" s="4">
        <f>26.8238 * CHOOSE(CONTROL!$C$9, $C$13, 100%, $E$13) + CHOOSE(CONTROL!$C$28, 0.0136, 0)</f>
        <v>26.837399999999999</v>
      </c>
      <c r="C274" s="4">
        <f>26.4605 * CHOOSE(CONTROL!$C$9, $C$13, 100%, $E$13) + CHOOSE(CONTROL!$C$28, 0.0136, 0)</f>
        <v>26.4741</v>
      </c>
      <c r="D274" s="4">
        <f>35.5182 * CHOOSE(CONTROL!$C$9, $C$13, 100%, $E$13) + CHOOSE(CONTROL!$C$28, 0, 0)</f>
        <v>35.5182</v>
      </c>
      <c r="E274" s="4">
        <f>168.810609725707 * CHOOSE(CONTROL!$C$9, $C$13, 100%, $E$13) + CHOOSE(CONTROL!$C$28, 0, 0)</f>
        <v>168.810609725707</v>
      </c>
    </row>
    <row r="275" spans="1:5" ht="15">
      <c r="A275" s="14">
        <v>49857</v>
      </c>
      <c r="B275" s="4">
        <f>26.8155 * CHOOSE(CONTROL!$C$9, $C$13, 100%, $E$13) + CHOOSE(CONTROL!$C$28, 0.0136, 0)</f>
        <v>26.8291</v>
      </c>
      <c r="C275" s="4">
        <f>26.4522 * CHOOSE(CONTROL!$C$9, $C$13, 100%, $E$13) + CHOOSE(CONTROL!$C$28, 0.0136, 0)</f>
        <v>26.465800000000002</v>
      </c>
      <c r="D275" s="4">
        <f>36.0737 * CHOOSE(CONTROL!$C$9, $C$13, 100%, $E$13) + CHOOSE(CONTROL!$C$28, 0, 0)</f>
        <v>36.073700000000002</v>
      </c>
      <c r="E275" s="4">
        <f>168.756916783683 * CHOOSE(CONTROL!$C$9, $C$13, 100%, $E$13) + CHOOSE(CONTROL!$C$28, 0, 0)</f>
        <v>168.75691678368301</v>
      </c>
    </row>
    <row r="276" spans="1:5" ht="15">
      <c r="A276" s="14">
        <v>49888</v>
      </c>
      <c r="B276" s="4">
        <f>27.439 * CHOOSE(CONTROL!$C$9, $C$13, 100%, $E$13) + CHOOSE(CONTROL!$C$28, 0.0136, 0)</f>
        <v>27.4526</v>
      </c>
      <c r="C276" s="4">
        <f>27.0757 * CHOOSE(CONTROL!$C$9, $C$13, 100%, $E$13) + CHOOSE(CONTROL!$C$28, 0.0136, 0)</f>
        <v>27.089300000000001</v>
      </c>
      <c r="D276" s="4">
        <f>35.7069 * CHOOSE(CONTROL!$C$9, $C$13, 100%, $E$13) + CHOOSE(CONTROL!$C$28, 0, 0)</f>
        <v>35.706899999999997</v>
      </c>
      <c r="E276" s="4">
        <f>172.797310671043 * CHOOSE(CONTROL!$C$9, $C$13, 100%, $E$13) + CHOOSE(CONTROL!$C$28, 0, 0)</f>
        <v>172.79731067104299</v>
      </c>
    </row>
    <row r="277" spans="1:5" ht="15">
      <c r="A277" s="14">
        <v>49919</v>
      </c>
      <c r="B277" s="4">
        <f>26.3764 * CHOOSE(CONTROL!$C$9, $C$13, 100%, $E$13) + CHOOSE(CONTROL!$C$28, 0.0136, 0)</f>
        <v>26.39</v>
      </c>
      <c r="C277" s="4">
        <f>26.0131 * CHOOSE(CONTROL!$C$9, $C$13, 100%, $E$13) + CHOOSE(CONTROL!$C$28, 0.0136, 0)</f>
        <v>26.026700000000002</v>
      </c>
      <c r="D277" s="4">
        <f>35.5336 * CHOOSE(CONTROL!$C$9, $C$13, 100%, $E$13) + CHOOSE(CONTROL!$C$28, 0, 0)</f>
        <v>35.5336</v>
      </c>
      <c r="E277" s="4">
        <f>165.911190856373 * CHOOSE(CONTROL!$C$9, $C$13, 100%, $E$13) + CHOOSE(CONTROL!$C$28, 0, 0)</f>
        <v>165.911190856373</v>
      </c>
    </row>
    <row r="278" spans="1:5" ht="15">
      <c r="A278" s="14">
        <v>49949</v>
      </c>
      <c r="B278" s="4">
        <f>25.5257 * CHOOSE(CONTROL!$C$9, $C$13, 100%, $E$13) + CHOOSE(CONTROL!$C$28, 0.0003, 0)</f>
        <v>25.526</v>
      </c>
      <c r="C278" s="4">
        <f>25.1624 * CHOOSE(CONTROL!$C$9, $C$13, 100%, $E$13) + CHOOSE(CONTROL!$C$28, 0.0003, 0)</f>
        <v>25.162700000000001</v>
      </c>
      <c r="D278" s="4">
        <f>35.0695 * CHOOSE(CONTROL!$C$9, $C$13, 100%, $E$13) + CHOOSE(CONTROL!$C$28, 0, 0)</f>
        <v>35.069499999999998</v>
      </c>
      <c r="E278" s="4">
        <f>160.398715475169 * CHOOSE(CONTROL!$C$9, $C$13, 100%, $E$13) + CHOOSE(CONTROL!$C$28, 0, 0)</f>
        <v>160.39871547516901</v>
      </c>
    </row>
    <row r="279" spans="1:5" ht="15">
      <c r="A279" s="14">
        <v>49980</v>
      </c>
      <c r="B279" s="4">
        <f>24.9778 * CHOOSE(CONTROL!$C$9, $C$13, 100%, $E$13) + CHOOSE(CONTROL!$C$28, 0.0003, 0)</f>
        <v>24.978099999999998</v>
      </c>
      <c r="C279" s="4">
        <f>24.6145 * CHOOSE(CONTROL!$C$9, $C$13, 100%, $E$13) + CHOOSE(CONTROL!$C$28, 0.0003, 0)</f>
        <v>24.614799999999999</v>
      </c>
      <c r="D279" s="4">
        <f>34.9099 * CHOOSE(CONTROL!$C$9, $C$13, 100%, $E$13) + CHOOSE(CONTROL!$C$28, 0, 0)</f>
        <v>34.9099</v>
      </c>
      <c r="E279" s="4">
        <f>156.848269683784 * CHOOSE(CONTROL!$C$9, $C$13, 100%, $E$13) + CHOOSE(CONTROL!$C$28, 0, 0)</f>
        <v>156.848269683784</v>
      </c>
    </row>
    <row r="280" spans="1:5" ht="15">
      <c r="A280" s="14">
        <v>50010</v>
      </c>
      <c r="B280" s="4">
        <f>24.5987 * CHOOSE(CONTROL!$C$9, $C$13, 100%, $E$13) + CHOOSE(CONTROL!$C$28, 0.0003, 0)</f>
        <v>24.599</v>
      </c>
      <c r="C280" s="4">
        <f>24.2354 * CHOOSE(CONTROL!$C$9, $C$13, 100%, $E$13) + CHOOSE(CONTROL!$C$28, 0.0003, 0)</f>
        <v>24.235699999999998</v>
      </c>
      <c r="D280" s="4">
        <f>33.7352 * CHOOSE(CONTROL!$C$9, $C$13, 100%, $E$13) + CHOOSE(CONTROL!$C$28, 0, 0)</f>
        <v>33.735199999999999</v>
      </c>
      <c r="E280" s="4">
        <f>154.391817586153 * CHOOSE(CONTROL!$C$9, $C$13, 100%, $E$13) + CHOOSE(CONTROL!$C$28, 0, 0)</f>
        <v>154.391817586153</v>
      </c>
    </row>
    <row r="281" spans="1:5" ht="15">
      <c r="A281" s="14">
        <v>50041</v>
      </c>
      <c r="B281" s="4">
        <f>23.5616 * CHOOSE(CONTROL!$C$9, $C$13, 100%, $E$13) + CHOOSE(CONTROL!$C$28, 0.0003, 0)</f>
        <v>23.561899999999998</v>
      </c>
      <c r="C281" s="4">
        <f>23.1983 * CHOOSE(CONTROL!$C$9, $C$13, 100%, $E$13) + CHOOSE(CONTROL!$C$28, 0.0003, 0)</f>
        <v>23.198599999999999</v>
      </c>
      <c r="D281" s="4">
        <f>32.4412 * CHOOSE(CONTROL!$C$9, $C$13, 100%, $E$13) + CHOOSE(CONTROL!$C$28, 0, 0)</f>
        <v>32.441200000000002</v>
      </c>
      <c r="E281" s="4">
        <f>147.960771026416 * CHOOSE(CONTROL!$C$9, $C$13, 100%, $E$13) + CHOOSE(CONTROL!$C$28, 0, 0)</f>
        <v>147.96077102641601</v>
      </c>
    </row>
    <row r="282" spans="1:5" ht="15">
      <c r="A282" s="14">
        <v>50072</v>
      </c>
      <c r="B282" s="4">
        <f>24.1027 * CHOOSE(CONTROL!$C$9, $C$13, 100%, $E$13) + CHOOSE(CONTROL!$C$28, 0.0003, 0)</f>
        <v>24.102999999999998</v>
      </c>
      <c r="C282" s="4">
        <f>23.7394 * CHOOSE(CONTROL!$C$9, $C$13, 100%, $E$13) + CHOOSE(CONTROL!$C$28, 0.0003, 0)</f>
        <v>23.739699999999999</v>
      </c>
      <c r="D282" s="4">
        <f>33.5209 * CHOOSE(CONTROL!$C$9, $C$13, 100%, $E$13) + CHOOSE(CONTROL!$C$28, 0, 0)</f>
        <v>33.520899999999997</v>
      </c>
      <c r="E282" s="4">
        <f>151.473942830583 * CHOOSE(CONTROL!$C$9, $C$13, 100%, $E$13) + CHOOSE(CONTROL!$C$28, 0, 0)</f>
        <v>151.47394283058301</v>
      </c>
    </row>
    <row r="283" spans="1:5" ht="15">
      <c r="A283" s="14">
        <v>50100</v>
      </c>
      <c r="B283" s="4">
        <f>25.5236 * CHOOSE(CONTROL!$C$9, $C$13, 100%, $E$13) + CHOOSE(CONTROL!$C$28, 0.0003, 0)</f>
        <v>25.523899999999998</v>
      </c>
      <c r="C283" s="4">
        <f>25.1603 * CHOOSE(CONTROL!$C$9, $C$13, 100%, $E$13) + CHOOSE(CONTROL!$C$28, 0.0003, 0)</f>
        <v>25.160599999999999</v>
      </c>
      <c r="D283" s="4">
        <f>35.2109 * CHOOSE(CONTROL!$C$9, $C$13, 100%, $E$13) + CHOOSE(CONTROL!$C$28, 0, 0)</f>
        <v>35.210900000000002</v>
      </c>
      <c r="E283" s="4">
        <f>160.699718689612 * CHOOSE(CONTROL!$C$9, $C$13, 100%, $E$13) + CHOOSE(CONTROL!$C$28, 0, 0)</f>
        <v>160.69971868961201</v>
      </c>
    </row>
    <row r="284" spans="1:5" ht="15">
      <c r="A284" s="14">
        <v>50131</v>
      </c>
      <c r="B284" s="4">
        <f>26.5331 * CHOOSE(CONTROL!$C$9, $C$13, 100%, $E$13) + CHOOSE(CONTROL!$C$28, 0.0003, 0)</f>
        <v>26.5334</v>
      </c>
      <c r="C284" s="4">
        <f>26.1699 * CHOOSE(CONTROL!$C$9, $C$13, 100%, $E$13) + CHOOSE(CONTROL!$C$28, 0.0003, 0)</f>
        <v>26.170199999999998</v>
      </c>
      <c r="D284" s="4">
        <f>36.1845 * CHOOSE(CONTROL!$C$9, $C$13, 100%, $E$13) + CHOOSE(CONTROL!$C$28, 0, 0)</f>
        <v>36.1845</v>
      </c>
      <c r="E284" s="4">
        <f>167.254755387082 * CHOOSE(CONTROL!$C$9, $C$13, 100%, $E$13) + CHOOSE(CONTROL!$C$28, 0, 0)</f>
        <v>167.25475538708201</v>
      </c>
    </row>
    <row r="285" spans="1:5" ht="15">
      <c r="A285" s="14">
        <v>50161</v>
      </c>
      <c r="B285" s="4">
        <f>27.15 * CHOOSE(CONTROL!$C$9, $C$13, 100%, $E$13) + CHOOSE(CONTROL!$C$28, 0.0136, 0)</f>
        <v>27.163599999999999</v>
      </c>
      <c r="C285" s="4">
        <f>26.7867 * CHOOSE(CONTROL!$C$9, $C$13, 100%, $E$13) + CHOOSE(CONTROL!$C$28, 0.0136, 0)</f>
        <v>26.8003</v>
      </c>
      <c r="D285" s="4">
        <f>35.7998 * CHOOSE(CONTROL!$C$9, $C$13, 100%, $E$13) + CHOOSE(CONTROL!$C$28, 0, 0)</f>
        <v>35.799799999999998</v>
      </c>
      <c r="E285" s="4">
        <f>171.259725706932 * CHOOSE(CONTROL!$C$9, $C$13, 100%, $E$13) + CHOOSE(CONTROL!$C$28, 0, 0)</f>
        <v>171.25972570693199</v>
      </c>
    </row>
    <row r="286" spans="1:5" ht="15">
      <c r="A286" s="14">
        <v>50192</v>
      </c>
      <c r="B286" s="4">
        <f>27.2334 * CHOOSE(CONTROL!$C$9, $C$13, 100%, $E$13) + CHOOSE(CONTROL!$C$28, 0.0136, 0)</f>
        <v>27.247</v>
      </c>
      <c r="C286" s="4">
        <f>26.8701 * CHOOSE(CONTROL!$C$9, $C$13, 100%, $E$13) + CHOOSE(CONTROL!$C$28, 0.0136, 0)</f>
        <v>26.883700000000001</v>
      </c>
      <c r="D286" s="4">
        <f>36.1131 * CHOOSE(CONTROL!$C$9, $C$13, 100%, $E$13) + CHOOSE(CONTROL!$C$28, 0, 0)</f>
        <v>36.113100000000003</v>
      </c>
      <c r="E286" s="4">
        <f>171.801614812176 * CHOOSE(CONTROL!$C$9, $C$13, 100%, $E$13) + CHOOSE(CONTROL!$C$28, 0, 0)</f>
        <v>171.80161481217601</v>
      </c>
    </row>
    <row r="287" spans="1:5" ht="15">
      <c r="A287" s="14">
        <v>50222</v>
      </c>
      <c r="B287" s="4">
        <f>27.225 * CHOOSE(CONTROL!$C$9, $C$13, 100%, $E$13) + CHOOSE(CONTROL!$C$28, 0.0136, 0)</f>
        <v>27.238600000000002</v>
      </c>
      <c r="C287" s="4">
        <f>26.8617 * CHOOSE(CONTROL!$C$9, $C$13, 100%, $E$13) + CHOOSE(CONTROL!$C$28, 0.0136, 0)</f>
        <v>26.875299999999999</v>
      </c>
      <c r="D287" s="4">
        <f>36.6784 * CHOOSE(CONTROL!$C$9, $C$13, 100%, $E$13) + CHOOSE(CONTROL!$C$28, 0, 0)</f>
        <v>36.678400000000003</v>
      </c>
      <c r="E287" s="4">
        <f>171.746970532655 * CHOOSE(CONTROL!$C$9, $C$13, 100%, $E$13) + CHOOSE(CONTROL!$C$28, 0, 0)</f>
        <v>171.74697053265501</v>
      </c>
    </row>
    <row r="288" spans="1:5" ht="15">
      <c r="A288" s="14">
        <v>50253</v>
      </c>
      <c r="B288" s="4">
        <f>27.8583 * CHOOSE(CONTROL!$C$9, $C$13, 100%, $E$13) + CHOOSE(CONTROL!$C$28, 0.0136, 0)</f>
        <v>27.8719</v>
      </c>
      <c r="C288" s="4">
        <f>27.495 * CHOOSE(CONTROL!$C$9, $C$13, 100%, $E$13) + CHOOSE(CONTROL!$C$28, 0.0136, 0)</f>
        <v>27.508600000000001</v>
      </c>
      <c r="D288" s="4">
        <f>36.305 * CHOOSE(CONTROL!$C$9, $C$13, 100%, $E$13) + CHOOSE(CONTROL!$C$28, 0, 0)</f>
        <v>36.305</v>
      </c>
      <c r="E288" s="4">
        <f>175.858952566566 * CHOOSE(CONTROL!$C$9, $C$13, 100%, $E$13) + CHOOSE(CONTROL!$C$28, 0, 0)</f>
        <v>175.85895256656599</v>
      </c>
    </row>
    <row r="289" spans="1:5" ht="15">
      <c r="A289" s="14">
        <v>50284</v>
      </c>
      <c r="B289" s="4">
        <f>26.779 * CHOOSE(CONTROL!$C$9, $C$13, 100%, $E$13) + CHOOSE(CONTROL!$C$28, 0.0136, 0)</f>
        <v>26.7926</v>
      </c>
      <c r="C289" s="4">
        <f>26.4157 * CHOOSE(CONTROL!$C$9, $C$13, 100%, $E$13) + CHOOSE(CONTROL!$C$28, 0.0136, 0)</f>
        <v>26.429300000000001</v>
      </c>
      <c r="D289" s="4">
        <f>36.1287 * CHOOSE(CONTROL!$C$9, $C$13, 100%, $E$13) + CHOOSE(CONTROL!$C$28, 0, 0)</f>
        <v>36.128700000000002</v>
      </c>
      <c r="E289" s="4">
        <f>168.850823718074 * CHOOSE(CONTROL!$C$9, $C$13, 100%, $E$13) + CHOOSE(CONTROL!$C$28, 0, 0)</f>
        <v>168.850823718074</v>
      </c>
    </row>
    <row r="290" spans="1:5" ht="15">
      <c r="A290" s="14">
        <v>50314</v>
      </c>
      <c r="B290" s="4">
        <f>25.9149 * CHOOSE(CONTROL!$C$9, $C$13, 100%, $E$13) + CHOOSE(CONTROL!$C$28, 0.0003, 0)</f>
        <v>25.915199999999999</v>
      </c>
      <c r="C290" s="4">
        <f>25.5516 * CHOOSE(CONTROL!$C$9, $C$13, 100%, $E$13) + CHOOSE(CONTROL!$C$28, 0.0003, 0)</f>
        <v>25.5519</v>
      </c>
      <c r="D290" s="4">
        <f>35.6564 * CHOOSE(CONTROL!$C$9, $C$13, 100%, $E$13) + CHOOSE(CONTROL!$C$28, 0, 0)</f>
        <v>35.656399999999998</v>
      </c>
      <c r="E290" s="4">
        <f>163.240677687311 * CHOOSE(CONTROL!$C$9, $C$13, 100%, $E$13) + CHOOSE(CONTROL!$C$28, 0, 0)</f>
        <v>163.24067768731101</v>
      </c>
    </row>
    <row r="291" spans="1:5" ht="15">
      <c r="A291" s="14">
        <v>50345</v>
      </c>
      <c r="B291" s="4">
        <f>25.3584 * CHOOSE(CONTROL!$C$9, $C$13, 100%, $E$13) + CHOOSE(CONTROL!$C$28, 0.0003, 0)</f>
        <v>25.358699999999999</v>
      </c>
      <c r="C291" s="4">
        <f>24.9951 * CHOOSE(CONTROL!$C$9, $C$13, 100%, $E$13) + CHOOSE(CONTROL!$C$28, 0.0003, 0)</f>
        <v>24.9954</v>
      </c>
      <c r="D291" s="4">
        <f>35.494 * CHOOSE(CONTROL!$C$9, $C$13, 100%, $E$13) + CHOOSE(CONTROL!$C$28, 0, 0)</f>
        <v>35.494</v>
      </c>
      <c r="E291" s="4">
        <f>159.627324704024 * CHOOSE(CONTROL!$C$9, $C$13, 100%, $E$13) + CHOOSE(CONTROL!$C$28, 0, 0)</f>
        <v>159.62732470402401</v>
      </c>
    </row>
    <row r="292" spans="1:5" ht="15">
      <c r="A292" s="14">
        <v>50375</v>
      </c>
      <c r="B292" s="4">
        <f>24.9734 * CHOOSE(CONTROL!$C$9, $C$13, 100%, $E$13) + CHOOSE(CONTROL!$C$28, 0.0003, 0)</f>
        <v>24.973700000000001</v>
      </c>
      <c r="C292" s="4">
        <f>24.6101 * CHOOSE(CONTROL!$C$9, $C$13, 100%, $E$13) + CHOOSE(CONTROL!$C$28, 0.0003, 0)</f>
        <v>24.610399999999998</v>
      </c>
      <c r="D292" s="4">
        <f>34.2986 * CHOOSE(CONTROL!$C$9, $C$13, 100%, $E$13) + CHOOSE(CONTROL!$C$28, 0, 0)</f>
        <v>34.2986</v>
      </c>
      <c r="E292" s="4">
        <f>157.127348915965 * CHOOSE(CONTROL!$C$9, $C$13, 100%, $E$13) + CHOOSE(CONTROL!$C$28, 0, 0)</f>
        <v>157.127348915965</v>
      </c>
    </row>
    <row r="293" spans="1:5" ht="15">
      <c r="A293" s="13">
        <v>50436</v>
      </c>
      <c r="B293" s="4">
        <f>23.9199 * CHOOSE(CONTROL!$C$9, $C$13, 100%, $E$13) + CHOOSE(CONTROL!$C$28, 0.0003, 0)</f>
        <v>23.920199999999998</v>
      </c>
      <c r="C293" s="4">
        <f>23.5566 * CHOOSE(CONTROL!$C$9, $C$13, 100%, $E$13) + CHOOSE(CONTROL!$C$28, 0.0003, 0)</f>
        <v>23.556899999999999</v>
      </c>
      <c r="D293" s="4">
        <f>32.9817 * CHOOSE(CONTROL!$C$9, $C$13, 100%, $E$13) + CHOOSE(CONTROL!$C$28, 0, 0)</f>
        <v>32.981699999999996</v>
      </c>
      <c r="E293" s="4">
        <f>150.582356360755 * CHOOSE(CONTROL!$C$9, $C$13, 100%, $E$13) + CHOOSE(CONTROL!$C$28, 0, 0)</f>
        <v>150.582356360755</v>
      </c>
    </row>
    <row r="294" spans="1:5" ht="15">
      <c r="A294" s="13">
        <v>50464</v>
      </c>
      <c r="B294" s="4">
        <f>24.4695 * CHOOSE(CONTROL!$C$9, $C$13, 100%, $E$13) + CHOOSE(CONTROL!$C$28, 0.0003, 0)</f>
        <v>24.469799999999999</v>
      </c>
      <c r="C294" s="4">
        <f>24.1062 * CHOOSE(CONTROL!$C$9, $C$13, 100%, $E$13) + CHOOSE(CONTROL!$C$28, 0.0003, 0)</f>
        <v>24.1065</v>
      </c>
      <c r="D294" s="4">
        <f>34.0804 * CHOOSE(CONTROL!$C$9, $C$13, 100%, $E$13) + CHOOSE(CONTROL!$C$28, 0, 0)</f>
        <v>34.080399999999997</v>
      </c>
      <c r="E294" s="4">
        <f>154.15777493219 * CHOOSE(CONTROL!$C$9, $C$13, 100%, $E$13) + CHOOSE(CONTROL!$C$28, 0, 0)</f>
        <v>154.15777493218999</v>
      </c>
    </row>
    <row r="295" spans="1:5" ht="15">
      <c r="A295" s="13">
        <v>50495</v>
      </c>
      <c r="B295" s="4">
        <f>25.9128 * CHOOSE(CONTROL!$C$9, $C$13, 100%, $E$13) + CHOOSE(CONTROL!$C$28, 0.0003, 0)</f>
        <v>25.9131</v>
      </c>
      <c r="C295" s="4">
        <f>25.5495 * CHOOSE(CONTROL!$C$9, $C$13, 100%, $E$13) + CHOOSE(CONTROL!$C$28, 0.0003, 0)</f>
        <v>25.549799999999998</v>
      </c>
      <c r="D295" s="4">
        <f>35.8003 * CHOOSE(CONTROL!$C$9, $C$13, 100%, $E$13) + CHOOSE(CONTROL!$C$28, 0, 0)</f>
        <v>35.8003</v>
      </c>
      <c r="E295" s="4">
        <f>163.547014110058 * CHOOSE(CONTROL!$C$9, $C$13, 100%, $E$13) + CHOOSE(CONTROL!$C$28, 0, 0)</f>
        <v>163.547014110058</v>
      </c>
    </row>
    <row r="296" spans="1:5" ht="15">
      <c r="A296" s="13">
        <v>50525</v>
      </c>
      <c r="B296" s="4">
        <f>26.9382 * CHOOSE(CONTROL!$C$9, $C$13, 100%, $E$13) + CHOOSE(CONTROL!$C$28, 0.0003, 0)</f>
        <v>26.938499999999998</v>
      </c>
      <c r="C296" s="4">
        <f>26.5749 * CHOOSE(CONTROL!$C$9, $C$13, 100%, $E$13) + CHOOSE(CONTROL!$C$28, 0.0003, 0)</f>
        <v>26.575199999999999</v>
      </c>
      <c r="D296" s="4">
        <f>36.7911 * CHOOSE(CONTROL!$C$9, $C$13, 100%, $E$13) + CHOOSE(CONTROL!$C$28, 0, 0)</f>
        <v>36.7911</v>
      </c>
      <c r="E296" s="4">
        <f>170.218193673998 * CHOOSE(CONTROL!$C$9, $C$13, 100%, $E$13) + CHOOSE(CONTROL!$C$28, 0, 0)</f>
        <v>170.218193673998</v>
      </c>
    </row>
    <row r="297" spans="1:5" ht="15">
      <c r="A297" s="13">
        <v>50556</v>
      </c>
      <c r="B297" s="4">
        <f>27.5647 * CHOOSE(CONTROL!$C$9, $C$13, 100%, $E$13) + CHOOSE(CONTROL!$C$28, 0.0136, 0)</f>
        <v>27.578299999999999</v>
      </c>
      <c r="C297" s="4">
        <f>27.2015 * CHOOSE(CONTROL!$C$9, $C$13, 100%, $E$13) + CHOOSE(CONTROL!$C$28, 0.0136, 0)</f>
        <v>27.2151</v>
      </c>
      <c r="D297" s="4">
        <f>36.3996 * CHOOSE(CONTROL!$C$9, $C$13, 100%, $E$13) + CHOOSE(CONTROL!$C$28, 0, 0)</f>
        <v>36.3996</v>
      </c>
      <c r="E297" s="4">
        <f>174.294124501705 * CHOOSE(CONTROL!$C$9, $C$13, 100%, $E$13) + CHOOSE(CONTROL!$C$28, 0, 0)</f>
        <v>174.294124501705</v>
      </c>
    </row>
    <row r="298" spans="1:5" ht="15">
      <c r="A298" s="13">
        <v>50586</v>
      </c>
      <c r="B298" s="4">
        <f>27.6495 * CHOOSE(CONTROL!$C$9, $C$13, 100%, $E$13) + CHOOSE(CONTROL!$C$28, 0.0136, 0)</f>
        <v>27.6631</v>
      </c>
      <c r="C298" s="4">
        <f>27.2862 * CHOOSE(CONTROL!$C$9, $C$13, 100%, $E$13) + CHOOSE(CONTROL!$C$28, 0.0136, 0)</f>
        <v>27.299800000000001</v>
      </c>
      <c r="D298" s="4">
        <f>36.7184 * CHOOSE(CONTROL!$C$9, $C$13, 100%, $E$13) + CHOOSE(CONTROL!$C$28, 0, 0)</f>
        <v>36.718400000000003</v>
      </c>
      <c r="E298" s="4">
        <f>174.845614858154 * CHOOSE(CONTROL!$C$9, $C$13, 100%, $E$13) + CHOOSE(CONTROL!$C$28, 0, 0)</f>
        <v>174.84561485815399</v>
      </c>
    </row>
    <row r="299" spans="1:5" ht="15">
      <c r="A299" s="13">
        <v>50617</v>
      </c>
      <c r="B299" s="4">
        <f>27.641 * CHOOSE(CONTROL!$C$9, $C$13, 100%, $E$13) + CHOOSE(CONTROL!$C$28, 0.0136, 0)</f>
        <v>27.654599999999999</v>
      </c>
      <c r="C299" s="4">
        <f>27.2777 * CHOOSE(CONTROL!$C$9, $C$13, 100%, $E$13) + CHOOSE(CONTROL!$C$28, 0.0136, 0)</f>
        <v>27.2913</v>
      </c>
      <c r="D299" s="4">
        <f>37.2937 * CHOOSE(CONTROL!$C$9, $C$13, 100%, $E$13) + CHOOSE(CONTROL!$C$28, 0, 0)</f>
        <v>37.293700000000001</v>
      </c>
      <c r="E299" s="4">
        <f>174.790002385235 * CHOOSE(CONTROL!$C$9, $C$13, 100%, $E$13) + CHOOSE(CONTROL!$C$28, 0, 0)</f>
        <v>174.790002385235</v>
      </c>
    </row>
    <row r="300" spans="1:5" ht="15">
      <c r="A300" s="13">
        <v>50648</v>
      </c>
      <c r="B300" s="4">
        <f>28.2842 * CHOOSE(CONTROL!$C$9, $C$13, 100%, $E$13) + CHOOSE(CONTROL!$C$28, 0.0136, 0)</f>
        <v>28.297799999999999</v>
      </c>
      <c r="C300" s="4">
        <f>27.9209 * CHOOSE(CONTROL!$C$9, $C$13, 100%, $E$13) + CHOOSE(CONTROL!$C$28, 0.0136, 0)</f>
        <v>27.9345</v>
      </c>
      <c r="D300" s="4">
        <f>36.9138 * CHOOSE(CONTROL!$C$9, $C$13, 100%, $E$13) + CHOOSE(CONTROL!$C$28, 0, 0)</f>
        <v>36.913800000000002</v>
      </c>
      <c r="E300" s="4">
        <f>178.974840972409 * CHOOSE(CONTROL!$C$9, $C$13, 100%, $E$13) + CHOOSE(CONTROL!$C$28, 0, 0)</f>
        <v>178.974840972409</v>
      </c>
    </row>
    <row r="301" spans="1:5" ht="15">
      <c r="A301" s="13">
        <v>50678</v>
      </c>
      <c r="B301" s="4">
        <f>27.1879 * CHOOSE(CONTROL!$C$9, $C$13, 100%, $E$13) + CHOOSE(CONTROL!$C$28, 0.0136, 0)</f>
        <v>27.201499999999999</v>
      </c>
      <c r="C301" s="4">
        <f>26.8246 * CHOOSE(CONTROL!$C$9, $C$13, 100%, $E$13) + CHOOSE(CONTROL!$C$28, 0.0136, 0)</f>
        <v>26.838200000000001</v>
      </c>
      <c r="D301" s="4">
        <f>36.7343 * CHOOSE(CONTROL!$C$9, $C$13, 100%, $E$13) + CHOOSE(CONTROL!$C$28, 0, 0)</f>
        <v>36.734299999999998</v>
      </c>
      <c r="E301" s="4">
        <f>171.842541320514 * CHOOSE(CONTROL!$C$9, $C$13, 100%, $E$13) + CHOOSE(CONTROL!$C$28, 0, 0)</f>
        <v>171.84254132051399</v>
      </c>
    </row>
    <row r="302" spans="1:5" ht="15">
      <c r="A302" s="13">
        <v>50709</v>
      </c>
      <c r="B302" s="4">
        <f>26.3103 * CHOOSE(CONTROL!$C$9, $C$13, 100%, $E$13) + CHOOSE(CONTROL!$C$28, 0.0003, 0)</f>
        <v>26.310600000000001</v>
      </c>
      <c r="C302" s="4">
        <f>25.947 * CHOOSE(CONTROL!$C$9, $C$13, 100%, $E$13) + CHOOSE(CONTROL!$C$28, 0.0003, 0)</f>
        <v>25.947299999999998</v>
      </c>
      <c r="D302" s="4">
        <f>36.2536 * CHOOSE(CONTROL!$C$9, $C$13, 100%, $E$13) + CHOOSE(CONTROL!$C$28, 0, 0)</f>
        <v>36.253599999999999</v>
      </c>
      <c r="E302" s="4">
        <f>166.132994100804 * CHOOSE(CONTROL!$C$9, $C$13, 100%, $E$13) + CHOOSE(CONTROL!$C$28, 0, 0)</f>
        <v>166.13299410080401</v>
      </c>
    </row>
    <row r="303" spans="1:5" ht="15">
      <c r="A303" s="13">
        <v>50739</v>
      </c>
      <c r="B303" s="4">
        <f>25.745 * CHOOSE(CONTROL!$C$9, $C$13, 100%, $E$13) + CHOOSE(CONTROL!$C$28, 0.0003, 0)</f>
        <v>25.7453</v>
      </c>
      <c r="C303" s="4">
        <f>25.3817 * CHOOSE(CONTROL!$C$9, $C$13, 100%, $E$13) + CHOOSE(CONTROL!$C$28, 0.0003, 0)</f>
        <v>25.381999999999998</v>
      </c>
      <c r="D303" s="4">
        <f>36.0884 * CHOOSE(CONTROL!$C$9, $C$13, 100%, $E$13) + CHOOSE(CONTROL!$C$28, 0, 0)</f>
        <v>36.0884</v>
      </c>
      <c r="E303" s="4">
        <f>162.455619329017 * CHOOSE(CONTROL!$C$9, $C$13, 100%, $E$13) + CHOOSE(CONTROL!$C$28, 0, 0)</f>
        <v>162.455619329017</v>
      </c>
    </row>
    <row r="304" spans="1:5" ht="15">
      <c r="A304" s="13">
        <v>50770</v>
      </c>
      <c r="B304" s="4">
        <f>25.3539 * CHOOSE(CONTROL!$C$9, $C$13, 100%, $E$13) + CHOOSE(CONTROL!$C$28, 0.0003, 0)</f>
        <v>25.354199999999999</v>
      </c>
      <c r="C304" s="4">
        <f>24.9906 * CHOOSE(CONTROL!$C$9, $C$13, 100%, $E$13) + CHOOSE(CONTROL!$C$28, 0.0003, 0)</f>
        <v>24.9909</v>
      </c>
      <c r="D304" s="4">
        <f>34.8718 * CHOOSE(CONTROL!$C$9, $C$13, 100%, $E$13) + CHOOSE(CONTROL!$C$28, 0, 0)</f>
        <v>34.8718</v>
      </c>
      <c r="E304" s="4">
        <f>159.911348692961 * CHOOSE(CONTROL!$C$9, $C$13, 100%, $E$13) + CHOOSE(CONTROL!$C$28, 0, 0)</f>
        <v>159.91134869296101</v>
      </c>
    </row>
    <row r="305" spans="1:5" ht="15">
      <c r="A305" s="13">
        <v>50801</v>
      </c>
      <c r="B305" s="4">
        <f>24.2839 * CHOOSE(CONTROL!$C$9, $C$13, 100%, $E$13) + CHOOSE(CONTROL!$C$28, 0.0003, 0)</f>
        <v>24.284199999999998</v>
      </c>
      <c r="C305" s="4">
        <f>23.9206 * CHOOSE(CONTROL!$C$9, $C$13, 100%, $E$13) + CHOOSE(CONTROL!$C$28, 0.0003, 0)</f>
        <v>23.9209</v>
      </c>
      <c r="D305" s="4">
        <f>33.5317 * CHOOSE(CONTROL!$C$9, $C$13, 100%, $E$13) + CHOOSE(CONTROL!$C$28, 0, 0)</f>
        <v>33.531700000000001</v>
      </c>
      <c r="E305" s="4">
        <f>153.250391234507 * CHOOSE(CONTROL!$C$9, $C$13, 100%, $E$13) + CHOOSE(CONTROL!$C$28, 0, 0)</f>
        <v>153.25039123450699</v>
      </c>
    </row>
    <row r="306" spans="1:5" ht="15">
      <c r="A306" s="13">
        <v>50829</v>
      </c>
      <c r="B306" s="4">
        <f>24.8421 * CHOOSE(CONTROL!$C$9, $C$13, 100%, $E$13) + CHOOSE(CONTROL!$C$28, 0.0003, 0)</f>
        <v>24.842399999999998</v>
      </c>
      <c r="C306" s="4">
        <f>24.4789 * CHOOSE(CONTROL!$C$9, $C$13, 100%, $E$13) + CHOOSE(CONTROL!$C$28, 0.0003, 0)</f>
        <v>24.479199999999999</v>
      </c>
      <c r="D306" s="4">
        <f>34.6498 * CHOOSE(CONTROL!$C$9, $C$13, 100%, $E$13) + CHOOSE(CONTROL!$C$28, 0, 0)</f>
        <v>34.649799999999999</v>
      </c>
      <c r="E306" s="4">
        <f>156.889159468328 * CHOOSE(CONTROL!$C$9, $C$13, 100%, $E$13) + CHOOSE(CONTROL!$C$28, 0, 0)</f>
        <v>156.88915946832799</v>
      </c>
    </row>
    <row r="307" spans="1:5" ht="15">
      <c r="A307" s="13">
        <v>50860</v>
      </c>
      <c r="B307" s="4">
        <f>26.3081 * CHOOSE(CONTROL!$C$9, $C$13, 100%, $E$13) + CHOOSE(CONTROL!$C$28, 0.0003, 0)</f>
        <v>26.308399999999999</v>
      </c>
      <c r="C307" s="4">
        <f>25.9448 * CHOOSE(CONTROL!$C$9, $C$13, 100%, $E$13) + CHOOSE(CONTROL!$C$28, 0.0003, 0)</f>
        <v>25.9451</v>
      </c>
      <c r="D307" s="4">
        <f>36.4001 * CHOOSE(CONTROL!$C$9, $C$13, 100%, $E$13) + CHOOSE(CONTROL!$C$28, 0, 0)</f>
        <v>36.400100000000002</v>
      </c>
      <c r="E307" s="4">
        <f>166.444758226229 * CHOOSE(CONTROL!$C$9, $C$13, 100%, $E$13) + CHOOSE(CONTROL!$C$28, 0, 0)</f>
        <v>166.444758226229</v>
      </c>
    </row>
    <row r="308" spans="1:5" ht="15">
      <c r="A308" s="13">
        <v>50890</v>
      </c>
      <c r="B308" s="4">
        <f>27.3497 * CHOOSE(CONTROL!$C$9, $C$13, 100%, $E$13) + CHOOSE(CONTROL!$C$28, 0.0003, 0)</f>
        <v>27.349999999999998</v>
      </c>
      <c r="C308" s="4">
        <f>26.9864 * CHOOSE(CONTROL!$C$9, $C$13, 100%, $E$13) + CHOOSE(CONTROL!$C$28, 0.0003, 0)</f>
        <v>26.986699999999999</v>
      </c>
      <c r="D308" s="4">
        <f>37.4084 * CHOOSE(CONTROL!$C$9, $C$13, 100%, $E$13) + CHOOSE(CONTROL!$C$28, 0, 0)</f>
        <v>37.4084</v>
      </c>
      <c r="E308" s="4">
        <f>173.234138488815 * CHOOSE(CONTROL!$C$9, $C$13, 100%, $E$13) + CHOOSE(CONTROL!$C$28, 0, 0)</f>
        <v>173.23413848881501</v>
      </c>
    </row>
    <row r="309" spans="1:5" ht="15">
      <c r="A309" s="13">
        <v>50921</v>
      </c>
      <c r="B309" s="4">
        <f>27.986 * CHOOSE(CONTROL!$C$9, $C$13, 100%, $E$13) + CHOOSE(CONTROL!$C$28, 0.0136, 0)</f>
        <v>27.999600000000001</v>
      </c>
      <c r="C309" s="4">
        <f>27.6227 * CHOOSE(CONTROL!$C$9, $C$13, 100%, $E$13) + CHOOSE(CONTROL!$C$28, 0.0136, 0)</f>
        <v>27.636299999999999</v>
      </c>
      <c r="D309" s="4">
        <f>37.01 * CHOOSE(CONTROL!$C$9, $C$13, 100%, $E$13) + CHOOSE(CONTROL!$C$28, 0, 0)</f>
        <v>37.01</v>
      </c>
      <c r="E309" s="4">
        <f>177.38228711052 * CHOOSE(CONTROL!$C$9, $C$13, 100%, $E$13) + CHOOSE(CONTROL!$C$28, 0, 0)</f>
        <v>177.38228711052</v>
      </c>
    </row>
    <row r="310" spans="1:5" ht="15">
      <c r="A310" s="13">
        <v>50951</v>
      </c>
      <c r="B310" s="4">
        <f>28.0721 * CHOOSE(CONTROL!$C$9, $C$13, 100%, $E$13) + CHOOSE(CONTROL!$C$28, 0.0136, 0)</f>
        <v>28.085699999999999</v>
      </c>
      <c r="C310" s="4">
        <f>27.7088 * CHOOSE(CONTROL!$C$9, $C$13, 100%, $E$13) + CHOOSE(CONTROL!$C$28, 0.0136, 0)</f>
        <v>27.7224</v>
      </c>
      <c r="D310" s="4">
        <f>37.3344 * CHOOSE(CONTROL!$C$9, $C$13, 100%, $E$13) + CHOOSE(CONTROL!$C$28, 0, 0)</f>
        <v>37.334400000000002</v>
      </c>
      <c r="E310" s="4">
        <f>177.943548834207 * CHOOSE(CONTROL!$C$9, $C$13, 100%, $E$13) + CHOOSE(CONTROL!$C$28, 0, 0)</f>
        <v>177.94354883420701</v>
      </c>
    </row>
    <row r="311" spans="1:5" ht="15">
      <c r="A311" s="13">
        <v>50982</v>
      </c>
      <c r="B311" s="4">
        <f>28.0634 * CHOOSE(CONTROL!$C$9, $C$13, 100%, $E$13) + CHOOSE(CONTROL!$C$28, 0.0136, 0)</f>
        <v>28.077000000000002</v>
      </c>
      <c r="C311" s="4">
        <f>27.7002 * CHOOSE(CONTROL!$C$9, $C$13, 100%, $E$13) + CHOOSE(CONTROL!$C$28, 0.0136, 0)</f>
        <v>27.713799999999999</v>
      </c>
      <c r="D311" s="4">
        <f>37.9199 * CHOOSE(CONTROL!$C$9, $C$13, 100%, $E$13) + CHOOSE(CONTROL!$C$28, 0, 0)</f>
        <v>37.919899999999998</v>
      </c>
      <c r="E311" s="4">
        <f>177.886951013331 * CHOOSE(CONTROL!$C$9, $C$13, 100%, $E$13) + CHOOSE(CONTROL!$C$28, 0, 0)</f>
        <v>177.88695101333099</v>
      </c>
    </row>
    <row r="312" spans="1:5" ht="15">
      <c r="A312" s="13">
        <v>51013</v>
      </c>
      <c r="B312" s="4">
        <f>28.7168 * CHOOSE(CONTROL!$C$9, $C$13, 100%, $E$13) + CHOOSE(CONTROL!$C$28, 0.0136, 0)</f>
        <v>28.730399999999999</v>
      </c>
      <c r="C312" s="4">
        <f>28.3535 * CHOOSE(CONTROL!$C$9, $C$13, 100%, $E$13) + CHOOSE(CONTROL!$C$28, 0.0136, 0)</f>
        <v>28.367100000000001</v>
      </c>
      <c r="D312" s="4">
        <f>37.5333 * CHOOSE(CONTROL!$C$9, $C$13, 100%, $E$13) + CHOOSE(CONTROL!$C$28, 0, 0)</f>
        <v>37.533299999999997</v>
      </c>
      <c r="E312" s="4">
        <f>182.145937034252 * CHOOSE(CONTROL!$C$9, $C$13, 100%, $E$13) + CHOOSE(CONTROL!$C$28, 0, 0)</f>
        <v>182.145937034252</v>
      </c>
    </row>
    <row r="313" spans="1:5" ht="15">
      <c r="A313" s="13">
        <v>51043</v>
      </c>
      <c r="B313" s="4">
        <f>27.6033 * CHOOSE(CONTROL!$C$9, $C$13, 100%, $E$13) + CHOOSE(CONTROL!$C$28, 0.0136, 0)</f>
        <v>27.616900000000001</v>
      </c>
      <c r="C313" s="4">
        <f>27.24 * CHOOSE(CONTROL!$C$9, $C$13, 100%, $E$13) + CHOOSE(CONTROL!$C$28, 0.0136, 0)</f>
        <v>27.253599999999999</v>
      </c>
      <c r="D313" s="4">
        <f>37.3506 * CHOOSE(CONTROL!$C$9, $C$13, 100%, $E$13) + CHOOSE(CONTROL!$C$28, 0, 0)</f>
        <v>37.3506</v>
      </c>
      <c r="E313" s="4">
        <f>174.887266506902 * CHOOSE(CONTROL!$C$9, $C$13, 100%, $E$13) + CHOOSE(CONTROL!$C$28, 0, 0)</f>
        <v>174.88726650690199</v>
      </c>
    </row>
    <row r="314" spans="1:5" ht="15">
      <c r="A314" s="13">
        <v>51074</v>
      </c>
      <c r="B314" s="4">
        <f>26.7118 * CHOOSE(CONTROL!$C$9, $C$13, 100%, $E$13) + CHOOSE(CONTROL!$C$28, 0.0003, 0)</f>
        <v>26.7121</v>
      </c>
      <c r="C314" s="4">
        <f>26.3485 * CHOOSE(CONTROL!$C$9, $C$13, 100%, $E$13) + CHOOSE(CONTROL!$C$28, 0.0003, 0)</f>
        <v>26.348800000000001</v>
      </c>
      <c r="D314" s="4">
        <f>36.8615 * CHOOSE(CONTROL!$C$9, $C$13, 100%, $E$13) + CHOOSE(CONTROL!$C$28, 0, 0)</f>
        <v>36.861499999999999</v>
      </c>
      <c r="E314" s="4">
        <f>169.076556896964 * CHOOSE(CONTROL!$C$9, $C$13, 100%, $E$13) + CHOOSE(CONTROL!$C$28, 0, 0)</f>
        <v>169.07655689696401</v>
      </c>
    </row>
    <row r="315" spans="1:5" ht="15">
      <c r="A315" s="13">
        <v>51104</v>
      </c>
      <c r="B315" s="4">
        <f>26.1377 * CHOOSE(CONTROL!$C$9, $C$13, 100%, $E$13) + CHOOSE(CONTROL!$C$28, 0.0003, 0)</f>
        <v>26.137999999999998</v>
      </c>
      <c r="C315" s="4">
        <f>25.7744 * CHOOSE(CONTROL!$C$9, $C$13, 100%, $E$13) + CHOOSE(CONTROL!$C$28, 0.0003, 0)</f>
        <v>25.774699999999999</v>
      </c>
      <c r="D315" s="4">
        <f>36.6933 * CHOOSE(CONTROL!$C$9, $C$13, 100%, $E$13) + CHOOSE(CONTROL!$C$28, 0, 0)</f>
        <v>36.693300000000001</v>
      </c>
      <c r="E315" s="4">
        <f>165.334025991537 * CHOOSE(CONTROL!$C$9, $C$13, 100%, $E$13) + CHOOSE(CONTROL!$C$28, 0, 0)</f>
        <v>165.334025991537</v>
      </c>
    </row>
    <row r="316" spans="1:5" ht="15">
      <c r="A316" s="13">
        <v>51135</v>
      </c>
      <c r="B316" s="4">
        <f>25.7404 * CHOOSE(CONTROL!$C$9, $C$13, 100%, $E$13) + CHOOSE(CONTROL!$C$28, 0.0003, 0)</f>
        <v>25.7407</v>
      </c>
      <c r="C316" s="4">
        <f>25.3772 * CHOOSE(CONTROL!$C$9, $C$13, 100%, $E$13) + CHOOSE(CONTROL!$C$28, 0.0003, 0)</f>
        <v>25.377499999999998</v>
      </c>
      <c r="D316" s="4">
        <f>35.4552 * CHOOSE(CONTROL!$C$9, $C$13, 100%, $E$13) + CHOOSE(CONTROL!$C$28, 0, 0)</f>
        <v>35.455199999999998</v>
      </c>
      <c r="E316" s="4">
        <f>162.744675686459 * CHOOSE(CONTROL!$C$9, $C$13, 100%, $E$13) + CHOOSE(CONTROL!$C$28, 0, 0)</f>
        <v>162.744675686459</v>
      </c>
    </row>
    <row r="317" spans="1:5" ht="15">
      <c r="A317" s="13">
        <v>51166</v>
      </c>
      <c r="B317" s="4">
        <f>24.6536 * CHOOSE(CONTROL!$C$9, $C$13, 100%, $E$13) + CHOOSE(CONTROL!$C$28, 0.0003, 0)</f>
        <v>24.6539</v>
      </c>
      <c r="C317" s="4">
        <f>24.2903 * CHOOSE(CONTROL!$C$9, $C$13, 100%, $E$13) + CHOOSE(CONTROL!$C$28, 0.0003, 0)</f>
        <v>24.290599999999998</v>
      </c>
      <c r="D317" s="4">
        <f>34.0914 * CHOOSE(CONTROL!$C$9, $C$13, 100%, $E$13) + CHOOSE(CONTROL!$C$28, 0, 0)</f>
        <v>34.0914</v>
      </c>
      <c r="E317" s="4">
        <f>155.965698645756 * CHOOSE(CONTROL!$C$9, $C$13, 100%, $E$13) + CHOOSE(CONTROL!$C$28, 0, 0)</f>
        <v>155.96569864575599</v>
      </c>
    </row>
    <row r="318" spans="1:5" ht="15">
      <c r="A318" s="13">
        <v>51194</v>
      </c>
      <c r="B318" s="4">
        <f>25.2206 * CHOOSE(CONTROL!$C$9, $C$13, 100%, $E$13) + CHOOSE(CONTROL!$C$28, 0.0003, 0)</f>
        <v>25.2209</v>
      </c>
      <c r="C318" s="4">
        <f>24.8573 * CHOOSE(CONTROL!$C$9, $C$13, 100%, $E$13) + CHOOSE(CONTROL!$C$28, 0.0003, 0)</f>
        <v>24.857599999999998</v>
      </c>
      <c r="D318" s="4">
        <f>35.2293 * CHOOSE(CONTROL!$C$9, $C$13, 100%, $E$13) + CHOOSE(CONTROL!$C$28, 0, 0)</f>
        <v>35.229300000000002</v>
      </c>
      <c r="E318" s="4">
        <f>159.6689389783 * CHOOSE(CONTROL!$C$9, $C$13, 100%, $E$13) + CHOOSE(CONTROL!$C$28, 0, 0)</f>
        <v>159.66893897829999</v>
      </c>
    </row>
    <row r="319" spans="1:5" ht="15">
      <c r="A319" s="13">
        <v>51226</v>
      </c>
      <c r="B319" s="4">
        <f>26.7096 * CHOOSE(CONTROL!$C$9, $C$13, 100%, $E$13) + CHOOSE(CONTROL!$C$28, 0.0003, 0)</f>
        <v>26.709899999999998</v>
      </c>
      <c r="C319" s="4">
        <f>26.3463 * CHOOSE(CONTROL!$C$9, $C$13, 100%, $E$13) + CHOOSE(CONTROL!$C$28, 0.0003, 0)</f>
        <v>26.346599999999999</v>
      </c>
      <c r="D319" s="4">
        <f>37.0106 * CHOOSE(CONTROL!$C$9, $C$13, 100%, $E$13) + CHOOSE(CONTROL!$C$28, 0, 0)</f>
        <v>37.010599999999997</v>
      </c>
      <c r="E319" s="4">
        <f>169.393844893705 * CHOOSE(CONTROL!$C$9, $C$13, 100%, $E$13) + CHOOSE(CONTROL!$C$28, 0, 0)</f>
        <v>169.39384489370499</v>
      </c>
    </row>
    <row r="320" spans="1:5" ht="15">
      <c r="A320" s="13">
        <v>51256</v>
      </c>
      <c r="B320" s="4">
        <f>27.7676 * CHOOSE(CONTROL!$C$9, $C$13, 100%, $E$13) + CHOOSE(CONTROL!$C$28, 0.0003, 0)</f>
        <v>27.767900000000001</v>
      </c>
      <c r="C320" s="4">
        <f>27.4043 * CHOOSE(CONTROL!$C$9, $C$13, 100%, $E$13) + CHOOSE(CONTROL!$C$28, 0.0003, 0)</f>
        <v>27.404599999999999</v>
      </c>
      <c r="D320" s="4">
        <f>38.0366 * CHOOSE(CONTROL!$C$9, $C$13, 100%, $E$13) + CHOOSE(CONTROL!$C$28, 0, 0)</f>
        <v>38.0366</v>
      </c>
      <c r="E320" s="4">
        <f>176.303520148012 * CHOOSE(CONTROL!$C$9, $C$13, 100%, $E$13) + CHOOSE(CONTROL!$C$28, 0, 0)</f>
        <v>176.30352014801201</v>
      </c>
    </row>
    <row r="321" spans="1:5" ht="15">
      <c r="A321" s="13">
        <v>51287</v>
      </c>
      <c r="B321" s="4">
        <f>28.4139 * CHOOSE(CONTROL!$C$9, $C$13, 100%, $E$13) + CHOOSE(CONTROL!$C$28, 0.0136, 0)</f>
        <v>28.427500000000002</v>
      </c>
      <c r="C321" s="4">
        <f>28.0507 * CHOOSE(CONTROL!$C$9, $C$13, 100%, $E$13) + CHOOSE(CONTROL!$C$28, 0.0136, 0)</f>
        <v>28.064299999999999</v>
      </c>
      <c r="D321" s="4">
        <f>37.6312 * CHOOSE(CONTROL!$C$9, $C$13, 100%, $E$13) + CHOOSE(CONTROL!$C$28, 0, 0)</f>
        <v>37.6312</v>
      </c>
      <c r="E321" s="4">
        <f>180.52516612659 * CHOOSE(CONTROL!$C$9, $C$13, 100%, $E$13) + CHOOSE(CONTROL!$C$28, 0, 0)</f>
        <v>180.52516612658999</v>
      </c>
    </row>
    <row r="322" spans="1:5" ht="15">
      <c r="A322" s="13">
        <v>51317</v>
      </c>
      <c r="B322" s="4">
        <f>28.5014 * CHOOSE(CONTROL!$C$9, $C$13, 100%, $E$13) + CHOOSE(CONTROL!$C$28, 0.0136, 0)</f>
        <v>28.515000000000001</v>
      </c>
      <c r="C322" s="4">
        <f>28.1381 * CHOOSE(CONTROL!$C$9, $C$13, 100%, $E$13) + CHOOSE(CONTROL!$C$28, 0.0136, 0)</f>
        <v>28.151700000000002</v>
      </c>
      <c r="D322" s="4">
        <f>37.9614 * CHOOSE(CONTROL!$C$9, $C$13, 100%, $E$13) + CHOOSE(CONTROL!$C$28, 0, 0)</f>
        <v>37.961399999999998</v>
      </c>
      <c r="E322" s="4">
        <f>181.096372347683 * CHOOSE(CONTROL!$C$9, $C$13, 100%, $E$13) + CHOOSE(CONTROL!$C$28, 0, 0)</f>
        <v>181.096372347683</v>
      </c>
    </row>
    <row r="323" spans="1:5" ht="15">
      <c r="A323" s="13">
        <v>51348</v>
      </c>
      <c r="B323" s="4">
        <f>28.4926 * CHOOSE(CONTROL!$C$9, $C$13, 100%, $E$13) + CHOOSE(CONTROL!$C$28, 0.0136, 0)</f>
        <v>28.5062</v>
      </c>
      <c r="C323" s="4">
        <f>28.1293 * CHOOSE(CONTROL!$C$9, $C$13, 100%, $E$13) + CHOOSE(CONTROL!$C$28, 0.0136, 0)</f>
        <v>28.142900000000001</v>
      </c>
      <c r="D323" s="4">
        <f>38.5572 * CHOOSE(CONTROL!$C$9, $C$13, 100%, $E$13) + CHOOSE(CONTROL!$C$28, 0, 0)</f>
        <v>38.557200000000002</v>
      </c>
      <c r="E323" s="4">
        <f>181.038771720346 * CHOOSE(CONTROL!$C$9, $C$13, 100%, $E$13) + CHOOSE(CONTROL!$C$28, 0, 0)</f>
        <v>181.03877172034601</v>
      </c>
    </row>
    <row r="324" spans="1:5" ht="15">
      <c r="A324" s="13">
        <v>51379</v>
      </c>
      <c r="B324" s="4">
        <f>29.1562 * CHOOSE(CONTROL!$C$9, $C$13, 100%, $E$13) + CHOOSE(CONTROL!$C$28, 0.0136, 0)</f>
        <v>29.169799999999999</v>
      </c>
      <c r="C324" s="4">
        <f>28.793 * CHOOSE(CONTROL!$C$9, $C$13, 100%, $E$13) + CHOOSE(CONTROL!$C$28, 0.0136, 0)</f>
        <v>28.8066</v>
      </c>
      <c r="D324" s="4">
        <f>38.1637 * CHOOSE(CONTROL!$C$9, $C$13, 100%, $E$13) + CHOOSE(CONTROL!$C$28, 0, 0)</f>
        <v>38.163699999999999</v>
      </c>
      <c r="E324" s="4">
        <f>185.373218927459 * CHOOSE(CONTROL!$C$9, $C$13, 100%, $E$13) + CHOOSE(CONTROL!$C$28, 0, 0)</f>
        <v>185.37321892745899</v>
      </c>
    </row>
    <row r="325" spans="1:5" ht="15">
      <c r="A325" s="13">
        <v>51409</v>
      </c>
      <c r="B325" s="4">
        <f>28.0252 * CHOOSE(CONTROL!$C$9, $C$13, 100%, $E$13) + CHOOSE(CONTROL!$C$28, 0.0136, 0)</f>
        <v>28.038800000000002</v>
      </c>
      <c r="C325" s="4">
        <f>27.6619 * CHOOSE(CONTROL!$C$9, $C$13, 100%, $E$13) + CHOOSE(CONTROL!$C$28, 0.0136, 0)</f>
        <v>27.6755</v>
      </c>
      <c r="D325" s="4">
        <f>37.9778 * CHOOSE(CONTROL!$C$9, $C$13, 100%, $E$13) + CHOOSE(CONTROL!$C$28, 0, 0)</f>
        <v>37.977800000000002</v>
      </c>
      <c r="E325" s="4">
        <f>177.985938471482 * CHOOSE(CONTROL!$C$9, $C$13, 100%, $E$13) + CHOOSE(CONTROL!$C$28, 0, 0)</f>
        <v>177.985938471482</v>
      </c>
    </row>
    <row r="326" spans="1:5" ht="15">
      <c r="A326" s="13">
        <v>51440</v>
      </c>
      <c r="B326" s="4">
        <f>27.1197 * CHOOSE(CONTROL!$C$9, $C$13, 100%, $E$13) + CHOOSE(CONTROL!$C$28, 0.0003, 0)</f>
        <v>27.12</v>
      </c>
      <c r="C326" s="4">
        <f>26.7564 * CHOOSE(CONTROL!$C$9, $C$13, 100%, $E$13) + CHOOSE(CONTROL!$C$28, 0.0003, 0)</f>
        <v>26.756699999999999</v>
      </c>
      <c r="D326" s="4">
        <f>37.48 * CHOOSE(CONTROL!$C$9, $C$13, 100%, $E$13) + CHOOSE(CONTROL!$C$28, 0, 0)</f>
        <v>37.479999999999997</v>
      </c>
      <c r="E326" s="4">
        <f>172.072274064878 * CHOOSE(CONTROL!$C$9, $C$13, 100%, $E$13) + CHOOSE(CONTROL!$C$28, 0, 0)</f>
        <v>172.072274064878</v>
      </c>
    </row>
    <row r="327" spans="1:5" ht="15">
      <c r="A327" s="13">
        <v>51470</v>
      </c>
      <c r="B327" s="4">
        <f>26.5365 * CHOOSE(CONTROL!$C$9, $C$13, 100%, $E$13) + CHOOSE(CONTROL!$C$28, 0.0003, 0)</f>
        <v>26.536799999999999</v>
      </c>
      <c r="C327" s="4">
        <f>26.1732 * CHOOSE(CONTROL!$C$9, $C$13, 100%, $E$13) + CHOOSE(CONTROL!$C$28, 0.0003, 0)</f>
        <v>26.173500000000001</v>
      </c>
      <c r="D327" s="4">
        <f>37.3089 * CHOOSE(CONTROL!$C$9, $C$13, 100%, $E$13) + CHOOSE(CONTROL!$C$28, 0, 0)</f>
        <v>37.308900000000001</v>
      </c>
      <c r="E327" s="4">
        <f>168.263432582216 * CHOOSE(CONTROL!$C$9, $C$13, 100%, $E$13) + CHOOSE(CONTROL!$C$28, 0, 0)</f>
        <v>168.26343258221601</v>
      </c>
    </row>
    <row r="328" spans="1:5" ht="15">
      <c r="A328" s="13">
        <v>51501</v>
      </c>
      <c r="B328" s="4">
        <f>26.133 * CHOOSE(CONTROL!$C$9, $C$13, 100%, $E$13) + CHOOSE(CONTROL!$C$28, 0.0003, 0)</f>
        <v>26.133299999999998</v>
      </c>
      <c r="C328" s="4">
        <f>25.7698 * CHOOSE(CONTROL!$C$9, $C$13, 100%, $E$13) + CHOOSE(CONTROL!$C$28, 0.0003, 0)</f>
        <v>25.770099999999999</v>
      </c>
      <c r="D328" s="4">
        <f>36.049 * CHOOSE(CONTROL!$C$9, $C$13, 100%, $E$13) + CHOOSE(CONTROL!$C$28, 0, 0)</f>
        <v>36.048999999999999</v>
      </c>
      <c r="E328" s="4">
        <f>165.628203881546 * CHOOSE(CONTROL!$C$9, $C$13, 100%, $E$13) + CHOOSE(CONTROL!$C$28, 0, 0)</f>
        <v>165.628203881546</v>
      </c>
    </row>
    <row r="329" spans="1:5" ht="15">
      <c r="A329" s="13">
        <v>51532</v>
      </c>
      <c r="B329" s="4">
        <f>25.0291 * CHOOSE(CONTROL!$C$9, $C$13, 100%, $E$13) + CHOOSE(CONTROL!$C$28, 0.0003, 0)</f>
        <v>25.029399999999999</v>
      </c>
      <c r="C329" s="4">
        <f>24.6658 * CHOOSE(CONTROL!$C$9, $C$13, 100%, $E$13) + CHOOSE(CONTROL!$C$28, 0.0003, 0)</f>
        <v>24.6661</v>
      </c>
      <c r="D329" s="4">
        <f>34.6611 * CHOOSE(CONTROL!$C$9, $C$13, 100%, $E$13) + CHOOSE(CONTROL!$C$28, 0, 0)</f>
        <v>34.661099999999998</v>
      </c>
      <c r="E329" s="4">
        <f>158.72911617456 * CHOOSE(CONTROL!$C$9, $C$13, 100%, $E$13) + CHOOSE(CONTROL!$C$28, 0, 0)</f>
        <v>158.72911617456</v>
      </c>
    </row>
    <row r="330" spans="1:5" ht="15">
      <c r="A330" s="13">
        <v>51560</v>
      </c>
      <c r="B330" s="4">
        <f>25.605 * CHOOSE(CONTROL!$C$9, $C$13, 100%, $E$13) + CHOOSE(CONTROL!$C$28, 0.0003, 0)</f>
        <v>25.6053</v>
      </c>
      <c r="C330" s="4">
        <f>25.2418 * CHOOSE(CONTROL!$C$9, $C$13, 100%, $E$13) + CHOOSE(CONTROL!$C$28, 0.0003, 0)</f>
        <v>25.242100000000001</v>
      </c>
      <c r="D330" s="4">
        <f>35.819 * CHOOSE(CONTROL!$C$9, $C$13, 100%, $E$13) + CHOOSE(CONTROL!$C$28, 0, 0)</f>
        <v>35.819000000000003</v>
      </c>
      <c r="E330" s="4">
        <f>162.497970929616 * CHOOSE(CONTROL!$C$9, $C$13, 100%, $E$13) + CHOOSE(CONTROL!$C$28, 0, 0)</f>
        <v>162.497970929616</v>
      </c>
    </row>
    <row r="331" spans="1:5" ht="15">
      <c r="A331" s="13">
        <v>51591</v>
      </c>
      <c r="B331" s="4">
        <f>27.1175 * CHOOSE(CONTROL!$C$9, $C$13, 100%, $E$13) + CHOOSE(CONTROL!$C$28, 0.0003, 0)</f>
        <v>27.117799999999999</v>
      </c>
      <c r="C331" s="4">
        <f>26.7542 * CHOOSE(CONTROL!$C$9, $C$13, 100%, $E$13) + CHOOSE(CONTROL!$C$28, 0.0003, 0)</f>
        <v>26.7545</v>
      </c>
      <c r="D331" s="4">
        <f>37.6317 * CHOOSE(CONTROL!$C$9, $C$13, 100%, $E$13) + CHOOSE(CONTROL!$C$28, 0, 0)</f>
        <v>37.631700000000002</v>
      </c>
      <c r="E331" s="4">
        <f>172.3951838055 * CHOOSE(CONTROL!$C$9, $C$13, 100%, $E$13) + CHOOSE(CONTROL!$C$28, 0, 0)</f>
        <v>172.39518380550001</v>
      </c>
    </row>
    <row r="332" spans="1:5" ht="15">
      <c r="A332" s="13">
        <v>51621</v>
      </c>
      <c r="B332" s="4">
        <f>28.192 * CHOOSE(CONTROL!$C$9, $C$13, 100%, $E$13) + CHOOSE(CONTROL!$C$28, 0.0003, 0)</f>
        <v>28.192299999999999</v>
      </c>
      <c r="C332" s="4">
        <f>27.8288 * CHOOSE(CONTROL!$C$9, $C$13, 100%, $E$13) + CHOOSE(CONTROL!$C$28, 0.0003, 0)</f>
        <v>27.8291</v>
      </c>
      <c r="D332" s="4">
        <f>38.6759 * CHOOSE(CONTROL!$C$9, $C$13, 100%, $E$13) + CHOOSE(CONTROL!$C$28, 0, 0)</f>
        <v>38.675899999999999</v>
      </c>
      <c r="E332" s="4">
        <f>179.427285451519 * CHOOSE(CONTROL!$C$9, $C$13, 100%, $E$13) + CHOOSE(CONTROL!$C$28, 0, 0)</f>
        <v>179.427285451519</v>
      </c>
    </row>
    <row r="333" spans="1:5" ht="15">
      <c r="A333" s="13">
        <v>51652</v>
      </c>
      <c r="B333" s="4">
        <f>28.8486 * CHOOSE(CONTROL!$C$9, $C$13, 100%, $E$13) + CHOOSE(CONTROL!$C$28, 0.0136, 0)</f>
        <v>28.862200000000001</v>
      </c>
      <c r="C333" s="4">
        <f>28.4853 * CHOOSE(CONTROL!$C$9, $C$13, 100%, $E$13) + CHOOSE(CONTROL!$C$28, 0.0136, 0)</f>
        <v>28.498899999999999</v>
      </c>
      <c r="D333" s="4">
        <f>38.2633 * CHOOSE(CONTROL!$C$9, $C$13, 100%, $E$13) + CHOOSE(CONTROL!$C$28, 0, 0)</f>
        <v>38.263300000000001</v>
      </c>
      <c r="E333" s="4">
        <f>183.723731021282 * CHOOSE(CONTROL!$C$9, $C$13, 100%, $E$13) + CHOOSE(CONTROL!$C$28, 0, 0)</f>
        <v>183.72373102128199</v>
      </c>
    </row>
    <row r="334" spans="1:5" ht="15">
      <c r="A334" s="13">
        <v>51682</v>
      </c>
      <c r="B334" s="4">
        <f>28.9374 * CHOOSE(CONTROL!$C$9, $C$13, 100%, $E$13) + CHOOSE(CONTROL!$C$28, 0.0136, 0)</f>
        <v>28.951000000000001</v>
      </c>
      <c r="C334" s="4">
        <f>28.5741 * CHOOSE(CONTROL!$C$9, $C$13, 100%, $E$13) + CHOOSE(CONTROL!$C$28, 0.0136, 0)</f>
        <v>28.587700000000002</v>
      </c>
      <c r="D334" s="4">
        <f>38.5994 * CHOOSE(CONTROL!$C$9, $C$13, 100%, $E$13) + CHOOSE(CONTROL!$C$28, 0, 0)</f>
        <v>38.599400000000003</v>
      </c>
      <c r="E334" s="4">
        <f>184.305057937487 * CHOOSE(CONTROL!$C$9, $C$13, 100%, $E$13) + CHOOSE(CONTROL!$C$28, 0, 0)</f>
        <v>184.30505793748699</v>
      </c>
    </row>
    <row r="335" spans="1:5" ht="15">
      <c r="A335" s="13">
        <v>51713</v>
      </c>
      <c r="B335" s="4">
        <f>28.9285 * CHOOSE(CONTROL!$C$9, $C$13, 100%, $E$13) + CHOOSE(CONTROL!$C$28, 0.0136, 0)</f>
        <v>28.9421</v>
      </c>
      <c r="C335" s="4">
        <f>28.5652 * CHOOSE(CONTROL!$C$9, $C$13, 100%, $E$13) + CHOOSE(CONTROL!$C$28, 0.0136, 0)</f>
        <v>28.578800000000001</v>
      </c>
      <c r="D335" s="4">
        <f>39.2057 * CHOOSE(CONTROL!$C$9, $C$13, 100%, $E$13) + CHOOSE(CONTROL!$C$28, 0, 0)</f>
        <v>39.2057</v>
      </c>
      <c r="E335" s="4">
        <f>184.246436735853 * CHOOSE(CONTROL!$C$9, $C$13, 100%, $E$13) + CHOOSE(CONTROL!$C$28, 0, 0)</f>
        <v>184.246436735853</v>
      </c>
    </row>
    <row r="336" spans="1:5" ht="15">
      <c r="A336" s="13">
        <v>51744</v>
      </c>
      <c r="B336" s="4">
        <f>29.6026 * CHOOSE(CONTROL!$C$9, $C$13, 100%, $E$13) + CHOOSE(CONTROL!$C$28, 0.0136, 0)</f>
        <v>29.616199999999999</v>
      </c>
      <c r="C336" s="4">
        <f>29.2393 * CHOOSE(CONTROL!$C$9, $C$13, 100%, $E$13) + CHOOSE(CONTROL!$C$28, 0.0136, 0)</f>
        <v>29.2529</v>
      </c>
      <c r="D336" s="4">
        <f>38.8053 * CHOOSE(CONTROL!$C$9, $C$13, 100%, $E$13) + CHOOSE(CONTROL!$C$28, 0, 0)</f>
        <v>38.805300000000003</v>
      </c>
      <c r="E336" s="4">
        <f>188.657682158816 * CHOOSE(CONTROL!$C$9, $C$13, 100%, $E$13) + CHOOSE(CONTROL!$C$28, 0, 0)</f>
        <v>188.65768215881599</v>
      </c>
    </row>
    <row r="337" spans="1:5" ht="15">
      <c r="A337" s="13">
        <v>51774</v>
      </c>
      <c r="B337" s="4">
        <f>28.4537 * CHOOSE(CONTROL!$C$9, $C$13, 100%, $E$13) + CHOOSE(CONTROL!$C$28, 0.0136, 0)</f>
        <v>28.467300000000002</v>
      </c>
      <c r="C337" s="4">
        <f>28.0904 * CHOOSE(CONTROL!$C$9, $C$13, 100%, $E$13) + CHOOSE(CONTROL!$C$28, 0.0136, 0)</f>
        <v>28.103999999999999</v>
      </c>
      <c r="D337" s="4">
        <f>38.6161 * CHOOSE(CONTROL!$C$9, $C$13, 100%, $E$13) + CHOOSE(CONTROL!$C$28, 0, 0)</f>
        <v>38.616100000000003</v>
      </c>
      <c r="E337" s="4">
        <f>181.139513049247 * CHOOSE(CONTROL!$C$9, $C$13, 100%, $E$13) + CHOOSE(CONTROL!$C$28, 0, 0)</f>
        <v>181.139513049247</v>
      </c>
    </row>
    <row r="338" spans="1:5" ht="15">
      <c r="A338" s="13">
        <v>51805</v>
      </c>
      <c r="B338" s="4">
        <f>27.534 * CHOOSE(CONTROL!$C$9, $C$13, 100%, $E$13) + CHOOSE(CONTROL!$C$28, 0.0003, 0)</f>
        <v>27.534299999999998</v>
      </c>
      <c r="C338" s="4">
        <f>27.1707 * CHOOSE(CONTROL!$C$9, $C$13, 100%, $E$13) + CHOOSE(CONTROL!$C$28, 0.0003, 0)</f>
        <v>27.170999999999999</v>
      </c>
      <c r="D338" s="4">
        <f>38.1095 * CHOOSE(CONTROL!$C$9, $C$13, 100%, $E$13) + CHOOSE(CONTROL!$C$28, 0, 0)</f>
        <v>38.109499999999997</v>
      </c>
      <c r="E338" s="4">
        <f>175.121069681484 * CHOOSE(CONTROL!$C$9, $C$13, 100%, $E$13) + CHOOSE(CONTROL!$C$28, 0, 0)</f>
        <v>175.12106968148399</v>
      </c>
    </row>
    <row r="339" spans="1:5" ht="15">
      <c r="A339" s="13">
        <v>51835</v>
      </c>
      <c r="B339" s="4">
        <f>26.9417 * CHOOSE(CONTROL!$C$9, $C$13, 100%, $E$13) + CHOOSE(CONTROL!$C$28, 0.0003, 0)</f>
        <v>26.942</v>
      </c>
      <c r="C339" s="4">
        <f>26.5784 * CHOOSE(CONTROL!$C$9, $C$13, 100%, $E$13) + CHOOSE(CONTROL!$C$28, 0.0003, 0)</f>
        <v>26.578699999999998</v>
      </c>
      <c r="D339" s="4">
        <f>37.9353 * CHOOSE(CONTROL!$C$9, $C$13, 100%, $E$13) + CHOOSE(CONTROL!$C$28, 0, 0)</f>
        <v>37.935299999999998</v>
      </c>
      <c r="E339" s="4">
        <f>171.244742723432 * CHOOSE(CONTROL!$C$9, $C$13, 100%, $E$13) + CHOOSE(CONTROL!$C$28, 0, 0)</f>
        <v>171.24474272343201</v>
      </c>
    </row>
    <row r="340" spans="1:5" ht="15">
      <c r="A340" s="13">
        <v>51866</v>
      </c>
      <c r="B340" s="4">
        <f>26.5318 * CHOOSE(CONTROL!$C$9, $C$13, 100%, $E$13) + CHOOSE(CONTROL!$C$28, 0.0003, 0)</f>
        <v>26.5321</v>
      </c>
      <c r="C340" s="4">
        <f>26.1685 * CHOOSE(CONTROL!$C$9, $C$13, 100%, $E$13) + CHOOSE(CONTROL!$C$28, 0.0003, 0)</f>
        <v>26.168800000000001</v>
      </c>
      <c r="D340" s="4">
        <f>36.6532 * CHOOSE(CONTROL!$C$9, $C$13, 100%, $E$13) + CHOOSE(CONTROL!$C$28, 0, 0)</f>
        <v>36.653199999999998</v>
      </c>
      <c r="E340" s="4">
        <f>168.562822748673 * CHOOSE(CONTROL!$C$9, $C$13, 100%, $E$13) + CHOOSE(CONTROL!$C$28, 0, 0)</f>
        <v>168.562822748673</v>
      </c>
    </row>
    <row r="341" spans="1:5" ht="15">
      <c r="A341" s="13">
        <v>51897</v>
      </c>
      <c r="B341" s="4">
        <f>25.4105 * CHOOSE(CONTROL!$C$9, $C$13, 100%, $E$13) + CHOOSE(CONTROL!$C$28, 0.0003, 0)</f>
        <v>25.410799999999998</v>
      </c>
      <c r="C341" s="4">
        <f>25.0473 * CHOOSE(CONTROL!$C$9, $C$13, 100%, $E$13) + CHOOSE(CONTROL!$C$28, 0.0003, 0)</f>
        <v>25.047599999999999</v>
      </c>
      <c r="D341" s="4">
        <f>35.2408 * CHOOSE(CONTROL!$C$9, $C$13, 100%, $E$13) + CHOOSE(CONTROL!$C$28, 0, 0)</f>
        <v>35.2408</v>
      </c>
      <c r="E341" s="4">
        <f>161.541496241311 * CHOOSE(CONTROL!$C$9, $C$13, 100%, $E$13) + CHOOSE(CONTROL!$C$28, 0, 0)</f>
        <v>161.54149624131099</v>
      </c>
    </row>
    <row r="342" spans="1:5" ht="15">
      <c r="A342" s="13">
        <v>51925</v>
      </c>
      <c r="B342" s="4">
        <f>25.9955 * CHOOSE(CONTROL!$C$9, $C$13, 100%, $E$13) + CHOOSE(CONTROL!$C$28, 0.0003, 0)</f>
        <v>25.995799999999999</v>
      </c>
      <c r="C342" s="4">
        <f>25.6322 * CHOOSE(CONTROL!$C$9, $C$13, 100%, $E$13) + CHOOSE(CONTROL!$C$28, 0.0003, 0)</f>
        <v>25.6325</v>
      </c>
      <c r="D342" s="4">
        <f>36.4192 * CHOOSE(CONTROL!$C$9, $C$13, 100%, $E$13) + CHOOSE(CONTROL!$C$28, 0, 0)</f>
        <v>36.419199999999996</v>
      </c>
      <c r="E342" s="4">
        <f>165.377127982487 * CHOOSE(CONTROL!$C$9, $C$13, 100%, $E$13) + CHOOSE(CONTROL!$C$28, 0, 0)</f>
        <v>165.377127982487</v>
      </c>
    </row>
    <row r="343" spans="1:5" ht="15">
      <c r="A343" s="13">
        <v>51956</v>
      </c>
      <c r="B343" s="4">
        <f>27.5317 * CHOOSE(CONTROL!$C$9, $C$13, 100%, $E$13) + CHOOSE(CONTROL!$C$28, 0.0003, 0)</f>
        <v>27.532</v>
      </c>
      <c r="C343" s="4">
        <f>27.1684 * CHOOSE(CONTROL!$C$9, $C$13, 100%, $E$13) + CHOOSE(CONTROL!$C$28, 0.0003, 0)</f>
        <v>27.168699999999998</v>
      </c>
      <c r="D343" s="4">
        <f>38.2639 * CHOOSE(CONTROL!$C$9, $C$13, 100%, $E$13) + CHOOSE(CONTROL!$C$28, 0, 0)</f>
        <v>38.2639</v>
      </c>
      <c r="E343" s="4">
        <f>175.449700772667 * CHOOSE(CONTROL!$C$9, $C$13, 100%, $E$13) + CHOOSE(CONTROL!$C$28, 0, 0)</f>
        <v>175.449700772667</v>
      </c>
    </row>
    <row r="344" spans="1:5" ht="15">
      <c r="A344" s="13">
        <v>51986</v>
      </c>
      <c r="B344" s="4">
        <f>28.6232 * CHOOSE(CONTROL!$C$9, $C$13, 100%, $E$13) + CHOOSE(CONTROL!$C$28, 0.0003, 0)</f>
        <v>28.6235</v>
      </c>
      <c r="C344" s="4">
        <f>28.2599 * CHOOSE(CONTROL!$C$9, $C$13, 100%, $E$13) + CHOOSE(CONTROL!$C$28, 0.0003, 0)</f>
        <v>28.260199999999998</v>
      </c>
      <c r="D344" s="4">
        <f>39.3265 * CHOOSE(CONTROL!$C$9, $C$13, 100%, $E$13) + CHOOSE(CONTROL!$C$28, 0, 0)</f>
        <v>39.326500000000003</v>
      </c>
      <c r="E344" s="4">
        <f>182.606397974771 * CHOOSE(CONTROL!$C$9, $C$13, 100%, $E$13) + CHOOSE(CONTROL!$C$28, 0, 0)</f>
        <v>182.606397974771</v>
      </c>
    </row>
    <row r="345" spans="1:5" ht="15">
      <c r="A345" s="13">
        <v>52017</v>
      </c>
      <c r="B345" s="4">
        <f>29.2901 * CHOOSE(CONTROL!$C$9, $C$13, 100%, $E$13) + CHOOSE(CONTROL!$C$28, 0.0136, 0)</f>
        <v>29.303699999999999</v>
      </c>
      <c r="C345" s="4">
        <f>28.9268 * CHOOSE(CONTROL!$C$9, $C$13, 100%, $E$13) + CHOOSE(CONTROL!$C$28, 0.0136, 0)</f>
        <v>28.9404</v>
      </c>
      <c r="D345" s="4">
        <f>38.9066 * CHOOSE(CONTROL!$C$9, $C$13, 100%, $E$13) + CHOOSE(CONTROL!$C$28, 0, 0)</f>
        <v>38.906599999999997</v>
      </c>
      <c r="E345" s="4">
        <f>186.978968443163 * CHOOSE(CONTROL!$C$9, $C$13, 100%, $E$13) + CHOOSE(CONTROL!$C$28, 0, 0)</f>
        <v>186.97896844316301</v>
      </c>
    </row>
    <row r="346" spans="1:5" ht="15">
      <c r="A346" s="13">
        <v>52047</v>
      </c>
      <c r="B346" s="4">
        <f>29.3803 * CHOOSE(CONTROL!$C$9, $C$13, 100%, $E$13) + CHOOSE(CONTROL!$C$28, 0.0136, 0)</f>
        <v>29.393899999999999</v>
      </c>
      <c r="C346" s="4">
        <f>29.017 * CHOOSE(CONTROL!$C$9, $C$13, 100%, $E$13) + CHOOSE(CONTROL!$C$28, 0.0136, 0)</f>
        <v>29.0306</v>
      </c>
      <c r="D346" s="4">
        <f>39.2486 * CHOOSE(CONTROL!$C$9, $C$13, 100%, $E$13) + CHOOSE(CONTROL!$C$28, 0, 0)</f>
        <v>39.248600000000003</v>
      </c>
      <c r="E346" s="4">
        <f>187.570595374077 * CHOOSE(CONTROL!$C$9, $C$13, 100%, $E$13) + CHOOSE(CONTROL!$C$28, 0, 0)</f>
        <v>187.57059537407699</v>
      </c>
    </row>
    <row r="347" spans="1:5" ht="15">
      <c r="A347" s="13">
        <v>52078</v>
      </c>
      <c r="B347" s="4">
        <f>29.3712 * CHOOSE(CONTROL!$C$9, $C$13, 100%, $E$13) + CHOOSE(CONTROL!$C$28, 0.0136, 0)</f>
        <v>29.384800000000002</v>
      </c>
      <c r="C347" s="4">
        <f>29.0079 * CHOOSE(CONTROL!$C$9, $C$13, 100%, $E$13) + CHOOSE(CONTROL!$C$28, 0.0136, 0)</f>
        <v>29.0215</v>
      </c>
      <c r="D347" s="4">
        <f>39.8657 * CHOOSE(CONTROL!$C$9, $C$13, 100%, $E$13) + CHOOSE(CONTROL!$C$28, 0, 0)</f>
        <v>39.865699999999997</v>
      </c>
      <c r="E347" s="4">
        <f>187.510935515497 * CHOOSE(CONTROL!$C$9, $C$13, 100%, $E$13) + CHOOSE(CONTROL!$C$28, 0, 0)</f>
        <v>187.51093551549701</v>
      </c>
    </row>
    <row r="348" spans="1:5" ht="15">
      <c r="A348" s="13">
        <v>52109</v>
      </c>
      <c r="B348" s="4">
        <f>30.0559 * CHOOSE(CONTROL!$C$9, $C$13, 100%, $E$13) + CHOOSE(CONTROL!$C$28, 0.0136, 0)</f>
        <v>30.069500000000001</v>
      </c>
      <c r="C348" s="4">
        <f>29.6926 * CHOOSE(CONTROL!$C$9, $C$13, 100%, $E$13) + CHOOSE(CONTROL!$C$28, 0.0136, 0)</f>
        <v>29.706199999999999</v>
      </c>
      <c r="D348" s="4">
        <f>39.4582 * CHOOSE(CONTROL!$C$9, $C$13, 100%, $E$13) + CHOOSE(CONTROL!$C$28, 0, 0)</f>
        <v>39.458199999999998</v>
      </c>
      <c r="E348" s="4">
        <f>192.000339873608 * CHOOSE(CONTROL!$C$9, $C$13, 100%, $E$13) + CHOOSE(CONTROL!$C$28, 0, 0)</f>
        <v>192.000339873608</v>
      </c>
    </row>
    <row r="349" spans="1:5" ht="15">
      <c r="A349" s="13">
        <v>52139</v>
      </c>
      <c r="B349" s="4">
        <f>28.889 * CHOOSE(CONTROL!$C$9, $C$13, 100%, $E$13) + CHOOSE(CONTROL!$C$28, 0.0136, 0)</f>
        <v>28.9026</v>
      </c>
      <c r="C349" s="4">
        <f>28.5257 * CHOOSE(CONTROL!$C$9, $C$13, 100%, $E$13) + CHOOSE(CONTROL!$C$28, 0.0136, 0)</f>
        <v>28.539300000000001</v>
      </c>
      <c r="D349" s="4">
        <f>39.2656 * CHOOSE(CONTROL!$C$9, $C$13, 100%, $E$13) + CHOOSE(CONTROL!$C$28, 0, 0)</f>
        <v>39.265599999999999</v>
      </c>
      <c r="E349" s="4">
        <f>184.348963010781 * CHOOSE(CONTROL!$C$9, $C$13, 100%, $E$13) + CHOOSE(CONTROL!$C$28, 0, 0)</f>
        <v>184.34896301078101</v>
      </c>
    </row>
    <row r="350" spans="1:5" ht="15">
      <c r="A350" s="13">
        <v>52170</v>
      </c>
      <c r="B350" s="4">
        <f>27.9548 * CHOOSE(CONTROL!$C$9, $C$13, 100%, $E$13) + CHOOSE(CONTROL!$C$28, 0.0003, 0)</f>
        <v>27.955099999999998</v>
      </c>
      <c r="C350" s="4">
        <f>27.5915 * CHOOSE(CONTROL!$C$9, $C$13, 100%, $E$13) + CHOOSE(CONTROL!$C$28, 0.0003, 0)</f>
        <v>27.591799999999999</v>
      </c>
      <c r="D350" s="4">
        <f>38.7501 * CHOOSE(CONTROL!$C$9, $C$13, 100%, $E$13) + CHOOSE(CONTROL!$C$28, 0, 0)</f>
        <v>38.750100000000003</v>
      </c>
      <c r="E350" s="4">
        <f>178.223884196615 * CHOOSE(CONTROL!$C$9, $C$13, 100%, $E$13) + CHOOSE(CONTROL!$C$28, 0, 0)</f>
        <v>178.22388419661499</v>
      </c>
    </row>
    <row r="351" spans="1:5" ht="15">
      <c r="A351" s="13">
        <v>52200</v>
      </c>
      <c r="B351" s="4">
        <f>27.3531 * CHOOSE(CONTROL!$C$9, $C$13, 100%, $E$13) + CHOOSE(CONTROL!$C$28, 0.0003, 0)</f>
        <v>27.353400000000001</v>
      </c>
      <c r="C351" s="4">
        <f>26.9899 * CHOOSE(CONTROL!$C$9, $C$13, 100%, $E$13) + CHOOSE(CONTROL!$C$28, 0.0003, 0)</f>
        <v>26.990199999999998</v>
      </c>
      <c r="D351" s="4">
        <f>38.5729 * CHOOSE(CONTROL!$C$9, $C$13, 100%, $E$13) + CHOOSE(CONTROL!$C$28, 0, 0)</f>
        <v>38.572899999999997</v>
      </c>
      <c r="E351" s="4">
        <f>174.278876048043 * CHOOSE(CONTROL!$C$9, $C$13, 100%, $E$13) + CHOOSE(CONTROL!$C$28, 0, 0)</f>
        <v>174.278876048043</v>
      </c>
    </row>
    <row r="352" spans="1:5" ht="15">
      <c r="A352" s="13">
        <v>52231</v>
      </c>
      <c r="B352" s="4">
        <f>26.9369 * CHOOSE(CONTROL!$C$9, $C$13, 100%, $E$13) + CHOOSE(CONTROL!$C$28, 0.0003, 0)</f>
        <v>26.937200000000001</v>
      </c>
      <c r="C352" s="4">
        <f>26.5736 * CHOOSE(CONTROL!$C$9, $C$13, 100%, $E$13) + CHOOSE(CONTROL!$C$28, 0.0003, 0)</f>
        <v>26.573899999999998</v>
      </c>
      <c r="D352" s="4">
        <f>37.268 * CHOOSE(CONTROL!$C$9, $C$13, 100%, $E$13) + CHOOSE(CONTROL!$C$28, 0, 0)</f>
        <v>37.268000000000001</v>
      </c>
      <c r="E352" s="4">
        <f>171.549437518029 * CHOOSE(CONTROL!$C$9, $C$13, 100%, $E$13) + CHOOSE(CONTROL!$C$28, 0, 0)</f>
        <v>171.54943751802901</v>
      </c>
    </row>
    <row r="353" spans="1:5" ht="15">
      <c r="A353" s="13">
        <v>52262</v>
      </c>
      <c r="B353" s="4">
        <f>25.798 * CHOOSE(CONTROL!$C$9, $C$13, 100%, $E$13) + CHOOSE(CONTROL!$C$28, 0.0003, 0)</f>
        <v>25.798299999999998</v>
      </c>
      <c r="C353" s="4">
        <f>25.4347 * CHOOSE(CONTROL!$C$9, $C$13, 100%, $E$13) + CHOOSE(CONTROL!$C$28, 0.0003, 0)</f>
        <v>25.434999999999999</v>
      </c>
      <c r="D353" s="4">
        <f>35.8307 * CHOOSE(CONTROL!$C$9, $C$13, 100%, $E$13) + CHOOSE(CONTROL!$C$28, 0, 0)</f>
        <v>35.8307</v>
      </c>
      <c r="E353" s="4">
        <f>164.403706369683 * CHOOSE(CONTROL!$C$9, $C$13, 100%, $E$13) + CHOOSE(CONTROL!$C$28, 0, 0)</f>
        <v>164.40370636968299</v>
      </c>
    </row>
    <row r="354" spans="1:5" ht="15">
      <c r="A354" s="13">
        <v>52290</v>
      </c>
      <c r="B354" s="4">
        <f>26.3921 * CHOOSE(CONTROL!$C$9, $C$13, 100%, $E$13) + CHOOSE(CONTROL!$C$28, 0.0003, 0)</f>
        <v>26.392399999999999</v>
      </c>
      <c r="C354" s="4">
        <f>26.0289 * CHOOSE(CONTROL!$C$9, $C$13, 100%, $E$13) + CHOOSE(CONTROL!$C$28, 0.0003, 0)</f>
        <v>26.029199999999999</v>
      </c>
      <c r="D354" s="4">
        <f>37.0299 * CHOOSE(CONTROL!$C$9, $C$13, 100%, $E$13) + CHOOSE(CONTROL!$C$28, 0, 0)</f>
        <v>37.029899999999998</v>
      </c>
      <c r="E354" s="4">
        <f>168.307298259017 * CHOOSE(CONTROL!$C$9, $C$13, 100%, $E$13) + CHOOSE(CONTROL!$C$28, 0, 0)</f>
        <v>168.30729825901699</v>
      </c>
    </row>
    <row r="355" spans="1:5" ht="15">
      <c r="A355" s="13">
        <v>52321</v>
      </c>
      <c r="B355" s="4">
        <f>27.9525 * CHOOSE(CONTROL!$C$9, $C$13, 100%, $E$13) + CHOOSE(CONTROL!$C$28, 0.0003, 0)</f>
        <v>27.9528</v>
      </c>
      <c r="C355" s="4">
        <f>27.5892 * CHOOSE(CONTROL!$C$9, $C$13, 100%, $E$13) + CHOOSE(CONTROL!$C$28, 0.0003, 0)</f>
        <v>27.589500000000001</v>
      </c>
      <c r="D355" s="4">
        <f>38.9073 * CHOOSE(CONTROL!$C$9, $C$13, 100%, $E$13) + CHOOSE(CONTROL!$C$28, 0, 0)</f>
        <v>38.907299999999999</v>
      </c>
      <c r="E355" s="4">
        <f>178.558338009882 * CHOOSE(CONTROL!$C$9, $C$13, 100%, $E$13) + CHOOSE(CONTROL!$C$28, 0, 0)</f>
        <v>178.55833800988199</v>
      </c>
    </row>
    <row r="356" spans="1:5" ht="15">
      <c r="A356" s="13">
        <v>52351</v>
      </c>
      <c r="B356" s="4">
        <f>29.0611 * CHOOSE(CONTROL!$C$9, $C$13, 100%, $E$13) + CHOOSE(CONTROL!$C$28, 0.0003, 0)</f>
        <v>29.061399999999999</v>
      </c>
      <c r="C356" s="4">
        <f>28.6978 * CHOOSE(CONTROL!$C$9, $C$13, 100%, $E$13) + CHOOSE(CONTROL!$C$28, 0.0003, 0)</f>
        <v>28.6981</v>
      </c>
      <c r="D356" s="4">
        <f>39.9887 * CHOOSE(CONTROL!$C$9, $C$13, 100%, $E$13) + CHOOSE(CONTROL!$C$28, 0, 0)</f>
        <v>39.988700000000001</v>
      </c>
      <c r="E356" s="4">
        <f>185.841838365939 * CHOOSE(CONTROL!$C$9, $C$13, 100%, $E$13) + CHOOSE(CONTROL!$C$28, 0, 0)</f>
        <v>185.841838365939</v>
      </c>
    </row>
    <row r="357" spans="1:5" ht="15">
      <c r="A357" s="13">
        <v>52382</v>
      </c>
      <c r="B357" s="4">
        <f>29.7385 * CHOOSE(CONTROL!$C$9, $C$13, 100%, $E$13) + CHOOSE(CONTROL!$C$28, 0.0136, 0)</f>
        <v>29.752099999999999</v>
      </c>
      <c r="C357" s="4">
        <f>29.3752 * CHOOSE(CONTROL!$C$9, $C$13, 100%, $E$13) + CHOOSE(CONTROL!$C$28, 0.0136, 0)</f>
        <v>29.3888</v>
      </c>
      <c r="D357" s="4">
        <f>39.5613 * CHOOSE(CONTROL!$C$9, $C$13, 100%, $E$13) + CHOOSE(CONTROL!$C$28, 0, 0)</f>
        <v>39.561300000000003</v>
      </c>
      <c r="E357" s="4">
        <f>190.291882522348 * CHOOSE(CONTROL!$C$9, $C$13, 100%, $E$13) + CHOOSE(CONTROL!$C$28, 0, 0)</f>
        <v>190.291882522348</v>
      </c>
    </row>
    <row r="358" spans="1:5" ht="15">
      <c r="A358" s="13">
        <v>52412</v>
      </c>
      <c r="B358" s="4">
        <f>29.8301 * CHOOSE(CONTROL!$C$9, $C$13, 100%, $E$13) + CHOOSE(CONTROL!$C$28, 0.0136, 0)</f>
        <v>29.843700000000002</v>
      </c>
      <c r="C358" s="4">
        <f>29.4669 * CHOOSE(CONTROL!$C$9, $C$13, 100%, $E$13) + CHOOSE(CONTROL!$C$28, 0.0136, 0)</f>
        <v>29.480499999999999</v>
      </c>
      <c r="D358" s="4">
        <f>39.9094 * CHOOSE(CONTROL!$C$9, $C$13, 100%, $E$13) + CHOOSE(CONTROL!$C$28, 0, 0)</f>
        <v>39.909399999999998</v>
      </c>
      <c r="E358" s="4">
        <f>190.893991964773 * CHOOSE(CONTROL!$C$9, $C$13, 100%, $E$13) + CHOOSE(CONTROL!$C$28, 0, 0)</f>
        <v>190.89399196477299</v>
      </c>
    </row>
    <row r="359" spans="1:5" ht="15">
      <c r="A359" s="13">
        <v>52443</v>
      </c>
      <c r="B359" s="4">
        <f>29.8209 * CHOOSE(CONTROL!$C$9, $C$13, 100%, $E$13) + CHOOSE(CONTROL!$C$28, 0.0136, 0)</f>
        <v>29.834500000000002</v>
      </c>
      <c r="C359" s="4">
        <f>29.4576 * CHOOSE(CONTROL!$C$9, $C$13, 100%, $E$13) + CHOOSE(CONTROL!$C$28, 0.0136, 0)</f>
        <v>29.4712</v>
      </c>
      <c r="D359" s="4">
        <f>40.5373 * CHOOSE(CONTROL!$C$9, $C$13, 100%, $E$13) + CHOOSE(CONTROL!$C$28, 0, 0)</f>
        <v>40.537300000000002</v>
      </c>
      <c r="E359" s="4">
        <f>190.833275046209 * CHOOSE(CONTROL!$C$9, $C$13, 100%, $E$13) + CHOOSE(CONTROL!$C$28, 0, 0)</f>
        <v>190.833275046209</v>
      </c>
    </row>
    <row r="360" spans="1:5" ht="15">
      <c r="A360" s="13">
        <v>52474</v>
      </c>
      <c r="B360" s="4">
        <f>30.5164 * CHOOSE(CONTROL!$C$9, $C$13, 100%, $E$13) + CHOOSE(CONTROL!$C$28, 0.0136, 0)</f>
        <v>30.53</v>
      </c>
      <c r="C360" s="4">
        <f>30.1531 * CHOOSE(CONTROL!$C$9, $C$13, 100%, $E$13) + CHOOSE(CONTROL!$C$28, 0.0136, 0)</f>
        <v>30.166699999999999</v>
      </c>
      <c r="D360" s="4">
        <f>40.1226 * CHOOSE(CONTROL!$C$9, $C$13, 100%, $E$13) + CHOOSE(CONTROL!$C$28, 0, 0)</f>
        <v>40.122599999999998</v>
      </c>
      <c r="E360" s="4">
        <f>195.402223168139 * CHOOSE(CONTROL!$C$9, $C$13, 100%, $E$13) + CHOOSE(CONTROL!$C$28, 0, 0)</f>
        <v>195.40222316813899</v>
      </c>
    </row>
    <row r="361" spans="1:5" ht="15">
      <c r="A361" s="13">
        <v>52504</v>
      </c>
      <c r="B361" s="4">
        <f>29.3311 * CHOOSE(CONTROL!$C$9, $C$13, 100%, $E$13) + CHOOSE(CONTROL!$C$28, 0.0136, 0)</f>
        <v>29.3447</v>
      </c>
      <c r="C361" s="4">
        <f>28.9678 * CHOOSE(CONTROL!$C$9, $C$13, 100%, $E$13) + CHOOSE(CONTROL!$C$28, 0.0136, 0)</f>
        <v>28.981400000000001</v>
      </c>
      <c r="D361" s="4">
        <f>39.9267 * CHOOSE(CONTROL!$C$9, $C$13, 100%, $E$13) + CHOOSE(CONTROL!$C$28, 0, 0)</f>
        <v>39.926699999999997</v>
      </c>
      <c r="E361" s="4">
        <f>187.615278362325 * CHOOSE(CONTROL!$C$9, $C$13, 100%, $E$13) + CHOOSE(CONTROL!$C$28, 0, 0)</f>
        <v>187.615278362325</v>
      </c>
    </row>
    <row r="362" spans="1:5" ht="15">
      <c r="A362" s="13">
        <v>52535</v>
      </c>
      <c r="B362" s="4">
        <f>28.3822 * CHOOSE(CONTROL!$C$9, $C$13, 100%, $E$13) + CHOOSE(CONTROL!$C$28, 0.0003, 0)</f>
        <v>28.3825</v>
      </c>
      <c r="C362" s="4">
        <f>28.019 * CHOOSE(CONTROL!$C$9, $C$13, 100%, $E$13) + CHOOSE(CONTROL!$C$28, 0.0003, 0)</f>
        <v>28.019299999999998</v>
      </c>
      <c r="D362" s="4">
        <f>39.402 * CHOOSE(CONTROL!$C$9, $C$13, 100%, $E$13) + CHOOSE(CONTROL!$C$28, 0, 0)</f>
        <v>39.402000000000001</v>
      </c>
      <c r="E362" s="4">
        <f>181.381674723102 * CHOOSE(CONTROL!$C$9, $C$13, 100%, $E$13) + CHOOSE(CONTROL!$C$28, 0, 0)</f>
        <v>181.38167472310201</v>
      </c>
    </row>
    <row r="363" spans="1:5" ht="15">
      <c r="A363" s="13">
        <v>52565</v>
      </c>
      <c r="B363" s="4">
        <f>27.7711 * CHOOSE(CONTROL!$C$9, $C$13, 100%, $E$13) + CHOOSE(CONTROL!$C$28, 0.0003, 0)</f>
        <v>27.7714</v>
      </c>
      <c r="C363" s="4">
        <f>27.4078 * CHOOSE(CONTROL!$C$9, $C$13, 100%, $E$13) + CHOOSE(CONTROL!$C$28, 0.0003, 0)</f>
        <v>27.408100000000001</v>
      </c>
      <c r="D363" s="4">
        <f>39.2217 * CHOOSE(CONTROL!$C$9, $C$13, 100%, $E$13) + CHOOSE(CONTROL!$C$28, 0, 0)</f>
        <v>39.221699999999998</v>
      </c>
      <c r="E363" s="4">
        <f>177.366768483066 * CHOOSE(CONTROL!$C$9, $C$13, 100%, $E$13) + CHOOSE(CONTROL!$C$28, 0, 0)</f>
        <v>177.36676848306601</v>
      </c>
    </row>
    <row r="364" spans="1:5" ht="15">
      <c r="A364" s="13">
        <v>52596</v>
      </c>
      <c r="B364" s="4">
        <f>27.3483 * CHOOSE(CONTROL!$C$9, $C$13, 100%, $E$13) + CHOOSE(CONTROL!$C$28, 0.0003, 0)</f>
        <v>27.348599999999998</v>
      </c>
      <c r="C364" s="4">
        <f>26.985 * CHOOSE(CONTROL!$C$9, $C$13, 100%, $E$13) + CHOOSE(CONTROL!$C$28, 0.0003, 0)</f>
        <v>26.985299999999999</v>
      </c>
      <c r="D364" s="4">
        <f>37.8938 * CHOOSE(CONTROL!$C$9, $C$13, 100%, $E$13) + CHOOSE(CONTROL!$C$28, 0, 0)</f>
        <v>37.893799999999999</v>
      </c>
      <c r="E364" s="4">
        <f>174.58896945877 * CHOOSE(CONTROL!$C$9, $C$13, 100%, $E$13) + CHOOSE(CONTROL!$C$28, 0, 0)</f>
        <v>174.58896945877001</v>
      </c>
    </row>
    <row r="365" spans="1:5" ht="15">
      <c r="A365" s="13">
        <v>52627</v>
      </c>
      <c r="B365" s="4">
        <f>26.1915 * CHOOSE(CONTROL!$C$9, $C$13, 100%, $E$13) + CHOOSE(CONTROL!$C$28, 0.0003, 0)</f>
        <v>26.191800000000001</v>
      </c>
      <c r="C365" s="4">
        <f>25.8282 * CHOOSE(CONTROL!$C$9, $C$13, 100%, $E$13) + CHOOSE(CONTROL!$C$28, 0.0003, 0)</f>
        <v>25.828499999999998</v>
      </c>
      <c r="D365" s="4">
        <f>36.431 * CHOOSE(CONTROL!$C$9, $C$13, 100%, $E$13) + CHOOSE(CONTROL!$C$28, 0, 0)</f>
        <v>36.430999999999997</v>
      </c>
      <c r="E365" s="4">
        <f>167.316629454227 * CHOOSE(CONTROL!$C$9, $C$13, 100%, $E$13) + CHOOSE(CONTROL!$C$28, 0, 0)</f>
        <v>167.31662945422701</v>
      </c>
    </row>
    <row r="366" spans="1:5" ht="15">
      <c r="A366" s="13">
        <v>52655</v>
      </c>
      <c r="B366" s="4">
        <f>26.795 * CHOOSE(CONTROL!$C$9, $C$13, 100%, $E$13) + CHOOSE(CONTROL!$C$28, 0.0003, 0)</f>
        <v>26.795300000000001</v>
      </c>
      <c r="C366" s="4">
        <f>26.4317 * CHOOSE(CONTROL!$C$9, $C$13, 100%, $E$13) + CHOOSE(CONTROL!$C$28, 0.0003, 0)</f>
        <v>26.431999999999999</v>
      </c>
      <c r="D366" s="4">
        <f>37.6515 * CHOOSE(CONTROL!$C$9, $C$13, 100%, $E$13) + CHOOSE(CONTROL!$C$28, 0, 0)</f>
        <v>37.651499999999999</v>
      </c>
      <c r="E366" s="4">
        <f>171.289385617155 * CHOOSE(CONTROL!$C$9, $C$13, 100%, $E$13) + CHOOSE(CONTROL!$C$28, 0, 0)</f>
        <v>171.28938561715501</v>
      </c>
    </row>
    <row r="367" spans="1:5" ht="15">
      <c r="A367" s="13">
        <v>52687</v>
      </c>
      <c r="B367" s="4">
        <f>28.3799 * CHOOSE(CONTROL!$C$9, $C$13, 100%, $E$13) + CHOOSE(CONTROL!$C$28, 0.0003, 0)</f>
        <v>28.380199999999999</v>
      </c>
      <c r="C367" s="4">
        <f>28.0166 * CHOOSE(CONTROL!$C$9, $C$13, 100%, $E$13) + CHOOSE(CONTROL!$C$28, 0.0003, 0)</f>
        <v>28.0169</v>
      </c>
      <c r="D367" s="4">
        <f>39.562 * CHOOSE(CONTROL!$C$9, $C$13, 100%, $E$13) + CHOOSE(CONTROL!$C$28, 0, 0)</f>
        <v>39.561999999999998</v>
      </c>
      <c r="E367" s="4">
        <f>181.722054426088 * CHOOSE(CONTROL!$C$9, $C$13, 100%, $E$13) + CHOOSE(CONTROL!$C$28, 0, 0)</f>
        <v>181.72205442608799</v>
      </c>
    </row>
    <row r="368" spans="1:5" ht="15">
      <c r="A368" s="13">
        <v>52717</v>
      </c>
      <c r="B368" s="4">
        <f>29.506 * CHOOSE(CONTROL!$C$9, $C$13, 100%, $E$13) + CHOOSE(CONTROL!$C$28, 0.0003, 0)</f>
        <v>29.5063</v>
      </c>
      <c r="C368" s="4">
        <f>29.1427 * CHOOSE(CONTROL!$C$9, $C$13, 100%, $E$13) + CHOOSE(CONTROL!$C$28, 0.0003, 0)</f>
        <v>29.143000000000001</v>
      </c>
      <c r="D368" s="4">
        <f>40.6625 * CHOOSE(CONTROL!$C$9, $C$13, 100%, $E$13) + CHOOSE(CONTROL!$C$28, 0, 0)</f>
        <v>40.662500000000001</v>
      </c>
      <c r="E368" s="4">
        <f>189.134604648427 * CHOOSE(CONTROL!$C$9, $C$13, 100%, $E$13) + CHOOSE(CONTROL!$C$28, 0, 0)</f>
        <v>189.134604648427</v>
      </c>
    </row>
    <row r="369" spans="1:5" ht="15">
      <c r="A369" s="13">
        <v>52748</v>
      </c>
      <c r="B369" s="4">
        <f>30.194 * CHOOSE(CONTROL!$C$9, $C$13, 100%, $E$13) + CHOOSE(CONTROL!$C$28, 0.0136, 0)</f>
        <v>30.207599999999999</v>
      </c>
      <c r="C369" s="4">
        <f>29.8307 * CHOOSE(CONTROL!$C$9, $C$13, 100%, $E$13) + CHOOSE(CONTROL!$C$28, 0.0136, 0)</f>
        <v>29.8443</v>
      </c>
      <c r="D369" s="4">
        <f>40.2276 * CHOOSE(CONTROL!$C$9, $C$13, 100%, $E$13) + CHOOSE(CONTROL!$C$28, 0, 0)</f>
        <v>40.227600000000002</v>
      </c>
      <c r="E369" s="4">
        <f>193.663495180242 * CHOOSE(CONTROL!$C$9, $C$13, 100%, $E$13) + CHOOSE(CONTROL!$C$28, 0, 0)</f>
        <v>193.66349518024199</v>
      </c>
    </row>
    <row r="370" spans="1:5" ht="15">
      <c r="A370" s="13">
        <v>52778</v>
      </c>
      <c r="B370" s="4">
        <f>30.2871 * CHOOSE(CONTROL!$C$9, $C$13, 100%, $E$13) + CHOOSE(CONTROL!$C$28, 0.0136, 0)</f>
        <v>30.300699999999999</v>
      </c>
      <c r="C370" s="4">
        <f>29.9238 * CHOOSE(CONTROL!$C$9, $C$13, 100%, $E$13) + CHOOSE(CONTROL!$C$28, 0.0136, 0)</f>
        <v>29.9374</v>
      </c>
      <c r="D370" s="4">
        <f>40.5818 * CHOOSE(CONTROL!$C$9, $C$13, 100%, $E$13) + CHOOSE(CONTROL!$C$28, 0, 0)</f>
        <v>40.581800000000001</v>
      </c>
      <c r="E370" s="4">
        <f>194.276272864478 * CHOOSE(CONTROL!$C$9, $C$13, 100%, $E$13) + CHOOSE(CONTROL!$C$28, 0, 0)</f>
        <v>194.27627286447799</v>
      </c>
    </row>
    <row r="371" spans="1:5" ht="15">
      <c r="A371" s="13">
        <v>52809</v>
      </c>
      <c r="B371" s="4">
        <f>30.2777 * CHOOSE(CONTROL!$C$9, $C$13, 100%, $E$13) + CHOOSE(CONTROL!$C$28, 0.0136, 0)</f>
        <v>30.2913</v>
      </c>
      <c r="C371" s="4">
        <f>29.9144 * CHOOSE(CONTROL!$C$9, $C$13, 100%, $E$13) + CHOOSE(CONTROL!$C$28, 0.0136, 0)</f>
        <v>29.928000000000001</v>
      </c>
      <c r="D371" s="4">
        <f>41.2208 * CHOOSE(CONTROL!$C$9, $C$13, 100%, $E$13) + CHOOSE(CONTROL!$C$28, 0, 0)</f>
        <v>41.220799999999997</v>
      </c>
      <c r="E371" s="4">
        <f>194.214480156824 * CHOOSE(CONTROL!$C$9, $C$13, 100%, $E$13) + CHOOSE(CONTROL!$C$28, 0, 0)</f>
        <v>194.21448015682401</v>
      </c>
    </row>
    <row r="372" spans="1:5" ht="15">
      <c r="A372" s="13">
        <v>52840</v>
      </c>
      <c r="B372" s="4">
        <f>30.9841 * CHOOSE(CONTROL!$C$9, $C$13, 100%, $E$13) + CHOOSE(CONTROL!$C$28, 0.0136, 0)</f>
        <v>30.997700000000002</v>
      </c>
      <c r="C372" s="4">
        <f>30.6208 * CHOOSE(CONTROL!$C$9, $C$13, 100%, $E$13) + CHOOSE(CONTROL!$C$28, 0.0136, 0)</f>
        <v>30.634399999999999</v>
      </c>
      <c r="D372" s="4">
        <f>40.7988 * CHOOSE(CONTROL!$C$9, $C$13, 100%, $E$13) + CHOOSE(CONTROL!$C$28, 0, 0)</f>
        <v>40.7988</v>
      </c>
      <c r="E372" s="4">
        <f>198.864381407795 * CHOOSE(CONTROL!$C$9, $C$13, 100%, $E$13) + CHOOSE(CONTROL!$C$28, 0, 0)</f>
        <v>198.86438140779501</v>
      </c>
    </row>
    <row r="373" spans="1:5" ht="15">
      <c r="A373" s="13">
        <v>52870</v>
      </c>
      <c r="B373" s="4">
        <f>29.7801 * CHOOSE(CONTROL!$C$9, $C$13, 100%, $E$13) + CHOOSE(CONTROL!$C$28, 0.0136, 0)</f>
        <v>29.793700000000001</v>
      </c>
      <c r="C373" s="4">
        <f>29.4169 * CHOOSE(CONTROL!$C$9, $C$13, 100%, $E$13) + CHOOSE(CONTROL!$C$28, 0.0136, 0)</f>
        <v>29.430499999999999</v>
      </c>
      <c r="D373" s="4">
        <f>40.5994 * CHOOSE(CONTROL!$C$9, $C$13, 100%, $E$13) + CHOOSE(CONTROL!$C$28, 0, 0)</f>
        <v>40.599400000000003</v>
      </c>
      <c r="E373" s="4">
        <f>190.939466651157 * CHOOSE(CONTROL!$C$9, $C$13, 100%, $E$13) + CHOOSE(CONTROL!$C$28, 0, 0)</f>
        <v>190.93946665115701</v>
      </c>
    </row>
    <row r="374" spans="1:5" ht="15">
      <c r="A374" s="13">
        <v>52901</v>
      </c>
      <c r="B374" s="4">
        <f>28.8164 * CHOOSE(CONTROL!$C$9, $C$13, 100%, $E$13) + CHOOSE(CONTROL!$C$28, 0.0003, 0)</f>
        <v>28.816700000000001</v>
      </c>
      <c r="C374" s="4">
        <f>28.4531 * CHOOSE(CONTROL!$C$9, $C$13, 100%, $E$13) + CHOOSE(CONTROL!$C$28, 0.0003, 0)</f>
        <v>28.453399999999998</v>
      </c>
      <c r="D374" s="4">
        <f>40.0655 * CHOOSE(CONTROL!$C$9, $C$13, 100%, $E$13) + CHOOSE(CONTROL!$C$28, 0, 0)</f>
        <v>40.0655</v>
      </c>
      <c r="E374" s="4">
        <f>184.595415332003 * CHOOSE(CONTROL!$C$9, $C$13, 100%, $E$13) + CHOOSE(CONTROL!$C$28, 0, 0)</f>
        <v>184.595415332003</v>
      </c>
    </row>
    <row r="375" spans="1:5" ht="15">
      <c r="A375" s="13">
        <v>52931</v>
      </c>
      <c r="B375" s="4">
        <f>28.1956 * CHOOSE(CONTROL!$C$9, $C$13, 100%, $E$13) + CHOOSE(CONTROL!$C$28, 0.0003, 0)</f>
        <v>28.195899999999998</v>
      </c>
      <c r="C375" s="4">
        <f>27.8324 * CHOOSE(CONTROL!$C$9, $C$13, 100%, $E$13) + CHOOSE(CONTROL!$C$28, 0.0003, 0)</f>
        <v>27.832699999999999</v>
      </c>
      <c r="D375" s="4">
        <f>39.8819 * CHOOSE(CONTROL!$C$9, $C$13, 100%, $E$13) + CHOOSE(CONTROL!$C$28, 0, 0)</f>
        <v>39.881900000000002</v>
      </c>
      <c r="E375" s="4">
        <f>180.509372538376 * CHOOSE(CONTROL!$C$9, $C$13, 100%, $E$13) + CHOOSE(CONTROL!$C$28, 0, 0)</f>
        <v>180.509372538376</v>
      </c>
    </row>
    <row r="376" spans="1:5" ht="15">
      <c r="A376" s="13">
        <v>52962</v>
      </c>
      <c r="B376" s="4">
        <f>27.7662 * CHOOSE(CONTROL!$C$9, $C$13, 100%, $E$13) + CHOOSE(CONTROL!$C$28, 0.0003, 0)</f>
        <v>27.766500000000001</v>
      </c>
      <c r="C376" s="4">
        <f>27.4029 * CHOOSE(CONTROL!$C$9, $C$13, 100%, $E$13) + CHOOSE(CONTROL!$C$28, 0.0003, 0)</f>
        <v>27.403199999999998</v>
      </c>
      <c r="D376" s="4">
        <f>38.5306 * CHOOSE(CONTROL!$C$9, $C$13, 100%, $E$13) + CHOOSE(CONTROL!$C$28, 0, 0)</f>
        <v>38.5306</v>
      </c>
      <c r="E376" s="4">
        <f>177.682356163201 * CHOOSE(CONTROL!$C$9, $C$13, 100%, $E$13) + CHOOSE(CONTROL!$C$28, 0, 0)</f>
        <v>177.68235616320101</v>
      </c>
    </row>
    <row r="377" spans="1:5" ht="15">
      <c r="A377" s="13">
        <v>52993</v>
      </c>
      <c r="B377" s="4">
        <f>26.5912 * CHOOSE(CONTROL!$C$9, $C$13, 100%, $E$13) + CHOOSE(CONTROL!$C$28, 0.0003, 0)</f>
        <v>26.5915</v>
      </c>
      <c r="C377" s="4">
        <f>26.2279 * CHOOSE(CONTROL!$C$9, $C$13, 100%, $E$13) + CHOOSE(CONTROL!$C$28, 0.0003, 0)</f>
        <v>26.228200000000001</v>
      </c>
      <c r="D377" s="4">
        <f>37.042 * CHOOSE(CONTROL!$C$9, $C$13, 100%, $E$13) + CHOOSE(CONTROL!$C$28, 0, 0)</f>
        <v>37.042000000000002</v>
      </c>
      <c r="E377" s="4">
        <f>170.28116403272 * CHOOSE(CONTROL!$C$9, $C$13, 100%, $E$13) + CHOOSE(CONTROL!$C$28, 0, 0)</f>
        <v>170.28116403272</v>
      </c>
    </row>
    <row r="378" spans="1:5" ht="15">
      <c r="A378" s="13">
        <v>53021</v>
      </c>
      <c r="B378" s="4">
        <f>27.2042 * CHOOSE(CONTROL!$C$9, $C$13, 100%, $E$13) + CHOOSE(CONTROL!$C$28, 0.0003, 0)</f>
        <v>27.204499999999999</v>
      </c>
      <c r="C378" s="4">
        <f>26.8409 * CHOOSE(CONTROL!$C$9, $C$13, 100%, $E$13) + CHOOSE(CONTROL!$C$28, 0.0003, 0)</f>
        <v>26.841200000000001</v>
      </c>
      <c r="D378" s="4">
        <f>38.284 * CHOOSE(CONTROL!$C$9, $C$13, 100%, $E$13) + CHOOSE(CONTROL!$C$28, 0, 0)</f>
        <v>38.283999999999999</v>
      </c>
      <c r="E378" s="4">
        <f>174.324309929503 * CHOOSE(CONTROL!$C$9, $C$13, 100%, $E$13) + CHOOSE(CONTROL!$C$28, 0, 0)</f>
        <v>174.32430992950299</v>
      </c>
    </row>
    <row r="379" spans="1:5" ht="15">
      <c r="A379" s="13">
        <v>53052</v>
      </c>
      <c r="B379" s="4">
        <f>28.814 * CHOOSE(CONTROL!$C$9, $C$13, 100%, $E$13) + CHOOSE(CONTROL!$C$28, 0.0003, 0)</f>
        <v>28.814299999999999</v>
      </c>
      <c r="C379" s="4">
        <f>28.4507 * CHOOSE(CONTROL!$C$9, $C$13, 100%, $E$13) + CHOOSE(CONTROL!$C$28, 0.0003, 0)</f>
        <v>28.451000000000001</v>
      </c>
      <c r="D379" s="4">
        <f>40.2282 * CHOOSE(CONTROL!$C$9, $C$13, 100%, $E$13) + CHOOSE(CONTROL!$C$28, 0, 0)</f>
        <v>40.228200000000001</v>
      </c>
      <c r="E379" s="4">
        <f>184.941825920279 * CHOOSE(CONTROL!$C$9, $C$13, 100%, $E$13) + CHOOSE(CONTROL!$C$28, 0, 0)</f>
        <v>184.941825920279</v>
      </c>
    </row>
    <row r="380" spans="1:5" ht="15">
      <c r="A380" s="13">
        <v>53082</v>
      </c>
      <c r="B380" s="4">
        <f>29.9578 * CHOOSE(CONTROL!$C$9, $C$13, 100%, $E$13) + CHOOSE(CONTROL!$C$28, 0.0003, 0)</f>
        <v>29.958099999999998</v>
      </c>
      <c r="C380" s="4">
        <f>29.5945 * CHOOSE(CONTROL!$C$9, $C$13, 100%, $E$13) + CHOOSE(CONTROL!$C$28, 0.0003, 0)</f>
        <v>29.594799999999999</v>
      </c>
      <c r="D380" s="4">
        <f>41.3482 * CHOOSE(CONTROL!$C$9, $C$13, 100%, $E$13) + CHOOSE(CONTROL!$C$28, 0, 0)</f>
        <v>41.348199999999999</v>
      </c>
      <c r="E380" s="4">
        <f>192.485712528731 * CHOOSE(CONTROL!$C$9, $C$13, 100%, $E$13) + CHOOSE(CONTROL!$C$28, 0, 0)</f>
        <v>192.485712528731</v>
      </c>
    </row>
    <row r="381" spans="1:5" ht="15">
      <c r="A381" s="13">
        <v>53113</v>
      </c>
      <c r="B381" s="4">
        <f>30.6566 * CHOOSE(CONTROL!$C$9, $C$13, 100%, $E$13) + CHOOSE(CONTROL!$C$28, 0.0136, 0)</f>
        <v>30.670200000000001</v>
      </c>
      <c r="C381" s="4">
        <f>30.2933 * CHOOSE(CONTROL!$C$9, $C$13, 100%, $E$13) + CHOOSE(CONTROL!$C$28, 0.0136, 0)</f>
        <v>30.306899999999999</v>
      </c>
      <c r="D381" s="4">
        <f>40.9056 * CHOOSE(CONTROL!$C$9, $C$13, 100%, $E$13) + CHOOSE(CONTROL!$C$28, 0, 0)</f>
        <v>40.9056</v>
      </c>
      <c r="E381" s="4">
        <f>197.094846444766 * CHOOSE(CONTROL!$C$9, $C$13, 100%, $E$13) + CHOOSE(CONTROL!$C$28, 0, 0)</f>
        <v>197.09484644476601</v>
      </c>
    </row>
    <row r="382" spans="1:5" ht="15">
      <c r="A382" s="13">
        <v>53143</v>
      </c>
      <c r="B382" s="4">
        <f>30.7512 * CHOOSE(CONTROL!$C$9, $C$13, 100%, $E$13) + CHOOSE(CONTROL!$C$28, 0.0136, 0)</f>
        <v>30.764800000000001</v>
      </c>
      <c r="C382" s="4">
        <f>30.3879 * CHOOSE(CONTROL!$C$9, $C$13, 100%, $E$13) + CHOOSE(CONTROL!$C$28, 0.0136, 0)</f>
        <v>30.401499999999999</v>
      </c>
      <c r="D382" s="4">
        <f>41.2661 * CHOOSE(CONTROL!$C$9, $C$13, 100%, $E$13) + CHOOSE(CONTROL!$C$28, 0, 0)</f>
        <v>41.266100000000002</v>
      </c>
      <c r="E382" s="4">
        <f>197.718481391904 * CHOOSE(CONTROL!$C$9, $C$13, 100%, $E$13) + CHOOSE(CONTROL!$C$28, 0, 0)</f>
        <v>197.71848139190399</v>
      </c>
    </row>
    <row r="383" spans="1:5" ht="15">
      <c r="A383" s="13">
        <v>53174</v>
      </c>
      <c r="B383" s="4">
        <f>30.7416 * CHOOSE(CONTROL!$C$9, $C$13, 100%, $E$13) + CHOOSE(CONTROL!$C$28, 0.0136, 0)</f>
        <v>30.755199999999999</v>
      </c>
      <c r="C383" s="4">
        <f>30.3783 * CHOOSE(CONTROL!$C$9, $C$13, 100%, $E$13) + CHOOSE(CONTROL!$C$28, 0.0136, 0)</f>
        <v>30.3919</v>
      </c>
      <c r="D383" s="4">
        <f>41.9164 * CHOOSE(CONTROL!$C$9, $C$13, 100%, $E$13) + CHOOSE(CONTROL!$C$28, 0, 0)</f>
        <v>41.916400000000003</v>
      </c>
      <c r="E383" s="4">
        <f>197.65559383421 * CHOOSE(CONTROL!$C$9, $C$13, 100%, $E$13) + CHOOSE(CONTROL!$C$28, 0, 0)</f>
        <v>197.65559383421001</v>
      </c>
    </row>
    <row r="384" spans="1:5" ht="15">
      <c r="A384" s="13">
        <v>53205</v>
      </c>
      <c r="B384" s="4">
        <f>31.4591 * CHOOSE(CONTROL!$C$9, $C$13, 100%, $E$13) + CHOOSE(CONTROL!$C$28, 0.0136, 0)</f>
        <v>31.4727</v>
      </c>
      <c r="C384" s="4">
        <f>31.0958 * CHOOSE(CONTROL!$C$9, $C$13, 100%, $E$13) + CHOOSE(CONTROL!$C$28, 0.0136, 0)</f>
        <v>31.109400000000001</v>
      </c>
      <c r="D384" s="4">
        <f>41.4869 * CHOOSE(CONTROL!$C$9, $C$13, 100%, $E$13) + CHOOSE(CONTROL!$C$28, 0, 0)</f>
        <v>41.486899999999999</v>
      </c>
      <c r="E384" s="4">
        <f>202.38788255073 * CHOOSE(CONTROL!$C$9, $C$13, 100%, $E$13) + CHOOSE(CONTROL!$C$28, 0, 0)</f>
        <v>202.38788255073001</v>
      </c>
    </row>
    <row r="385" spans="1:5" ht="15">
      <c r="A385" s="13">
        <v>53235</v>
      </c>
      <c r="B385" s="4">
        <f>30.2363 * CHOOSE(CONTROL!$C$9, $C$13, 100%, $E$13) + CHOOSE(CONTROL!$C$28, 0.0136, 0)</f>
        <v>30.2499</v>
      </c>
      <c r="C385" s="4">
        <f>29.873 * CHOOSE(CONTROL!$C$9, $C$13, 100%, $E$13) + CHOOSE(CONTROL!$C$28, 0.0136, 0)</f>
        <v>29.886600000000001</v>
      </c>
      <c r="D385" s="4">
        <f>41.284 * CHOOSE(CONTROL!$C$9, $C$13, 100%, $E$13) + CHOOSE(CONTROL!$C$28, 0, 0)</f>
        <v>41.283999999999999</v>
      </c>
      <c r="E385" s="4">
        <f>194.322553276395 * CHOOSE(CONTROL!$C$9, $C$13, 100%, $E$13) + CHOOSE(CONTROL!$C$28, 0, 0)</f>
        <v>194.32255327639501</v>
      </c>
    </row>
    <row r="386" spans="1:5" ht="15">
      <c r="A386" s="13">
        <v>53266</v>
      </c>
      <c r="B386" s="4">
        <f>29.2574 * CHOOSE(CONTROL!$C$9, $C$13, 100%, $E$13) + CHOOSE(CONTROL!$C$28, 0.0003, 0)</f>
        <v>29.2577</v>
      </c>
      <c r="C386" s="4">
        <f>28.8941 * CHOOSE(CONTROL!$C$9, $C$13, 100%, $E$13) + CHOOSE(CONTROL!$C$28, 0.0003, 0)</f>
        <v>28.894400000000001</v>
      </c>
      <c r="D386" s="4">
        <f>40.7407 * CHOOSE(CONTROL!$C$9, $C$13, 100%, $E$13) + CHOOSE(CONTROL!$C$28, 0, 0)</f>
        <v>40.740699999999997</v>
      </c>
      <c r="E386" s="4">
        <f>187.86609735308 * CHOOSE(CONTROL!$C$9, $C$13, 100%, $E$13) + CHOOSE(CONTROL!$C$28, 0, 0)</f>
        <v>187.86609735307999</v>
      </c>
    </row>
    <row r="387" spans="1:5" ht="15">
      <c r="A387" s="13">
        <v>53296</v>
      </c>
      <c r="B387" s="4">
        <f>28.6269 * CHOOSE(CONTROL!$C$9, $C$13, 100%, $E$13) + CHOOSE(CONTROL!$C$28, 0.0003, 0)</f>
        <v>28.627199999999998</v>
      </c>
      <c r="C387" s="4">
        <f>28.2636 * CHOOSE(CONTROL!$C$9, $C$13, 100%, $E$13) + CHOOSE(CONTROL!$C$28, 0.0003, 0)</f>
        <v>28.2639</v>
      </c>
      <c r="D387" s="4">
        <f>40.5539 * CHOOSE(CONTROL!$C$9, $C$13, 100%, $E$13) + CHOOSE(CONTROL!$C$28, 0, 0)</f>
        <v>40.553899999999999</v>
      </c>
      <c r="E387" s="4">
        <f>183.707657600522 * CHOOSE(CONTROL!$C$9, $C$13, 100%, $E$13) + CHOOSE(CONTROL!$C$28, 0, 0)</f>
        <v>183.707657600522</v>
      </c>
    </row>
    <row r="388" spans="1:5" ht="15">
      <c r="A388" s="13">
        <v>53327</v>
      </c>
      <c r="B388" s="4">
        <f>28.1906 * CHOOSE(CONTROL!$C$9, $C$13, 100%, $E$13) + CHOOSE(CONTROL!$C$28, 0.0003, 0)</f>
        <v>28.190899999999999</v>
      </c>
      <c r="C388" s="4">
        <f>27.8274 * CHOOSE(CONTROL!$C$9, $C$13, 100%, $E$13) + CHOOSE(CONTROL!$C$28, 0.0003, 0)</f>
        <v>27.8277</v>
      </c>
      <c r="D388" s="4">
        <f>39.1786 * CHOOSE(CONTROL!$C$9, $C$13, 100%, $E$13) + CHOOSE(CONTROL!$C$28, 0, 0)</f>
        <v>39.178600000000003</v>
      </c>
      <c r="E388" s="4">
        <f>180.830551835993 * CHOOSE(CONTROL!$C$9, $C$13, 100%, $E$13) + CHOOSE(CONTROL!$C$28, 0, 0)</f>
        <v>180.83055183599299</v>
      </c>
    </row>
    <row r="389" spans="1:5" ht="15">
      <c r="A389" s="13">
        <v>53358</v>
      </c>
      <c r="B389" s="4">
        <f>26.9971 * CHOOSE(CONTROL!$C$9, $C$13, 100%, $E$13) + CHOOSE(CONTROL!$C$28, 0.0003, 0)</f>
        <v>26.997399999999999</v>
      </c>
      <c r="C389" s="4">
        <f>26.6339 * CHOOSE(CONTROL!$C$9, $C$13, 100%, $E$13) + CHOOSE(CONTROL!$C$28, 0.0003, 0)</f>
        <v>26.6342</v>
      </c>
      <c r="D389" s="4">
        <f>37.6637 * CHOOSE(CONTROL!$C$9, $C$13, 100%, $E$13) + CHOOSE(CONTROL!$C$28, 0, 0)</f>
        <v>37.663699999999999</v>
      </c>
      <c r="E389" s="4">
        <f>173.29822456333 * CHOOSE(CONTROL!$C$9, $C$13, 100%, $E$13) + CHOOSE(CONTROL!$C$28, 0, 0)</f>
        <v>173.29822456333</v>
      </c>
    </row>
    <row r="390" spans="1:5" ht="15">
      <c r="A390" s="13">
        <v>53386</v>
      </c>
      <c r="B390" s="4">
        <f>27.6198 * CHOOSE(CONTROL!$C$9, $C$13, 100%, $E$13) + CHOOSE(CONTROL!$C$28, 0.0003, 0)</f>
        <v>27.620100000000001</v>
      </c>
      <c r="C390" s="4">
        <f>27.2565 * CHOOSE(CONTROL!$C$9, $C$13, 100%, $E$13) + CHOOSE(CONTROL!$C$28, 0.0003, 0)</f>
        <v>27.256799999999998</v>
      </c>
      <c r="D390" s="4">
        <f>38.9277 * CHOOSE(CONTROL!$C$9, $C$13, 100%, $E$13) + CHOOSE(CONTROL!$C$28, 0, 0)</f>
        <v>38.927700000000002</v>
      </c>
      <c r="E390" s="4">
        <f>177.413007367072 * CHOOSE(CONTROL!$C$9, $C$13, 100%, $E$13) + CHOOSE(CONTROL!$C$28, 0, 0)</f>
        <v>177.413007367072</v>
      </c>
    </row>
    <row r="391" spans="1:5" ht="15">
      <c r="A391" s="13">
        <v>53417</v>
      </c>
      <c r="B391" s="4">
        <f>29.2549 * CHOOSE(CONTROL!$C$9, $C$13, 100%, $E$13) + CHOOSE(CONTROL!$C$28, 0.0003, 0)</f>
        <v>29.255199999999999</v>
      </c>
      <c r="C391" s="4">
        <f>28.8916 * CHOOSE(CONTROL!$C$9, $C$13, 100%, $E$13) + CHOOSE(CONTROL!$C$28, 0.0003, 0)</f>
        <v>28.8919</v>
      </c>
      <c r="D391" s="4">
        <f>40.9063 * CHOOSE(CONTROL!$C$9, $C$13, 100%, $E$13) + CHOOSE(CONTROL!$C$28, 0, 0)</f>
        <v>40.906300000000002</v>
      </c>
      <c r="E391" s="4">
        <f>188.218645682539 * CHOOSE(CONTROL!$C$9, $C$13, 100%, $E$13) + CHOOSE(CONTROL!$C$28, 0, 0)</f>
        <v>188.21864568253901</v>
      </c>
    </row>
    <row r="392" spans="1:5" ht="15">
      <c r="A392" s="13">
        <v>53447</v>
      </c>
      <c r="B392" s="4">
        <f>30.4167 * CHOOSE(CONTROL!$C$9, $C$13, 100%, $E$13) + CHOOSE(CONTROL!$C$28, 0.0003, 0)</f>
        <v>30.416999999999998</v>
      </c>
      <c r="C392" s="4">
        <f>30.0534 * CHOOSE(CONTROL!$C$9, $C$13, 100%, $E$13) + CHOOSE(CONTROL!$C$28, 0.0003, 0)</f>
        <v>30.053699999999999</v>
      </c>
      <c r="D392" s="4">
        <f>42.046 * CHOOSE(CONTROL!$C$9, $C$13, 100%, $E$13) + CHOOSE(CONTROL!$C$28, 0, 0)</f>
        <v>42.045999999999999</v>
      </c>
      <c r="E392" s="4">
        <f>195.896195709743 * CHOOSE(CONTROL!$C$9, $C$13, 100%, $E$13) + CHOOSE(CONTROL!$C$28, 0, 0)</f>
        <v>195.89619570974301</v>
      </c>
    </row>
    <row r="393" spans="1:5" ht="15">
      <c r="A393" s="13">
        <v>53478</v>
      </c>
      <c r="B393" s="4">
        <f>31.1265 * CHOOSE(CONTROL!$C$9, $C$13, 100%, $E$13) + CHOOSE(CONTROL!$C$28, 0.0136, 0)</f>
        <v>31.1401</v>
      </c>
      <c r="C393" s="4">
        <f>30.7632 * CHOOSE(CONTROL!$C$9, $C$13, 100%, $E$13) + CHOOSE(CONTROL!$C$28, 0.0136, 0)</f>
        <v>30.776800000000001</v>
      </c>
      <c r="D393" s="4">
        <f>41.5957 * CHOOSE(CONTROL!$C$9, $C$13, 100%, $E$13) + CHOOSE(CONTROL!$C$28, 0, 0)</f>
        <v>41.595700000000001</v>
      </c>
      <c r="E393" s="4">
        <f>200.586994771171 * CHOOSE(CONTROL!$C$9, $C$13, 100%, $E$13) + CHOOSE(CONTROL!$C$28, 0, 0)</f>
        <v>200.58699477117099</v>
      </c>
    </row>
    <row r="394" spans="1:5" ht="15">
      <c r="A394" s="13">
        <v>53508</v>
      </c>
      <c r="B394" s="4">
        <f>31.2225 * CHOOSE(CONTROL!$C$9, $C$13, 100%, $E$13) + CHOOSE(CONTROL!$C$28, 0.0136, 0)</f>
        <v>31.2361</v>
      </c>
      <c r="C394" s="4">
        <f>30.8593 * CHOOSE(CONTROL!$C$9, $C$13, 100%, $E$13) + CHOOSE(CONTROL!$C$28, 0.0136, 0)</f>
        <v>30.872900000000001</v>
      </c>
      <c r="D394" s="4">
        <f>41.9624 * CHOOSE(CONTROL!$C$9, $C$13, 100%, $E$13) + CHOOSE(CONTROL!$C$28, 0, 0)</f>
        <v>41.962400000000002</v>
      </c>
      <c r="E394" s="4">
        <f>201.221679351398 * CHOOSE(CONTROL!$C$9, $C$13, 100%, $E$13) + CHOOSE(CONTROL!$C$28, 0, 0)</f>
        <v>201.221679351398</v>
      </c>
    </row>
    <row r="395" spans="1:5" ht="15">
      <c r="A395" s="13">
        <v>53539</v>
      </c>
      <c r="B395" s="4">
        <f>31.2129 * CHOOSE(CONTROL!$C$9, $C$13, 100%, $E$13) + CHOOSE(CONTROL!$C$28, 0.0136, 0)</f>
        <v>31.226500000000001</v>
      </c>
      <c r="C395" s="4">
        <f>30.8496 * CHOOSE(CONTROL!$C$9, $C$13, 100%, $E$13) + CHOOSE(CONTROL!$C$28, 0.0136, 0)</f>
        <v>30.863199999999999</v>
      </c>
      <c r="D395" s="4">
        <f>42.6243 * CHOOSE(CONTROL!$C$9, $C$13, 100%, $E$13) + CHOOSE(CONTROL!$C$28, 0, 0)</f>
        <v>42.624299999999998</v>
      </c>
      <c r="E395" s="4">
        <f>201.157677544989 * CHOOSE(CONTROL!$C$9, $C$13, 100%, $E$13) + CHOOSE(CONTROL!$C$28, 0, 0)</f>
        <v>201.15767754498901</v>
      </c>
    </row>
    <row r="396" spans="1:5" ht="15">
      <c r="A396" s="13">
        <v>53570</v>
      </c>
      <c r="B396" s="4">
        <f>31.9416 * CHOOSE(CONTROL!$C$9, $C$13, 100%, $E$13) + CHOOSE(CONTROL!$C$28, 0.0136, 0)</f>
        <v>31.955200000000001</v>
      </c>
      <c r="C396" s="4">
        <f>31.5784 * CHOOSE(CONTROL!$C$9, $C$13, 100%, $E$13) + CHOOSE(CONTROL!$C$28, 0.0136, 0)</f>
        <v>31.591999999999999</v>
      </c>
      <c r="D396" s="4">
        <f>42.1872 * CHOOSE(CONTROL!$C$9, $C$13, 100%, $E$13) + CHOOSE(CONTROL!$C$28, 0, 0)</f>
        <v>42.187199999999997</v>
      </c>
      <c r="E396" s="4">
        <f>205.973813477302 * CHOOSE(CONTROL!$C$9, $C$13, 100%, $E$13) + CHOOSE(CONTROL!$C$28, 0, 0)</f>
        <v>205.973813477302</v>
      </c>
    </row>
    <row r="397" spans="1:5" ht="15">
      <c r="A397" s="13">
        <v>53600</v>
      </c>
      <c r="B397" s="4">
        <f>30.6996 * CHOOSE(CONTROL!$C$9, $C$13, 100%, $E$13) + CHOOSE(CONTROL!$C$28, 0.0136, 0)</f>
        <v>30.713200000000001</v>
      </c>
      <c r="C397" s="4">
        <f>30.3363 * CHOOSE(CONTROL!$C$9, $C$13, 100%, $E$13) + CHOOSE(CONTROL!$C$28, 0.0136, 0)</f>
        <v>30.349900000000002</v>
      </c>
      <c r="D397" s="4">
        <f>41.9807 * CHOOSE(CONTROL!$C$9, $C$13, 100%, $E$13) + CHOOSE(CONTROL!$C$28, 0, 0)</f>
        <v>41.980699999999999</v>
      </c>
      <c r="E397" s="4">
        <f>197.765581805286 * CHOOSE(CONTROL!$C$9, $C$13, 100%, $E$13) + CHOOSE(CONTROL!$C$28, 0, 0)</f>
        <v>197.76558180528599</v>
      </c>
    </row>
    <row r="398" spans="1:5" ht="15">
      <c r="A398" s="13">
        <v>53631</v>
      </c>
      <c r="B398" s="4">
        <f>29.7053 * CHOOSE(CONTROL!$C$9, $C$13, 100%, $E$13) + CHOOSE(CONTROL!$C$28, 0.0003, 0)</f>
        <v>29.7056</v>
      </c>
      <c r="C398" s="4">
        <f>29.342 * CHOOSE(CONTROL!$C$9, $C$13, 100%, $E$13) + CHOOSE(CONTROL!$C$28, 0.0003, 0)</f>
        <v>29.342299999999998</v>
      </c>
      <c r="D398" s="4">
        <f>41.4278 * CHOOSE(CONTROL!$C$9, $C$13, 100%, $E$13) + CHOOSE(CONTROL!$C$28, 0, 0)</f>
        <v>41.427799999999998</v>
      </c>
      <c r="E398" s="4">
        <f>191.19472968058 * CHOOSE(CONTROL!$C$9, $C$13, 100%, $E$13) + CHOOSE(CONTROL!$C$28, 0, 0)</f>
        <v>191.19472968058</v>
      </c>
    </row>
    <row r="399" spans="1:5" ht="15">
      <c r="A399" s="13">
        <v>53661</v>
      </c>
      <c r="B399" s="4">
        <f>29.0648 * CHOOSE(CONTROL!$C$9, $C$13, 100%, $E$13) + CHOOSE(CONTROL!$C$28, 0.0003, 0)</f>
        <v>29.065100000000001</v>
      </c>
      <c r="C399" s="4">
        <f>28.7016 * CHOOSE(CONTROL!$C$9, $C$13, 100%, $E$13) + CHOOSE(CONTROL!$C$28, 0.0003, 0)</f>
        <v>28.701899999999998</v>
      </c>
      <c r="D399" s="4">
        <f>41.2377 * CHOOSE(CONTROL!$C$9, $C$13, 100%, $E$13) + CHOOSE(CONTROL!$C$28, 0, 0)</f>
        <v>41.237699999999997</v>
      </c>
      <c r="E399" s="4">
        <f>186.962610231753 * CHOOSE(CONTROL!$C$9, $C$13, 100%, $E$13) + CHOOSE(CONTROL!$C$28, 0, 0)</f>
        <v>186.96261023175299</v>
      </c>
    </row>
    <row r="400" spans="1:5" ht="15">
      <c r="A400" s="13">
        <v>53692</v>
      </c>
      <c r="B400" s="4">
        <f>28.6218 * CHOOSE(CONTROL!$C$9, $C$13, 100%, $E$13) + CHOOSE(CONTROL!$C$28, 0.0003, 0)</f>
        <v>28.6221</v>
      </c>
      <c r="C400" s="4">
        <f>28.2585 * CHOOSE(CONTROL!$C$9, $C$13, 100%, $E$13) + CHOOSE(CONTROL!$C$28, 0.0003, 0)</f>
        <v>28.258800000000001</v>
      </c>
      <c r="D400" s="4">
        <f>39.8381 * CHOOSE(CONTROL!$C$9, $C$13, 100%, $E$13) + CHOOSE(CONTROL!$C$28, 0, 0)</f>
        <v>39.838099999999997</v>
      </c>
      <c r="E400" s="4">
        <f>184.03452758852 * CHOOSE(CONTROL!$C$9, $C$13, 100%, $E$13) + CHOOSE(CONTROL!$C$28, 0, 0)</f>
        <v>184.03452758852001</v>
      </c>
    </row>
    <row r="401" spans="1:5" ht="15">
      <c r="A401" s="13">
        <v>53723</v>
      </c>
      <c r="B401" s="4">
        <f>27.4095 * CHOOSE(CONTROL!$C$9, $C$13, 100%, $E$13) + CHOOSE(CONTROL!$C$28, 0.0003, 0)</f>
        <v>27.409800000000001</v>
      </c>
      <c r="C401" s="4">
        <f>27.0462 * CHOOSE(CONTROL!$C$9, $C$13, 100%, $E$13) + CHOOSE(CONTROL!$C$28, 0.0003, 0)</f>
        <v>27.046499999999998</v>
      </c>
      <c r="D401" s="4">
        <f>38.2965 * CHOOSE(CONTROL!$C$9, $C$13, 100%, $E$13) + CHOOSE(CONTROL!$C$28, 0, 0)</f>
        <v>38.296500000000002</v>
      </c>
      <c r="E401" s="4">
        <f>176.368741706696 * CHOOSE(CONTROL!$C$9, $C$13, 100%, $E$13) + CHOOSE(CONTROL!$C$28, 0, 0)</f>
        <v>176.368741706696</v>
      </c>
    </row>
    <row r="402" spans="1:5" ht="15">
      <c r="A402" s="13">
        <v>53751</v>
      </c>
      <c r="B402" s="4">
        <f>28.0419 * CHOOSE(CONTROL!$C$9, $C$13, 100%, $E$13) + CHOOSE(CONTROL!$C$28, 0.0003, 0)</f>
        <v>28.042199999999998</v>
      </c>
      <c r="C402" s="4">
        <f>27.6787 * CHOOSE(CONTROL!$C$9, $C$13, 100%, $E$13) + CHOOSE(CONTROL!$C$28, 0.0003, 0)</f>
        <v>27.678999999999998</v>
      </c>
      <c r="D402" s="4">
        <f>39.5827 * CHOOSE(CONTROL!$C$9, $C$13, 100%, $E$13) + CHOOSE(CONTROL!$C$28, 0, 0)</f>
        <v>39.582700000000003</v>
      </c>
      <c r="E402" s="4">
        <f>180.556430688052 * CHOOSE(CONTROL!$C$9, $C$13, 100%, $E$13) + CHOOSE(CONTROL!$C$28, 0, 0)</f>
        <v>180.55643068805199</v>
      </c>
    </row>
    <row r="403" spans="1:5" ht="15">
      <c r="A403" s="13">
        <v>53782</v>
      </c>
      <c r="B403" s="4">
        <f>29.7028 * CHOOSE(CONTROL!$C$9, $C$13, 100%, $E$13) + CHOOSE(CONTROL!$C$28, 0.0003, 0)</f>
        <v>29.703099999999999</v>
      </c>
      <c r="C403" s="4">
        <f>29.3395 * CHOOSE(CONTROL!$C$9, $C$13, 100%, $E$13) + CHOOSE(CONTROL!$C$28, 0.0003, 0)</f>
        <v>29.3398</v>
      </c>
      <c r="D403" s="4">
        <f>41.5963 * CHOOSE(CONTROL!$C$9, $C$13, 100%, $E$13) + CHOOSE(CONTROL!$C$28, 0, 0)</f>
        <v>41.596299999999999</v>
      </c>
      <c r="E403" s="4">
        <f>191.553524500402 * CHOOSE(CONTROL!$C$9, $C$13, 100%, $E$13) + CHOOSE(CONTROL!$C$28, 0, 0)</f>
        <v>191.55352450040201</v>
      </c>
    </row>
    <row r="404" spans="1:5" ht="15">
      <c r="A404" s="13">
        <v>53812</v>
      </c>
      <c r="B404" s="4">
        <f>30.8828 * CHOOSE(CONTROL!$C$9, $C$13, 100%, $E$13) + CHOOSE(CONTROL!$C$28, 0.0003, 0)</f>
        <v>30.883099999999999</v>
      </c>
      <c r="C404" s="4">
        <f>30.5195 * CHOOSE(CONTROL!$C$9, $C$13, 100%, $E$13) + CHOOSE(CONTROL!$C$28, 0.0003, 0)</f>
        <v>30.5198</v>
      </c>
      <c r="D404" s="4">
        <f>42.7562 * CHOOSE(CONTROL!$C$9, $C$13, 100%, $E$13) + CHOOSE(CONTROL!$C$28, 0, 0)</f>
        <v>42.7562</v>
      </c>
      <c r="E404" s="4">
        <f>199.36710620962 * CHOOSE(CONTROL!$C$9, $C$13, 100%, $E$13) + CHOOSE(CONTROL!$C$28, 0, 0)</f>
        <v>199.36710620962</v>
      </c>
    </row>
    <row r="405" spans="1:5" ht="15">
      <c r="A405" s="13">
        <v>53843</v>
      </c>
      <c r="B405" s="4">
        <f>31.6038 * CHOOSE(CONTROL!$C$9, $C$13, 100%, $E$13) + CHOOSE(CONTROL!$C$28, 0.0136, 0)</f>
        <v>31.6174</v>
      </c>
      <c r="C405" s="4">
        <f>31.2405 * CHOOSE(CONTROL!$C$9, $C$13, 100%, $E$13) + CHOOSE(CONTROL!$C$28, 0.0136, 0)</f>
        <v>31.254100000000001</v>
      </c>
      <c r="D405" s="4">
        <f>42.2979 * CHOOSE(CONTROL!$C$9, $C$13, 100%, $E$13) + CHOOSE(CONTROL!$C$28, 0, 0)</f>
        <v>42.297899999999998</v>
      </c>
      <c r="E405" s="4">
        <f>204.141017368535 * CHOOSE(CONTROL!$C$9, $C$13, 100%, $E$13) + CHOOSE(CONTROL!$C$28, 0, 0)</f>
        <v>204.14101736853499</v>
      </c>
    </row>
    <row r="406" spans="1:5" ht="15">
      <c r="A406" s="13">
        <v>53873</v>
      </c>
      <c r="B406" s="4">
        <f>31.7014 * CHOOSE(CONTROL!$C$9, $C$13, 100%, $E$13) + CHOOSE(CONTROL!$C$28, 0.0136, 0)</f>
        <v>31.715</v>
      </c>
      <c r="C406" s="4">
        <f>31.3381 * CHOOSE(CONTROL!$C$9, $C$13, 100%, $E$13) + CHOOSE(CONTROL!$C$28, 0.0136, 0)</f>
        <v>31.351700000000001</v>
      </c>
      <c r="D406" s="4">
        <f>42.6711 * CHOOSE(CONTROL!$C$9, $C$13, 100%, $E$13) + CHOOSE(CONTROL!$C$28, 0, 0)</f>
        <v>42.671100000000003</v>
      </c>
      <c r="E406" s="4">
        <f>204.786947360475 * CHOOSE(CONTROL!$C$9, $C$13, 100%, $E$13) + CHOOSE(CONTROL!$C$28, 0, 0)</f>
        <v>204.78694736047501</v>
      </c>
    </row>
    <row r="407" spans="1:5" ht="15">
      <c r="A407" s="13">
        <v>53904</v>
      </c>
      <c r="B407" s="4">
        <f>31.6915 * CHOOSE(CONTROL!$C$9, $C$13, 100%, $E$13) + CHOOSE(CONTROL!$C$28, 0.0136, 0)</f>
        <v>31.705100000000002</v>
      </c>
      <c r="C407" s="4">
        <f>31.3282 * CHOOSE(CONTROL!$C$9, $C$13, 100%, $E$13) + CHOOSE(CONTROL!$C$28, 0.0136, 0)</f>
        <v>31.341799999999999</v>
      </c>
      <c r="D407" s="4">
        <f>43.3447 * CHOOSE(CONTROL!$C$9, $C$13, 100%, $E$13) + CHOOSE(CONTROL!$C$28, 0, 0)</f>
        <v>43.344700000000003</v>
      </c>
      <c r="E407" s="4">
        <f>204.721811562968 * CHOOSE(CONTROL!$C$9, $C$13, 100%, $E$13) + CHOOSE(CONTROL!$C$28, 0, 0)</f>
        <v>204.72181156296801</v>
      </c>
    </row>
    <row r="408" spans="1:5" ht="15">
      <c r="A408" s="13">
        <v>53935</v>
      </c>
      <c r="B408" s="4">
        <f>32.4318 * CHOOSE(CONTROL!$C$9, $C$13, 100%, $E$13) + CHOOSE(CONTROL!$C$28, 0.0136, 0)</f>
        <v>32.445399999999999</v>
      </c>
      <c r="C408" s="4">
        <f>32.0685 * CHOOSE(CONTROL!$C$9, $C$13, 100%, $E$13) + CHOOSE(CONTROL!$C$28, 0.0136, 0)</f>
        <v>32.082099999999997</v>
      </c>
      <c r="D408" s="4">
        <f>42.8999 * CHOOSE(CONTROL!$C$9, $C$13, 100%, $E$13) + CHOOSE(CONTROL!$C$28, 0, 0)</f>
        <v>42.899900000000002</v>
      </c>
      <c r="E408" s="4">
        <f>209.623280325333 * CHOOSE(CONTROL!$C$9, $C$13, 100%, $E$13) + CHOOSE(CONTROL!$C$28, 0, 0)</f>
        <v>209.62328032533301</v>
      </c>
    </row>
    <row r="409" spans="1:5" ht="15">
      <c r="A409" s="13">
        <v>53965</v>
      </c>
      <c r="B409" s="4">
        <f>31.1702 * CHOOSE(CONTROL!$C$9, $C$13, 100%, $E$13) + CHOOSE(CONTROL!$C$28, 0.0136, 0)</f>
        <v>31.183800000000002</v>
      </c>
      <c r="C409" s="4">
        <f>30.8069 * CHOOSE(CONTROL!$C$9, $C$13, 100%, $E$13) + CHOOSE(CONTROL!$C$28, 0.0136, 0)</f>
        <v>30.820499999999999</v>
      </c>
      <c r="D409" s="4">
        <f>42.6897 * CHOOSE(CONTROL!$C$9, $C$13, 100%, $E$13) + CHOOSE(CONTROL!$C$28, 0, 0)</f>
        <v>42.689700000000002</v>
      </c>
      <c r="E409" s="4">
        <f>201.269614295123 * CHOOSE(CONTROL!$C$9, $C$13, 100%, $E$13) + CHOOSE(CONTROL!$C$28, 0, 0)</f>
        <v>201.26961429512301</v>
      </c>
    </row>
    <row r="410" spans="1:5" ht="15">
      <c r="A410" s="13">
        <v>53996</v>
      </c>
      <c r="B410" s="4">
        <f>30.1602 * CHOOSE(CONTROL!$C$9, $C$13, 100%, $E$13) + CHOOSE(CONTROL!$C$28, 0.0003, 0)</f>
        <v>30.160499999999999</v>
      </c>
      <c r="C410" s="4">
        <f>29.7969 * CHOOSE(CONTROL!$C$9, $C$13, 100%, $E$13) + CHOOSE(CONTROL!$C$28, 0.0003, 0)</f>
        <v>29.7972</v>
      </c>
      <c r="D410" s="4">
        <f>42.127 * CHOOSE(CONTROL!$C$9, $C$13, 100%, $E$13) + CHOOSE(CONTROL!$C$28, 0, 0)</f>
        <v>42.127000000000002</v>
      </c>
      <c r="E410" s="4">
        <f>194.582339084454 * CHOOSE(CONTROL!$C$9, $C$13, 100%, $E$13) + CHOOSE(CONTROL!$C$28, 0, 0)</f>
        <v>194.58233908445399</v>
      </c>
    </row>
    <row r="411" spans="1:5" ht="15">
      <c r="A411" s="13">
        <v>54026</v>
      </c>
      <c r="B411" s="4">
        <f>29.5097 * CHOOSE(CONTROL!$C$9, $C$13, 100%, $E$13) + CHOOSE(CONTROL!$C$28, 0.0003, 0)</f>
        <v>29.509999999999998</v>
      </c>
      <c r="C411" s="4">
        <f>29.1464 * CHOOSE(CONTROL!$C$9, $C$13, 100%, $E$13) + CHOOSE(CONTROL!$C$28, 0.0003, 0)</f>
        <v>29.146699999999999</v>
      </c>
      <c r="D411" s="4">
        <f>41.9335 * CHOOSE(CONTROL!$C$9, $C$13, 100%, $E$13) + CHOOSE(CONTROL!$C$28, 0, 0)</f>
        <v>41.933500000000002</v>
      </c>
      <c r="E411" s="4">
        <f>190.275234474336 * CHOOSE(CONTROL!$C$9, $C$13, 100%, $E$13) + CHOOSE(CONTROL!$C$28, 0, 0)</f>
        <v>190.275234474336</v>
      </c>
    </row>
    <row r="412" spans="1:5" ht="15">
      <c r="A412" s="13">
        <v>54057</v>
      </c>
      <c r="B412" s="4">
        <f>29.0597 * CHOOSE(CONTROL!$C$9, $C$13, 100%, $E$13) + CHOOSE(CONTROL!$C$28, 0.0003, 0)</f>
        <v>29.06</v>
      </c>
      <c r="C412" s="4">
        <f>28.6964 * CHOOSE(CONTROL!$C$9, $C$13, 100%, $E$13) + CHOOSE(CONTROL!$C$28, 0.0003, 0)</f>
        <v>28.6967</v>
      </c>
      <c r="D412" s="4">
        <f>40.5093 * CHOOSE(CONTROL!$C$9, $C$13, 100%, $E$13) + CHOOSE(CONTROL!$C$28, 0, 0)</f>
        <v>40.509300000000003</v>
      </c>
      <c r="E412" s="4">
        <f>187.295271738413 * CHOOSE(CONTROL!$C$9, $C$13, 100%, $E$13) + CHOOSE(CONTROL!$C$28, 0, 0)</f>
        <v>187.29527173841299</v>
      </c>
    </row>
    <row r="413" spans="1:5" ht="15">
      <c r="A413" s="13">
        <v>54088</v>
      </c>
      <c r="B413" s="4">
        <f>27.8284 * CHOOSE(CONTROL!$C$9, $C$13, 100%, $E$13) + CHOOSE(CONTROL!$C$28, 0.0003, 0)</f>
        <v>27.828699999999998</v>
      </c>
      <c r="C413" s="4">
        <f>27.4651 * CHOOSE(CONTROL!$C$9, $C$13, 100%, $E$13) + CHOOSE(CONTROL!$C$28, 0.0003, 0)</f>
        <v>27.465399999999999</v>
      </c>
      <c r="D413" s="4">
        <f>38.9404 * CHOOSE(CONTROL!$C$9, $C$13, 100%, $E$13) + CHOOSE(CONTROL!$C$28, 0, 0)</f>
        <v>38.940399999999997</v>
      </c>
      <c r="E413" s="4">
        <f>179.493662613006 * CHOOSE(CONTROL!$C$9, $C$13, 100%, $E$13) + CHOOSE(CONTROL!$C$28, 0, 0)</f>
        <v>179.49366261300599</v>
      </c>
    </row>
    <row r="414" spans="1:5" ht="15">
      <c r="A414" s="13">
        <v>54116</v>
      </c>
      <c r="B414" s="4">
        <f>28.4707 * CHOOSE(CONTROL!$C$9, $C$13, 100%, $E$13) + CHOOSE(CONTROL!$C$28, 0.0003, 0)</f>
        <v>28.471</v>
      </c>
      <c r="C414" s="4">
        <f>28.1075 * CHOOSE(CONTROL!$C$9, $C$13, 100%, $E$13) + CHOOSE(CONTROL!$C$28, 0.0003, 0)</f>
        <v>28.107800000000001</v>
      </c>
      <c r="D414" s="4">
        <f>40.2494 * CHOOSE(CONTROL!$C$9, $C$13, 100%, $E$13) + CHOOSE(CONTROL!$C$28, 0, 0)</f>
        <v>40.249400000000001</v>
      </c>
      <c r="E414" s="4">
        <f>183.755549531708 * CHOOSE(CONTROL!$C$9, $C$13, 100%, $E$13) + CHOOSE(CONTROL!$C$28, 0, 0)</f>
        <v>183.755549531708</v>
      </c>
    </row>
    <row r="415" spans="1:5" ht="15">
      <c r="A415" s="13">
        <v>54148</v>
      </c>
      <c r="B415" s="4">
        <f>30.1577 * CHOOSE(CONTROL!$C$9, $C$13, 100%, $E$13) + CHOOSE(CONTROL!$C$28, 0.0003, 0)</f>
        <v>30.157999999999998</v>
      </c>
      <c r="C415" s="4">
        <f>29.7944 * CHOOSE(CONTROL!$C$9, $C$13, 100%, $E$13) + CHOOSE(CONTROL!$C$28, 0.0003, 0)</f>
        <v>29.794699999999999</v>
      </c>
      <c r="D415" s="4">
        <f>42.2985 * CHOOSE(CONTROL!$C$9, $C$13, 100%, $E$13) + CHOOSE(CONTROL!$C$28, 0, 0)</f>
        <v>42.298499999999997</v>
      </c>
      <c r="E415" s="4">
        <f>194.947491070646 * CHOOSE(CONTROL!$C$9, $C$13, 100%, $E$13) + CHOOSE(CONTROL!$C$28, 0, 0)</f>
        <v>194.94749107064601</v>
      </c>
    </row>
    <row r="416" spans="1:5" ht="15">
      <c r="A416" s="13">
        <v>54178</v>
      </c>
      <c r="B416" s="4">
        <f>31.3563 * CHOOSE(CONTROL!$C$9, $C$13, 100%, $E$13) + CHOOSE(CONTROL!$C$28, 0.0003, 0)</f>
        <v>31.3566</v>
      </c>
      <c r="C416" s="4">
        <f>30.993 * CHOOSE(CONTROL!$C$9, $C$13, 100%, $E$13) + CHOOSE(CONTROL!$C$28, 0.0003, 0)</f>
        <v>30.993299999999998</v>
      </c>
      <c r="D416" s="4">
        <f>43.4789 * CHOOSE(CONTROL!$C$9, $C$13, 100%, $E$13) + CHOOSE(CONTROL!$C$28, 0, 0)</f>
        <v>43.478900000000003</v>
      </c>
      <c r="E416" s="4">
        <f>202.899514686294 * CHOOSE(CONTROL!$C$9, $C$13, 100%, $E$13) + CHOOSE(CONTROL!$C$28, 0, 0)</f>
        <v>202.899514686294</v>
      </c>
    </row>
    <row r="417" spans="1:5" ht="15">
      <c r="A417" s="13">
        <v>54209</v>
      </c>
      <c r="B417" s="4">
        <f>32.0886 * CHOOSE(CONTROL!$C$9, $C$13, 100%, $E$13) + CHOOSE(CONTROL!$C$28, 0.0136, 0)</f>
        <v>32.102199999999996</v>
      </c>
      <c r="C417" s="4">
        <f>31.7253 * CHOOSE(CONTROL!$C$9, $C$13, 100%, $E$13) + CHOOSE(CONTROL!$C$28, 0.0136, 0)</f>
        <v>31.738900000000001</v>
      </c>
      <c r="D417" s="4">
        <f>43.0125 * CHOOSE(CONTROL!$C$9, $C$13, 100%, $E$13) + CHOOSE(CONTROL!$C$28, 0, 0)</f>
        <v>43.012500000000003</v>
      </c>
      <c r="E417" s="4">
        <f>207.758010532047 * CHOOSE(CONTROL!$C$9, $C$13, 100%, $E$13) + CHOOSE(CONTROL!$C$28, 0, 0)</f>
        <v>207.758010532047</v>
      </c>
    </row>
    <row r="418" spans="1:5" ht="15">
      <c r="A418" s="13">
        <v>54239</v>
      </c>
      <c r="B418" s="4">
        <f>32.1877 * CHOOSE(CONTROL!$C$9, $C$13, 100%, $E$13) + CHOOSE(CONTROL!$C$28, 0.0136, 0)</f>
        <v>32.201299999999996</v>
      </c>
      <c r="C418" s="4">
        <f>31.8244 * CHOOSE(CONTROL!$C$9, $C$13, 100%, $E$13) + CHOOSE(CONTROL!$C$28, 0.0136, 0)</f>
        <v>31.838000000000001</v>
      </c>
      <c r="D418" s="4">
        <f>43.3923 * CHOOSE(CONTROL!$C$9, $C$13, 100%, $E$13) + CHOOSE(CONTROL!$C$28, 0, 0)</f>
        <v>43.392299999999999</v>
      </c>
      <c r="E418" s="4">
        <f>208.415385183149 * CHOOSE(CONTROL!$C$9, $C$13, 100%, $E$13) + CHOOSE(CONTROL!$C$28, 0, 0)</f>
        <v>208.415385183149</v>
      </c>
    </row>
    <row r="419" spans="1:5" ht="15">
      <c r="A419" s="13">
        <v>54270</v>
      </c>
      <c r="B419" s="4">
        <f>32.1777 * CHOOSE(CONTROL!$C$9, $C$13, 100%, $E$13) + CHOOSE(CONTROL!$C$28, 0.0136, 0)</f>
        <v>32.191299999999998</v>
      </c>
      <c r="C419" s="4">
        <f>31.8144 * CHOOSE(CONTROL!$C$9, $C$13, 100%, $E$13) + CHOOSE(CONTROL!$C$28, 0.0136, 0)</f>
        <v>31.827999999999999</v>
      </c>
      <c r="D419" s="4">
        <f>44.0778 * CHOOSE(CONTROL!$C$9, $C$13, 100%, $E$13) + CHOOSE(CONTROL!$C$28, 0, 0)</f>
        <v>44.077800000000003</v>
      </c>
      <c r="E419" s="4">
        <f>208.349095302366 * CHOOSE(CONTROL!$C$9, $C$13, 100%, $E$13) + CHOOSE(CONTROL!$C$28, 0, 0)</f>
        <v>208.34909530236601</v>
      </c>
    </row>
    <row r="420" spans="1:5" ht="15">
      <c r="A420" s="13">
        <v>54301</v>
      </c>
      <c r="B420" s="4">
        <f>32.9296 * CHOOSE(CONTROL!$C$9, $C$13, 100%, $E$13) + CHOOSE(CONTROL!$C$28, 0.0136, 0)</f>
        <v>32.943199999999997</v>
      </c>
      <c r="C420" s="4">
        <f>32.5663 * CHOOSE(CONTROL!$C$9, $C$13, 100%, $E$13) + CHOOSE(CONTROL!$C$28, 0.0136, 0)</f>
        <v>32.579899999999995</v>
      </c>
      <c r="D420" s="4">
        <f>43.6251 * CHOOSE(CONTROL!$C$9, $C$13, 100%, $E$13) + CHOOSE(CONTROL!$C$28, 0, 0)</f>
        <v>43.625100000000003</v>
      </c>
      <c r="E420" s="4">
        <f>213.33740883132 * CHOOSE(CONTROL!$C$9, $C$13, 100%, $E$13) + CHOOSE(CONTROL!$C$28, 0, 0)</f>
        <v>213.33740883132</v>
      </c>
    </row>
    <row r="421" spans="1:5" ht="15">
      <c r="A421" s="13">
        <v>54331</v>
      </c>
      <c r="B421" s="4">
        <f>31.6481 * CHOOSE(CONTROL!$C$9, $C$13, 100%, $E$13) + CHOOSE(CONTROL!$C$28, 0.0136, 0)</f>
        <v>31.6617</v>
      </c>
      <c r="C421" s="4">
        <f>31.2849 * CHOOSE(CONTROL!$C$9, $C$13, 100%, $E$13) + CHOOSE(CONTROL!$C$28, 0.0136, 0)</f>
        <v>31.298500000000001</v>
      </c>
      <c r="D421" s="4">
        <f>43.4112 * CHOOSE(CONTROL!$C$9, $C$13, 100%, $E$13) + CHOOSE(CONTROL!$C$28, 0, 0)</f>
        <v>43.411200000000001</v>
      </c>
      <c r="E421" s="4">
        <f>204.835731620843 * CHOOSE(CONTROL!$C$9, $C$13, 100%, $E$13) + CHOOSE(CONTROL!$C$28, 0, 0)</f>
        <v>204.83573162084301</v>
      </c>
    </row>
    <row r="422" spans="1:5" ht="15">
      <c r="A422" s="13">
        <v>54362</v>
      </c>
      <c r="B422" s="4">
        <f>30.6223 * CHOOSE(CONTROL!$C$9, $C$13, 100%, $E$13) + CHOOSE(CONTROL!$C$28, 0.0003, 0)</f>
        <v>30.622599999999998</v>
      </c>
      <c r="C422" s="4">
        <f>30.259 * CHOOSE(CONTROL!$C$9, $C$13, 100%, $E$13) + CHOOSE(CONTROL!$C$28, 0.0003, 0)</f>
        <v>30.2593</v>
      </c>
      <c r="D422" s="4">
        <f>42.8386 * CHOOSE(CONTROL!$C$9, $C$13, 100%, $E$13) + CHOOSE(CONTROL!$C$28, 0, 0)</f>
        <v>42.8386</v>
      </c>
      <c r="E422" s="4">
        <f>198.029970527076 * CHOOSE(CONTROL!$C$9, $C$13, 100%, $E$13) + CHOOSE(CONTROL!$C$28, 0, 0)</f>
        <v>198.02997052707599</v>
      </c>
    </row>
    <row r="423" spans="1:5" ht="15">
      <c r="A423" s="13">
        <v>54392</v>
      </c>
      <c r="B423" s="4">
        <f>29.9616 * CHOOSE(CONTROL!$C$9, $C$13, 100%, $E$13) + CHOOSE(CONTROL!$C$28, 0.0003, 0)</f>
        <v>29.9619</v>
      </c>
      <c r="C423" s="4">
        <f>29.5983 * CHOOSE(CONTROL!$C$9, $C$13, 100%, $E$13) + CHOOSE(CONTROL!$C$28, 0.0003, 0)</f>
        <v>29.598599999999998</v>
      </c>
      <c r="D423" s="4">
        <f>42.6417 * CHOOSE(CONTROL!$C$9, $C$13, 100%, $E$13) + CHOOSE(CONTROL!$C$28, 0, 0)</f>
        <v>42.6417</v>
      </c>
      <c r="E423" s="4">
        <f>193.646552160271 * CHOOSE(CONTROL!$C$9, $C$13, 100%, $E$13) + CHOOSE(CONTROL!$C$28, 0, 0)</f>
        <v>193.646552160271</v>
      </c>
    </row>
    <row r="424" spans="1:5" ht="15">
      <c r="A424" s="13">
        <v>54423</v>
      </c>
      <c r="B424" s="4">
        <f>29.5045 * CHOOSE(CONTROL!$C$9, $C$13, 100%, $E$13) + CHOOSE(CONTROL!$C$28, 0.0003, 0)</f>
        <v>29.504799999999999</v>
      </c>
      <c r="C424" s="4">
        <f>29.1412 * CHOOSE(CONTROL!$C$9, $C$13, 100%, $E$13) + CHOOSE(CONTROL!$C$28, 0.0003, 0)</f>
        <v>29.141500000000001</v>
      </c>
      <c r="D424" s="4">
        <f>41.1923 * CHOOSE(CONTROL!$C$9, $C$13, 100%, $E$13) + CHOOSE(CONTROL!$C$28, 0, 0)</f>
        <v>41.192300000000003</v>
      </c>
      <c r="E424" s="4">
        <f>190.613790114428 * CHOOSE(CONTROL!$C$9, $C$13, 100%, $E$13) + CHOOSE(CONTROL!$C$28, 0, 0)</f>
        <v>190.61379011442801</v>
      </c>
    </row>
    <row r="425" spans="1:5" ht="15">
      <c r="A425" s="13">
        <v>54454</v>
      </c>
      <c r="B425" s="4">
        <f>28.2538 * CHOOSE(CONTROL!$C$9, $C$13, 100%, $E$13) + CHOOSE(CONTROL!$C$28, 0.0003, 0)</f>
        <v>28.254099999999998</v>
      </c>
      <c r="C425" s="4">
        <f>27.8905 * CHOOSE(CONTROL!$C$9, $C$13, 100%, $E$13) + CHOOSE(CONTROL!$C$28, 0.0003, 0)</f>
        <v>27.890799999999999</v>
      </c>
      <c r="D425" s="4">
        <f>39.5957 * CHOOSE(CONTROL!$C$9, $C$13, 100%, $E$13) + CHOOSE(CONTROL!$C$28, 0, 0)</f>
        <v>39.595700000000001</v>
      </c>
      <c r="E425" s="4">
        <f>182.673951214159 * CHOOSE(CONTROL!$C$9, $C$13, 100%, $E$13) + CHOOSE(CONTROL!$C$28, 0, 0)</f>
        <v>182.67395121415899</v>
      </c>
    </row>
    <row r="426" spans="1:5" ht="15">
      <c r="A426" s="13">
        <v>54482</v>
      </c>
      <c r="B426" s="4">
        <f>28.9063 * CHOOSE(CONTROL!$C$9, $C$13, 100%, $E$13) + CHOOSE(CONTROL!$C$28, 0.0003, 0)</f>
        <v>28.906600000000001</v>
      </c>
      <c r="C426" s="4">
        <f>28.543 * CHOOSE(CONTROL!$C$9, $C$13, 100%, $E$13) + CHOOSE(CONTROL!$C$28, 0.0003, 0)</f>
        <v>28.543299999999999</v>
      </c>
      <c r="D426" s="4">
        <f>40.9278 * CHOOSE(CONTROL!$C$9, $C$13, 100%, $E$13) + CHOOSE(CONTROL!$C$28, 0, 0)</f>
        <v>40.927799999999998</v>
      </c>
      <c r="E426" s="4">
        <f>187.011350717482 * CHOOSE(CONTROL!$C$9, $C$13, 100%, $E$13) + CHOOSE(CONTROL!$C$28, 0, 0)</f>
        <v>187.011350717482</v>
      </c>
    </row>
    <row r="427" spans="1:5" ht="15">
      <c r="A427" s="13">
        <v>54513</v>
      </c>
      <c r="B427" s="4">
        <f>30.6198 * CHOOSE(CONTROL!$C$9, $C$13, 100%, $E$13) + CHOOSE(CONTROL!$C$28, 0.0003, 0)</f>
        <v>30.620100000000001</v>
      </c>
      <c r="C427" s="4">
        <f>30.2565 * CHOOSE(CONTROL!$C$9, $C$13, 100%, $E$13) + CHOOSE(CONTROL!$C$28, 0.0003, 0)</f>
        <v>30.256799999999998</v>
      </c>
      <c r="D427" s="4">
        <f>43.0132 * CHOOSE(CONTROL!$C$9, $C$13, 100%, $E$13) + CHOOSE(CONTROL!$C$28, 0, 0)</f>
        <v>43.013199999999998</v>
      </c>
      <c r="E427" s="4">
        <f>198.401592316616 * CHOOSE(CONTROL!$C$9, $C$13, 100%, $E$13) + CHOOSE(CONTROL!$C$28, 0, 0)</f>
        <v>198.40159231661599</v>
      </c>
    </row>
    <row r="428" spans="1:5" ht="15">
      <c r="A428" s="13">
        <v>54543</v>
      </c>
      <c r="B428" s="4">
        <f>31.8372 * CHOOSE(CONTROL!$C$9, $C$13, 100%, $E$13) + CHOOSE(CONTROL!$C$28, 0.0003, 0)</f>
        <v>31.837499999999999</v>
      </c>
      <c r="C428" s="4">
        <f>31.4739 * CHOOSE(CONTROL!$C$9, $C$13, 100%, $E$13) + CHOOSE(CONTROL!$C$28, 0.0003, 0)</f>
        <v>31.4742</v>
      </c>
      <c r="D428" s="4">
        <f>44.2144 * CHOOSE(CONTROL!$C$9, $C$13, 100%, $E$13) + CHOOSE(CONTROL!$C$28, 0, 0)</f>
        <v>44.214399999999998</v>
      </c>
      <c r="E428" s="4">
        <f>206.494510767729 * CHOOSE(CONTROL!$C$9, $C$13, 100%, $E$13) + CHOOSE(CONTROL!$C$28, 0, 0)</f>
        <v>206.494510767729</v>
      </c>
    </row>
    <row r="429" spans="1:5" ht="15">
      <c r="A429" s="13">
        <v>54574</v>
      </c>
      <c r="B429" s="4">
        <f>32.581 * CHOOSE(CONTROL!$C$9, $C$13, 100%, $E$13) + CHOOSE(CONTROL!$C$28, 0.0136, 0)</f>
        <v>32.5946</v>
      </c>
      <c r="C429" s="4">
        <f>32.2178 * CHOOSE(CONTROL!$C$9, $C$13, 100%, $E$13) + CHOOSE(CONTROL!$C$28, 0.0136, 0)</f>
        <v>32.231399999999994</v>
      </c>
      <c r="D429" s="4">
        <f>43.7397 * CHOOSE(CONTROL!$C$9, $C$13, 100%, $E$13) + CHOOSE(CONTROL!$C$28, 0, 0)</f>
        <v>43.739699999999999</v>
      </c>
      <c r="E429" s="4">
        <f>211.439089981174 * CHOOSE(CONTROL!$C$9, $C$13, 100%, $E$13) + CHOOSE(CONTROL!$C$28, 0, 0)</f>
        <v>211.43908998117399</v>
      </c>
    </row>
    <row r="430" spans="1:5" ht="15">
      <c r="A430" s="13">
        <v>54604</v>
      </c>
      <c r="B430" s="4">
        <f>32.6817 * CHOOSE(CONTROL!$C$9, $C$13, 100%, $E$13) + CHOOSE(CONTROL!$C$28, 0.0136, 0)</f>
        <v>32.695299999999996</v>
      </c>
      <c r="C430" s="4">
        <f>32.3184 * CHOOSE(CONTROL!$C$9, $C$13, 100%, $E$13) + CHOOSE(CONTROL!$C$28, 0.0136, 0)</f>
        <v>32.331999999999994</v>
      </c>
      <c r="D430" s="4">
        <f>44.1263 * CHOOSE(CONTROL!$C$9, $C$13, 100%, $E$13) + CHOOSE(CONTROL!$C$28, 0, 0)</f>
        <v>44.126300000000001</v>
      </c>
      <c r="E430" s="4">
        <f>212.108112069178 * CHOOSE(CONTROL!$C$9, $C$13, 100%, $E$13) + CHOOSE(CONTROL!$C$28, 0, 0)</f>
        <v>212.10811206917799</v>
      </c>
    </row>
    <row r="431" spans="1:5" ht="15">
      <c r="A431" s="13">
        <v>54635</v>
      </c>
      <c r="B431" s="4">
        <f>32.6715 * CHOOSE(CONTROL!$C$9, $C$13, 100%, $E$13) + CHOOSE(CONTROL!$C$28, 0.0136, 0)</f>
        <v>32.685099999999998</v>
      </c>
      <c r="C431" s="4">
        <f>32.3083 * CHOOSE(CONTROL!$C$9, $C$13, 100%, $E$13) + CHOOSE(CONTROL!$C$28, 0.0136, 0)</f>
        <v>32.321899999999999</v>
      </c>
      <c r="D431" s="4">
        <f>44.8238 * CHOOSE(CONTROL!$C$9, $C$13, 100%, $E$13) + CHOOSE(CONTROL!$C$28, 0, 0)</f>
        <v>44.823799999999999</v>
      </c>
      <c r="E431" s="4">
        <f>212.040647656943 * CHOOSE(CONTROL!$C$9, $C$13, 100%, $E$13) + CHOOSE(CONTROL!$C$28, 0, 0)</f>
        <v>212.04064765694301</v>
      </c>
    </row>
    <row r="432" spans="1:5" ht="15">
      <c r="A432" s="13">
        <v>54666</v>
      </c>
      <c r="B432" s="4">
        <f>33.4352 * CHOOSE(CONTROL!$C$9, $C$13, 100%, $E$13) + CHOOSE(CONTROL!$C$28, 0.0136, 0)</f>
        <v>33.448799999999999</v>
      </c>
      <c r="C432" s="4">
        <f>33.072 * CHOOSE(CONTROL!$C$9, $C$13, 100%, $E$13) + CHOOSE(CONTROL!$C$28, 0.0136, 0)</f>
        <v>33.085599999999999</v>
      </c>
      <c r="D432" s="4">
        <f>44.3632 * CHOOSE(CONTROL!$C$9, $C$13, 100%, $E$13) + CHOOSE(CONTROL!$C$28, 0, 0)</f>
        <v>44.363199999999999</v>
      </c>
      <c r="E432" s="4">
        <f>217.117344677682 * CHOOSE(CONTROL!$C$9, $C$13, 100%, $E$13) + CHOOSE(CONTROL!$C$28, 0, 0)</f>
        <v>217.11734467768201</v>
      </c>
    </row>
    <row r="433" spans="1:5" ht="15">
      <c r="A433" s="13">
        <v>54696</v>
      </c>
      <c r="B433" s="4">
        <f>32.1336 * CHOOSE(CONTROL!$C$9, $C$13, 100%, $E$13) + CHOOSE(CONTROL!$C$28, 0.0136, 0)</f>
        <v>32.147199999999998</v>
      </c>
      <c r="C433" s="4">
        <f>31.7704 * CHOOSE(CONTROL!$C$9, $C$13, 100%, $E$13) + CHOOSE(CONTROL!$C$28, 0.0136, 0)</f>
        <v>31.783999999999999</v>
      </c>
      <c r="D433" s="4">
        <f>44.1455 * CHOOSE(CONTROL!$C$9, $C$13, 100%, $E$13) + CHOOSE(CONTROL!$C$28, 0, 0)</f>
        <v>44.145499999999998</v>
      </c>
      <c r="E433" s="4">
        <f>208.465033808448 * CHOOSE(CONTROL!$C$9, $C$13, 100%, $E$13) + CHOOSE(CONTROL!$C$28, 0, 0)</f>
        <v>208.465033808448</v>
      </c>
    </row>
    <row r="434" spans="1:5" ht="15">
      <c r="A434" s="13">
        <v>54727</v>
      </c>
      <c r="B434" s="4">
        <f>31.0917 * CHOOSE(CONTROL!$C$9, $C$13, 100%, $E$13) + CHOOSE(CONTROL!$C$28, 0.0003, 0)</f>
        <v>31.091999999999999</v>
      </c>
      <c r="C434" s="4">
        <f>30.7284 * CHOOSE(CONTROL!$C$9, $C$13, 100%, $E$13) + CHOOSE(CONTROL!$C$28, 0.0003, 0)</f>
        <v>30.7287</v>
      </c>
      <c r="D434" s="4">
        <f>43.5628 * CHOOSE(CONTROL!$C$9, $C$13, 100%, $E$13) + CHOOSE(CONTROL!$C$28, 0, 0)</f>
        <v>43.562800000000003</v>
      </c>
      <c r="E434" s="4">
        <f>201.538687485578 * CHOOSE(CONTROL!$C$9, $C$13, 100%, $E$13) + CHOOSE(CONTROL!$C$28, 0, 0)</f>
        <v>201.53868748557801</v>
      </c>
    </row>
    <row r="435" spans="1:5" ht="15">
      <c r="A435" s="13">
        <v>54757</v>
      </c>
      <c r="B435" s="4">
        <f>30.4206 * CHOOSE(CONTROL!$C$9, $C$13, 100%, $E$13) + CHOOSE(CONTROL!$C$28, 0.0003, 0)</f>
        <v>30.4209</v>
      </c>
      <c r="C435" s="4">
        <f>30.0573 * CHOOSE(CONTROL!$C$9, $C$13, 100%, $E$13) + CHOOSE(CONTROL!$C$28, 0.0003, 0)</f>
        <v>30.057600000000001</v>
      </c>
      <c r="D435" s="4">
        <f>43.3624 * CHOOSE(CONTROL!$C$9, $C$13, 100%, $E$13) + CHOOSE(CONTROL!$C$28, 0, 0)</f>
        <v>43.362400000000001</v>
      </c>
      <c r="E435" s="4">
        <f>197.07760322649 * CHOOSE(CONTROL!$C$9, $C$13, 100%, $E$13) + CHOOSE(CONTROL!$C$28, 0, 0)</f>
        <v>197.07760322649</v>
      </c>
    </row>
    <row r="436" spans="1:5" ht="15">
      <c r="A436" s="13">
        <v>54788</v>
      </c>
      <c r="B436" s="4">
        <f>29.9563 * CHOOSE(CONTROL!$C$9, $C$13, 100%, $E$13) + CHOOSE(CONTROL!$C$28, 0.0003, 0)</f>
        <v>29.956599999999998</v>
      </c>
      <c r="C436" s="4">
        <f>29.593 * CHOOSE(CONTROL!$C$9, $C$13, 100%, $E$13) + CHOOSE(CONTROL!$C$28, 0.0003, 0)</f>
        <v>29.593299999999999</v>
      </c>
      <c r="D436" s="4">
        <f>41.8874 * CHOOSE(CONTROL!$C$9, $C$13, 100%, $E$13) + CHOOSE(CONTROL!$C$28, 0, 0)</f>
        <v>41.8874</v>
      </c>
      <c r="E436" s="4">
        <f>193.991106366705 * CHOOSE(CONTROL!$C$9, $C$13, 100%, $E$13) + CHOOSE(CONTROL!$C$28, 0, 0)</f>
        <v>193.991106366705</v>
      </c>
    </row>
    <row r="437" spans="1:5" ht="15">
      <c r="A437" s="13">
        <v>54819</v>
      </c>
      <c r="B437" s="4">
        <f>28.6859 * CHOOSE(CONTROL!$C$9, $C$13, 100%, $E$13) + CHOOSE(CONTROL!$C$28, 0.0003, 0)</f>
        <v>28.686199999999999</v>
      </c>
      <c r="C437" s="4">
        <f>28.3226 * CHOOSE(CONTROL!$C$9, $C$13, 100%, $E$13) + CHOOSE(CONTROL!$C$28, 0.0003, 0)</f>
        <v>28.322900000000001</v>
      </c>
      <c r="D437" s="4">
        <f>40.2625 * CHOOSE(CONTROL!$C$9, $C$13, 100%, $E$13) + CHOOSE(CONTROL!$C$28, 0, 0)</f>
        <v>40.262500000000003</v>
      </c>
      <c r="E437" s="4">
        <f>185.910588521106 * CHOOSE(CONTROL!$C$9, $C$13, 100%, $E$13) + CHOOSE(CONTROL!$C$28, 0, 0)</f>
        <v>185.91058852110601</v>
      </c>
    </row>
    <row r="438" spans="1:5" ht="15">
      <c r="A438" s="13">
        <v>54847</v>
      </c>
      <c r="B438" s="4">
        <f>29.3487 * CHOOSE(CONTROL!$C$9, $C$13, 100%, $E$13) + CHOOSE(CONTROL!$C$28, 0.0003, 0)</f>
        <v>29.349</v>
      </c>
      <c r="C438" s="4">
        <f>28.9854 * CHOOSE(CONTROL!$C$9, $C$13, 100%, $E$13) + CHOOSE(CONTROL!$C$28, 0.0003, 0)</f>
        <v>28.985699999999998</v>
      </c>
      <c r="D438" s="4">
        <f>41.6182 * CHOOSE(CONTROL!$C$9, $C$13, 100%, $E$13) + CHOOSE(CONTROL!$C$28, 0, 0)</f>
        <v>41.618200000000002</v>
      </c>
      <c r="E438" s="4">
        <f>190.324838549391 * CHOOSE(CONTROL!$C$9, $C$13, 100%, $E$13) + CHOOSE(CONTROL!$C$28, 0, 0)</f>
        <v>190.32483854939099</v>
      </c>
    </row>
    <row r="439" spans="1:5" ht="15">
      <c r="A439" s="13">
        <v>54878</v>
      </c>
      <c r="B439" s="4">
        <f>31.0891 * CHOOSE(CONTROL!$C$9, $C$13, 100%, $E$13) + CHOOSE(CONTROL!$C$28, 0.0003, 0)</f>
        <v>31.089399999999998</v>
      </c>
      <c r="C439" s="4">
        <f>30.7258 * CHOOSE(CONTROL!$C$9, $C$13, 100%, $E$13) + CHOOSE(CONTROL!$C$28, 0.0003, 0)</f>
        <v>30.726099999999999</v>
      </c>
      <c r="D439" s="4">
        <f>43.7404 * CHOOSE(CONTROL!$C$9, $C$13, 100%, $E$13) + CHOOSE(CONTROL!$C$28, 0, 0)</f>
        <v>43.740400000000001</v>
      </c>
      <c r="E439" s="4">
        <f>201.916893711159 * CHOOSE(CONTROL!$C$9, $C$13, 100%, $E$13) + CHOOSE(CONTROL!$C$28, 0, 0)</f>
        <v>201.91689371115899</v>
      </c>
    </row>
    <row r="440" spans="1:5" ht="15">
      <c r="A440" s="13">
        <v>54908</v>
      </c>
      <c r="B440" s="4">
        <f>32.3257 * CHOOSE(CONTROL!$C$9, $C$13, 100%, $E$13) + CHOOSE(CONTROL!$C$28, 0.0003, 0)</f>
        <v>32.326000000000001</v>
      </c>
      <c r="C440" s="4">
        <f>31.9624 * CHOOSE(CONTROL!$C$9, $C$13, 100%, $E$13) + CHOOSE(CONTROL!$C$28, 0.0003, 0)</f>
        <v>31.962699999999998</v>
      </c>
      <c r="D440" s="4">
        <f>44.9629 * CHOOSE(CONTROL!$C$9, $C$13, 100%, $E$13) + CHOOSE(CONTROL!$C$28, 0, 0)</f>
        <v>44.962899999999998</v>
      </c>
      <c r="E440" s="4">
        <f>210.153203388043 * CHOOSE(CONTROL!$C$9, $C$13, 100%, $E$13) + CHOOSE(CONTROL!$C$28, 0, 0)</f>
        <v>210.15320338804301</v>
      </c>
    </row>
    <row r="441" spans="1:5" ht="15">
      <c r="A441" s="13">
        <v>54939</v>
      </c>
      <c r="B441" s="4">
        <f>33.0812 * CHOOSE(CONTROL!$C$9, $C$13, 100%, $E$13) + CHOOSE(CONTROL!$C$28, 0.0136, 0)</f>
        <v>33.094799999999999</v>
      </c>
      <c r="C441" s="4">
        <f>32.7179 * CHOOSE(CONTROL!$C$9, $C$13, 100%, $E$13) + CHOOSE(CONTROL!$C$28, 0.0136, 0)</f>
        <v>32.731499999999997</v>
      </c>
      <c r="D441" s="4">
        <f>44.4798 * CHOOSE(CONTROL!$C$9, $C$13, 100%, $E$13) + CHOOSE(CONTROL!$C$28, 0, 0)</f>
        <v>44.479799999999997</v>
      </c>
      <c r="E441" s="4">
        <f>215.185391203825 * CHOOSE(CONTROL!$C$9, $C$13, 100%, $E$13) + CHOOSE(CONTROL!$C$28, 0, 0)</f>
        <v>215.18539120382499</v>
      </c>
    </row>
    <row r="442" spans="1:5" ht="15">
      <c r="A442" s="13">
        <v>54969</v>
      </c>
      <c r="B442" s="4">
        <f>33.1834 * CHOOSE(CONTROL!$C$9, $C$13, 100%, $E$13) + CHOOSE(CONTROL!$C$28, 0.0136, 0)</f>
        <v>33.196999999999996</v>
      </c>
      <c r="C442" s="4">
        <f>32.8202 * CHOOSE(CONTROL!$C$9, $C$13, 100%, $E$13) + CHOOSE(CONTROL!$C$28, 0.0136, 0)</f>
        <v>32.833799999999997</v>
      </c>
      <c r="D442" s="4">
        <f>44.8732 * CHOOSE(CONTROL!$C$9, $C$13, 100%, $E$13) + CHOOSE(CONTROL!$C$28, 0, 0)</f>
        <v>44.873199999999997</v>
      </c>
      <c r="E442" s="4">
        <f>215.866267099309 * CHOOSE(CONTROL!$C$9, $C$13, 100%, $E$13) + CHOOSE(CONTROL!$C$28, 0, 0)</f>
        <v>215.866267099309</v>
      </c>
    </row>
    <row r="443" spans="1:5" ht="15">
      <c r="A443" s="13">
        <v>55000</v>
      </c>
      <c r="B443" s="4">
        <f>33.1731 * CHOOSE(CONTROL!$C$9, $C$13, 100%, $E$13) + CHOOSE(CONTROL!$C$28, 0.0136, 0)</f>
        <v>33.186699999999995</v>
      </c>
      <c r="C443" s="4">
        <f>32.8099 * CHOOSE(CONTROL!$C$9, $C$13, 100%, $E$13) + CHOOSE(CONTROL!$C$28, 0.0136, 0)</f>
        <v>32.823499999999996</v>
      </c>
      <c r="D443" s="4">
        <f>45.5831 * CHOOSE(CONTROL!$C$9, $C$13, 100%, $E$13) + CHOOSE(CONTROL!$C$28, 0, 0)</f>
        <v>45.583100000000002</v>
      </c>
      <c r="E443" s="4">
        <f>215.797607345143 * CHOOSE(CONTROL!$C$9, $C$13, 100%, $E$13) + CHOOSE(CONTROL!$C$28, 0, 0)</f>
        <v>215.79760734514301</v>
      </c>
    </row>
    <row r="444" spans="1:5" ht="15">
      <c r="A444" s="13">
        <v>55031</v>
      </c>
      <c r="B444" s="4">
        <f>33.9488 * CHOOSE(CONTROL!$C$9, $C$13, 100%, $E$13) + CHOOSE(CONTROL!$C$28, 0.0136, 0)</f>
        <v>33.962399999999995</v>
      </c>
      <c r="C444" s="4">
        <f>33.5856 * CHOOSE(CONTROL!$C$9, $C$13, 100%, $E$13) + CHOOSE(CONTROL!$C$28, 0.0136, 0)</f>
        <v>33.599199999999996</v>
      </c>
      <c r="D444" s="4">
        <f>45.1143 * CHOOSE(CONTROL!$C$9, $C$13, 100%, $E$13) + CHOOSE(CONTROL!$C$28, 0, 0)</f>
        <v>45.1143</v>
      </c>
      <c r="E444" s="4">
        <f>220.964253846168 * CHOOSE(CONTROL!$C$9, $C$13, 100%, $E$13) + CHOOSE(CONTROL!$C$28, 0, 0)</f>
        <v>220.96425384616799</v>
      </c>
    </row>
    <row r="445" spans="1:5" ht="15">
      <c r="A445" s="13">
        <v>55061</v>
      </c>
      <c r="B445" s="4">
        <f>32.6268 * CHOOSE(CONTROL!$C$9, $C$13, 100%, $E$13) + CHOOSE(CONTROL!$C$28, 0.0136, 0)</f>
        <v>32.6404</v>
      </c>
      <c r="C445" s="4">
        <f>32.2635 * CHOOSE(CONTROL!$C$9, $C$13, 100%, $E$13) + CHOOSE(CONTROL!$C$28, 0.0136, 0)</f>
        <v>32.277099999999997</v>
      </c>
      <c r="D445" s="4">
        <f>44.8928 * CHOOSE(CONTROL!$C$9, $C$13, 100%, $E$13) + CHOOSE(CONTROL!$C$28, 0, 0)</f>
        <v>44.892800000000001</v>
      </c>
      <c r="E445" s="4">
        <f>212.158640374321 * CHOOSE(CONTROL!$C$9, $C$13, 100%, $E$13) + CHOOSE(CONTROL!$C$28, 0, 0)</f>
        <v>212.15864037432101</v>
      </c>
    </row>
    <row r="446" spans="1:5" ht="15">
      <c r="A446" s="13">
        <v>55092</v>
      </c>
      <c r="B446" s="4">
        <f>31.5684 * CHOOSE(CONTROL!$C$9, $C$13, 100%, $E$13) + CHOOSE(CONTROL!$C$28, 0.0003, 0)</f>
        <v>31.5687</v>
      </c>
      <c r="C446" s="4">
        <f>31.2052 * CHOOSE(CONTROL!$C$9, $C$13, 100%, $E$13) + CHOOSE(CONTROL!$C$28, 0.0003, 0)</f>
        <v>31.205500000000001</v>
      </c>
      <c r="D446" s="4">
        <f>44.2997 * CHOOSE(CONTROL!$C$9, $C$13, 100%, $E$13) + CHOOSE(CONTROL!$C$28, 0, 0)</f>
        <v>44.299700000000001</v>
      </c>
      <c r="E446" s="4">
        <f>205.109572279899 * CHOOSE(CONTROL!$C$9, $C$13, 100%, $E$13) + CHOOSE(CONTROL!$C$28, 0, 0)</f>
        <v>205.109572279899</v>
      </c>
    </row>
    <row r="447" spans="1:5" ht="15">
      <c r="A447" s="13">
        <v>55122</v>
      </c>
      <c r="B447" s="4">
        <f>30.8868 * CHOOSE(CONTROL!$C$9, $C$13, 100%, $E$13) + CHOOSE(CONTROL!$C$28, 0.0003, 0)</f>
        <v>30.8871</v>
      </c>
      <c r="C447" s="4">
        <f>30.5235 * CHOOSE(CONTROL!$C$9, $C$13, 100%, $E$13) + CHOOSE(CONTROL!$C$28, 0.0003, 0)</f>
        <v>30.523799999999998</v>
      </c>
      <c r="D447" s="4">
        <f>44.0958 * CHOOSE(CONTROL!$C$9, $C$13, 100%, $E$13) + CHOOSE(CONTROL!$C$28, 0, 0)</f>
        <v>44.095799999999997</v>
      </c>
      <c r="E447" s="4">
        <f>200.569446035643 * CHOOSE(CONTROL!$C$9, $C$13, 100%, $E$13) + CHOOSE(CONTROL!$C$28, 0, 0)</f>
        <v>200.56944603564301</v>
      </c>
    </row>
    <row r="448" spans="1:5" ht="15">
      <c r="A448" s="13">
        <v>55153</v>
      </c>
      <c r="B448" s="4">
        <f>30.4152 * CHOOSE(CONTROL!$C$9, $C$13, 100%, $E$13) + CHOOSE(CONTROL!$C$28, 0.0003, 0)</f>
        <v>30.415499999999998</v>
      </c>
      <c r="C448" s="4">
        <f>30.0519 * CHOOSE(CONTROL!$C$9, $C$13, 100%, $E$13) + CHOOSE(CONTROL!$C$28, 0.0003, 0)</f>
        <v>30.052199999999999</v>
      </c>
      <c r="D448" s="4">
        <f>42.5948 * CHOOSE(CONTROL!$C$9, $C$13, 100%, $E$13) + CHOOSE(CONTROL!$C$28, 0, 0)</f>
        <v>42.594799999999999</v>
      </c>
      <c r="E448" s="4">
        <f>197.428262282528 * CHOOSE(CONTROL!$C$9, $C$13, 100%, $E$13) + CHOOSE(CONTROL!$C$28, 0, 0)</f>
        <v>197.42826228252801</v>
      </c>
    </row>
    <row r="449" spans="1:5" ht="15">
      <c r="A449" s="13">
        <v>55184</v>
      </c>
      <c r="B449" s="4">
        <f>29.1248 * CHOOSE(CONTROL!$C$9, $C$13, 100%, $E$13) + CHOOSE(CONTROL!$C$28, 0.0003, 0)</f>
        <v>29.1251</v>
      </c>
      <c r="C449" s="4">
        <f>28.7616 * CHOOSE(CONTROL!$C$9, $C$13, 100%, $E$13) + CHOOSE(CONTROL!$C$28, 0.0003, 0)</f>
        <v>28.761900000000001</v>
      </c>
      <c r="D449" s="4">
        <f>40.9412 * CHOOSE(CONTROL!$C$9, $C$13, 100%, $E$13) + CHOOSE(CONTROL!$C$28, 0, 0)</f>
        <v>40.941200000000002</v>
      </c>
      <c r="E449" s="4">
        <f>189.204572926462 * CHOOSE(CONTROL!$C$9, $C$13, 100%, $E$13) + CHOOSE(CONTROL!$C$28, 0, 0)</f>
        <v>189.20457292646199</v>
      </c>
    </row>
    <row r="450" spans="1:5" ht="15">
      <c r="A450" s="13">
        <v>55212</v>
      </c>
      <c r="B450" s="4">
        <f>29.798 * CHOOSE(CONTROL!$C$9, $C$13, 100%, $E$13) + CHOOSE(CONTROL!$C$28, 0.0003, 0)</f>
        <v>29.798299999999998</v>
      </c>
      <c r="C450" s="4">
        <f>29.4347 * CHOOSE(CONTROL!$C$9, $C$13, 100%, $E$13) + CHOOSE(CONTROL!$C$28, 0.0003, 0)</f>
        <v>29.434999999999999</v>
      </c>
      <c r="D450" s="4">
        <f>42.3208 * CHOOSE(CONTROL!$C$9, $C$13, 100%, $E$13) + CHOOSE(CONTROL!$C$28, 0, 0)</f>
        <v>42.320799999999998</v>
      </c>
      <c r="E450" s="4">
        <f>193.697035125824 * CHOOSE(CONTROL!$C$9, $C$13, 100%, $E$13) + CHOOSE(CONTROL!$C$28, 0, 0)</f>
        <v>193.69703512582399</v>
      </c>
    </row>
    <row r="451" spans="1:5" ht="15">
      <c r="A451" s="13">
        <v>55243</v>
      </c>
      <c r="B451" s="4">
        <f>31.5658 * CHOOSE(CONTROL!$C$9, $C$13, 100%, $E$13) + CHOOSE(CONTROL!$C$28, 0.0003, 0)</f>
        <v>31.566099999999999</v>
      </c>
      <c r="C451" s="4">
        <f>31.2025 * CHOOSE(CONTROL!$C$9, $C$13, 100%, $E$13) + CHOOSE(CONTROL!$C$28, 0.0003, 0)</f>
        <v>31.2028</v>
      </c>
      <c r="D451" s="4">
        <f>44.4805 * CHOOSE(CONTROL!$C$9, $C$13, 100%, $E$13) + CHOOSE(CONTROL!$C$28, 0, 0)</f>
        <v>44.480499999999999</v>
      </c>
      <c r="E451" s="4">
        <f>205.494479605288 * CHOOSE(CONTROL!$C$9, $C$13, 100%, $E$13) + CHOOSE(CONTROL!$C$28, 0, 0)</f>
        <v>205.49447960528801</v>
      </c>
    </row>
    <row r="452" spans="1:5" ht="15">
      <c r="A452" s="13">
        <v>55273</v>
      </c>
      <c r="B452" s="4">
        <f>32.8218 * CHOOSE(CONTROL!$C$9, $C$13, 100%, $E$13) + CHOOSE(CONTROL!$C$28, 0.0003, 0)</f>
        <v>32.822100000000006</v>
      </c>
      <c r="C452" s="4">
        <f>32.4586 * CHOOSE(CONTROL!$C$9, $C$13, 100%, $E$13) + CHOOSE(CONTROL!$C$28, 0.0003, 0)</f>
        <v>32.4589</v>
      </c>
      <c r="D452" s="4">
        <f>45.7246 * CHOOSE(CONTROL!$C$9, $C$13, 100%, $E$13) + CHOOSE(CONTROL!$C$28, 0, 0)</f>
        <v>45.724600000000002</v>
      </c>
      <c r="E452" s="4">
        <f>213.876721129568 * CHOOSE(CONTROL!$C$9, $C$13, 100%, $E$13) + CHOOSE(CONTROL!$C$28, 0, 0)</f>
        <v>213.87672112956801</v>
      </c>
    </row>
    <row r="453" spans="1:5" ht="15">
      <c r="A453" s="13">
        <v>55304</v>
      </c>
      <c r="B453" s="4">
        <f>33.5893 * CHOOSE(CONTROL!$C$9, $C$13, 100%, $E$13) + CHOOSE(CONTROL!$C$28, 0.0136, 0)</f>
        <v>33.602899999999998</v>
      </c>
      <c r="C453" s="4">
        <f>33.226 * CHOOSE(CONTROL!$C$9, $C$13, 100%, $E$13) + CHOOSE(CONTROL!$C$28, 0.0136, 0)</f>
        <v>33.239599999999996</v>
      </c>
      <c r="D453" s="4">
        <f>45.233 * CHOOSE(CONTROL!$C$9, $C$13, 100%, $E$13) + CHOOSE(CONTROL!$C$28, 0, 0)</f>
        <v>45.232999999999997</v>
      </c>
      <c r="E453" s="4">
        <f>218.998069806611 * CHOOSE(CONTROL!$C$9, $C$13, 100%, $E$13) + CHOOSE(CONTROL!$C$28, 0, 0)</f>
        <v>218.998069806611</v>
      </c>
    </row>
    <row r="454" spans="1:5" ht="15">
      <c r="A454" s="13">
        <v>55334</v>
      </c>
      <c r="B454" s="4">
        <f>33.6931 * CHOOSE(CONTROL!$C$9, $C$13, 100%, $E$13) + CHOOSE(CONTROL!$C$28, 0.0136, 0)</f>
        <v>33.706699999999998</v>
      </c>
      <c r="C454" s="4">
        <f>33.3298 * CHOOSE(CONTROL!$C$9, $C$13, 100%, $E$13) + CHOOSE(CONTROL!$C$28, 0.0136, 0)</f>
        <v>33.343399999999995</v>
      </c>
      <c r="D454" s="4">
        <f>45.6333 * CHOOSE(CONTROL!$C$9, $C$13, 100%, $E$13) + CHOOSE(CONTROL!$C$28, 0, 0)</f>
        <v>45.633299999999998</v>
      </c>
      <c r="E454" s="4">
        <f>219.691009536648 * CHOOSE(CONTROL!$C$9, $C$13, 100%, $E$13) + CHOOSE(CONTROL!$C$28, 0, 0)</f>
        <v>219.69100953664801</v>
      </c>
    </row>
    <row r="455" spans="1:5" ht="15">
      <c r="A455" s="13">
        <v>55365</v>
      </c>
      <c r="B455" s="4">
        <f>33.6826 * CHOOSE(CONTROL!$C$9, $C$13, 100%, $E$13) + CHOOSE(CONTROL!$C$28, 0.0136, 0)</f>
        <v>33.696199999999997</v>
      </c>
      <c r="C455" s="4">
        <f>33.3193 * CHOOSE(CONTROL!$C$9, $C$13, 100%, $E$13) + CHOOSE(CONTROL!$C$28, 0.0136, 0)</f>
        <v>33.332899999999995</v>
      </c>
      <c r="D455" s="4">
        <f>46.3557 * CHOOSE(CONTROL!$C$9, $C$13, 100%, $E$13) + CHOOSE(CONTROL!$C$28, 0, 0)</f>
        <v>46.355699999999999</v>
      </c>
      <c r="E455" s="4">
        <f>219.62113326135 * CHOOSE(CONTROL!$C$9, $C$13, 100%, $E$13) + CHOOSE(CONTROL!$C$28, 0, 0)</f>
        <v>219.62113326135</v>
      </c>
    </row>
    <row r="456" spans="1:5" ht="15">
      <c r="A456" s="13">
        <v>55396</v>
      </c>
      <c r="B456" s="4">
        <f>34.4705 * CHOOSE(CONTROL!$C$9, $C$13, 100%, $E$13) + CHOOSE(CONTROL!$C$28, 0.0136, 0)</f>
        <v>34.484099999999998</v>
      </c>
      <c r="C456" s="4">
        <f>34.1072 * CHOOSE(CONTROL!$C$9, $C$13, 100%, $E$13) + CHOOSE(CONTROL!$C$28, 0.0136, 0)</f>
        <v>34.120799999999996</v>
      </c>
      <c r="D456" s="4">
        <f>45.8786 * CHOOSE(CONTROL!$C$9, $C$13, 100%, $E$13) + CHOOSE(CONTROL!$C$28, 0, 0)</f>
        <v>45.878599999999999</v>
      </c>
      <c r="E456" s="4">
        <f>224.879322977519 * CHOOSE(CONTROL!$C$9, $C$13, 100%, $E$13) + CHOOSE(CONTROL!$C$28, 0, 0)</f>
        <v>224.879322977519</v>
      </c>
    </row>
    <row r="457" spans="1:5" ht="15">
      <c r="A457" s="13">
        <v>55426</v>
      </c>
      <c r="B457" s="4">
        <f>33.1277 * CHOOSE(CONTROL!$C$9, $C$13, 100%, $E$13) + CHOOSE(CONTROL!$C$28, 0.0136, 0)</f>
        <v>33.141299999999994</v>
      </c>
      <c r="C457" s="4">
        <f>32.7644 * CHOOSE(CONTROL!$C$9, $C$13, 100%, $E$13) + CHOOSE(CONTROL!$C$28, 0.0136, 0)</f>
        <v>32.777999999999999</v>
      </c>
      <c r="D457" s="4">
        <f>45.6532 * CHOOSE(CONTROL!$C$9, $C$13, 100%, $E$13) + CHOOSE(CONTROL!$C$28, 0, 0)</f>
        <v>45.653199999999998</v>
      </c>
      <c r="E457" s="4">
        <f>215.917690670561 * CHOOSE(CONTROL!$C$9, $C$13, 100%, $E$13) + CHOOSE(CONTROL!$C$28, 0, 0)</f>
        <v>215.917690670561</v>
      </c>
    </row>
    <row r="458" spans="1:5" ht="15">
      <c r="A458" s="13">
        <v>55457</v>
      </c>
      <c r="B458" s="4">
        <f>32.0527 * CHOOSE(CONTROL!$C$9, $C$13, 100%, $E$13) + CHOOSE(CONTROL!$C$28, 0.0003, 0)</f>
        <v>32.053000000000004</v>
      </c>
      <c r="C458" s="4">
        <f>31.6894 * CHOOSE(CONTROL!$C$9, $C$13, 100%, $E$13) + CHOOSE(CONTROL!$C$28, 0.0003, 0)</f>
        <v>31.689699999999998</v>
      </c>
      <c r="D458" s="4">
        <f>45.0497 * CHOOSE(CONTROL!$C$9, $C$13, 100%, $E$13) + CHOOSE(CONTROL!$C$28, 0, 0)</f>
        <v>45.049700000000001</v>
      </c>
      <c r="E458" s="4">
        <f>208.743726406641 * CHOOSE(CONTROL!$C$9, $C$13, 100%, $E$13) + CHOOSE(CONTROL!$C$28, 0, 0)</f>
        <v>208.743726406641</v>
      </c>
    </row>
    <row r="459" spans="1:5" ht="15">
      <c r="A459" s="13">
        <v>55487</v>
      </c>
      <c r="B459" s="4">
        <f>31.3603 * CHOOSE(CONTROL!$C$9, $C$13, 100%, $E$13) + CHOOSE(CONTROL!$C$28, 0.0003, 0)</f>
        <v>31.360599999999998</v>
      </c>
      <c r="C459" s="4">
        <f>30.997 * CHOOSE(CONTROL!$C$9, $C$13, 100%, $E$13) + CHOOSE(CONTROL!$C$28, 0.0003, 0)</f>
        <v>30.997299999999999</v>
      </c>
      <c r="D459" s="4">
        <f>44.8422 * CHOOSE(CONTROL!$C$9, $C$13, 100%, $E$13) + CHOOSE(CONTROL!$C$28, 0, 0)</f>
        <v>44.842199999999998</v>
      </c>
      <c r="E459" s="4">
        <f>204.123157702567 * CHOOSE(CONTROL!$C$9, $C$13, 100%, $E$13) + CHOOSE(CONTROL!$C$28, 0, 0)</f>
        <v>204.123157702567</v>
      </c>
    </row>
    <row r="460" spans="1:5" ht="15">
      <c r="A460" s="13">
        <v>55518</v>
      </c>
      <c r="B460" s="4">
        <f>30.8813 * CHOOSE(CONTROL!$C$9, $C$13, 100%, $E$13) + CHOOSE(CONTROL!$C$28, 0.0003, 0)</f>
        <v>30.881599999999999</v>
      </c>
      <c r="C460" s="4">
        <f>30.518 * CHOOSE(CONTROL!$C$9, $C$13, 100%, $E$13) + CHOOSE(CONTROL!$C$28, 0.0003, 0)</f>
        <v>30.5183</v>
      </c>
      <c r="D460" s="4">
        <f>43.3146 * CHOOSE(CONTROL!$C$9, $C$13, 100%, $E$13) + CHOOSE(CONTROL!$C$28, 0, 0)</f>
        <v>43.314599999999999</v>
      </c>
      <c r="E460" s="4">
        <f>200.926318107687 * CHOOSE(CONTROL!$C$9, $C$13, 100%, $E$13) + CHOOSE(CONTROL!$C$28, 0, 0)</f>
        <v>200.926318107687</v>
      </c>
    </row>
    <row r="461" spans="1:5" ht="15">
      <c r="A461" s="13">
        <v>55549</v>
      </c>
      <c r="B461" s="4">
        <f>29.5707 * CHOOSE(CONTROL!$C$9, $C$13, 100%, $E$13) + CHOOSE(CONTROL!$C$28, 0.0003, 0)</f>
        <v>29.570999999999998</v>
      </c>
      <c r="C461" s="4">
        <f>29.2074 * CHOOSE(CONTROL!$C$9, $C$13, 100%, $E$13) + CHOOSE(CONTROL!$C$28, 0.0003, 0)</f>
        <v>29.207699999999999</v>
      </c>
      <c r="D461" s="4">
        <f>41.6318 * CHOOSE(CONTROL!$C$9, $C$13, 100%, $E$13) + CHOOSE(CONTROL!$C$28, 0, 0)</f>
        <v>41.631799999999998</v>
      </c>
      <c r="E461" s="4">
        <f>192.556920512467 * CHOOSE(CONTROL!$C$9, $C$13, 100%, $E$13) + CHOOSE(CONTROL!$C$28, 0, 0)</f>
        <v>192.556920512467</v>
      </c>
    </row>
    <row r="462" spans="1:5" ht="15">
      <c r="A462" s="13">
        <v>55577</v>
      </c>
      <c r="B462" s="4">
        <f>30.2544 * CHOOSE(CONTROL!$C$9, $C$13, 100%, $E$13) + CHOOSE(CONTROL!$C$28, 0.0003, 0)</f>
        <v>30.2547</v>
      </c>
      <c r="C462" s="4">
        <f>29.8911 * CHOOSE(CONTROL!$C$9, $C$13, 100%, $E$13) + CHOOSE(CONTROL!$C$28, 0.0003, 0)</f>
        <v>29.891400000000001</v>
      </c>
      <c r="D462" s="4">
        <f>43.0358 * CHOOSE(CONTROL!$C$9, $C$13, 100%, $E$13) + CHOOSE(CONTROL!$C$28, 0, 0)</f>
        <v>43.035800000000002</v>
      </c>
      <c r="E462" s="4">
        <f>197.128980654819 * CHOOSE(CONTROL!$C$9, $C$13, 100%, $E$13) + CHOOSE(CONTROL!$C$28, 0, 0)</f>
        <v>197.128980654819</v>
      </c>
    </row>
    <row r="463" spans="1:5" ht="15">
      <c r="A463" s="13">
        <v>55609</v>
      </c>
      <c r="B463" s="4">
        <f>32.05 * CHOOSE(CONTROL!$C$9, $C$13, 100%, $E$13) + CHOOSE(CONTROL!$C$28, 0.0003, 0)</f>
        <v>32.0503</v>
      </c>
      <c r="C463" s="4">
        <f>31.6867 * CHOOSE(CONTROL!$C$9, $C$13, 100%, $E$13) + CHOOSE(CONTROL!$C$28, 0.0003, 0)</f>
        <v>31.686999999999998</v>
      </c>
      <c r="D463" s="4">
        <f>45.2337 * CHOOSE(CONTROL!$C$9, $C$13, 100%, $E$13) + CHOOSE(CONTROL!$C$28, 0, 0)</f>
        <v>45.233699999999999</v>
      </c>
      <c r="E463" s="4">
        <f>209.135453562667 * CHOOSE(CONTROL!$C$9, $C$13, 100%, $E$13) + CHOOSE(CONTROL!$C$28, 0, 0)</f>
        <v>209.13545356266701</v>
      </c>
    </row>
    <row r="464" spans="1:5" ht="15">
      <c r="A464" s="13">
        <v>55639</v>
      </c>
      <c r="B464" s="4">
        <f>33.3258 * CHOOSE(CONTROL!$C$9, $C$13, 100%, $E$13) + CHOOSE(CONTROL!$C$28, 0.0003, 0)</f>
        <v>33.326100000000004</v>
      </c>
      <c r="C464" s="4">
        <f>32.9625 * CHOOSE(CONTROL!$C$9, $C$13, 100%, $E$13) + CHOOSE(CONTROL!$C$28, 0.0003, 0)</f>
        <v>32.962800000000001</v>
      </c>
      <c r="D464" s="4">
        <f>46.4997 * CHOOSE(CONTROL!$C$9, $C$13, 100%, $E$13) + CHOOSE(CONTROL!$C$28, 0, 0)</f>
        <v>46.499699999999997</v>
      </c>
      <c r="E464" s="4">
        <f>217.666212570983 * CHOOSE(CONTROL!$C$9, $C$13, 100%, $E$13) + CHOOSE(CONTROL!$C$28, 0, 0)</f>
        <v>217.66621257098299</v>
      </c>
    </row>
    <row r="465" spans="1:5" ht="15">
      <c r="A465" s="13">
        <v>55670</v>
      </c>
      <c r="B465" s="4">
        <f>34.1053 * CHOOSE(CONTROL!$C$9, $C$13, 100%, $E$13) + CHOOSE(CONTROL!$C$28, 0.0136, 0)</f>
        <v>34.118899999999996</v>
      </c>
      <c r="C465" s="4">
        <f>33.742 * CHOOSE(CONTROL!$C$9, $C$13, 100%, $E$13) + CHOOSE(CONTROL!$C$28, 0.0136, 0)</f>
        <v>33.755599999999994</v>
      </c>
      <c r="D465" s="4">
        <f>45.9994 * CHOOSE(CONTROL!$C$9, $C$13, 100%, $E$13) + CHOOSE(CONTROL!$C$28, 0, 0)</f>
        <v>45.999400000000001</v>
      </c>
      <c r="E465" s="4">
        <f>222.878301871305 * CHOOSE(CONTROL!$C$9, $C$13, 100%, $E$13) + CHOOSE(CONTROL!$C$28, 0, 0)</f>
        <v>222.87830187130501</v>
      </c>
    </row>
    <row r="466" spans="1:5" ht="15">
      <c r="A466" s="13">
        <v>55700</v>
      </c>
      <c r="B466" s="4">
        <f>34.2107 * CHOOSE(CONTROL!$C$9, $C$13, 100%, $E$13) + CHOOSE(CONTROL!$C$28, 0.0136, 0)</f>
        <v>34.224299999999999</v>
      </c>
      <c r="C466" s="4">
        <f>33.8475 * CHOOSE(CONTROL!$C$9, $C$13, 100%, $E$13) + CHOOSE(CONTROL!$C$28, 0.0136, 0)</f>
        <v>33.861099999999993</v>
      </c>
      <c r="D466" s="4">
        <f>46.4069 * CHOOSE(CONTROL!$C$9, $C$13, 100%, $E$13) + CHOOSE(CONTROL!$C$28, 0, 0)</f>
        <v>46.4069</v>
      </c>
      <c r="E466" s="4">
        <f>223.583519184254 * CHOOSE(CONTROL!$C$9, $C$13, 100%, $E$13) + CHOOSE(CONTROL!$C$28, 0, 0)</f>
        <v>223.58351918425399</v>
      </c>
    </row>
    <row r="467" spans="1:5" ht="15">
      <c r="A467" s="13">
        <v>55731</v>
      </c>
      <c r="B467" s="4">
        <f>34.2001 * CHOOSE(CONTROL!$C$9, $C$13, 100%, $E$13) + CHOOSE(CONTROL!$C$28, 0.0136, 0)</f>
        <v>34.213699999999996</v>
      </c>
      <c r="C467" s="4">
        <f>33.8368 * CHOOSE(CONTROL!$C$9, $C$13, 100%, $E$13) + CHOOSE(CONTROL!$C$28, 0.0136, 0)</f>
        <v>33.850399999999993</v>
      </c>
      <c r="D467" s="4">
        <f>47.142 * CHOOSE(CONTROL!$C$9, $C$13, 100%, $E$13) + CHOOSE(CONTROL!$C$28, 0, 0)</f>
        <v>47.142000000000003</v>
      </c>
      <c r="E467" s="4">
        <f>223.512404833368 * CHOOSE(CONTROL!$C$9, $C$13, 100%, $E$13) + CHOOSE(CONTROL!$C$28, 0, 0)</f>
        <v>223.51240483336801</v>
      </c>
    </row>
    <row r="468" spans="1:5" ht="15">
      <c r="A468" s="13">
        <v>55762</v>
      </c>
      <c r="B468" s="4">
        <f>35.0004 * CHOOSE(CONTROL!$C$9, $C$13, 100%, $E$13) + CHOOSE(CONTROL!$C$28, 0.0136, 0)</f>
        <v>35.013999999999996</v>
      </c>
      <c r="C468" s="4">
        <f>34.6371 * CHOOSE(CONTROL!$C$9, $C$13, 100%, $E$13) + CHOOSE(CONTROL!$C$28, 0.0136, 0)</f>
        <v>34.650699999999993</v>
      </c>
      <c r="D468" s="4">
        <f>46.6565 * CHOOSE(CONTROL!$C$9, $C$13, 100%, $E$13) + CHOOSE(CONTROL!$C$28, 0, 0)</f>
        <v>46.656500000000001</v>
      </c>
      <c r="E468" s="4">
        <f>228.863759737508 * CHOOSE(CONTROL!$C$9, $C$13, 100%, $E$13) + CHOOSE(CONTROL!$C$28, 0, 0)</f>
        <v>228.86375973750799</v>
      </c>
    </row>
    <row r="469" spans="1:5" ht="15">
      <c r="A469" s="13">
        <v>55792</v>
      </c>
      <c r="B469" s="4">
        <f>33.6364 * CHOOSE(CONTROL!$C$9, $C$13, 100%, $E$13) + CHOOSE(CONTROL!$C$28, 0.0136, 0)</f>
        <v>33.65</v>
      </c>
      <c r="C469" s="4">
        <f>33.2732 * CHOOSE(CONTROL!$C$9, $C$13, 100%, $E$13) + CHOOSE(CONTROL!$C$28, 0.0136, 0)</f>
        <v>33.286799999999999</v>
      </c>
      <c r="D469" s="4">
        <f>46.4271 * CHOOSE(CONTROL!$C$9, $C$13, 100%, $E$13) + CHOOSE(CONTROL!$C$28, 0, 0)</f>
        <v>46.427100000000003</v>
      </c>
      <c r="E469" s="4">
        <f>219.743344236433 * CHOOSE(CONTROL!$C$9, $C$13, 100%, $E$13) + CHOOSE(CONTROL!$C$28, 0, 0)</f>
        <v>219.74334423643299</v>
      </c>
    </row>
    <row r="470" spans="1:5" ht="15">
      <c r="A470" s="13">
        <v>55823</v>
      </c>
      <c r="B470" s="4">
        <f>32.5446 * CHOOSE(CONTROL!$C$9, $C$13, 100%, $E$13) + CHOOSE(CONTROL!$C$28, 0.0003, 0)</f>
        <v>32.544900000000005</v>
      </c>
      <c r="C470" s="4">
        <f>32.1813 * CHOOSE(CONTROL!$C$9, $C$13, 100%, $E$13) + CHOOSE(CONTROL!$C$28, 0.0003, 0)</f>
        <v>32.181600000000003</v>
      </c>
      <c r="D470" s="4">
        <f>45.8129 * CHOOSE(CONTROL!$C$9, $C$13, 100%, $E$13) + CHOOSE(CONTROL!$C$28, 0, 0)</f>
        <v>45.812899999999999</v>
      </c>
      <c r="E470" s="4">
        <f>212.442270878847 * CHOOSE(CONTROL!$C$9, $C$13, 100%, $E$13) + CHOOSE(CONTROL!$C$28, 0, 0)</f>
        <v>212.44227087884701</v>
      </c>
    </row>
    <row r="471" spans="1:5" ht="15">
      <c r="A471" s="13">
        <v>55853</v>
      </c>
      <c r="B471" s="4">
        <f>31.8413 * CHOOSE(CONTROL!$C$9, $C$13, 100%, $E$13) + CHOOSE(CONTROL!$C$28, 0.0003, 0)</f>
        <v>31.8416</v>
      </c>
      <c r="C471" s="4">
        <f>31.478 * CHOOSE(CONTROL!$C$9, $C$13, 100%, $E$13) + CHOOSE(CONTROL!$C$28, 0.0003, 0)</f>
        <v>31.478300000000001</v>
      </c>
      <c r="D471" s="4">
        <f>45.6018 * CHOOSE(CONTROL!$C$9, $C$13, 100%, $E$13) + CHOOSE(CONTROL!$C$28, 0, 0)</f>
        <v>45.601799999999997</v>
      </c>
      <c r="E471" s="4">
        <f>207.739834426538 * CHOOSE(CONTROL!$C$9, $C$13, 100%, $E$13) + CHOOSE(CONTROL!$C$28, 0, 0)</f>
        <v>207.73983442653801</v>
      </c>
    </row>
    <row r="472" spans="1:5" ht="15">
      <c r="A472" s="13">
        <v>55884</v>
      </c>
      <c r="B472" s="4">
        <f>31.3547 * CHOOSE(CONTROL!$C$9, $C$13, 100%, $E$13) + CHOOSE(CONTROL!$C$28, 0.0003, 0)</f>
        <v>31.355</v>
      </c>
      <c r="C472" s="4">
        <f>30.9914 * CHOOSE(CONTROL!$C$9, $C$13, 100%, $E$13) + CHOOSE(CONTROL!$C$28, 0.0003, 0)</f>
        <v>30.991699999999998</v>
      </c>
      <c r="D472" s="4">
        <f>44.0472 * CHOOSE(CONTROL!$C$9, $C$13, 100%, $E$13) + CHOOSE(CONTROL!$C$28, 0, 0)</f>
        <v>44.047199999999997</v>
      </c>
      <c r="E472" s="4">
        <f>204.486352873523 * CHOOSE(CONTROL!$C$9, $C$13, 100%, $E$13) + CHOOSE(CONTROL!$C$28, 0, 0)</f>
        <v>204.486352873523</v>
      </c>
    </row>
    <row r="473" spans="1:5" ht="15">
      <c r="A473" s="13">
        <v>55915</v>
      </c>
      <c r="B473" s="4">
        <f>30.0235 * CHOOSE(CONTROL!$C$9, $C$13, 100%, $E$13) + CHOOSE(CONTROL!$C$28, 0.0003, 0)</f>
        <v>30.023799999999998</v>
      </c>
      <c r="C473" s="4">
        <f>29.6602 * CHOOSE(CONTROL!$C$9, $C$13, 100%, $E$13) + CHOOSE(CONTROL!$C$28, 0.0003, 0)</f>
        <v>29.660499999999999</v>
      </c>
      <c r="D473" s="4">
        <f>42.3347 * CHOOSE(CONTROL!$C$9, $C$13, 100%, $E$13) + CHOOSE(CONTROL!$C$28, 0, 0)</f>
        <v>42.334699999999998</v>
      </c>
      <c r="E473" s="4">
        <f>195.968665364425 * CHOOSE(CONTROL!$C$9, $C$13, 100%, $E$13) + CHOOSE(CONTROL!$C$28, 0, 0)</f>
        <v>195.96866536442499</v>
      </c>
    </row>
    <row r="474" spans="1:5" ht="15">
      <c r="A474" s="13">
        <v>55943</v>
      </c>
      <c r="B474" s="4">
        <f>30.718 * CHOOSE(CONTROL!$C$9, $C$13, 100%, $E$13) + CHOOSE(CONTROL!$C$28, 0.0003, 0)</f>
        <v>30.718299999999999</v>
      </c>
      <c r="C474" s="4">
        <f>30.3547 * CHOOSE(CONTROL!$C$9, $C$13, 100%, $E$13) + CHOOSE(CONTROL!$C$28, 0.0003, 0)</f>
        <v>30.355</v>
      </c>
      <c r="D474" s="4">
        <f>43.7635 * CHOOSE(CONTROL!$C$9, $C$13, 100%, $E$13) + CHOOSE(CONTROL!$C$28, 0, 0)</f>
        <v>43.763500000000001</v>
      </c>
      <c r="E474" s="4">
        <f>200.62173377494 * CHOOSE(CONTROL!$C$9, $C$13, 100%, $E$13) + CHOOSE(CONTROL!$C$28, 0, 0)</f>
        <v>200.62173377494</v>
      </c>
    </row>
    <row r="475" spans="1:5" ht="15">
      <c r="A475" s="13">
        <v>55974</v>
      </c>
      <c r="B475" s="4">
        <f>32.5418 * CHOOSE(CONTROL!$C$9, $C$13, 100%, $E$13) + CHOOSE(CONTROL!$C$28, 0.0003, 0)</f>
        <v>32.542100000000005</v>
      </c>
      <c r="C475" s="4">
        <f>32.1786 * CHOOSE(CONTROL!$C$9, $C$13, 100%, $E$13) + CHOOSE(CONTROL!$C$28, 0.0003, 0)</f>
        <v>32.178900000000006</v>
      </c>
      <c r="D475" s="4">
        <f>46.0002 * CHOOSE(CONTROL!$C$9, $C$13, 100%, $E$13) + CHOOSE(CONTROL!$C$28, 0, 0)</f>
        <v>46.0002</v>
      </c>
      <c r="E475" s="4">
        <f>212.840938700025 * CHOOSE(CONTROL!$C$9, $C$13, 100%, $E$13) + CHOOSE(CONTROL!$C$28, 0, 0)</f>
        <v>212.84093870002499</v>
      </c>
    </row>
    <row r="476" spans="1:5" ht="15">
      <c r="A476" s="13">
        <v>56004</v>
      </c>
      <c r="B476" s="4">
        <f>33.8377 * CHOOSE(CONTROL!$C$9, $C$13, 100%, $E$13) + CHOOSE(CONTROL!$C$28, 0.0003, 0)</f>
        <v>33.838000000000001</v>
      </c>
      <c r="C476" s="4">
        <f>33.4744 * CHOOSE(CONTROL!$C$9, $C$13, 100%, $E$13) + CHOOSE(CONTROL!$C$28, 0.0003, 0)</f>
        <v>33.474700000000006</v>
      </c>
      <c r="D476" s="4">
        <f>47.2886 * CHOOSE(CONTROL!$C$9, $C$13, 100%, $E$13) + CHOOSE(CONTROL!$C$28, 0, 0)</f>
        <v>47.288600000000002</v>
      </c>
      <c r="E476" s="4">
        <f>221.522846641614 * CHOOSE(CONTROL!$C$9, $C$13, 100%, $E$13) + CHOOSE(CONTROL!$C$28, 0, 0)</f>
        <v>221.522846641614</v>
      </c>
    </row>
    <row r="477" spans="1:5" ht="15">
      <c r="A477" s="13">
        <v>56035</v>
      </c>
      <c r="B477" s="4">
        <f>34.6294 * CHOOSE(CONTROL!$C$9, $C$13, 100%, $E$13) + CHOOSE(CONTROL!$C$28, 0.0136, 0)</f>
        <v>34.642999999999994</v>
      </c>
      <c r="C477" s="4">
        <f>34.2661 * CHOOSE(CONTROL!$C$9, $C$13, 100%, $E$13) + CHOOSE(CONTROL!$C$28, 0.0136, 0)</f>
        <v>34.279699999999998</v>
      </c>
      <c r="D477" s="4">
        <f>46.7794 * CHOOSE(CONTROL!$C$9, $C$13, 100%, $E$13) + CHOOSE(CONTROL!$C$28, 0, 0)</f>
        <v>46.779400000000003</v>
      </c>
      <c r="E477" s="4">
        <f>226.827284317632 * CHOOSE(CONTROL!$C$9, $C$13, 100%, $E$13) + CHOOSE(CONTROL!$C$28, 0, 0)</f>
        <v>226.82728431763201</v>
      </c>
    </row>
    <row r="478" spans="1:5" ht="15">
      <c r="A478" s="13">
        <v>56065</v>
      </c>
      <c r="B478" s="4">
        <f>34.7365 * CHOOSE(CONTROL!$C$9, $C$13, 100%, $E$13) + CHOOSE(CONTROL!$C$28, 0.0136, 0)</f>
        <v>34.750099999999996</v>
      </c>
      <c r="C478" s="4">
        <f>34.3733 * CHOOSE(CONTROL!$C$9, $C$13, 100%, $E$13) + CHOOSE(CONTROL!$C$28, 0.0136, 0)</f>
        <v>34.386899999999997</v>
      </c>
      <c r="D478" s="4">
        <f>47.1941 * CHOOSE(CONTROL!$C$9, $C$13, 100%, $E$13) + CHOOSE(CONTROL!$C$28, 0, 0)</f>
        <v>47.194099999999999</v>
      </c>
      <c r="E478" s="4">
        <f>227.544996749066 * CHOOSE(CONTROL!$C$9, $C$13, 100%, $E$13) + CHOOSE(CONTROL!$C$28, 0, 0)</f>
        <v>227.544996749066</v>
      </c>
    </row>
    <row r="479" spans="1:5" ht="15">
      <c r="A479" s="13">
        <v>56096</v>
      </c>
      <c r="B479" s="4">
        <f>34.7257 * CHOOSE(CONTROL!$C$9, $C$13, 100%, $E$13) + CHOOSE(CONTROL!$C$28, 0.0136, 0)</f>
        <v>34.7393</v>
      </c>
      <c r="C479" s="4">
        <f>34.3625 * CHOOSE(CONTROL!$C$9, $C$13, 100%, $E$13) + CHOOSE(CONTROL!$C$28, 0.0136, 0)</f>
        <v>34.376099999999994</v>
      </c>
      <c r="D479" s="4">
        <f>47.9422 * CHOOSE(CONTROL!$C$9, $C$13, 100%, $E$13) + CHOOSE(CONTROL!$C$28, 0, 0)</f>
        <v>47.9422</v>
      </c>
      <c r="E479" s="4">
        <f>227.472622386232 * CHOOSE(CONTROL!$C$9, $C$13, 100%, $E$13) + CHOOSE(CONTROL!$C$28, 0, 0)</f>
        <v>227.47262238623199</v>
      </c>
    </row>
    <row r="480" spans="1:5" ht="15">
      <c r="A480" s="13">
        <v>56127</v>
      </c>
      <c r="B480" s="4">
        <f>35.5386 * CHOOSE(CONTROL!$C$9, $C$13, 100%, $E$13) + CHOOSE(CONTROL!$C$28, 0.0136, 0)</f>
        <v>35.552199999999999</v>
      </c>
      <c r="C480" s="4">
        <f>35.1753 * CHOOSE(CONTROL!$C$9, $C$13, 100%, $E$13) + CHOOSE(CONTROL!$C$28, 0.0136, 0)</f>
        <v>35.188899999999997</v>
      </c>
      <c r="D480" s="4">
        <f>47.4481 * CHOOSE(CONTROL!$C$9, $C$13, 100%, $E$13) + CHOOSE(CONTROL!$C$28, 0, 0)</f>
        <v>47.448099999999997</v>
      </c>
      <c r="E480" s="4">
        <f>232.918793189466 * CHOOSE(CONTROL!$C$9, $C$13, 100%, $E$13) + CHOOSE(CONTROL!$C$28, 0, 0)</f>
        <v>232.91879318946599</v>
      </c>
    </row>
    <row r="481" spans="1:5" ht="15">
      <c r="A481" s="13">
        <v>56157</v>
      </c>
      <c r="B481" s="4">
        <f>34.1532 * CHOOSE(CONTROL!$C$9, $C$13, 100%, $E$13) + CHOOSE(CONTROL!$C$28, 0.0136, 0)</f>
        <v>34.166799999999995</v>
      </c>
      <c r="C481" s="4">
        <f>33.7899 * CHOOSE(CONTROL!$C$9, $C$13, 100%, $E$13) + CHOOSE(CONTROL!$C$28, 0.0136, 0)</f>
        <v>33.8035</v>
      </c>
      <c r="D481" s="4">
        <f>47.2147 * CHOOSE(CONTROL!$C$9, $C$13, 100%, $E$13) + CHOOSE(CONTROL!$C$28, 0, 0)</f>
        <v>47.214700000000001</v>
      </c>
      <c r="E481" s="4">
        <f>223.636781156048 * CHOOSE(CONTROL!$C$9, $C$13, 100%, $E$13) + CHOOSE(CONTROL!$C$28, 0, 0)</f>
        <v>223.63678115604799</v>
      </c>
    </row>
    <row r="482" spans="1:5" ht="15">
      <c r="A482" s="13">
        <v>56188</v>
      </c>
      <c r="B482" s="4">
        <f>33.0441 * CHOOSE(CONTROL!$C$9, $C$13, 100%, $E$13) + CHOOSE(CONTROL!$C$28, 0.0003, 0)</f>
        <v>33.044400000000003</v>
      </c>
      <c r="C482" s="4">
        <f>32.6809 * CHOOSE(CONTROL!$C$9, $C$13, 100%, $E$13) + CHOOSE(CONTROL!$C$28, 0.0003, 0)</f>
        <v>32.681200000000004</v>
      </c>
      <c r="D482" s="4">
        <f>46.5897 * CHOOSE(CONTROL!$C$9, $C$13, 100%, $E$13) + CHOOSE(CONTROL!$C$28, 0, 0)</f>
        <v>46.589700000000001</v>
      </c>
      <c r="E482" s="4">
        <f>216.206346571791 * CHOOSE(CONTROL!$C$9, $C$13, 100%, $E$13) + CHOOSE(CONTROL!$C$28, 0, 0)</f>
        <v>216.20634657179099</v>
      </c>
    </row>
    <row r="483" spans="1:5" ht="15">
      <c r="A483" s="13">
        <v>56218</v>
      </c>
      <c r="B483" s="4">
        <f>32.3298 * CHOOSE(CONTROL!$C$9, $C$13, 100%, $E$13) + CHOOSE(CONTROL!$C$28, 0.0003, 0)</f>
        <v>32.330100000000002</v>
      </c>
      <c r="C483" s="4">
        <f>31.9666 * CHOOSE(CONTROL!$C$9, $C$13, 100%, $E$13) + CHOOSE(CONTROL!$C$28, 0.0003, 0)</f>
        <v>31.966899999999999</v>
      </c>
      <c r="D483" s="4">
        <f>46.3748 * CHOOSE(CONTROL!$C$9, $C$13, 100%, $E$13) + CHOOSE(CONTROL!$C$28, 0, 0)</f>
        <v>46.3748</v>
      </c>
      <c r="E483" s="4">
        <f>211.420591829414 * CHOOSE(CONTROL!$C$9, $C$13, 100%, $E$13) + CHOOSE(CONTROL!$C$28, 0, 0)</f>
        <v>211.42059182941401</v>
      </c>
    </row>
    <row r="484" spans="1:5" ht="15">
      <c r="A484" s="13">
        <v>56249</v>
      </c>
      <c r="B484" s="4">
        <f>31.8356 * CHOOSE(CONTROL!$C$9, $C$13, 100%, $E$13) + CHOOSE(CONTROL!$C$28, 0.0003, 0)</f>
        <v>31.835899999999999</v>
      </c>
      <c r="C484" s="4">
        <f>31.4723 * CHOOSE(CONTROL!$C$9, $C$13, 100%, $E$13) + CHOOSE(CONTROL!$C$28, 0.0003, 0)</f>
        <v>31.4726</v>
      </c>
      <c r="D484" s="4">
        <f>44.7927 * CHOOSE(CONTROL!$C$9, $C$13, 100%, $E$13) + CHOOSE(CONTROL!$C$28, 0, 0)</f>
        <v>44.792700000000004</v>
      </c>
      <c r="E484" s="4">
        <f>208.109464729773 * CHOOSE(CONTROL!$C$9, $C$13, 100%, $E$13) + CHOOSE(CONTROL!$C$28, 0, 0)</f>
        <v>208.10946472977301</v>
      </c>
    </row>
    <row r="485" spans="1:5" ht="15">
      <c r="A485" s="13">
        <v>56280</v>
      </c>
      <c r="B485" s="4">
        <f>30.4835 * CHOOSE(CONTROL!$C$9, $C$13, 100%, $E$13) + CHOOSE(CONTROL!$C$28, 0.0003, 0)</f>
        <v>30.483799999999999</v>
      </c>
      <c r="C485" s="4">
        <f>30.1202 * CHOOSE(CONTROL!$C$9, $C$13, 100%, $E$13) + CHOOSE(CONTROL!$C$28, 0.0003, 0)</f>
        <v>30.1205</v>
      </c>
      <c r="D485" s="4">
        <f>43.0499 * CHOOSE(CONTROL!$C$9, $C$13, 100%, $E$13) + CHOOSE(CONTROL!$C$28, 0, 0)</f>
        <v>43.049900000000001</v>
      </c>
      <c r="E485" s="4">
        <f>199.440859889673 * CHOOSE(CONTROL!$C$9, $C$13, 100%, $E$13) + CHOOSE(CONTROL!$C$28, 0, 0)</f>
        <v>199.44085988967299</v>
      </c>
    </row>
    <row r="486" spans="1:5" ht="15">
      <c r="A486" s="13">
        <v>56308</v>
      </c>
      <c r="B486" s="4">
        <f>31.1889 * CHOOSE(CONTROL!$C$9, $C$13, 100%, $E$13) + CHOOSE(CONTROL!$C$28, 0.0003, 0)</f>
        <v>31.1892</v>
      </c>
      <c r="C486" s="4">
        <f>30.8256 * CHOOSE(CONTROL!$C$9, $C$13, 100%, $E$13) + CHOOSE(CONTROL!$C$28, 0.0003, 0)</f>
        <v>30.825900000000001</v>
      </c>
      <c r="D486" s="4">
        <f>44.504 * CHOOSE(CONTROL!$C$9, $C$13, 100%, $E$13) + CHOOSE(CONTROL!$C$28, 0, 0)</f>
        <v>44.503999999999998</v>
      </c>
      <c r="E486" s="4">
        <f>204.176371881822 * CHOOSE(CONTROL!$C$9, $C$13, 100%, $E$13) + CHOOSE(CONTROL!$C$28, 0, 0)</f>
        <v>204.17637188182201</v>
      </c>
    </row>
    <row r="487" spans="1:5" ht="15">
      <c r="A487" s="13">
        <v>56339</v>
      </c>
      <c r="B487" s="4">
        <f>33.0414 * CHOOSE(CONTROL!$C$9, $C$13, 100%, $E$13) + CHOOSE(CONTROL!$C$28, 0.0003, 0)</f>
        <v>33.041700000000006</v>
      </c>
      <c r="C487" s="4">
        <f>32.6781 * CHOOSE(CONTROL!$C$9, $C$13, 100%, $E$13) + CHOOSE(CONTROL!$C$28, 0.0003, 0)</f>
        <v>32.678400000000003</v>
      </c>
      <c r="D487" s="4">
        <f>46.7802 * CHOOSE(CONTROL!$C$9, $C$13, 100%, $E$13) + CHOOSE(CONTROL!$C$28, 0, 0)</f>
        <v>46.780200000000001</v>
      </c>
      <c r="E487" s="4">
        <f>216.612078033594 * CHOOSE(CONTROL!$C$9, $C$13, 100%, $E$13) + CHOOSE(CONTROL!$C$28, 0, 0)</f>
        <v>216.612078033594</v>
      </c>
    </row>
    <row r="488" spans="1:5" ht="15">
      <c r="A488" s="13">
        <v>56369</v>
      </c>
      <c r="B488" s="4">
        <f>34.3576 * CHOOSE(CONTROL!$C$9, $C$13, 100%, $E$13) + CHOOSE(CONTROL!$C$28, 0.0003, 0)</f>
        <v>34.357900000000001</v>
      </c>
      <c r="C488" s="4">
        <f>33.9943 * CHOOSE(CONTROL!$C$9, $C$13, 100%, $E$13) + CHOOSE(CONTROL!$C$28, 0.0003, 0)</f>
        <v>33.994600000000005</v>
      </c>
      <c r="D488" s="4">
        <f>48.0914 * CHOOSE(CONTROL!$C$9, $C$13, 100%, $E$13) + CHOOSE(CONTROL!$C$28, 0, 0)</f>
        <v>48.0914</v>
      </c>
      <c r="E488" s="4">
        <f>225.447812982004 * CHOOSE(CONTROL!$C$9, $C$13, 100%, $E$13) + CHOOSE(CONTROL!$C$28, 0, 0)</f>
        <v>225.447812982004</v>
      </c>
    </row>
    <row r="489" spans="1:5" ht="15">
      <c r="A489" s="13">
        <v>56400</v>
      </c>
      <c r="B489" s="4">
        <f>35.1618 * CHOOSE(CONTROL!$C$9, $C$13, 100%, $E$13) + CHOOSE(CONTROL!$C$28, 0.0136, 0)</f>
        <v>35.175399999999996</v>
      </c>
      <c r="C489" s="4">
        <f>34.7985 * CHOOSE(CONTROL!$C$9, $C$13, 100%, $E$13) + CHOOSE(CONTROL!$C$28, 0.0136, 0)</f>
        <v>34.812099999999994</v>
      </c>
      <c r="D489" s="4">
        <f>47.5732 * CHOOSE(CONTROL!$C$9, $C$13, 100%, $E$13) + CHOOSE(CONTROL!$C$28, 0, 0)</f>
        <v>47.5732</v>
      </c>
      <c r="E489" s="4">
        <f>230.84623527247 * CHOOSE(CONTROL!$C$9, $C$13, 100%, $E$13) + CHOOSE(CONTROL!$C$28, 0, 0)</f>
        <v>230.84623527247001</v>
      </c>
    </row>
    <row r="490" spans="1:5" ht="15">
      <c r="A490" s="13">
        <v>56430</v>
      </c>
      <c r="B490" s="4">
        <f>35.2706 * CHOOSE(CONTROL!$C$9, $C$13, 100%, $E$13) + CHOOSE(CONTROL!$C$28, 0.0136, 0)</f>
        <v>35.284199999999998</v>
      </c>
      <c r="C490" s="4">
        <f>34.9073 * CHOOSE(CONTROL!$C$9, $C$13, 100%, $E$13) + CHOOSE(CONTROL!$C$28, 0.0136, 0)</f>
        <v>34.920899999999996</v>
      </c>
      <c r="D490" s="4">
        <f>47.9952 * CHOOSE(CONTROL!$C$9, $C$13, 100%, $E$13) + CHOOSE(CONTROL!$C$28, 0, 0)</f>
        <v>47.995199999999997</v>
      </c>
      <c r="E490" s="4">
        <f>231.576664212283 * CHOOSE(CONTROL!$C$9, $C$13, 100%, $E$13) + CHOOSE(CONTROL!$C$28, 0, 0)</f>
        <v>231.57666421228299</v>
      </c>
    </row>
    <row r="491" spans="1:5" ht="15">
      <c r="A491" s="13">
        <v>56461</v>
      </c>
      <c r="B491" s="4">
        <f>35.2596 * CHOOSE(CONTROL!$C$9, $C$13, 100%, $E$13) + CHOOSE(CONTROL!$C$28, 0.0136, 0)</f>
        <v>35.273199999999996</v>
      </c>
      <c r="C491" s="4">
        <f>34.8964 * CHOOSE(CONTROL!$C$9, $C$13, 100%, $E$13) + CHOOSE(CONTROL!$C$28, 0.0136, 0)</f>
        <v>34.909999999999997</v>
      </c>
      <c r="D491" s="4">
        <f>48.7566 * CHOOSE(CONTROL!$C$9, $C$13, 100%, $E$13) + CHOOSE(CONTROL!$C$28, 0, 0)</f>
        <v>48.756599999999999</v>
      </c>
      <c r="E491" s="4">
        <f>231.503007512469 * CHOOSE(CONTROL!$C$9, $C$13, 100%, $E$13) + CHOOSE(CONTROL!$C$28, 0, 0)</f>
        <v>231.503007512469</v>
      </c>
    </row>
    <row r="492" spans="1:5" ht="15">
      <c r="A492" s="13">
        <v>56492</v>
      </c>
      <c r="B492" s="4">
        <f>36.0853 * CHOOSE(CONTROL!$C$9, $C$13, 100%, $E$13) + CHOOSE(CONTROL!$C$28, 0.0136, 0)</f>
        <v>36.098899999999993</v>
      </c>
      <c r="C492" s="4">
        <f>35.722 * CHOOSE(CONTROL!$C$9, $C$13, 100%, $E$13) + CHOOSE(CONTROL!$C$28, 0.0136, 0)</f>
        <v>35.735599999999998</v>
      </c>
      <c r="D492" s="4">
        <f>48.2538 * CHOOSE(CONTROL!$C$9, $C$13, 100%, $E$13) + CHOOSE(CONTROL!$C$28, 0, 0)</f>
        <v>48.253799999999998</v>
      </c>
      <c r="E492" s="4">
        <f>237.045674173403 * CHOOSE(CONTROL!$C$9, $C$13, 100%, $E$13) + CHOOSE(CONTROL!$C$28, 0, 0)</f>
        <v>237.045674173403</v>
      </c>
    </row>
    <row r="493" spans="1:5" ht="15">
      <c r="A493" s="13">
        <v>56522</v>
      </c>
      <c r="B493" s="4">
        <f>34.6781 * CHOOSE(CONTROL!$C$9, $C$13, 100%, $E$13) + CHOOSE(CONTROL!$C$28, 0.0136, 0)</f>
        <v>34.691699999999997</v>
      </c>
      <c r="C493" s="4">
        <f>34.3148 * CHOOSE(CONTROL!$C$9, $C$13, 100%, $E$13) + CHOOSE(CONTROL!$C$28, 0.0136, 0)</f>
        <v>34.328399999999995</v>
      </c>
      <c r="D493" s="4">
        <f>48.0162 * CHOOSE(CONTROL!$C$9, $C$13, 100%, $E$13) + CHOOSE(CONTROL!$C$28, 0, 0)</f>
        <v>48.016199999999998</v>
      </c>
      <c r="E493" s="4">
        <f>227.599202422377 * CHOOSE(CONTROL!$C$9, $C$13, 100%, $E$13) + CHOOSE(CONTROL!$C$28, 0, 0)</f>
        <v>227.599202422377</v>
      </c>
    </row>
    <row r="494" spans="1:5" ht="15">
      <c r="A494" s="13">
        <v>56553</v>
      </c>
      <c r="B494" s="4">
        <f>33.5516 * CHOOSE(CONTROL!$C$9, $C$13, 100%, $E$13) + CHOOSE(CONTROL!$C$28, 0.0003, 0)</f>
        <v>33.551900000000003</v>
      </c>
      <c r="C494" s="4">
        <f>33.1883 * CHOOSE(CONTROL!$C$9, $C$13, 100%, $E$13) + CHOOSE(CONTROL!$C$28, 0.0003, 0)</f>
        <v>33.188600000000001</v>
      </c>
      <c r="D494" s="4">
        <f>47.3801 * CHOOSE(CONTROL!$C$9, $C$13, 100%, $E$13) + CHOOSE(CONTROL!$C$28, 0, 0)</f>
        <v>47.380099999999999</v>
      </c>
      <c r="E494" s="4">
        <f>220.037114574902 * CHOOSE(CONTROL!$C$9, $C$13, 100%, $E$13) + CHOOSE(CONTROL!$C$28, 0, 0)</f>
        <v>220.03711457490201</v>
      </c>
    </row>
    <row r="495" spans="1:5" ht="15">
      <c r="A495" s="13">
        <v>56583</v>
      </c>
      <c r="B495" s="4">
        <f>32.8261 * CHOOSE(CONTROL!$C$9, $C$13, 100%, $E$13) + CHOOSE(CONTROL!$C$28, 0.0003, 0)</f>
        <v>32.8264</v>
      </c>
      <c r="C495" s="4">
        <f>32.4628 * CHOOSE(CONTROL!$C$9, $C$13, 100%, $E$13) + CHOOSE(CONTROL!$C$28, 0.0003, 0)</f>
        <v>32.463100000000004</v>
      </c>
      <c r="D495" s="4">
        <f>47.1614 * CHOOSE(CONTROL!$C$9, $C$13, 100%, $E$13) + CHOOSE(CONTROL!$C$28, 0, 0)</f>
        <v>47.1614</v>
      </c>
      <c r="E495" s="4">
        <f>215.166565299763 * CHOOSE(CONTROL!$C$9, $C$13, 100%, $E$13) + CHOOSE(CONTROL!$C$28, 0, 0)</f>
        <v>215.16656529976299</v>
      </c>
    </row>
    <row r="496" spans="1:5" ht="15">
      <c r="A496" s="13">
        <v>56614</v>
      </c>
      <c r="B496" s="4">
        <f>32.3241 * CHOOSE(CONTROL!$C$9, $C$13, 100%, $E$13) + CHOOSE(CONTROL!$C$28, 0.0003, 0)</f>
        <v>32.324400000000004</v>
      </c>
      <c r="C496" s="4">
        <f>31.9608 * CHOOSE(CONTROL!$C$9, $C$13, 100%, $E$13) + CHOOSE(CONTROL!$C$28, 0.0003, 0)</f>
        <v>31.961099999999998</v>
      </c>
      <c r="D496" s="4">
        <f>45.5514 * CHOOSE(CONTROL!$C$9, $C$13, 100%, $E$13) + CHOOSE(CONTROL!$C$28, 0, 0)</f>
        <v>45.551400000000001</v>
      </c>
      <c r="E496" s="4">
        <f>211.796771283315 * CHOOSE(CONTROL!$C$9, $C$13, 100%, $E$13) + CHOOSE(CONTROL!$C$28, 0, 0)</f>
        <v>211.796771283315</v>
      </c>
    </row>
    <row r="497" spans="1:5" ht="15">
      <c r="A497" s="13">
        <v>56645</v>
      </c>
      <c r="B497" s="4">
        <f>30.9506 * CHOOSE(CONTROL!$C$9, $C$13, 100%, $E$13) + CHOOSE(CONTROL!$C$28, 0.0003, 0)</f>
        <v>30.950900000000001</v>
      </c>
      <c r="C497" s="4">
        <f>30.5874 * CHOOSE(CONTROL!$C$9, $C$13, 100%, $E$13) + CHOOSE(CONTROL!$C$28, 0.0003, 0)</f>
        <v>30.587699999999998</v>
      </c>
      <c r="D497" s="4">
        <f>43.7779 * CHOOSE(CONTROL!$C$9, $C$13, 100%, $E$13) + CHOOSE(CONTROL!$C$28, 0, 0)</f>
        <v>43.777900000000002</v>
      </c>
      <c r="E497" s="4">
        <f>202.974575142221 * CHOOSE(CONTROL!$C$9, $C$13, 100%, $E$13) + CHOOSE(CONTROL!$C$28, 0, 0)</f>
        <v>202.974575142221</v>
      </c>
    </row>
    <row r="498" spans="1:5" ht="15">
      <c r="A498" s="13">
        <v>56673</v>
      </c>
      <c r="B498" s="4">
        <f>31.6672 * CHOOSE(CONTROL!$C$9, $C$13, 100%, $E$13) + CHOOSE(CONTROL!$C$28, 0.0003, 0)</f>
        <v>31.6675</v>
      </c>
      <c r="C498" s="4">
        <f>31.3039 * CHOOSE(CONTROL!$C$9, $C$13, 100%, $E$13) + CHOOSE(CONTROL!$C$28, 0.0003, 0)</f>
        <v>31.304199999999998</v>
      </c>
      <c r="D498" s="4">
        <f>45.2576 * CHOOSE(CONTROL!$C$9, $C$13, 100%, $E$13) + CHOOSE(CONTROL!$C$28, 0, 0)</f>
        <v>45.257599999999996</v>
      </c>
      <c r="E498" s="4">
        <f>207.793991460517 * CHOOSE(CONTROL!$C$9, $C$13, 100%, $E$13) + CHOOSE(CONTROL!$C$28, 0, 0)</f>
        <v>207.79399146051699</v>
      </c>
    </row>
    <row r="499" spans="1:5" ht="15">
      <c r="A499" s="13">
        <v>56704</v>
      </c>
      <c r="B499" s="4">
        <f>33.5488 * CHOOSE(CONTROL!$C$9, $C$13, 100%, $E$13) + CHOOSE(CONTROL!$C$28, 0.0003, 0)</f>
        <v>33.549100000000003</v>
      </c>
      <c r="C499" s="4">
        <f>33.1855 * CHOOSE(CONTROL!$C$9, $C$13, 100%, $E$13) + CHOOSE(CONTROL!$C$28, 0.0003, 0)</f>
        <v>33.1858</v>
      </c>
      <c r="D499" s="4">
        <f>47.574 * CHOOSE(CONTROL!$C$9, $C$13, 100%, $E$13) + CHOOSE(CONTROL!$C$28, 0, 0)</f>
        <v>47.573999999999998</v>
      </c>
      <c r="E499" s="4">
        <f>220.450034831699 * CHOOSE(CONTROL!$C$9, $C$13, 100%, $E$13) + CHOOSE(CONTROL!$C$28, 0, 0)</f>
        <v>220.45003483169901</v>
      </c>
    </row>
    <row r="500" spans="1:5" ht="15">
      <c r="A500" s="13">
        <v>56734</v>
      </c>
      <c r="B500" s="4">
        <f>34.8857 * CHOOSE(CONTROL!$C$9, $C$13, 100%, $E$13) + CHOOSE(CONTROL!$C$28, 0.0003, 0)</f>
        <v>34.886000000000003</v>
      </c>
      <c r="C500" s="4">
        <f>34.5224 * CHOOSE(CONTROL!$C$9, $C$13, 100%, $E$13) + CHOOSE(CONTROL!$C$28, 0.0003, 0)</f>
        <v>34.5227</v>
      </c>
      <c r="D500" s="4">
        <f>48.9083 * CHOOSE(CONTROL!$C$9, $C$13, 100%, $E$13) + CHOOSE(CONTROL!$C$28, 0, 0)</f>
        <v>48.908299999999997</v>
      </c>
      <c r="E500" s="4">
        <f>229.442322310878 * CHOOSE(CONTROL!$C$9, $C$13, 100%, $E$13) + CHOOSE(CONTROL!$C$28, 0, 0)</f>
        <v>229.44232231087801</v>
      </c>
    </row>
    <row r="501" spans="1:5" ht="15">
      <c r="A501" s="13">
        <v>56765</v>
      </c>
      <c r="B501" s="4">
        <f>35.7026 * CHOOSE(CONTROL!$C$9, $C$13, 100%, $E$13) + CHOOSE(CONTROL!$C$28, 0.0136, 0)</f>
        <v>35.716199999999994</v>
      </c>
      <c r="C501" s="4">
        <f>35.3393 * CHOOSE(CONTROL!$C$9, $C$13, 100%, $E$13) + CHOOSE(CONTROL!$C$28, 0.0136, 0)</f>
        <v>35.352899999999998</v>
      </c>
      <c r="D501" s="4">
        <f>48.3811 * CHOOSE(CONTROL!$C$9, $C$13, 100%, $E$13) + CHOOSE(CONTROL!$C$28, 0, 0)</f>
        <v>48.381100000000004</v>
      </c>
      <c r="E501" s="4">
        <f>234.936394445604 * CHOOSE(CONTROL!$C$9, $C$13, 100%, $E$13) + CHOOSE(CONTROL!$C$28, 0, 0)</f>
        <v>234.93639444560401</v>
      </c>
    </row>
    <row r="502" spans="1:5" ht="15">
      <c r="A502" s="13">
        <v>56795</v>
      </c>
      <c r="B502" s="4">
        <f>35.8131 * CHOOSE(CONTROL!$C$9, $C$13, 100%, $E$13) + CHOOSE(CONTROL!$C$28, 0.0136, 0)</f>
        <v>35.826699999999995</v>
      </c>
      <c r="C502" s="4">
        <f>35.4498 * CHOOSE(CONTROL!$C$9, $C$13, 100%, $E$13) + CHOOSE(CONTROL!$C$28, 0.0136, 0)</f>
        <v>35.4634</v>
      </c>
      <c r="D502" s="4">
        <f>48.8105 * CHOOSE(CONTROL!$C$9, $C$13, 100%, $E$13) + CHOOSE(CONTROL!$C$28, 0, 0)</f>
        <v>48.810499999999998</v>
      </c>
      <c r="E502" s="4">
        <f>235.679765206301 * CHOOSE(CONTROL!$C$9, $C$13, 100%, $E$13) + CHOOSE(CONTROL!$C$28, 0, 0)</f>
        <v>235.679765206301</v>
      </c>
    </row>
    <row r="503" spans="1:5" ht="15">
      <c r="A503" s="13">
        <v>56826</v>
      </c>
      <c r="B503" s="4">
        <f>35.8019 * CHOOSE(CONTROL!$C$9, $C$13, 100%, $E$13) + CHOOSE(CONTROL!$C$28, 0.0136, 0)</f>
        <v>35.8155</v>
      </c>
      <c r="C503" s="4">
        <f>35.4386 * CHOOSE(CONTROL!$C$9, $C$13, 100%, $E$13) + CHOOSE(CONTROL!$C$28, 0.0136, 0)</f>
        <v>35.452199999999998</v>
      </c>
      <c r="D503" s="4">
        <f>49.5853 * CHOOSE(CONTROL!$C$9, $C$13, 100%, $E$13) + CHOOSE(CONTROL!$C$28, 0, 0)</f>
        <v>49.585299999999997</v>
      </c>
      <c r="E503" s="4">
        <f>235.604803448919 * CHOOSE(CONTROL!$C$9, $C$13, 100%, $E$13) + CHOOSE(CONTROL!$C$28, 0, 0)</f>
        <v>235.604803448919</v>
      </c>
    </row>
    <row r="504" spans="1:5" ht="15">
      <c r="A504" s="13">
        <v>56857</v>
      </c>
      <c r="B504" s="4">
        <f>36.6406 * CHOOSE(CONTROL!$C$9, $C$13, 100%, $E$13) + CHOOSE(CONTROL!$C$28, 0.0136, 0)</f>
        <v>36.654199999999996</v>
      </c>
      <c r="C504" s="4">
        <f>36.2773 * CHOOSE(CONTROL!$C$9, $C$13, 100%, $E$13) + CHOOSE(CONTROL!$C$28, 0.0136, 0)</f>
        <v>36.290899999999993</v>
      </c>
      <c r="D504" s="4">
        <f>49.0736 * CHOOSE(CONTROL!$C$9, $C$13, 100%, $E$13) + CHOOSE(CONTROL!$C$28, 0, 0)</f>
        <v>49.073599999999999</v>
      </c>
      <c r="E504" s="4">
        <f>241.24567569185 * CHOOSE(CONTROL!$C$9, $C$13, 100%, $E$13) + CHOOSE(CONTROL!$C$28, 0, 0)</f>
        <v>241.24567569185001</v>
      </c>
    </row>
    <row r="505" spans="1:5" ht="15">
      <c r="A505" s="13">
        <v>56887</v>
      </c>
      <c r="B505" s="4">
        <f>35.2112 * CHOOSE(CONTROL!$C$9, $C$13, 100%, $E$13) + CHOOSE(CONTROL!$C$28, 0.0136, 0)</f>
        <v>35.224799999999995</v>
      </c>
      <c r="C505" s="4">
        <f>34.848 * CHOOSE(CONTROL!$C$9, $C$13, 100%, $E$13) + CHOOSE(CONTROL!$C$28, 0.0136, 0)</f>
        <v>34.861599999999996</v>
      </c>
      <c r="D505" s="4">
        <f>48.8318 * CHOOSE(CONTROL!$C$9, $C$13, 100%, $E$13) + CHOOSE(CONTROL!$C$28, 0, 0)</f>
        <v>48.831800000000001</v>
      </c>
      <c r="E505" s="4">
        <f>231.631830307719 * CHOOSE(CONTROL!$C$9, $C$13, 100%, $E$13) + CHOOSE(CONTROL!$C$28, 0, 0)</f>
        <v>231.63183030771901</v>
      </c>
    </row>
    <row r="506" spans="1:5" ht="15">
      <c r="A506" s="13">
        <v>56918</v>
      </c>
      <c r="B506" s="4">
        <f>34.067 * CHOOSE(CONTROL!$C$9, $C$13, 100%, $E$13) + CHOOSE(CONTROL!$C$28, 0.0003, 0)</f>
        <v>34.067300000000003</v>
      </c>
      <c r="C506" s="4">
        <f>33.7038 * CHOOSE(CONTROL!$C$9, $C$13, 100%, $E$13) + CHOOSE(CONTROL!$C$28, 0.0003, 0)</f>
        <v>33.704100000000004</v>
      </c>
      <c r="D506" s="4">
        <f>48.1845 * CHOOSE(CONTROL!$C$9, $C$13, 100%, $E$13) + CHOOSE(CONTROL!$C$28, 0, 0)</f>
        <v>48.1845</v>
      </c>
      <c r="E506" s="4">
        <f>223.935756549922 * CHOOSE(CONTROL!$C$9, $C$13, 100%, $E$13) + CHOOSE(CONTROL!$C$28, 0, 0)</f>
        <v>223.93575654992199</v>
      </c>
    </row>
    <row r="507" spans="1:5" ht="15">
      <c r="A507" s="13">
        <v>56948</v>
      </c>
      <c r="B507" s="4">
        <f>33.3301 * CHOOSE(CONTROL!$C$9, $C$13, 100%, $E$13) + CHOOSE(CONTROL!$C$28, 0.0003, 0)</f>
        <v>33.330400000000004</v>
      </c>
      <c r="C507" s="4">
        <f>32.9668 * CHOOSE(CONTROL!$C$9, $C$13, 100%, $E$13) + CHOOSE(CONTROL!$C$28, 0.0003, 0)</f>
        <v>32.967100000000002</v>
      </c>
      <c r="D507" s="4">
        <f>47.962 * CHOOSE(CONTROL!$C$9, $C$13, 100%, $E$13) + CHOOSE(CONTROL!$C$28, 0, 0)</f>
        <v>47.962000000000003</v>
      </c>
      <c r="E507" s="4">
        <f>218.978910343094 * CHOOSE(CONTROL!$C$9, $C$13, 100%, $E$13) + CHOOSE(CONTROL!$C$28, 0, 0)</f>
        <v>218.97891034309399</v>
      </c>
    </row>
    <row r="508" spans="1:5" ht="15">
      <c r="A508" s="13">
        <v>56979</v>
      </c>
      <c r="B508" s="4">
        <f>32.8202 * CHOOSE(CONTROL!$C$9, $C$13, 100%, $E$13) + CHOOSE(CONTROL!$C$28, 0.0003, 0)</f>
        <v>32.820500000000003</v>
      </c>
      <c r="C508" s="4">
        <f>32.4569 * CHOOSE(CONTROL!$C$9, $C$13, 100%, $E$13) + CHOOSE(CONTROL!$C$28, 0.0003, 0)</f>
        <v>32.4572</v>
      </c>
      <c r="D508" s="4">
        <f>46.3235 * CHOOSE(CONTROL!$C$9, $C$13, 100%, $E$13) + CHOOSE(CONTROL!$C$28, 0, 0)</f>
        <v>46.323500000000003</v>
      </c>
      <c r="E508" s="4">
        <f>215.549409942907 * CHOOSE(CONTROL!$C$9, $C$13, 100%, $E$13) + CHOOSE(CONTROL!$C$28, 0, 0)</f>
        <v>215.549409942907</v>
      </c>
    </row>
    <row r="509" spans="1:5" ht="15">
      <c r="A509" s="13">
        <v>57010</v>
      </c>
      <c r="B509" s="4">
        <f>31.4252 * CHOOSE(CONTROL!$C$9, $C$13, 100%, $E$13) + CHOOSE(CONTROL!$C$28, 0.0003, 0)</f>
        <v>31.4255</v>
      </c>
      <c r="C509" s="4">
        <f>31.0619 * CHOOSE(CONTROL!$C$9, $C$13, 100%, $E$13) + CHOOSE(CONTROL!$C$28, 0.0003, 0)</f>
        <v>31.062200000000001</v>
      </c>
      <c r="D509" s="4">
        <f>44.5186 * CHOOSE(CONTROL!$C$9, $C$13, 100%, $E$13) + CHOOSE(CONTROL!$C$28, 0, 0)</f>
        <v>44.518599999999999</v>
      </c>
      <c r="E509" s="4">
        <f>206.570901153131 * CHOOSE(CONTROL!$C$9, $C$13, 100%, $E$13) + CHOOSE(CONTROL!$C$28, 0, 0)</f>
        <v>206.57090115313099</v>
      </c>
    </row>
    <row r="510" spans="1:5" ht="15">
      <c r="A510" s="13">
        <v>57038</v>
      </c>
      <c r="B510" s="4">
        <f>32.153 * CHOOSE(CONTROL!$C$9, $C$13, 100%, $E$13) + CHOOSE(CONTROL!$C$28, 0.0003, 0)</f>
        <v>32.153300000000002</v>
      </c>
      <c r="C510" s="4">
        <f>31.7897 * CHOOSE(CONTROL!$C$9, $C$13, 100%, $E$13) + CHOOSE(CONTROL!$C$28, 0.0003, 0)</f>
        <v>31.79</v>
      </c>
      <c r="D510" s="4">
        <f>46.0245 * CHOOSE(CONTROL!$C$9, $C$13, 100%, $E$13) + CHOOSE(CONTROL!$C$28, 0, 0)</f>
        <v>46.024500000000003</v>
      </c>
      <c r="E510" s="4">
        <f>211.475708423721 * CHOOSE(CONTROL!$C$9, $C$13, 100%, $E$13) + CHOOSE(CONTROL!$C$28, 0, 0)</f>
        <v>211.47570842372099</v>
      </c>
    </row>
    <row r="511" spans="1:5" ht="15">
      <c r="A511" s="13">
        <v>57070</v>
      </c>
      <c r="B511" s="4">
        <f>34.0642 * CHOOSE(CONTROL!$C$9, $C$13, 100%, $E$13) + CHOOSE(CONTROL!$C$28, 0.0003, 0)</f>
        <v>34.064500000000002</v>
      </c>
      <c r="C511" s="4">
        <f>33.7009 * CHOOSE(CONTROL!$C$9, $C$13, 100%, $E$13) + CHOOSE(CONTROL!$C$28, 0.0003, 0)</f>
        <v>33.7012</v>
      </c>
      <c r="D511" s="4">
        <f>48.3818 * CHOOSE(CONTROL!$C$9, $C$13, 100%, $E$13) + CHOOSE(CONTROL!$C$28, 0, 0)</f>
        <v>48.381799999999998</v>
      </c>
      <c r="E511" s="4">
        <f>224.355992973579 * CHOOSE(CONTROL!$C$9, $C$13, 100%, $E$13) + CHOOSE(CONTROL!$C$28, 0, 0)</f>
        <v>224.35599297357899</v>
      </c>
    </row>
    <row r="512" spans="1:5" ht="15">
      <c r="A512" s="13">
        <v>57100</v>
      </c>
      <c r="B512" s="4">
        <f>35.4221 * CHOOSE(CONTROL!$C$9, $C$13, 100%, $E$13) + CHOOSE(CONTROL!$C$28, 0.0003, 0)</f>
        <v>35.422400000000003</v>
      </c>
      <c r="C512" s="4">
        <f>35.0589 * CHOOSE(CONTROL!$C$9, $C$13, 100%, $E$13) + CHOOSE(CONTROL!$C$28, 0.0003, 0)</f>
        <v>35.059200000000004</v>
      </c>
      <c r="D512" s="4">
        <f>49.7397 * CHOOSE(CONTROL!$C$9, $C$13, 100%, $E$13) + CHOOSE(CONTROL!$C$28, 0, 0)</f>
        <v>49.739699999999999</v>
      </c>
      <c r="E512" s="4">
        <f>233.507606798613 * CHOOSE(CONTROL!$C$9, $C$13, 100%, $E$13) + CHOOSE(CONTROL!$C$28, 0, 0)</f>
        <v>233.50760679861301</v>
      </c>
    </row>
    <row r="513" spans="1:5" ht="15">
      <c r="A513" s="13">
        <v>57131</v>
      </c>
      <c r="B513" s="4">
        <f>36.2518 * CHOOSE(CONTROL!$C$9, $C$13, 100%, $E$13) + CHOOSE(CONTROL!$C$28, 0.0136, 0)</f>
        <v>36.2654</v>
      </c>
      <c r="C513" s="4">
        <f>35.8885 * CHOOSE(CONTROL!$C$9, $C$13, 100%, $E$13) + CHOOSE(CONTROL!$C$28, 0.0136, 0)</f>
        <v>35.902099999999997</v>
      </c>
      <c r="D513" s="4">
        <f>49.2032 * CHOOSE(CONTROL!$C$9, $C$13, 100%, $E$13) + CHOOSE(CONTROL!$C$28, 0, 0)</f>
        <v>49.203200000000002</v>
      </c>
      <c r="E513" s="4">
        <f>239.099023512137 * CHOOSE(CONTROL!$C$9, $C$13, 100%, $E$13) + CHOOSE(CONTROL!$C$28, 0, 0)</f>
        <v>239.09902351213699</v>
      </c>
    </row>
    <row r="514" spans="1:5" ht="15">
      <c r="A514" s="13">
        <v>57161</v>
      </c>
      <c r="B514" s="4">
        <f>36.3641 * CHOOSE(CONTROL!$C$9, $C$13, 100%, $E$13) + CHOOSE(CONTROL!$C$28, 0.0136, 0)</f>
        <v>36.377699999999997</v>
      </c>
      <c r="C514" s="4">
        <f>36.0008 * CHOOSE(CONTROL!$C$9, $C$13, 100%, $E$13) + CHOOSE(CONTROL!$C$28, 0.0136, 0)</f>
        <v>36.014399999999995</v>
      </c>
      <c r="D514" s="4">
        <f>49.6402 * CHOOSE(CONTROL!$C$9, $C$13, 100%, $E$13) + CHOOSE(CONTROL!$C$28, 0, 0)</f>
        <v>49.6402</v>
      </c>
      <c r="E514" s="4">
        <f>239.855565398333 * CHOOSE(CONTROL!$C$9, $C$13, 100%, $E$13) + CHOOSE(CONTROL!$C$28, 0, 0)</f>
        <v>239.855565398333</v>
      </c>
    </row>
    <row r="515" spans="1:5" ht="15">
      <c r="A515" s="13">
        <v>57192</v>
      </c>
      <c r="B515" s="4">
        <f>36.3528 * CHOOSE(CONTROL!$C$9, $C$13, 100%, $E$13) + CHOOSE(CONTROL!$C$28, 0.0136, 0)</f>
        <v>36.366399999999999</v>
      </c>
      <c r="C515" s="4">
        <f>35.9895 * CHOOSE(CONTROL!$C$9, $C$13, 100%, $E$13) + CHOOSE(CONTROL!$C$28, 0.0136, 0)</f>
        <v>36.003099999999996</v>
      </c>
      <c r="D515" s="4">
        <f>50.4287 * CHOOSE(CONTROL!$C$9, $C$13, 100%, $E$13) + CHOOSE(CONTROL!$C$28, 0, 0)</f>
        <v>50.428699999999999</v>
      </c>
      <c r="E515" s="4">
        <f>239.779275460229 * CHOOSE(CONTROL!$C$9, $C$13, 100%, $E$13) + CHOOSE(CONTROL!$C$28, 0, 0)</f>
        <v>239.779275460229</v>
      </c>
    </row>
    <row r="516" spans="1:5" ht="15">
      <c r="A516" s="13">
        <v>57223</v>
      </c>
      <c r="B516" s="4">
        <f>37.2046 * CHOOSE(CONTROL!$C$9, $C$13, 100%, $E$13) + CHOOSE(CONTROL!$C$28, 0.0136, 0)</f>
        <v>37.218199999999996</v>
      </c>
      <c r="C516" s="4">
        <f>36.8413 * CHOOSE(CONTROL!$C$9, $C$13, 100%, $E$13) + CHOOSE(CONTROL!$C$28, 0.0136, 0)</f>
        <v>36.854899999999994</v>
      </c>
      <c r="D516" s="4">
        <f>49.9079 * CHOOSE(CONTROL!$C$9, $C$13, 100%, $E$13) + CHOOSE(CONTROL!$C$28, 0, 0)</f>
        <v>49.907899999999998</v>
      </c>
      <c r="E516" s="4">
        <f>245.52009330254 * CHOOSE(CONTROL!$C$9, $C$13, 100%, $E$13) + CHOOSE(CONTROL!$C$28, 0, 0)</f>
        <v>245.52009330254</v>
      </c>
    </row>
    <row r="517" spans="1:5" ht="15">
      <c r="A517" s="13">
        <v>57253</v>
      </c>
      <c r="B517" s="4">
        <f>35.7528 * CHOOSE(CONTROL!$C$9, $C$13, 100%, $E$13) + CHOOSE(CONTROL!$C$28, 0.0136, 0)</f>
        <v>35.766399999999997</v>
      </c>
      <c r="C517" s="4">
        <f>35.3895 * CHOOSE(CONTROL!$C$9, $C$13, 100%, $E$13) + CHOOSE(CONTROL!$C$28, 0.0136, 0)</f>
        <v>35.403099999999995</v>
      </c>
      <c r="D517" s="4">
        <f>49.6619 * CHOOSE(CONTROL!$C$9, $C$13, 100%, $E$13) + CHOOSE(CONTROL!$C$28, 0, 0)</f>
        <v>49.661900000000003</v>
      </c>
      <c r="E517" s="4">
        <f>235.735908740728 * CHOOSE(CONTROL!$C$9, $C$13, 100%, $E$13) + CHOOSE(CONTROL!$C$28, 0, 0)</f>
        <v>235.73590874072801</v>
      </c>
    </row>
    <row r="518" spans="1:5" ht="15">
      <c r="A518" s="13">
        <v>57284</v>
      </c>
      <c r="B518" s="4">
        <f>34.5906 * CHOOSE(CONTROL!$C$9, $C$13, 100%, $E$13) + CHOOSE(CONTROL!$C$28, 0.0003, 0)</f>
        <v>34.590900000000005</v>
      </c>
      <c r="C518" s="4">
        <f>34.2273 * CHOOSE(CONTROL!$C$9, $C$13, 100%, $E$13) + CHOOSE(CONTROL!$C$28, 0.0003, 0)</f>
        <v>34.227600000000002</v>
      </c>
      <c r="D518" s="4">
        <f>49.0031 * CHOOSE(CONTROL!$C$9, $C$13, 100%, $E$13) + CHOOSE(CONTROL!$C$28, 0, 0)</f>
        <v>49.003100000000003</v>
      </c>
      <c r="E518" s="4">
        <f>227.903475095405 * CHOOSE(CONTROL!$C$9, $C$13, 100%, $E$13) + CHOOSE(CONTROL!$C$28, 0, 0)</f>
        <v>227.90347509540501</v>
      </c>
    </row>
    <row r="519" spans="1:5" ht="15">
      <c r="A519" s="13">
        <v>57314</v>
      </c>
      <c r="B519" s="4">
        <f>33.842 * CHOOSE(CONTROL!$C$9, $C$13, 100%, $E$13) + CHOOSE(CONTROL!$C$28, 0.0003, 0)</f>
        <v>33.842300000000002</v>
      </c>
      <c r="C519" s="4">
        <f>33.4787 * CHOOSE(CONTROL!$C$9, $C$13, 100%, $E$13) + CHOOSE(CONTROL!$C$28, 0.0003, 0)</f>
        <v>33.479000000000006</v>
      </c>
      <c r="D519" s="4">
        <f>48.7766 * CHOOSE(CONTROL!$C$9, $C$13, 100%, $E$13) + CHOOSE(CONTROL!$C$28, 0, 0)</f>
        <v>48.776600000000002</v>
      </c>
      <c r="E519" s="4">
        <f>222.858802938292 * CHOOSE(CONTROL!$C$9, $C$13, 100%, $E$13) + CHOOSE(CONTROL!$C$28, 0, 0)</f>
        <v>222.858802938292</v>
      </c>
    </row>
    <row r="520" spans="1:5" ht="15">
      <c r="A520" s="13">
        <v>57345</v>
      </c>
      <c r="B520" s="4">
        <f>33.3241 * CHOOSE(CONTROL!$C$9, $C$13, 100%, $E$13) + CHOOSE(CONTROL!$C$28, 0.0003, 0)</f>
        <v>33.324400000000004</v>
      </c>
      <c r="C520" s="4">
        <f>32.9609 * CHOOSE(CONTROL!$C$9, $C$13, 100%, $E$13) + CHOOSE(CONTROL!$C$28, 0.0003, 0)</f>
        <v>32.961200000000005</v>
      </c>
      <c r="D520" s="4">
        <f>47.1092 * CHOOSE(CONTROL!$C$9, $C$13, 100%, $E$13) + CHOOSE(CONTROL!$C$28, 0, 0)</f>
        <v>47.109200000000001</v>
      </c>
      <c r="E520" s="4">
        <f>219.368538270043 * CHOOSE(CONTROL!$C$9, $C$13, 100%, $E$13) + CHOOSE(CONTROL!$C$28, 0, 0)</f>
        <v>219.36853827004299</v>
      </c>
    </row>
    <row r="521" spans="1:5" ht="15">
      <c r="A521" s="13">
        <v>57376</v>
      </c>
      <c r="B521" s="4">
        <f>31.9072 * CHOOSE(CONTROL!$C$9, $C$13, 100%, $E$13) + CHOOSE(CONTROL!$C$28, 0.0003, 0)</f>
        <v>31.907499999999999</v>
      </c>
      <c r="C521" s="4">
        <f>31.5439 * CHOOSE(CONTROL!$C$9, $C$13, 100%, $E$13) + CHOOSE(CONTROL!$C$28, 0.0003, 0)</f>
        <v>31.5442</v>
      </c>
      <c r="D521" s="4">
        <f>45.2725 * CHOOSE(CONTROL!$C$9, $C$13, 100%, $E$13) + CHOOSE(CONTROL!$C$28, 0, 0)</f>
        <v>45.272500000000001</v>
      </c>
      <c r="E521" s="4">
        <f>210.230947266757 * CHOOSE(CONTROL!$C$9, $C$13, 100%, $E$13) + CHOOSE(CONTROL!$C$28, 0, 0)</f>
        <v>210.230947266757</v>
      </c>
    </row>
    <row r="522" spans="1:5" ht="15">
      <c r="A522" s="13">
        <v>57404</v>
      </c>
      <c r="B522" s="4">
        <f>32.6464 * CHOOSE(CONTROL!$C$9, $C$13, 100%, $E$13) + CHOOSE(CONTROL!$C$28, 0.0003, 0)</f>
        <v>32.646700000000003</v>
      </c>
      <c r="C522" s="4">
        <f>32.2831 * CHOOSE(CONTROL!$C$9, $C$13, 100%, $E$13) + CHOOSE(CONTROL!$C$28, 0.0003, 0)</f>
        <v>32.2834</v>
      </c>
      <c r="D522" s="4">
        <f>46.8049 * CHOOSE(CONTROL!$C$9, $C$13, 100%, $E$13) + CHOOSE(CONTROL!$C$28, 0, 0)</f>
        <v>46.804900000000004</v>
      </c>
      <c r="E522" s="4">
        <f>215.222658455995 * CHOOSE(CONTROL!$C$9, $C$13, 100%, $E$13) + CHOOSE(CONTROL!$C$28, 0, 0)</f>
        <v>215.222658455995</v>
      </c>
    </row>
    <row r="523" spans="1:5" ht="15">
      <c r="A523" s="13">
        <v>57435</v>
      </c>
      <c r="B523" s="4">
        <f>34.5877 * CHOOSE(CONTROL!$C$9, $C$13, 100%, $E$13) + CHOOSE(CONTROL!$C$28, 0.0003, 0)</f>
        <v>34.588000000000001</v>
      </c>
      <c r="C523" s="4">
        <f>34.2244 * CHOOSE(CONTROL!$C$9, $C$13, 100%, $E$13) + CHOOSE(CONTROL!$C$28, 0.0003, 0)</f>
        <v>34.224700000000006</v>
      </c>
      <c r="D523" s="4">
        <f>49.2039 * CHOOSE(CONTROL!$C$9, $C$13, 100%, $E$13) + CHOOSE(CONTROL!$C$28, 0, 0)</f>
        <v>49.203899999999997</v>
      </c>
      <c r="E523" s="4">
        <f>228.331157314576 * CHOOSE(CONTROL!$C$9, $C$13, 100%, $E$13) + CHOOSE(CONTROL!$C$28, 0, 0)</f>
        <v>228.33115731457599</v>
      </c>
    </row>
    <row r="524" spans="1:5" ht="15">
      <c r="A524" s="13">
        <v>57465</v>
      </c>
      <c r="B524" s="4">
        <f>35.967 * CHOOSE(CONTROL!$C$9, $C$13, 100%, $E$13) + CHOOSE(CONTROL!$C$28, 0.0003, 0)</f>
        <v>35.967300000000002</v>
      </c>
      <c r="C524" s="4">
        <f>35.6037 * CHOOSE(CONTROL!$C$9, $C$13, 100%, $E$13) + CHOOSE(CONTROL!$C$28, 0.0003, 0)</f>
        <v>35.604000000000006</v>
      </c>
      <c r="D524" s="4">
        <f>50.5858 * CHOOSE(CONTROL!$C$9, $C$13, 100%, $E$13) + CHOOSE(CONTROL!$C$28, 0, 0)</f>
        <v>50.585799999999999</v>
      </c>
      <c r="E524" s="4">
        <f>237.644920447314 * CHOOSE(CONTROL!$C$9, $C$13, 100%, $E$13) + CHOOSE(CONTROL!$C$28, 0, 0)</f>
        <v>237.64492044731401</v>
      </c>
    </row>
    <row r="525" spans="1:5" ht="15">
      <c r="A525" s="13">
        <v>57496</v>
      </c>
      <c r="B525" s="4">
        <f>36.8097 * CHOOSE(CONTROL!$C$9, $C$13, 100%, $E$13) + CHOOSE(CONTROL!$C$28, 0.0136, 0)</f>
        <v>36.823299999999996</v>
      </c>
      <c r="C525" s="4">
        <f>36.4464 * CHOOSE(CONTROL!$C$9, $C$13, 100%, $E$13) + CHOOSE(CONTROL!$C$28, 0.0136, 0)</f>
        <v>36.459999999999994</v>
      </c>
      <c r="D525" s="4">
        <f>50.0398 * CHOOSE(CONTROL!$C$9, $C$13, 100%, $E$13) + CHOOSE(CONTROL!$C$28, 0, 0)</f>
        <v>50.0398</v>
      </c>
      <c r="E525" s="4">
        <f>243.335406501669 * CHOOSE(CONTROL!$C$9, $C$13, 100%, $E$13) + CHOOSE(CONTROL!$C$28, 0, 0)</f>
        <v>243.33540650166901</v>
      </c>
    </row>
    <row r="526" spans="1:5" ht="15">
      <c r="A526" s="13">
        <v>57526</v>
      </c>
      <c r="B526" s="4">
        <f>36.9237 * CHOOSE(CONTROL!$C$9, $C$13, 100%, $E$13) + CHOOSE(CONTROL!$C$28, 0.0136, 0)</f>
        <v>36.937299999999993</v>
      </c>
      <c r="C526" s="4">
        <f>36.5604 * CHOOSE(CONTROL!$C$9, $C$13, 100%, $E$13) + CHOOSE(CONTROL!$C$28, 0.0136, 0)</f>
        <v>36.573999999999998</v>
      </c>
      <c r="D526" s="4">
        <f>50.4845 * CHOOSE(CONTROL!$C$9, $C$13, 100%, $E$13) + CHOOSE(CONTROL!$C$28, 0, 0)</f>
        <v>50.484499999999997</v>
      </c>
      <c r="E526" s="4">
        <f>244.105352880825 * CHOOSE(CONTROL!$C$9, $C$13, 100%, $E$13) + CHOOSE(CONTROL!$C$28, 0, 0)</f>
        <v>244.105352880825</v>
      </c>
    </row>
    <row r="527" spans="1:5" ht="15">
      <c r="A527" s="13">
        <v>57557</v>
      </c>
      <c r="B527" s="4">
        <f>36.9122 * CHOOSE(CONTROL!$C$9, $C$13, 100%, $E$13) + CHOOSE(CONTROL!$C$28, 0.0136, 0)</f>
        <v>36.925799999999995</v>
      </c>
      <c r="C527" s="4">
        <f>36.549 * CHOOSE(CONTROL!$C$9, $C$13, 100%, $E$13) + CHOOSE(CONTROL!$C$28, 0.0136, 0)</f>
        <v>36.562599999999996</v>
      </c>
      <c r="D527" s="4">
        <f>51.2869 * CHOOSE(CONTROL!$C$9, $C$13, 100%, $E$13) + CHOOSE(CONTROL!$C$28, 0, 0)</f>
        <v>51.286900000000003</v>
      </c>
      <c r="E527" s="4">
        <f>244.027711229146 * CHOOSE(CONTROL!$C$9, $C$13, 100%, $E$13) + CHOOSE(CONTROL!$C$28, 0, 0)</f>
        <v>244.02771122914601</v>
      </c>
    </row>
    <row r="528" spans="1:5" ht="15">
      <c r="A528" s="13">
        <v>57588</v>
      </c>
      <c r="B528" s="4">
        <f>37.7775 * CHOOSE(CONTROL!$C$9, $C$13, 100%, $E$13) + CHOOSE(CONTROL!$C$28, 0.0136, 0)</f>
        <v>37.7911</v>
      </c>
      <c r="C528" s="4">
        <f>37.4142 * CHOOSE(CONTROL!$C$9, $C$13, 100%, $E$13) + CHOOSE(CONTROL!$C$28, 0.0136, 0)</f>
        <v>37.427799999999998</v>
      </c>
      <c r="D528" s="4">
        <f>50.757 * CHOOSE(CONTROL!$C$9, $C$13, 100%, $E$13) + CHOOSE(CONTROL!$C$28, 0, 0)</f>
        <v>50.756999999999998</v>
      </c>
      <c r="E528" s="4">
        <f>249.870245518039 * CHOOSE(CONTROL!$C$9, $C$13, 100%, $E$13) + CHOOSE(CONTROL!$C$28, 0, 0)</f>
        <v>249.87024551803901</v>
      </c>
    </row>
    <row r="529" spans="1:5" ht="15">
      <c r="A529" s="13">
        <v>57618</v>
      </c>
      <c r="B529" s="4">
        <f>36.3028 * CHOOSE(CONTROL!$C$9, $C$13, 100%, $E$13) + CHOOSE(CONTROL!$C$28, 0.0136, 0)</f>
        <v>36.316399999999994</v>
      </c>
      <c r="C529" s="4">
        <f>35.9395 * CHOOSE(CONTROL!$C$9, $C$13, 100%, $E$13) + CHOOSE(CONTROL!$C$28, 0.0136, 0)</f>
        <v>35.953099999999999</v>
      </c>
      <c r="D529" s="4">
        <f>50.5066 * CHOOSE(CONTROL!$C$9, $C$13, 100%, $E$13) + CHOOSE(CONTROL!$C$28, 0, 0)</f>
        <v>50.506599999999999</v>
      </c>
      <c r="E529" s="4">
        <f>239.912703690124 * CHOOSE(CONTROL!$C$9, $C$13, 100%, $E$13) + CHOOSE(CONTROL!$C$28, 0, 0)</f>
        <v>239.912703690124</v>
      </c>
    </row>
    <row r="530" spans="1:5" ht="15">
      <c r="A530" s="13">
        <v>57649</v>
      </c>
      <c r="B530" s="4">
        <f>35.1223 * CHOOSE(CONTROL!$C$9, $C$13, 100%, $E$13) + CHOOSE(CONTROL!$C$28, 0.0003, 0)</f>
        <v>35.122600000000006</v>
      </c>
      <c r="C530" s="4">
        <f>34.7591 * CHOOSE(CONTROL!$C$9, $C$13, 100%, $E$13) + CHOOSE(CONTROL!$C$28, 0.0003, 0)</f>
        <v>34.759399999999999</v>
      </c>
      <c r="D530" s="4">
        <f>49.8362 * CHOOSE(CONTROL!$C$9, $C$13, 100%, $E$13) + CHOOSE(CONTROL!$C$28, 0, 0)</f>
        <v>49.836199999999998</v>
      </c>
      <c r="E530" s="4">
        <f>231.94149411768 * CHOOSE(CONTROL!$C$9, $C$13, 100%, $E$13) + CHOOSE(CONTROL!$C$28, 0, 0)</f>
        <v>231.94149411768001</v>
      </c>
    </row>
    <row r="531" spans="1:5" ht="15">
      <c r="A531" s="13">
        <v>57679</v>
      </c>
      <c r="B531" s="4">
        <f>34.362 * CHOOSE(CONTROL!$C$9, $C$13, 100%, $E$13) + CHOOSE(CONTROL!$C$28, 0.0003, 0)</f>
        <v>34.362300000000005</v>
      </c>
      <c r="C531" s="4">
        <f>33.9988 * CHOOSE(CONTROL!$C$9, $C$13, 100%, $E$13) + CHOOSE(CONTROL!$C$28, 0.0003, 0)</f>
        <v>33.999100000000006</v>
      </c>
      <c r="D531" s="4">
        <f>49.6057 * CHOOSE(CONTROL!$C$9, $C$13, 100%, $E$13) + CHOOSE(CONTROL!$C$28, 0, 0)</f>
        <v>49.605699999999999</v>
      </c>
      <c r="E531" s="4">
        <f>226.807439900363 * CHOOSE(CONTROL!$C$9, $C$13, 100%, $E$13) + CHOOSE(CONTROL!$C$28, 0, 0)</f>
        <v>226.80743990036299</v>
      </c>
    </row>
    <row r="532" spans="1:5" ht="15">
      <c r="A532" s="13">
        <v>57710</v>
      </c>
      <c r="B532" s="4">
        <f>33.836 * CHOOSE(CONTROL!$C$9, $C$13, 100%, $E$13) + CHOOSE(CONTROL!$C$28, 0.0003, 0)</f>
        <v>33.836300000000001</v>
      </c>
      <c r="C532" s="4">
        <f>33.4727 * CHOOSE(CONTROL!$C$9, $C$13, 100%, $E$13) + CHOOSE(CONTROL!$C$28, 0.0003, 0)</f>
        <v>33.473000000000006</v>
      </c>
      <c r="D532" s="4">
        <f>47.9089 * CHOOSE(CONTROL!$C$9, $C$13, 100%, $E$13) + CHOOSE(CONTROL!$C$28, 0, 0)</f>
        <v>47.908900000000003</v>
      </c>
      <c r="E532" s="4">
        <f>223.255334336019 * CHOOSE(CONTROL!$C$9, $C$13, 100%, $E$13) + CHOOSE(CONTROL!$C$28, 0, 0)</f>
        <v>223.25533433601899</v>
      </c>
    </row>
    <row r="533" spans="1:5" ht="15">
      <c r="A533" s="13">
        <v>57741</v>
      </c>
      <c r="B533" s="4">
        <f>32.3967 * CHOOSE(CONTROL!$C$9, $C$13, 100%, $E$13) + CHOOSE(CONTROL!$C$28, 0.0003, 0)</f>
        <v>32.397000000000006</v>
      </c>
      <c r="C533" s="4">
        <f>32.0335 * CHOOSE(CONTROL!$C$9, $C$13, 100%, $E$13) + CHOOSE(CONTROL!$C$28, 0.0003, 0)</f>
        <v>32.033799999999999</v>
      </c>
      <c r="D533" s="4">
        <f>46.0396 * CHOOSE(CONTROL!$C$9, $C$13, 100%, $E$13) + CHOOSE(CONTROL!$C$28, 0, 0)</f>
        <v>46.0396</v>
      </c>
      <c r="E533" s="4">
        <f>213.955842482939 * CHOOSE(CONTROL!$C$9, $C$13, 100%, $E$13) + CHOOSE(CONTROL!$C$28, 0, 0)</f>
        <v>213.955842482939</v>
      </c>
    </row>
    <row r="534" spans="1:5" ht="15">
      <c r="A534" s="13">
        <v>57769</v>
      </c>
      <c r="B534" s="4">
        <f>33.1476 * CHOOSE(CONTROL!$C$9, $C$13, 100%, $E$13) + CHOOSE(CONTROL!$C$28, 0.0003, 0)</f>
        <v>33.1479</v>
      </c>
      <c r="C534" s="4">
        <f>32.7843 * CHOOSE(CONTROL!$C$9, $C$13, 100%, $E$13) + CHOOSE(CONTROL!$C$28, 0.0003, 0)</f>
        <v>32.784600000000005</v>
      </c>
      <c r="D534" s="4">
        <f>47.5992 * CHOOSE(CONTROL!$C$9, $C$13, 100%, $E$13) + CHOOSE(CONTROL!$C$28, 0, 0)</f>
        <v>47.599200000000003</v>
      </c>
      <c r="E534" s="4">
        <f>219.035997364083 * CHOOSE(CONTROL!$C$9, $C$13, 100%, $E$13) + CHOOSE(CONTROL!$C$28, 0, 0)</f>
        <v>219.03599736408299</v>
      </c>
    </row>
    <row r="535" spans="1:5" ht="15">
      <c r="A535" s="13">
        <v>57800</v>
      </c>
      <c r="B535" s="4">
        <f>35.1194 * CHOOSE(CONTROL!$C$9, $C$13, 100%, $E$13) + CHOOSE(CONTROL!$C$28, 0.0003, 0)</f>
        <v>35.119700000000002</v>
      </c>
      <c r="C535" s="4">
        <f>34.7561 * CHOOSE(CONTROL!$C$9, $C$13, 100%, $E$13) + CHOOSE(CONTROL!$C$28, 0.0003, 0)</f>
        <v>34.756400000000006</v>
      </c>
      <c r="D535" s="4">
        <f>50.0406 * CHOOSE(CONTROL!$C$9, $C$13, 100%, $E$13) + CHOOSE(CONTROL!$C$28, 0, 0)</f>
        <v>50.040599999999998</v>
      </c>
      <c r="E535" s="4">
        <f>232.376754057795 * CHOOSE(CONTROL!$C$9, $C$13, 100%, $E$13) + CHOOSE(CONTROL!$C$28, 0, 0)</f>
        <v>232.37675405779501</v>
      </c>
    </row>
    <row r="536" spans="1:5" ht="15">
      <c r="A536" s="13">
        <v>57830</v>
      </c>
      <c r="B536" s="4">
        <f>36.5204 * CHOOSE(CONTROL!$C$9, $C$13, 100%, $E$13) + CHOOSE(CONTROL!$C$28, 0.0003, 0)</f>
        <v>36.520700000000005</v>
      </c>
      <c r="C536" s="4">
        <f>36.1571 * CHOOSE(CONTROL!$C$9, $C$13, 100%, $E$13) + CHOOSE(CONTROL!$C$28, 0.0003, 0)</f>
        <v>36.157400000000003</v>
      </c>
      <c r="D536" s="4">
        <f>51.4469 * CHOOSE(CONTROL!$C$9, $C$13, 100%, $E$13) + CHOOSE(CONTROL!$C$28, 0, 0)</f>
        <v>51.446899999999999</v>
      </c>
      <c r="E536" s="4">
        <f>241.855539477636 * CHOOSE(CONTROL!$C$9, $C$13, 100%, $E$13) + CHOOSE(CONTROL!$C$28, 0, 0)</f>
        <v>241.855539477636</v>
      </c>
    </row>
    <row r="537" spans="1:5" ht="15">
      <c r="A537" s="13">
        <v>57861</v>
      </c>
      <c r="B537" s="4">
        <f>37.3764 * CHOOSE(CONTROL!$C$9, $C$13, 100%, $E$13) + CHOOSE(CONTROL!$C$28, 0.0136, 0)</f>
        <v>37.389999999999993</v>
      </c>
      <c r="C537" s="4">
        <f>37.0131 * CHOOSE(CONTROL!$C$9, $C$13, 100%, $E$13) + CHOOSE(CONTROL!$C$28, 0.0136, 0)</f>
        <v>37.026699999999998</v>
      </c>
      <c r="D537" s="4">
        <f>50.8912 * CHOOSE(CONTROL!$C$9, $C$13, 100%, $E$13) + CHOOSE(CONTROL!$C$28, 0, 0)</f>
        <v>50.891199999999998</v>
      </c>
      <c r="E537" s="4">
        <f>247.646850194378 * CHOOSE(CONTROL!$C$9, $C$13, 100%, $E$13) + CHOOSE(CONTROL!$C$28, 0, 0)</f>
        <v>247.646850194378</v>
      </c>
    </row>
    <row r="538" spans="1:5" ht="15">
      <c r="A538" s="13">
        <v>57891</v>
      </c>
      <c r="B538" s="4">
        <f>37.4922 * CHOOSE(CONTROL!$C$9, $C$13, 100%, $E$13) + CHOOSE(CONTROL!$C$28, 0.0136, 0)</f>
        <v>37.505799999999994</v>
      </c>
      <c r="C538" s="4">
        <f>37.1289 * CHOOSE(CONTROL!$C$9, $C$13, 100%, $E$13) + CHOOSE(CONTROL!$C$28, 0.0136, 0)</f>
        <v>37.142499999999998</v>
      </c>
      <c r="D538" s="4">
        <f>51.3438 * CHOOSE(CONTROL!$C$9, $C$13, 100%, $E$13) + CHOOSE(CONTROL!$C$28, 0, 0)</f>
        <v>51.343800000000002</v>
      </c>
      <c r="E538" s="4">
        <f>248.430438568787 * CHOOSE(CONTROL!$C$9, $C$13, 100%, $E$13) + CHOOSE(CONTROL!$C$28, 0, 0)</f>
        <v>248.430438568787</v>
      </c>
    </row>
    <row r="539" spans="1:5" ht="15">
      <c r="A539" s="13">
        <v>57922</v>
      </c>
      <c r="B539" s="4">
        <f>37.4805 * CHOOSE(CONTROL!$C$9, $C$13, 100%, $E$13) + CHOOSE(CONTROL!$C$28, 0.0136, 0)</f>
        <v>37.494099999999996</v>
      </c>
      <c r="C539" s="4">
        <f>37.1172 * CHOOSE(CONTROL!$C$9, $C$13, 100%, $E$13) + CHOOSE(CONTROL!$C$28, 0.0136, 0)</f>
        <v>37.130799999999994</v>
      </c>
      <c r="D539" s="4">
        <f>52.1604 * CHOOSE(CONTROL!$C$9, $C$13, 100%, $E$13) + CHOOSE(CONTROL!$C$28, 0, 0)</f>
        <v>52.160400000000003</v>
      </c>
      <c r="E539" s="4">
        <f>248.35142125372 * CHOOSE(CONTROL!$C$9, $C$13, 100%, $E$13) + CHOOSE(CONTROL!$C$28, 0, 0)</f>
        <v>248.35142125371999</v>
      </c>
    </row>
    <row r="540" spans="1:5" ht="15">
      <c r="A540" s="13">
        <v>57953</v>
      </c>
      <c r="B540" s="4">
        <f>38.3594 * CHOOSE(CONTROL!$C$9, $C$13, 100%, $E$13) + CHOOSE(CONTROL!$C$28, 0.0136, 0)</f>
        <v>38.372999999999998</v>
      </c>
      <c r="C540" s="4">
        <f>37.9961 * CHOOSE(CONTROL!$C$9, $C$13, 100%, $E$13) + CHOOSE(CONTROL!$C$28, 0.0136, 0)</f>
        <v>38.009699999999995</v>
      </c>
      <c r="D540" s="4">
        <f>51.6211 * CHOOSE(CONTROL!$C$9, $C$13, 100%, $E$13) + CHOOSE(CONTROL!$C$28, 0, 0)</f>
        <v>51.621099999999998</v>
      </c>
      <c r="E540" s="4">
        <f>254.297474212468 * CHOOSE(CONTROL!$C$9, $C$13, 100%, $E$13) + CHOOSE(CONTROL!$C$28, 0, 0)</f>
        <v>254.29747421246799</v>
      </c>
    </row>
    <row r="541" spans="1:5" ht="15">
      <c r="A541" s="13">
        <v>57983</v>
      </c>
      <c r="B541" s="4">
        <f>36.8615 * CHOOSE(CONTROL!$C$9, $C$13, 100%, $E$13) + CHOOSE(CONTROL!$C$28, 0.0136, 0)</f>
        <v>36.875099999999996</v>
      </c>
      <c r="C541" s="4">
        <f>36.4982 * CHOOSE(CONTROL!$C$9, $C$13, 100%, $E$13) + CHOOSE(CONTROL!$C$28, 0.0136, 0)</f>
        <v>36.511799999999994</v>
      </c>
      <c r="D541" s="4">
        <f>51.3663 * CHOOSE(CONTROL!$C$9, $C$13, 100%, $E$13) + CHOOSE(CONTROL!$C$28, 0, 0)</f>
        <v>51.366300000000003</v>
      </c>
      <c r="E541" s="4">
        <f>244.163503555201 * CHOOSE(CONTROL!$C$9, $C$13, 100%, $E$13) + CHOOSE(CONTROL!$C$28, 0, 0)</f>
        <v>244.163503555201</v>
      </c>
    </row>
    <row r="542" spans="1:5" ht="15">
      <c r="A542" s="13">
        <v>58014</v>
      </c>
      <c r="B542" s="4">
        <f>35.6625 * CHOOSE(CONTROL!$C$9, $C$13, 100%, $E$13) + CHOOSE(CONTROL!$C$28, 0.0003, 0)</f>
        <v>35.662800000000004</v>
      </c>
      <c r="C542" s="4">
        <f>35.2992 * CHOOSE(CONTROL!$C$9, $C$13, 100%, $E$13) + CHOOSE(CONTROL!$C$28, 0.0003, 0)</f>
        <v>35.299500000000002</v>
      </c>
      <c r="D542" s="4">
        <f>50.684 * CHOOSE(CONTROL!$C$9, $C$13, 100%, $E$13) + CHOOSE(CONTROL!$C$28, 0, 0)</f>
        <v>50.683999999999997</v>
      </c>
      <c r="E542" s="4">
        <f>236.051059208383 * CHOOSE(CONTROL!$C$9, $C$13, 100%, $E$13) + CHOOSE(CONTROL!$C$28, 0, 0)</f>
        <v>236.05105920838301</v>
      </c>
    </row>
    <row r="543" spans="1:5" ht="15">
      <c r="A543" s="13">
        <v>58044</v>
      </c>
      <c r="B543" s="4">
        <f>34.8902 * CHOOSE(CONTROL!$C$9, $C$13, 100%, $E$13) + CHOOSE(CONTROL!$C$28, 0.0003, 0)</f>
        <v>34.890500000000003</v>
      </c>
      <c r="C543" s="4">
        <f>34.5269 * CHOOSE(CONTROL!$C$9, $C$13, 100%, $E$13) + CHOOSE(CONTROL!$C$28, 0.0003, 0)</f>
        <v>34.527200000000001</v>
      </c>
      <c r="D543" s="4">
        <f>50.4495 * CHOOSE(CONTROL!$C$9, $C$13, 100%, $E$13) + CHOOSE(CONTROL!$C$28, 0, 0)</f>
        <v>50.4495</v>
      </c>
      <c r="E543" s="4">
        <f>230.826039249617 * CHOOSE(CONTROL!$C$9, $C$13, 100%, $E$13) + CHOOSE(CONTROL!$C$28, 0, 0)</f>
        <v>230.826039249617</v>
      </c>
    </row>
    <row r="544" spans="1:5" ht="15">
      <c r="A544" s="13">
        <v>58075</v>
      </c>
      <c r="B544" s="4">
        <f>34.3559 * CHOOSE(CONTROL!$C$9, $C$13, 100%, $E$13) + CHOOSE(CONTROL!$C$28, 0.0003, 0)</f>
        <v>34.356200000000001</v>
      </c>
      <c r="C544" s="4">
        <f>33.9926 * CHOOSE(CONTROL!$C$9, $C$13, 100%, $E$13) + CHOOSE(CONTROL!$C$28, 0.0003, 0)</f>
        <v>33.992900000000006</v>
      </c>
      <c r="D544" s="4">
        <f>48.7226 * CHOOSE(CONTROL!$C$9, $C$13, 100%, $E$13) + CHOOSE(CONTROL!$C$28, 0, 0)</f>
        <v>48.7226</v>
      </c>
      <c r="E544" s="4">
        <f>227.210997085329 * CHOOSE(CONTROL!$C$9, $C$13, 100%, $E$13) + CHOOSE(CONTROL!$C$28, 0, 0)</f>
        <v>227.21099708532901</v>
      </c>
    </row>
    <row r="545" spans="1:5" ht="15">
      <c r="A545" s="13">
        <v>58106</v>
      </c>
      <c r="B545" s="4">
        <f>32.894 * CHOOSE(CONTROL!$C$9, $C$13, 100%, $E$13) + CHOOSE(CONTROL!$C$28, 0.0003, 0)</f>
        <v>32.894300000000001</v>
      </c>
      <c r="C545" s="4">
        <f>32.5307 * CHOOSE(CONTROL!$C$9, $C$13, 100%, $E$13) + CHOOSE(CONTROL!$C$28, 0.0003, 0)</f>
        <v>32.531000000000006</v>
      </c>
      <c r="D545" s="4">
        <f>46.8204 * CHOOSE(CONTROL!$C$9, $C$13, 100%, $E$13) + CHOOSE(CONTROL!$C$28, 0, 0)</f>
        <v>46.820399999999999</v>
      </c>
      <c r="E545" s="4">
        <f>217.746735805259 * CHOOSE(CONTROL!$C$9, $C$13, 100%, $E$13) + CHOOSE(CONTROL!$C$28, 0, 0)</f>
        <v>217.74673580525899</v>
      </c>
    </row>
    <row r="546" spans="1:5" ht="15">
      <c r="A546" s="13">
        <v>58134</v>
      </c>
      <c r="B546" s="4">
        <f>33.6567 * CHOOSE(CONTROL!$C$9, $C$13, 100%, $E$13) + CHOOSE(CONTROL!$C$28, 0.0003, 0)</f>
        <v>33.657000000000004</v>
      </c>
      <c r="C546" s="4">
        <f>33.2934 * CHOOSE(CONTROL!$C$9, $C$13, 100%, $E$13) + CHOOSE(CONTROL!$C$28, 0.0003, 0)</f>
        <v>33.293700000000001</v>
      </c>
      <c r="D546" s="4">
        <f>48.4075 * CHOOSE(CONTROL!$C$9, $C$13, 100%, $E$13) + CHOOSE(CONTROL!$C$28, 0, 0)</f>
        <v>48.407499999999999</v>
      </c>
      <c r="E546" s="4">
        <f>222.916901433443 * CHOOSE(CONTROL!$C$9, $C$13, 100%, $E$13) + CHOOSE(CONTROL!$C$28, 0, 0)</f>
        <v>222.916901433443</v>
      </c>
    </row>
    <row r="547" spans="1:5" ht="15">
      <c r="A547" s="13">
        <v>58165</v>
      </c>
      <c r="B547" s="4">
        <f>35.6595 * CHOOSE(CONTROL!$C$9, $C$13, 100%, $E$13) + CHOOSE(CONTROL!$C$28, 0.0003, 0)</f>
        <v>35.659800000000004</v>
      </c>
      <c r="C547" s="4">
        <f>35.2962 * CHOOSE(CONTROL!$C$9, $C$13, 100%, $E$13) + CHOOSE(CONTROL!$C$28, 0.0003, 0)</f>
        <v>35.296500000000002</v>
      </c>
      <c r="D547" s="4">
        <f>50.892 * CHOOSE(CONTROL!$C$9, $C$13, 100%, $E$13) + CHOOSE(CONTROL!$C$28, 0, 0)</f>
        <v>50.892000000000003</v>
      </c>
      <c r="E547" s="4">
        <f>236.494031132342 * CHOOSE(CONTROL!$C$9, $C$13, 100%, $E$13) + CHOOSE(CONTROL!$C$28, 0, 0)</f>
        <v>236.494031132342</v>
      </c>
    </row>
    <row r="548" spans="1:5" ht="15">
      <c r="A548" s="13">
        <v>58195</v>
      </c>
      <c r="B548" s="4">
        <f>37.0825 * CHOOSE(CONTROL!$C$9, $C$13, 100%, $E$13) + CHOOSE(CONTROL!$C$28, 0.0003, 0)</f>
        <v>37.082800000000006</v>
      </c>
      <c r="C548" s="4">
        <f>36.7192 * CHOOSE(CONTROL!$C$9, $C$13, 100%, $E$13) + CHOOSE(CONTROL!$C$28, 0.0003, 0)</f>
        <v>36.719500000000004</v>
      </c>
      <c r="D548" s="4">
        <f>52.3231 * CHOOSE(CONTROL!$C$9, $C$13, 100%, $E$13) + CHOOSE(CONTROL!$C$28, 0, 0)</f>
        <v>52.323099999999997</v>
      </c>
      <c r="E548" s="4">
        <f>246.140762722452 * CHOOSE(CONTROL!$C$9, $C$13, 100%, $E$13) + CHOOSE(CONTROL!$C$28, 0, 0)</f>
        <v>246.140762722452</v>
      </c>
    </row>
    <row r="549" spans="1:5" ht="15">
      <c r="A549" s="13">
        <v>58226</v>
      </c>
      <c r="B549" s="4">
        <f>37.952 * CHOOSE(CONTROL!$C$9, $C$13, 100%, $E$13) + CHOOSE(CONTROL!$C$28, 0.0136, 0)</f>
        <v>37.965599999999995</v>
      </c>
      <c r="C549" s="4">
        <f>37.5887 * CHOOSE(CONTROL!$C$9, $C$13, 100%, $E$13) + CHOOSE(CONTROL!$C$28, 0.0136, 0)</f>
        <v>37.6023</v>
      </c>
      <c r="D549" s="4">
        <f>51.7576 * CHOOSE(CONTROL!$C$9, $C$13, 100%, $E$13) + CHOOSE(CONTROL!$C$28, 0, 0)</f>
        <v>51.757599999999996</v>
      </c>
      <c r="E549" s="4">
        <f>252.034684524121 * CHOOSE(CONTROL!$C$9, $C$13, 100%, $E$13) + CHOOSE(CONTROL!$C$28, 0, 0)</f>
        <v>252.03468452412099</v>
      </c>
    </row>
    <row r="550" spans="1:5" ht="15">
      <c r="A550" s="13">
        <v>58256</v>
      </c>
      <c r="B550" s="4">
        <f>38.0696 * CHOOSE(CONTROL!$C$9, $C$13, 100%, $E$13) + CHOOSE(CONTROL!$C$28, 0.0136, 0)</f>
        <v>38.083199999999998</v>
      </c>
      <c r="C550" s="4">
        <f>37.7063 * CHOOSE(CONTROL!$C$9, $C$13, 100%, $E$13) + CHOOSE(CONTROL!$C$28, 0.0136, 0)</f>
        <v>37.719899999999996</v>
      </c>
      <c r="D550" s="4">
        <f>52.2182 * CHOOSE(CONTROL!$C$9, $C$13, 100%, $E$13) + CHOOSE(CONTROL!$C$28, 0, 0)</f>
        <v>52.218200000000003</v>
      </c>
      <c r="E550" s="4">
        <f>252.832156604165 * CHOOSE(CONTROL!$C$9, $C$13, 100%, $E$13) + CHOOSE(CONTROL!$C$28, 0, 0)</f>
        <v>252.83215660416499</v>
      </c>
    </row>
    <row r="551" spans="1:5" ht="15">
      <c r="A551" s="13">
        <v>58287</v>
      </c>
      <c r="B551" s="4">
        <f>38.0577 * CHOOSE(CONTROL!$C$9, $C$13, 100%, $E$13) + CHOOSE(CONTROL!$C$28, 0.0136, 0)</f>
        <v>38.071299999999994</v>
      </c>
      <c r="C551" s="4">
        <f>37.6944 * CHOOSE(CONTROL!$C$9, $C$13, 100%, $E$13) + CHOOSE(CONTROL!$C$28, 0.0136, 0)</f>
        <v>37.707999999999998</v>
      </c>
      <c r="D551" s="4">
        <f>53.0492 * CHOOSE(CONTROL!$C$9, $C$13, 100%, $E$13) + CHOOSE(CONTROL!$C$28, 0, 0)</f>
        <v>53.049199999999999</v>
      </c>
      <c r="E551" s="4">
        <f>252.751739251556 * CHOOSE(CONTROL!$C$9, $C$13, 100%, $E$13) + CHOOSE(CONTROL!$C$28, 0, 0)</f>
        <v>252.75173925155599</v>
      </c>
    </row>
    <row r="552" spans="1:5" ht="15">
      <c r="A552" s="13">
        <v>58318</v>
      </c>
      <c r="B552" s="4">
        <f>38.9504 * CHOOSE(CONTROL!$C$9, $C$13, 100%, $E$13) + CHOOSE(CONTROL!$C$28, 0.0136, 0)</f>
        <v>38.963999999999999</v>
      </c>
      <c r="C552" s="4">
        <f>38.5871 * CHOOSE(CONTROL!$C$9, $C$13, 100%, $E$13) + CHOOSE(CONTROL!$C$28, 0.0136, 0)</f>
        <v>38.600699999999996</v>
      </c>
      <c r="D552" s="4">
        <f>52.5004 * CHOOSE(CONTROL!$C$9, $C$13, 100%, $E$13) + CHOOSE(CONTROL!$C$28, 0, 0)</f>
        <v>52.500399999999999</v>
      </c>
      <c r="E552" s="4">
        <f>258.803145035418 * CHOOSE(CONTROL!$C$9, $C$13, 100%, $E$13) + CHOOSE(CONTROL!$C$28, 0, 0)</f>
        <v>258.80314503541803</v>
      </c>
    </row>
    <row r="553" spans="1:5" ht="15">
      <c r="A553" s="13">
        <v>58348</v>
      </c>
      <c r="B553" s="4">
        <f>37.429 * CHOOSE(CONTROL!$C$9, $C$13, 100%, $E$13) + CHOOSE(CONTROL!$C$28, 0.0136, 0)</f>
        <v>37.442599999999999</v>
      </c>
      <c r="C553" s="4">
        <f>37.0657 * CHOOSE(CONTROL!$C$9, $C$13, 100%, $E$13) + CHOOSE(CONTROL!$C$28, 0.0136, 0)</f>
        <v>37.079299999999996</v>
      </c>
      <c r="D553" s="4">
        <f>52.2411 * CHOOSE(CONTROL!$C$9, $C$13, 100%, $E$13) + CHOOSE(CONTROL!$C$28, 0, 0)</f>
        <v>52.241100000000003</v>
      </c>
      <c r="E553" s="4">
        <f>248.489619563254 * CHOOSE(CONTROL!$C$9, $C$13, 100%, $E$13) + CHOOSE(CONTROL!$C$28, 0, 0)</f>
        <v>248.489619563254</v>
      </c>
    </row>
    <row r="554" spans="1:5" ht="15">
      <c r="A554" s="13">
        <v>58379</v>
      </c>
      <c r="B554" s="4">
        <f>36.2111 * CHOOSE(CONTROL!$C$9, $C$13, 100%, $E$13) + CHOOSE(CONTROL!$C$28, 0.0003, 0)</f>
        <v>36.211400000000005</v>
      </c>
      <c r="C554" s="4">
        <f>35.8478 * CHOOSE(CONTROL!$C$9, $C$13, 100%, $E$13) + CHOOSE(CONTROL!$C$28, 0.0003, 0)</f>
        <v>35.848100000000002</v>
      </c>
      <c r="D554" s="4">
        <f>51.5468 * CHOOSE(CONTROL!$C$9, $C$13, 100%, $E$13) + CHOOSE(CONTROL!$C$28, 0, 0)</f>
        <v>51.546799999999998</v>
      </c>
      <c r="E554" s="4">
        <f>240.233438028682 * CHOOSE(CONTROL!$C$9, $C$13, 100%, $E$13) + CHOOSE(CONTROL!$C$28, 0, 0)</f>
        <v>240.233438028682</v>
      </c>
    </row>
    <row r="555" spans="1:5" ht="15">
      <c r="A555" s="13">
        <v>58409</v>
      </c>
      <c r="B555" s="4">
        <f>35.4267 * CHOOSE(CONTROL!$C$9, $C$13, 100%, $E$13) + CHOOSE(CONTROL!$C$28, 0.0003, 0)</f>
        <v>35.427</v>
      </c>
      <c r="C555" s="4">
        <f>35.0634 * CHOOSE(CONTROL!$C$9, $C$13, 100%, $E$13) + CHOOSE(CONTROL!$C$28, 0.0003, 0)</f>
        <v>35.063700000000004</v>
      </c>
      <c r="D555" s="4">
        <f>51.3081 * CHOOSE(CONTROL!$C$9, $C$13, 100%, $E$13) + CHOOSE(CONTROL!$C$28, 0, 0)</f>
        <v>51.308100000000003</v>
      </c>
      <c r="E555" s="4">
        <f>234.915840587381 * CHOOSE(CONTROL!$C$9, $C$13, 100%, $E$13) + CHOOSE(CONTROL!$C$28, 0, 0)</f>
        <v>234.91584058738101</v>
      </c>
    </row>
    <row r="556" spans="1:5" ht="15">
      <c r="A556" s="13">
        <v>58440</v>
      </c>
      <c r="B556" s="4">
        <f>34.884 * CHOOSE(CONTROL!$C$9, $C$13, 100%, $E$13) + CHOOSE(CONTROL!$C$28, 0.0003, 0)</f>
        <v>34.884300000000003</v>
      </c>
      <c r="C556" s="4">
        <f>34.5207 * CHOOSE(CONTROL!$C$9, $C$13, 100%, $E$13) + CHOOSE(CONTROL!$C$28, 0.0003, 0)</f>
        <v>34.521000000000001</v>
      </c>
      <c r="D556" s="4">
        <f>49.5507 * CHOOSE(CONTROL!$C$9, $C$13, 100%, $E$13) + CHOOSE(CONTROL!$C$28, 0, 0)</f>
        <v>49.550699999999999</v>
      </c>
      <c r="E556" s="4">
        <f>231.236746705498 * CHOOSE(CONTROL!$C$9, $C$13, 100%, $E$13) + CHOOSE(CONTROL!$C$28, 0, 0)</f>
        <v>231.23674670549801</v>
      </c>
    </row>
    <row r="557" spans="1:5" ht="15">
      <c r="A557" s="13">
        <v>58471</v>
      </c>
      <c r="B557" s="4">
        <f>33.3991 * CHOOSE(CONTROL!$C$9, $C$13, 100%, $E$13) + CHOOSE(CONTROL!$C$28, 0.0003, 0)</f>
        <v>33.3994</v>
      </c>
      <c r="C557" s="4">
        <f>33.0358 * CHOOSE(CONTROL!$C$9, $C$13, 100%, $E$13) + CHOOSE(CONTROL!$C$28, 0.0003, 0)</f>
        <v>33.036100000000005</v>
      </c>
      <c r="D557" s="4">
        <f>47.6149 * CHOOSE(CONTROL!$C$9, $C$13, 100%, $E$13) + CHOOSE(CONTROL!$C$28, 0, 0)</f>
        <v>47.614899999999999</v>
      </c>
      <c r="E557" s="4">
        <f>221.604796595477 * CHOOSE(CONTROL!$C$9, $C$13, 100%, $E$13) + CHOOSE(CONTROL!$C$28, 0, 0)</f>
        <v>221.60479659547701</v>
      </c>
    </row>
    <row r="558" spans="1:5" ht="15">
      <c r="A558" s="13">
        <v>58499</v>
      </c>
      <c r="B558" s="4">
        <f>34.1738 * CHOOSE(CONTROL!$C$9, $C$13, 100%, $E$13) + CHOOSE(CONTROL!$C$28, 0.0003, 0)</f>
        <v>34.174100000000003</v>
      </c>
      <c r="C558" s="4">
        <f>33.8105 * CHOOSE(CONTROL!$C$9, $C$13, 100%, $E$13) + CHOOSE(CONTROL!$C$28, 0.0003, 0)</f>
        <v>33.8108</v>
      </c>
      <c r="D558" s="4">
        <f>49.23 * CHOOSE(CONTROL!$C$9, $C$13, 100%, $E$13) + CHOOSE(CONTROL!$C$28, 0, 0)</f>
        <v>49.23</v>
      </c>
      <c r="E558" s="4">
        <f>226.866567791088 * CHOOSE(CONTROL!$C$9, $C$13, 100%, $E$13) + CHOOSE(CONTROL!$C$28, 0, 0)</f>
        <v>226.86656779108799</v>
      </c>
    </row>
    <row r="559" spans="1:5" ht="15">
      <c r="A559" s="13">
        <v>58531</v>
      </c>
      <c r="B559" s="4">
        <f>36.2081 * CHOOSE(CONTROL!$C$9, $C$13, 100%, $E$13) + CHOOSE(CONTROL!$C$28, 0.0003, 0)</f>
        <v>36.208400000000005</v>
      </c>
      <c r="C559" s="4">
        <f>35.8448 * CHOOSE(CONTROL!$C$9, $C$13, 100%, $E$13) + CHOOSE(CONTROL!$C$28, 0.0003, 0)</f>
        <v>35.845100000000002</v>
      </c>
      <c r="D559" s="4">
        <f>51.7584 * CHOOSE(CONTROL!$C$9, $C$13, 100%, $E$13) + CHOOSE(CONTROL!$C$28, 0, 0)</f>
        <v>51.758400000000002</v>
      </c>
      <c r="E559" s="4">
        <f>240.684258578268 * CHOOSE(CONTROL!$C$9, $C$13, 100%, $E$13) + CHOOSE(CONTROL!$C$28, 0, 0)</f>
        <v>240.68425857826799</v>
      </c>
    </row>
    <row r="560" spans="1:5" ht="15">
      <c r="A560" s="13">
        <v>58561</v>
      </c>
      <c r="B560" s="4">
        <f>37.6535 * CHOOSE(CONTROL!$C$9, $C$13, 100%, $E$13) + CHOOSE(CONTROL!$C$28, 0.0003, 0)</f>
        <v>37.653800000000004</v>
      </c>
      <c r="C560" s="4">
        <f>37.2902 * CHOOSE(CONTROL!$C$9, $C$13, 100%, $E$13) + CHOOSE(CONTROL!$C$28, 0.0003, 0)</f>
        <v>37.290500000000002</v>
      </c>
      <c r="D560" s="4">
        <f>53.2149 * CHOOSE(CONTROL!$C$9, $C$13, 100%, $E$13) + CHOOSE(CONTROL!$C$28, 0, 0)</f>
        <v>53.2149</v>
      </c>
      <c r="E560" s="4">
        <f>250.501912027501 * CHOOSE(CONTROL!$C$9, $C$13, 100%, $E$13) + CHOOSE(CONTROL!$C$28, 0, 0)</f>
        <v>250.50191202750099</v>
      </c>
    </row>
    <row r="561" spans="1:5" ht="15">
      <c r="A561" s="13">
        <v>58592</v>
      </c>
      <c r="B561" s="4">
        <f>38.5366 * CHOOSE(CONTROL!$C$9, $C$13, 100%, $E$13) + CHOOSE(CONTROL!$C$28, 0.0136, 0)</f>
        <v>38.550199999999997</v>
      </c>
      <c r="C561" s="4">
        <f>38.1733 * CHOOSE(CONTROL!$C$9, $C$13, 100%, $E$13) + CHOOSE(CONTROL!$C$28, 0.0136, 0)</f>
        <v>38.186899999999994</v>
      </c>
      <c r="D561" s="4">
        <f>52.6394 * CHOOSE(CONTROL!$C$9, $C$13, 100%, $E$13) + CHOOSE(CONTROL!$C$28, 0, 0)</f>
        <v>52.639400000000002</v>
      </c>
      <c r="E561" s="4">
        <f>256.500262988668 * CHOOSE(CONTROL!$C$9, $C$13, 100%, $E$13) + CHOOSE(CONTROL!$C$28, 0, 0)</f>
        <v>256.500262988668</v>
      </c>
    </row>
    <row r="562" spans="1:5" ht="15">
      <c r="A562" s="13">
        <v>58622</v>
      </c>
      <c r="B562" s="4">
        <f>38.6561 * CHOOSE(CONTROL!$C$9, $C$13, 100%, $E$13) + CHOOSE(CONTROL!$C$28, 0.0136, 0)</f>
        <v>38.669699999999999</v>
      </c>
      <c r="C562" s="4">
        <f>38.2928 * CHOOSE(CONTROL!$C$9, $C$13, 100%, $E$13) + CHOOSE(CONTROL!$C$28, 0.0136, 0)</f>
        <v>38.306399999999996</v>
      </c>
      <c r="D562" s="4">
        <f>53.1081 * CHOOSE(CONTROL!$C$9, $C$13, 100%, $E$13) + CHOOSE(CONTROL!$C$28, 0, 0)</f>
        <v>53.1081</v>
      </c>
      <c r="E562" s="4">
        <f>257.311864767382 * CHOOSE(CONTROL!$C$9, $C$13, 100%, $E$13) + CHOOSE(CONTROL!$C$28, 0, 0)</f>
        <v>257.31186476738202</v>
      </c>
    </row>
    <row r="563" spans="1:5" ht="15">
      <c r="A563" s="13">
        <v>58653</v>
      </c>
      <c r="B563" s="4">
        <f>38.644 * CHOOSE(CONTROL!$C$9, $C$13, 100%, $E$13) + CHOOSE(CONTROL!$C$28, 0.0136, 0)</f>
        <v>38.657599999999995</v>
      </c>
      <c r="C563" s="4">
        <f>38.2807 * CHOOSE(CONTROL!$C$9, $C$13, 100%, $E$13) + CHOOSE(CONTROL!$C$28, 0.0136, 0)</f>
        <v>38.2943</v>
      </c>
      <c r="D563" s="4">
        <f>53.9538 * CHOOSE(CONTROL!$C$9, $C$13, 100%, $E$13) + CHOOSE(CONTROL!$C$28, 0, 0)</f>
        <v>53.953800000000001</v>
      </c>
      <c r="E563" s="4">
        <f>257.230022571209 * CHOOSE(CONTROL!$C$9, $C$13, 100%, $E$13) + CHOOSE(CONTROL!$C$28, 0, 0)</f>
        <v>257.23002257120902</v>
      </c>
    </row>
    <row r="564" spans="1:5" ht="15">
      <c r="A564" s="13">
        <v>58684</v>
      </c>
      <c r="B564" s="4">
        <f>39.5507 * CHOOSE(CONTROL!$C$9, $C$13, 100%, $E$13) + CHOOSE(CONTROL!$C$28, 0.0136, 0)</f>
        <v>39.564299999999996</v>
      </c>
      <c r="C564" s="4">
        <f>39.1874 * CHOOSE(CONTROL!$C$9, $C$13, 100%, $E$13) + CHOOSE(CONTROL!$C$28, 0.0136, 0)</f>
        <v>39.200999999999993</v>
      </c>
      <c r="D564" s="4">
        <f>53.3953 * CHOOSE(CONTROL!$C$9, $C$13, 100%, $E$13) + CHOOSE(CONTROL!$C$28, 0, 0)</f>
        <v>53.395299999999999</v>
      </c>
      <c r="E564" s="4">
        <f>263.388647833214 * CHOOSE(CONTROL!$C$9, $C$13, 100%, $E$13) + CHOOSE(CONTROL!$C$28, 0, 0)</f>
        <v>263.38864783321401</v>
      </c>
    </row>
    <row r="565" spans="1:5" ht="15">
      <c r="A565" s="13">
        <v>58714</v>
      </c>
      <c r="B565" s="4">
        <f>38.0054 * CHOOSE(CONTROL!$C$9, $C$13, 100%, $E$13) + CHOOSE(CONTROL!$C$28, 0.0136, 0)</f>
        <v>38.018999999999998</v>
      </c>
      <c r="C565" s="4">
        <f>37.6421 * CHOOSE(CONTROL!$C$9, $C$13, 100%, $E$13) + CHOOSE(CONTROL!$C$28, 0.0136, 0)</f>
        <v>37.655699999999996</v>
      </c>
      <c r="D565" s="4">
        <f>53.1314 * CHOOSE(CONTROL!$C$9, $C$13, 100%, $E$13) + CHOOSE(CONTROL!$C$28, 0, 0)</f>
        <v>53.131399999999999</v>
      </c>
      <c r="E565" s="4">
        <f>252.892386174049 * CHOOSE(CONTROL!$C$9, $C$13, 100%, $E$13) + CHOOSE(CONTROL!$C$28, 0, 0)</f>
        <v>252.89238617404899</v>
      </c>
    </row>
    <row r="566" spans="1:5" ht="15">
      <c r="A566" s="13">
        <v>58745</v>
      </c>
      <c r="B566" s="4">
        <f>36.7684 * CHOOSE(CONTROL!$C$9, $C$13, 100%, $E$13) + CHOOSE(CONTROL!$C$28, 0.0003, 0)</f>
        <v>36.768700000000003</v>
      </c>
      <c r="C566" s="4">
        <f>36.4051 * CHOOSE(CONTROL!$C$9, $C$13, 100%, $E$13) + CHOOSE(CONTROL!$C$28, 0.0003, 0)</f>
        <v>36.4054</v>
      </c>
      <c r="D566" s="4">
        <f>52.4248 * CHOOSE(CONTROL!$C$9, $C$13, 100%, $E$13) + CHOOSE(CONTROL!$C$28, 0, 0)</f>
        <v>52.424799999999998</v>
      </c>
      <c r="E566" s="4">
        <f>244.489920700305 * CHOOSE(CONTROL!$C$9, $C$13, 100%, $E$13) + CHOOSE(CONTROL!$C$28, 0, 0)</f>
        <v>244.48992070030499</v>
      </c>
    </row>
    <row r="567" spans="1:5" ht="15">
      <c r="A567" s="13">
        <v>58775</v>
      </c>
      <c r="B567" s="4">
        <f>35.9716 * CHOOSE(CONTROL!$C$9, $C$13, 100%, $E$13) + CHOOSE(CONTROL!$C$28, 0.0003, 0)</f>
        <v>35.971900000000005</v>
      </c>
      <c r="C567" s="4">
        <f>35.6083 * CHOOSE(CONTROL!$C$9, $C$13, 100%, $E$13) + CHOOSE(CONTROL!$C$28, 0.0003, 0)</f>
        <v>35.608600000000003</v>
      </c>
      <c r="D567" s="4">
        <f>52.1819 * CHOOSE(CONTROL!$C$9, $C$13, 100%, $E$13) + CHOOSE(CONTROL!$C$28, 0, 0)</f>
        <v>52.181899999999999</v>
      </c>
      <c r="E567" s="4">
        <f>239.078105478376 * CHOOSE(CONTROL!$C$9, $C$13, 100%, $E$13) + CHOOSE(CONTROL!$C$28, 0, 0)</f>
        <v>239.07810547837599</v>
      </c>
    </row>
    <row r="568" spans="1:5" ht="15">
      <c r="A568" s="13">
        <v>58806</v>
      </c>
      <c r="B568" s="4">
        <f>35.4204 * CHOOSE(CONTROL!$C$9, $C$13, 100%, $E$13) + CHOOSE(CONTROL!$C$28, 0.0003, 0)</f>
        <v>35.420700000000004</v>
      </c>
      <c r="C568" s="4">
        <f>35.0571 * CHOOSE(CONTROL!$C$9, $C$13, 100%, $E$13) + CHOOSE(CONTROL!$C$28, 0.0003, 0)</f>
        <v>35.057400000000001</v>
      </c>
      <c r="D568" s="4">
        <f>50.3935 * CHOOSE(CONTROL!$C$9, $C$13, 100%, $E$13) + CHOOSE(CONTROL!$C$28, 0, 0)</f>
        <v>50.393500000000003</v>
      </c>
      <c r="E568" s="4">
        <f>235.333825003469 * CHOOSE(CONTROL!$C$9, $C$13, 100%, $E$13) + CHOOSE(CONTROL!$C$28, 0, 0)</f>
        <v>235.333825003469</v>
      </c>
    </row>
    <row r="569" spans="1:5" ht="15">
      <c r="A569" s="13">
        <v>58837</v>
      </c>
      <c r="B569" s="4">
        <f>33.9121 * CHOOSE(CONTROL!$C$9, $C$13, 100%, $E$13) + CHOOSE(CONTROL!$C$28, 0.0003, 0)</f>
        <v>33.912400000000005</v>
      </c>
      <c r="C569" s="4">
        <f>33.5489 * CHOOSE(CONTROL!$C$9, $C$13, 100%, $E$13) + CHOOSE(CONTROL!$C$28, 0.0003, 0)</f>
        <v>33.549200000000006</v>
      </c>
      <c r="D569" s="4">
        <f>48.4234 * CHOOSE(CONTROL!$C$9, $C$13, 100%, $E$13) + CHOOSE(CONTROL!$C$28, 0, 0)</f>
        <v>48.423400000000001</v>
      </c>
      <c r="E569" s="4">
        <f>225.531214934229 * CHOOSE(CONTROL!$C$9, $C$13, 100%, $E$13) + CHOOSE(CONTROL!$C$28, 0, 0)</f>
        <v>225.53121493422901</v>
      </c>
    </row>
    <row r="570" spans="1:5" ht="15">
      <c r="A570" s="13">
        <v>58865</v>
      </c>
      <c r="B570" s="4">
        <f>34.699 * CHOOSE(CONTROL!$C$9, $C$13, 100%, $E$13) + CHOOSE(CONTROL!$C$28, 0.0003, 0)</f>
        <v>34.699300000000001</v>
      </c>
      <c r="C570" s="4">
        <f>34.3357 * CHOOSE(CONTROL!$C$9, $C$13, 100%, $E$13) + CHOOSE(CONTROL!$C$28, 0.0003, 0)</f>
        <v>34.336000000000006</v>
      </c>
      <c r="D570" s="4">
        <f>50.0671 * CHOOSE(CONTROL!$C$9, $C$13, 100%, $E$13) + CHOOSE(CONTROL!$C$28, 0, 0)</f>
        <v>50.067100000000003</v>
      </c>
      <c r="E570" s="4">
        <f>230.886214774861 * CHOOSE(CONTROL!$C$9, $C$13, 100%, $E$13) + CHOOSE(CONTROL!$C$28, 0, 0)</f>
        <v>230.886214774861</v>
      </c>
    </row>
    <row r="571" spans="1:5" ht="15">
      <c r="A571" s="13">
        <v>58893</v>
      </c>
      <c r="B571" s="4">
        <f>36.7653 * CHOOSE(CONTROL!$C$9, $C$13, 100%, $E$13) + CHOOSE(CONTROL!$C$28, 0.0003, 0)</f>
        <v>36.765600000000006</v>
      </c>
      <c r="C571" s="4">
        <f>36.402 * CHOOSE(CONTROL!$C$9, $C$13, 100%, $E$13) + CHOOSE(CONTROL!$C$28, 0.0003, 0)</f>
        <v>36.402300000000004</v>
      </c>
      <c r="D571" s="4">
        <f>52.6402 * CHOOSE(CONTROL!$C$9, $C$13, 100%, $E$13) + CHOOSE(CONTROL!$C$28, 0, 0)</f>
        <v>52.6402</v>
      </c>
      <c r="E571" s="4">
        <f>244.948728938337 * CHOOSE(CONTROL!$C$9, $C$13, 100%, $E$13) + CHOOSE(CONTROL!$C$28, 0, 0)</f>
        <v>244.94872893833701</v>
      </c>
    </row>
    <row r="572" spans="1:5" ht="15">
      <c r="A572" s="13">
        <v>58926</v>
      </c>
      <c r="B572" s="4">
        <f>38.2334 * CHOOSE(CONTROL!$C$9, $C$13, 100%, $E$13) + CHOOSE(CONTROL!$C$28, 0.0003, 0)</f>
        <v>38.233700000000006</v>
      </c>
      <c r="C572" s="4">
        <f>37.8701 * CHOOSE(CONTROL!$C$9, $C$13, 100%, $E$13) + CHOOSE(CONTROL!$C$28, 0.0003, 0)</f>
        <v>37.870400000000004</v>
      </c>
      <c r="D572" s="4">
        <f>54.1224 * CHOOSE(CONTROL!$C$9, $C$13, 100%, $E$13) + CHOOSE(CONTROL!$C$28, 0, 0)</f>
        <v>54.122399999999999</v>
      </c>
      <c r="E572" s="4">
        <f>254.940332659129 * CHOOSE(CONTROL!$C$9, $C$13, 100%, $E$13) + CHOOSE(CONTROL!$C$28, 0, 0)</f>
        <v>254.94033265912901</v>
      </c>
    </row>
    <row r="573" spans="1:5" ht="15">
      <c r="A573" s="13">
        <v>58957</v>
      </c>
      <c r="B573" s="4">
        <f>39.1304 * CHOOSE(CONTROL!$C$9, $C$13, 100%, $E$13) + CHOOSE(CONTROL!$C$28, 0.0136, 0)</f>
        <v>39.143999999999998</v>
      </c>
      <c r="C573" s="4">
        <f>38.7671 * CHOOSE(CONTROL!$C$9, $C$13, 100%, $E$13) + CHOOSE(CONTROL!$C$28, 0.0136, 0)</f>
        <v>38.780699999999996</v>
      </c>
      <c r="D573" s="4">
        <f>53.5367 * CHOOSE(CONTROL!$C$9, $C$13, 100%, $E$13) + CHOOSE(CONTROL!$C$28, 0, 0)</f>
        <v>53.536700000000003</v>
      </c>
      <c r="E573" s="4">
        <f>261.044963067213 * CHOOSE(CONTROL!$C$9, $C$13, 100%, $E$13) + CHOOSE(CONTROL!$C$28, 0, 0)</f>
        <v>261.04496306721302</v>
      </c>
    </row>
    <row r="574" spans="1:5" ht="15">
      <c r="A574" s="13">
        <v>58987</v>
      </c>
      <c r="B574" s="4">
        <f>39.2518 * CHOOSE(CONTROL!$C$9, $C$13, 100%, $E$13) + CHOOSE(CONTROL!$C$28, 0.0136, 0)</f>
        <v>39.2654</v>
      </c>
      <c r="C574" s="4">
        <f>38.8885 * CHOOSE(CONTROL!$C$9, $C$13, 100%, $E$13) + CHOOSE(CONTROL!$C$28, 0.0136, 0)</f>
        <v>38.902099999999997</v>
      </c>
      <c r="D574" s="4">
        <f>54.0137 * CHOOSE(CONTROL!$C$9, $C$13, 100%, $E$13) + CHOOSE(CONTROL!$C$28, 0, 0)</f>
        <v>54.0137</v>
      </c>
      <c r="E574" s="4">
        <f>261.870944896163 * CHOOSE(CONTROL!$C$9, $C$13, 100%, $E$13) + CHOOSE(CONTROL!$C$28, 0, 0)</f>
        <v>261.870944896163</v>
      </c>
    </row>
    <row r="575" spans="1:5" ht="15">
      <c r="A575" s="13">
        <v>59018</v>
      </c>
      <c r="B575" s="4">
        <f>39.2395 * CHOOSE(CONTROL!$C$9, $C$13, 100%, $E$13) + CHOOSE(CONTROL!$C$28, 0.0136, 0)</f>
        <v>39.253099999999996</v>
      </c>
      <c r="C575" s="4">
        <f>38.8763 * CHOOSE(CONTROL!$C$9, $C$13, 100%, $E$13) + CHOOSE(CONTROL!$C$28, 0.0136, 0)</f>
        <v>38.889899999999997</v>
      </c>
      <c r="D575" s="4">
        <f>54.8744 * CHOOSE(CONTROL!$C$9, $C$13, 100%, $E$13) + CHOOSE(CONTROL!$C$28, 0, 0)</f>
        <v>54.874400000000001</v>
      </c>
      <c r="E575" s="4">
        <f>261.787652610891 * CHOOSE(CONTROL!$C$9, $C$13, 100%, $E$13) + CHOOSE(CONTROL!$C$28, 0, 0)</f>
        <v>261.78765261089097</v>
      </c>
    </row>
    <row r="576" spans="1:5" ht="15">
      <c r="A576" s="13">
        <v>59049</v>
      </c>
      <c r="B576" s="4">
        <f>40.1605 * CHOOSE(CONTROL!$C$9, $C$13, 100%, $E$13) + CHOOSE(CONTROL!$C$28, 0.0136, 0)</f>
        <v>40.174099999999996</v>
      </c>
      <c r="C576" s="4">
        <f>39.7972 * CHOOSE(CONTROL!$C$9, $C$13, 100%, $E$13) + CHOOSE(CONTROL!$C$28, 0.0136, 0)</f>
        <v>39.810799999999993</v>
      </c>
      <c r="D576" s="4">
        <f>54.306 * CHOOSE(CONTROL!$C$9, $C$13, 100%, $E$13) + CHOOSE(CONTROL!$C$28, 0, 0)</f>
        <v>54.305999999999997</v>
      </c>
      <c r="E576" s="4">
        <f>268.055397077632 * CHOOSE(CONTROL!$C$9, $C$13, 100%, $E$13) + CHOOSE(CONTROL!$C$28, 0, 0)</f>
        <v>268.05539707763199</v>
      </c>
    </row>
    <row r="577" spans="1:5" ht="15">
      <c r="A577" s="13">
        <v>59079</v>
      </c>
      <c r="B577" s="4">
        <f>38.5909 * CHOOSE(CONTROL!$C$9, $C$13, 100%, $E$13) + CHOOSE(CONTROL!$C$28, 0.0136, 0)</f>
        <v>38.604499999999994</v>
      </c>
      <c r="C577" s="4">
        <f>38.2276 * CHOOSE(CONTROL!$C$9, $C$13, 100%, $E$13) + CHOOSE(CONTROL!$C$28, 0.0136, 0)</f>
        <v>38.241199999999999</v>
      </c>
      <c r="D577" s="4">
        <f>54.0374 * CHOOSE(CONTROL!$C$9, $C$13, 100%, $E$13) + CHOOSE(CONTROL!$C$28, 0, 0)</f>
        <v>54.037399999999998</v>
      </c>
      <c r="E577" s="4">
        <f>257.373161491458 * CHOOSE(CONTROL!$C$9, $C$13, 100%, $E$13) + CHOOSE(CONTROL!$C$28, 0, 0)</f>
        <v>257.37316149145801</v>
      </c>
    </row>
    <row r="578" spans="1:5" ht="15">
      <c r="A578" s="13">
        <v>59110</v>
      </c>
      <c r="B578" s="4">
        <f>37.3344 * CHOOSE(CONTROL!$C$9, $C$13, 100%, $E$13) + CHOOSE(CONTROL!$C$28, 0.0003, 0)</f>
        <v>37.334700000000005</v>
      </c>
      <c r="C578" s="4">
        <f>36.9711 * CHOOSE(CONTROL!$C$9, $C$13, 100%, $E$13) + CHOOSE(CONTROL!$C$28, 0.0003, 0)</f>
        <v>36.971400000000003</v>
      </c>
      <c r="D578" s="4">
        <f>53.3184 * CHOOSE(CONTROL!$C$9, $C$13, 100%, $E$13) + CHOOSE(CONTROL!$C$28, 0, 0)</f>
        <v>53.318399999999997</v>
      </c>
      <c r="E578" s="4">
        <f>248.8218202035 * CHOOSE(CONTROL!$C$9, $C$13, 100%, $E$13) + CHOOSE(CONTROL!$C$28, 0, 0)</f>
        <v>248.82182020350001</v>
      </c>
    </row>
    <row r="579" spans="1:5" ht="15">
      <c r="A579" s="13">
        <v>59140</v>
      </c>
      <c r="B579" s="4">
        <f>36.5251 * CHOOSE(CONTROL!$C$9, $C$13, 100%, $E$13) + CHOOSE(CONTROL!$C$28, 0.0003, 0)</f>
        <v>36.525400000000005</v>
      </c>
      <c r="C579" s="4">
        <f>36.1618 * CHOOSE(CONTROL!$C$9, $C$13, 100%, $E$13) + CHOOSE(CONTROL!$C$28, 0.0003, 0)</f>
        <v>36.162100000000002</v>
      </c>
      <c r="D579" s="4">
        <f>53.0711 * CHOOSE(CONTROL!$C$9, $C$13, 100%, $E$13) + CHOOSE(CONTROL!$C$28, 0, 0)</f>
        <v>53.071100000000001</v>
      </c>
      <c r="E579" s="4">
        <f>243.314117839868 * CHOOSE(CONTROL!$C$9, $C$13, 100%, $E$13) + CHOOSE(CONTROL!$C$28, 0, 0)</f>
        <v>243.314117839868</v>
      </c>
    </row>
    <row r="580" spans="1:5" ht="15">
      <c r="A580" s="13">
        <v>59171</v>
      </c>
      <c r="B580" s="4">
        <f>35.9652 * CHOOSE(CONTROL!$C$9, $C$13, 100%, $E$13) + CHOOSE(CONTROL!$C$28, 0.0003, 0)</f>
        <v>35.965500000000006</v>
      </c>
      <c r="C580" s="4">
        <f>35.6019 * CHOOSE(CONTROL!$C$9, $C$13, 100%, $E$13) + CHOOSE(CONTROL!$C$28, 0.0003, 0)</f>
        <v>35.602200000000003</v>
      </c>
      <c r="D580" s="4">
        <f>51.2511 * CHOOSE(CONTROL!$C$9, $C$13, 100%, $E$13) + CHOOSE(CONTROL!$C$28, 0, 0)</f>
        <v>51.251100000000001</v>
      </c>
      <c r="E580" s="4">
        <f>239.50349578866 * CHOOSE(CONTROL!$C$9, $C$13, 100%, $E$13) + CHOOSE(CONTROL!$C$28, 0, 0)</f>
        <v>239.50349578865999</v>
      </c>
    </row>
    <row r="581" spans="1:5" ht="15">
      <c r="A581" s="13">
        <v>59202</v>
      </c>
      <c r="B581" s="4">
        <f>34.4333 * CHOOSE(CONTROL!$C$9, $C$13, 100%, $E$13) + CHOOSE(CONTROL!$C$28, 0.0003, 0)</f>
        <v>34.433600000000006</v>
      </c>
      <c r="C581" s="4">
        <f>34.07 * CHOOSE(CONTROL!$C$9, $C$13, 100%, $E$13) + CHOOSE(CONTROL!$C$28, 0.0003, 0)</f>
        <v>34.070300000000003</v>
      </c>
      <c r="D581" s="4">
        <f>49.2463 * CHOOSE(CONTROL!$C$9, $C$13, 100%, $E$13) + CHOOSE(CONTROL!$C$28, 0, 0)</f>
        <v>49.246299999999998</v>
      </c>
      <c r="E581" s="4">
        <f>229.527201988133 * CHOOSE(CONTROL!$C$9, $C$13, 100%, $E$13) + CHOOSE(CONTROL!$C$28, 0, 0)</f>
        <v>229.52720198813299</v>
      </c>
    </row>
    <row r="582" spans="1:5" ht="15">
      <c r="A582" s="13">
        <v>59230</v>
      </c>
      <c r="B582" s="4">
        <f>35.2325 * CHOOSE(CONTROL!$C$9, $C$13, 100%, $E$13) + CHOOSE(CONTROL!$C$28, 0.0003, 0)</f>
        <v>35.232800000000005</v>
      </c>
      <c r="C582" s="4">
        <f>34.8692 * CHOOSE(CONTROL!$C$9, $C$13, 100%, $E$13) + CHOOSE(CONTROL!$C$28, 0.0003, 0)</f>
        <v>34.869500000000002</v>
      </c>
      <c r="D582" s="4">
        <f>50.919 * CHOOSE(CONTROL!$C$9, $C$13, 100%, $E$13) + CHOOSE(CONTROL!$C$28, 0, 0)</f>
        <v>50.918999999999997</v>
      </c>
      <c r="E582" s="4">
        <f>234.977082309249 * CHOOSE(CONTROL!$C$9, $C$13, 100%, $E$13) + CHOOSE(CONTROL!$C$28, 0, 0)</f>
        <v>234.977082309249</v>
      </c>
    </row>
    <row r="583" spans="1:5" ht="15">
      <c r="A583" s="13">
        <v>59261</v>
      </c>
      <c r="B583" s="4">
        <f>37.3313 * CHOOSE(CONTROL!$C$9, $C$13, 100%, $E$13) + CHOOSE(CONTROL!$C$28, 0.0003, 0)</f>
        <v>37.331600000000002</v>
      </c>
      <c r="C583" s="4">
        <f>36.968 * CHOOSE(CONTROL!$C$9, $C$13, 100%, $E$13) + CHOOSE(CONTROL!$C$28, 0.0003, 0)</f>
        <v>36.968300000000006</v>
      </c>
      <c r="D583" s="4">
        <f>53.5375 * CHOOSE(CONTROL!$C$9, $C$13, 100%, $E$13) + CHOOSE(CONTROL!$C$28, 0, 0)</f>
        <v>53.537500000000001</v>
      </c>
      <c r="E583" s="4">
        <f>249.288757656728 * CHOOSE(CONTROL!$C$9, $C$13, 100%, $E$13) + CHOOSE(CONTROL!$C$28, 0, 0)</f>
        <v>249.288757656728</v>
      </c>
    </row>
    <row r="584" spans="1:5" ht="15">
      <c r="A584" s="13">
        <v>59291</v>
      </c>
      <c r="B584" s="4">
        <f>38.8225 * CHOOSE(CONTROL!$C$9, $C$13, 100%, $E$13) + CHOOSE(CONTROL!$C$28, 0.0003, 0)</f>
        <v>38.822800000000001</v>
      </c>
      <c r="C584" s="4">
        <f>38.4592 * CHOOSE(CONTROL!$C$9, $C$13, 100%, $E$13) + CHOOSE(CONTROL!$C$28, 0.0003, 0)</f>
        <v>38.459500000000006</v>
      </c>
      <c r="D584" s="4">
        <f>55.0459 * CHOOSE(CONTROL!$C$9, $C$13, 100%, $E$13) + CHOOSE(CONTROL!$C$28, 0, 0)</f>
        <v>55.045900000000003</v>
      </c>
      <c r="E584" s="4">
        <f>259.457393719263 * CHOOSE(CONTROL!$C$9, $C$13, 100%, $E$13) + CHOOSE(CONTROL!$C$28, 0, 0)</f>
        <v>259.457393719263</v>
      </c>
    </row>
    <row r="585" spans="1:5" ht="15">
      <c r="A585" s="13">
        <v>59322</v>
      </c>
      <c r="B585" s="4">
        <f>39.7336 * CHOOSE(CONTROL!$C$9, $C$13, 100%, $E$13) + CHOOSE(CONTROL!$C$28, 0.0136, 0)</f>
        <v>39.747199999999999</v>
      </c>
      <c r="C585" s="4">
        <f>39.3703 * CHOOSE(CONTROL!$C$9, $C$13, 100%, $E$13) + CHOOSE(CONTROL!$C$28, 0.0136, 0)</f>
        <v>39.383899999999997</v>
      </c>
      <c r="D585" s="4">
        <f>54.4499 * CHOOSE(CONTROL!$C$9, $C$13, 100%, $E$13) + CHOOSE(CONTROL!$C$28, 0, 0)</f>
        <v>54.4499</v>
      </c>
      <c r="E585" s="4">
        <f>265.670186645278 * CHOOSE(CONTROL!$C$9, $C$13, 100%, $E$13) + CHOOSE(CONTROL!$C$28, 0, 0)</f>
        <v>265.67018664527802</v>
      </c>
    </row>
    <row r="586" spans="1:5" ht="15">
      <c r="A586" s="13">
        <v>59352</v>
      </c>
      <c r="B586" s="4">
        <f>39.8568 * CHOOSE(CONTROL!$C$9, $C$13, 100%, $E$13) + CHOOSE(CONTROL!$C$28, 0.0136, 0)</f>
        <v>39.870399999999997</v>
      </c>
      <c r="C586" s="4">
        <f>39.4936 * CHOOSE(CONTROL!$C$9, $C$13, 100%, $E$13) + CHOOSE(CONTROL!$C$28, 0.0136, 0)</f>
        <v>39.507199999999997</v>
      </c>
      <c r="D586" s="4">
        <f>54.9353 * CHOOSE(CONTROL!$C$9, $C$13, 100%, $E$13) + CHOOSE(CONTROL!$C$28, 0, 0)</f>
        <v>54.935299999999998</v>
      </c>
      <c r="E586" s="4">
        <f>266.510803311789 * CHOOSE(CONTROL!$C$9, $C$13, 100%, $E$13) + CHOOSE(CONTROL!$C$28, 0, 0)</f>
        <v>266.510803311789</v>
      </c>
    </row>
    <row r="587" spans="1:5" ht="15">
      <c r="A587" s="13">
        <v>59383</v>
      </c>
      <c r="B587" s="4">
        <f>39.8444 * CHOOSE(CONTROL!$C$9, $C$13, 100%, $E$13) + CHOOSE(CONTROL!$C$28, 0.0136, 0)</f>
        <v>39.857999999999997</v>
      </c>
      <c r="C587" s="4">
        <f>39.4811 * CHOOSE(CONTROL!$C$9, $C$13, 100%, $E$13) + CHOOSE(CONTROL!$C$28, 0.0136, 0)</f>
        <v>39.494699999999995</v>
      </c>
      <c r="D587" s="4">
        <f>55.8112 * CHOOSE(CONTROL!$C$9, $C$13, 100%, $E$13) + CHOOSE(CONTROL!$C$28, 0, 0)</f>
        <v>55.811199999999999</v>
      </c>
      <c r="E587" s="4">
        <f>266.426035244578 * CHOOSE(CONTROL!$C$9, $C$13, 100%, $E$13) + CHOOSE(CONTROL!$C$28, 0, 0)</f>
        <v>266.42603524457797</v>
      </c>
    </row>
    <row r="588" spans="1:5" ht="15">
      <c r="A588" s="13">
        <v>59414</v>
      </c>
      <c r="B588" s="4">
        <f>40.7799 * CHOOSE(CONTROL!$C$9, $C$13, 100%, $E$13) + CHOOSE(CONTROL!$C$28, 0.0136, 0)</f>
        <v>40.793499999999995</v>
      </c>
      <c r="C588" s="4">
        <f>40.4166 * CHOOSE(CONTROL!$C$9, $C$13, 100%, $E$13) + CHOOSE(CONTROL!$C$28, 0.0136, 0)</f>
        <v>40.430199999999999</v>
      </c>
      <c r="D588" s="4">
        <f>55.2327 * CHOOSE(CONTROL!$C$9, $C$13, 100%, $E$13) + CHOOSE(CONTROL!$C$28, 0, 0)</f>
        <v>55.232700000000001</v>
      </c>
      <c r="E588" s="4">
        <f>272.804832302215 * CHOOSE(CONTROL!$C$9, $C$13, 100%, $E$13) + CHOOSE(CONTROL!$C$28, 0, 0)</f>
        <v>272.804832302215</v>
      </c>
    </row>
    <row r="589" spans="1:5" ht="15">
      <c r="A589" s="13">
        <v>59444</v>
      </c>
      <c r="B589" s="4">
        <f>39.1856 * CHOOSE(CONTROL!$C$9, $C$13, 100%, $E$13) + CHOOSE(CONTROL!$C$28, 0.0136, 0)</f>
        <v>39.199199999999998</v>
      </c>
      <c r="C589" s="4">
        <f>38.8223 * CHOOSE(CONTROL!$C$9, $C$13, 100%, $E$13) + CHOOSE(CONTROL!$C$28, 0.0136, 0)</f>
        <v>38.835899999999995</v>
      </c>
      <c r="D589" s="4">
        <f>54.9594 * CHOOSE(CONTROL!$C$9, $C$13, 100%, $E$13) + CHOOSE(CONTROL!$C$28, 0, 0)</f>
        <v>54.959400000000002</v>
      </c>
      <c r="E589" s="4">
        <f>261.933327682388 * CHOOSE(CONTROL!$C$9, $C$13, 100%, $E$13) + CHOOSE(CONTROL!$C$28, 0, 0)</f>
        <v>261.93332768238798</v>
      </c>
    </row>
    <row r="590" spans="1:5" ht="15">
      <c r="A590" s="13">
        <v>59475</v>
      </c>
      <c r="B590" s="4">
        <f>37.9093 * CHOOSE(CONTROL!$C$9, $C$13, 100%, $E$13) + CHOOSE(CONTROL!$C$28, 0.0003, 0)</f>
        <v>37.909600000000005</v>
      </c>
      <c r="C590" s="4">
        <f>37.546 * CHOOSE(CONTROL!$C$9, $C$13, 100%, $E$13) + CHOOSE(CONTROL!$C$28, 0.0003, 0)</f>
        <v>37.546300000000002</v>
      </c>
      <c r="D590" s="4">
        <f>54.2277 * CHOOSE(CONTROL!$C$9, $C$13, 100%, $E$13) + CHOOSE(CONTROL!$C$28, 0, 0)</f>
        <v>54.227699999999999</v>
      </c>
      <c r="E590" s="4">
        <f>253.230472782045 * CHOOSE(CONTROL!$C$9, $C$13, 100%, $E$13) + CHOOSE(CONTROL!$C$28, 0, 0)</f>
        <v>253.23047278204501</v>
      </c>
    </row>
    <row r="591" spans="1:5" ht="15">
      <c r="A591" s="13">
        <v>59505</v>
      </c>
      <c r="B591" s="4">
        <f>37.0873 * CHOOSE(CONTROL!$C$9, $C$13, 100%, $E$13) + CHOOSE(CONTROL!$C$28, 0.0003, 0)</f>
        <v>37.087600000000002</v>
      </c>
      <c r="C591" s="4">
        <f>36.724 * CHOOSE(CONTROL!$C$9, $C$13, 100%, $E$13) + CHOOSE(CONTROL!$C$28, 0.0003, 0)</f>
        <v>36.724299999999999</v>
      </c>
      <c r="D591" s="4">
        <f>53.9761 * CHOOSE(CONTROL!$C$9, $C$13, 100%, $E$13) + CHOOSE(CONTROL!$C$28, 0, 0)</f>
        <v>53.976100000000002</v>
      </c>
      <c r="E591" s="4">
        <f>247.625184337709 * CHOOSE(CONTROL!$C$9, $C$13, 100%, $E$13) + CHOOSE(CONTROL!$C$28, 0, 0)</f>
        <v>247.62518433770899</v>
      </c>
    </row>
    <row r="592" spans="1:5" ht="15">
      <c r="A592" s="13">
        <v>59536</v>
      </c>
      <c r="B592" s="4">
        <f>36.5186 * CHOOSE(CONTROL!$C$9, $C$13, 100%, $E$13) + CHOOSE(CONTROL!$C$28, 0.0003, 0)</f>
        <v>36.518900000000002</v>
      </c>
      <c r="C592" s="4">
        <f>36.1553 * CHOOSE(CONTROL!$C$9, $C$13, 100%, $E$13) + CHOOSE(CONTROL!$C$28, 0.0003, 0)</f>
        <v>36.1556</v>
      </c>
      <c r="D592" s="4">
        <f>52.1239 * CHOOSE(CONTROL!$C$9, $C$13, 100%, $E$13) + CHOOSE(CONTROL!$C$28, 0, 0)</f>
        <v>52.123899999999999</v>
      </c>
      <c r="E592" s="4">
        <f>243.7470452628 * CHOOSE(CONTROL!$C$9, $C$13, 100%, $E$13) + CHOOSE(CONTROL!$C$28, 0, 0)</f>
        <v>243.74704526279999</v>
      </c>
    </row>
    <row r="593" spans="1:5" ht="15">
      <c r="A593" s="13">
        <v>59567</v>
      </c>
      <c r="B593" s="4">
        <f>34.9626 * CHOOSE(CONTROL!$C$9, $C$13, 100%, $E$13) + CHOOSE(CONTROL!$C$28, 0.0003, 0)</f>
        <v>34.962900000000005</v>
      </c>
      <c r="C593" s="4">
        <f>34.5993 * CHOOSE(CONTROL!$C$9, $C$13, 100%, $E$13) + CHOOSE(CONTROL!$C$28, 0.0003, 0)</f>
        <v>34.599600000000002</v>
      </c>
      <c r="D593" s="4">
        <f>50.0836 * CHOOSE(CONTROL!$C$9, $C$13, 100%, $E$13) + CHOOSE(CONTROL!$C$28, 0, 0)</f>
        <v>50.083599999999997</v>
      </c>
      <c r="E593" s="4">
        <f>233.593990383394 * CHOOSE(CONTROL!$C$9, $C$13, 100%, $E$13) + CHOOSE(CONTROL!$C$28, 0, 0)</f>
        <v>233.59399038339399</v>
      </c>
    </row>
    <row r="594" spans="1:5" ht="15">
      <c r="A594" s="13">
        <v>59595</v>
      </c>
      <c r="B594" s="4">
        <f>35.7743 * CHOOSE(CONTROL!$C$9, $C$13, 100%, $E$13) + CHOOSE(CONTROL!$C$28, 0.0003, 0)</f>
        <v>35.7746</v>
      </c>
      <c r="C594" s="4">
        <f>35.4111 * CHOOSE(CONTROL!$C$9, $C$13, 100%, $E$13) + CHOOSE(CONTROL!$C$28, 0.0003, 0)</f>
        <v>35.4114</v>
      </c>
      <c r="D594" s="4">
        <f>51.7859 * CHOOSE(CONTROL!$C$9, $C$13, 100%, $E$13) + CHOOSE(CONTROL!$C$28, 0, 0)</f>
        <v>51.785899999999998</v>
      </c>
      <c r="E594" s="4">
        <f>239.140432287858 * CHOOSE(CONTROL!$C$9, $C$13, 100%, $E$13) + CHOOSE(CONTROL!$C$28, 0, 0)</f>
        <v>239.140432287858</v>
      </c>
    </row>
    <row r="595" spans="1:5" ht="15">
      <c r="A595" s="13">
        <v>59626</v>
      </c>
      <c r="B595" s="4">
        <f>37.9061 * CHOOSE(CONTROL!$C$9, $C$13, 100%, $E$13) + CHOOSE(CONTROL!$C$28, 0.0003, 0)</f>
        <v>37.906400000000005</v>
      </c>
      <c r="C595" s="4">
        <f>37.5428 * CHOOSE(CONTROL!$C$9, $C$13, 100%, $E$13) + CHOOSE(CONTROL!$C$28, 0.0003, 0)</f>
        <v>37.543100000000003</v>
      </c>
      <c r="D595" s="4">
        <f>54.4507 * CHOOSE(CONTROL!$C$9, $C$13, 100%, $E$13) + CHOOSE(CONTROL!$C$28, 0, 0)</f>
        <v>54.450699999999998</v>
      </c>
      <c r="E595" s="4">
        <f>253.705683484803 * CHOOSE(CONTROL!$C$9, $C$13, 100%, $E$13) + CHOOSE(CONTROL!$C$28, 0, 0)</f>
        <v>253.70568348480299</v>
      </c>
    </row>
    <row r="596" spans="1:5" ht="15">
      <c r="A596" s="13">
        <v>59656</v>
      </c>
      <c r="B596" s="4">
        <f>39.4208 * CHOOSE(CONTROL!$C$9, $C$13, 100%, $E$13) + CHOOSE(CONTROL!$C$28, 0.0003, 0)</f>
        <v>39.421100000000003</v>
      </c>
      <c r="C596" s="4">
        <f>39.0575 * CHOOSE(CONTROL!$C$9, $C$13, 100%, $E$13) + CHOOSE(CONTROL!$C$28, 0.0003, 0)</f>
        <v>39.0578</v>
      </c>
      <c r="D596" s="4">
        <f>55.9858 * CHOOSE(CONTROL!$C$9, $C$13, 100%, $E$13) + CHOOSE(CONTROL!$C$28, 0, 0)</f>
        <v>55.985799999999998</v>
      </c>
      <c r="E596" s="4">
        <f>264.054488567727 * CHOOSE(CONTROL!$C$9, $C$13, 100%, $E$13) + CHOOSE(CONTROL!$C$28, 0, 0)</f>
        <v>264.05448856772699</v>
      </c>
    </row>
    <row r="597" spans="1:5" ht="15">
      <c r="A597" s="13">
        <v>59687</v>
      </c>
      <c r="B597" s="4">
        <f>40.3462 * CHOOSE(CONTROL!$C$9, $C$13, 100%, $E$13) + CHOOSE(CONTROL!$C$28, 0.0136, 0)</f>
        <v>40.3598</v>
      </c>
      <c r="C597" s="4">
        <f>39.9829 * CHOOSE(CONTROL!$C$9, $C$13, 100%, $E$13) + CHOOSE(CONTROL!$C$28, 0.0136, 0)</f>
        <v>39.996499999999997</v>
      </c>
      <c r="D597" s="4">
        <f>55.3792 * CHOOSE(CONTROL!$C$9, $C$13, 100%, $E$13) + CHOOSE(CONTROL!$C$28, 0, 0)</f>
        <v>55.379199999999997</v>
      </c>
      <c r="E597" s="4">
        <f>270.377360447151 * CHOOSE(CONTROL!$C$9, $C$13, 100%, $E$13) + CHOOSE(CONTROL!$C$28, 0, 0)</f>
        <v>270.37736044715098</v>
      </c>
    </row>
    <row r="598" spans="1:5" ht="15">
      <c r="A598" s="13">
        <v>59717</v>
      </c>
      <c r="B598" s="4">
        <f>40.4714 * CHOOSE(CONTROL!$C$9, $C$13, 100%, $E$13) + CHOOSE(CONTROL!$C$28, 0.0136, 0)</f>
        <v>40.484999999999999</v>
      </c>
      <c r="C598" s="4">
        <f>40.1081 * CHOOSE(CONTROL!$C$9, $C$13, 100%, $E$13) + CHOOSE(CONTROL!$C$28, 0.0136, 0)</f>
        <v>40.121699999999997</v>
      </c>
      <c r="D598" s="4">
        <f>55.8732 * CHOOSE(CONTROL!$C$9, $C$13, 100%, $E$13) + CHOOSE(CONTROL!$C$28, 0, 0)</f>
        <v>55.873199999999997</v>
      </c>
      <c r="E598" s="4">
        <f>271.232871252895 * CHOOSE(CONTROL!$C$9, $C$13, 100%, $E$13) + CHOOSE(CONTROL!$C$28, 0, 0)</f>
        <v>271.23287125289499</v>
      </c>
    </row>
    <row r="599" spans="1:5" ht="15">
      <c r="A599" s="13">
        <v>59748</v>
      </c>
      <c r="B599" s="4">
        <f>40.4588 * CHOOSE(CONTROL!$C$9, $C$13, 100%, $E$13) + CHOOSE(CONTROL!$C$28, 0.0136, 0)</f>
        <v>40.472399999999993</v>
      </c>
      <c r="C599" s="4">
        <f>40.0955 * CHOOSE(CONTROL!$C$9, $C$13, 100%, $E$13) + CHOOSE(CONTROL!$C$28, 0.0136, 0)</f>
        <v>40.109099999999998</v>
      </c>
      <c r="D599" s="4">
        <f>56.7645 * CHOOSE(CONTROL!$C$9, $C$13, 100%, $E$13) + CHOOSE(CONTROL!$C$28, 0, 0)</f>
        <v>56.764499999999998</v>
      </c>
      <c r="E599" s="4">
        <f>271.146601255677 * CHOOSE(CONTROL!$C$9, $C$13, 100%, $E$13) + CHOOSE(CONTROL!$C$28, 0, 0)</f>
        <v>271.14660125567701</v>
      </c>
    </row>
    <row r="600" spans="1:5" ht="15">
      <c r="A600" s="13">
        <v>59779</v>
      </c>
      <c r="B600" s="4">
        <f>41.4089 * CHOOSE(CONTROL!$C$9, $C$13, 100%, $E$13) + CHOOSE(CONTROL!$C$28, 0.0136, 0)</f>
        <v>41.422499999999999</v>
      </c>
      <c r="C600" s="4">
        <f>41.0457 * CHOOSE(CONTROL!$C$9, $C$13, 100%, $E$13) + CHOOSE(CONTROL!$C$28, 0.0136, 0)</f>
        <v>41.059299999999993</v>
      </c>
      <c r="D600" s="4">
        <f>56.1759 * CHOOSE(CONTROL!$C$9, $C$13, 100%, $E$13) + CHOOSE(CONTROL!$C$28, 0, 0)</f>
        <v>56.175899999999999</v>
      </c>
      <c r="E600" s="4">
        <f>277.63841854632 * CHOOSE(CONTROL!$C$9, $C$13, 100%, $E$13) + CHOOSE(CONTROL!$C$28, 0, 0)</f>
        <v>277.63841854632</v>
      </c>
    </row>
    <row r="601" spans="1:5" ht="15">
      <c r="A601" s="13">
        <v>59809</v>
      </c>
      <c r="B601" s="4">
        <f>39.7896 * CHOOSE(CONTROL!$C$9, $C$13, 100%, $E$13) + CHOOSE(CONTROL!$C$28, 0.0136, 0)</f>
        <v>39.803199999999997</v>
      </c>
      <c r="C601" s="4">
        <f>39.4263 * CHOOSE(CONTROL!$C$9, $C$13, 100%, $E$13) + CHOOSE(CONTROL!$C$28, 0.0136, 0)</f>
        <v>39.439899999999994</v>
      </c>
      <c r="D601" s="4">
        <f>55.8978 * CHOOSE(CONTROL!$C$9, $C$13, 100%, $E$13) + CHOOSE(CONTROL!$C$28, 0, 0)</f>
        <v>55.897799999999997</v>
      </c>
      <c r="E601" s="4">
        <f>266.574291403131 * CHOOSE(CONTROL!$C$9, $C$13, 100%, $E$13) + CHOOSE(CONTROL!$C$28, 0, 0)</f>
        <v>266.57429140313099</v>
      </c>
    </row>
    <row r="602" spans="1:5" ht="15">
      <c r="A602" s="13">
        <v>59840</v>
      </c>
      <c r="B602" s="4">
        <f>38.4933 * CHOOSE(CONTROL!$C$9, $C$13, 100%, $E$13) + CHOOSE(CONTROL!$C$28, 0.0003, 0)</f>
        <v>38.493600000000001</v>
      </c>
      <c r="C602" s="4">
        <f>38.13 * CHOOSE(CONTROL!$C$9, $C$13, 100%, $E$13) + CHOOSE(CONTROL!$C$28, 0.0003, 0)</f>
        <v>38.130300000000005</v>
      </c>
      <c r="D602" s="4">
        <f>55.1531 * CHOOSE(CONTROL!$C$9, $C$13, 100%, $E$13) + CHOOSE(CONTROL!$C$28, 0, 0)</f>
        <v>55.153100000000002</v>
      </c>
      <c r="E602" s="4">
        <f>257.717238355433 * CHOOSE(CONTROL!$C$9, $C$13, 100%, $E$13) + CHOOSE(CONTROL!$C$28, 0, 0)</f>
        <v>257.71723835543298</v>
      </c>
    </row>
    <row r="603" spans="1:5" ht="15">
      <c r="A603" s="13">
        <v>59870</v>
      </c>
      <c r="B603" s="4">
        <f>37.6583 * CHOOSE(CONTROL!$C$9, $C$13, 100%, $E$13) + CHOOSE(CONTROL!$C$28, 0.0003, 0)</f>
        <v>37.6586</v>
      </c>
      <c r="C603" s="4">
        <f>37.295 * CHOOSE(CONTROL!$C$9, $C$13, 100%, $E$13) + CHOOSE(CONTROL!$C$28, 0.0003, 0)</f>
        <v>37.295300000000005</v>
      </c>
      <c r="D603" s="4">
        <f>54.897 * CHOOSE(CONTROL!$C$9, $C$13, 100%, $E$13) + CHOOSE(CONTROL!$C$28, 0, 0)</f>
        <v>54.896999999999998</v>
      </c>
      <c r="E603" s="4">
        <f>252.012634789403 * CHOOSE(CONTROL!$C$9, $C$13, 100%, $E$13) + CHOOSE(CONTROL!$C$28, 0, 0)</f>
        <v>252.01263478940299</v>
      </c>
    </row>
    <row r="604" spans="1:5" ht="15">
      <c r="A604" s="13">
        <v>59901</v>
      </c>
      <c r="B604" s="4">
        <f>37.0807 * CHOOSE(CONTROL!$C$9, $C$13, 100%, $E$13) + CHOOSE(CONTROL!$C$28, 0.0003, 0)</f>
        <v>37.081000000000003</v>
      </c>
      <c r="C604" s="4">
        <f>36.7174 * CHOOSE(CONTROL!$C$9, $C$13, 100%, $E$13) + CHOOSE(CONTROL!$C$28, 0.0003, 0)</f>
        <v>36.717700000000001</v>
      </c>
      <c r="D604" s="4">
        <f>53.0122 * CHOOSE(CONTROL!$C$9, $C$13, 100%, $E$13) + CHOOSE(CONTROL!$C$28, 0, 0)</f>
        <v>53.0122</v>
      </c>
      <c r="E604" s="4">
        <f>248.065782416687 * CHOOSE(CONTROL!$C$9, $C$13, 100%, $E$13) + CHOOSE(CONTROL!$C$28, 0, 0)</f>
        <v>248.065782416687</v>
      </c>
    </row>
    <row r="605" spans="1:5" ht="15">
      <c r="A605" s="13">
        <v>59932</v>
      </c>
      <c r="B605" s="4">
        <f>35.5002 * CHOOSE(CONTROL!$C$9, $C$13, 100%, $E$13) + CHOOSE(CONTROL!$C$28, 0.0003, 0)</f>
        <v>35.500500000000002</v>
      </c>
      <c r="C605" s="4">
        <f>35.1369 * CHOOSE(CONTROL!$C$9, $C$13, 100%, $E$13) + CHOOSE(CONTROL!$C$28, 0.0003, 0)</f>
        <v>35.1372</v>
      </c>
      <c r="D605" s="4">
        <f>50.9358 * CHOOSE(CONTROL!$C$9, $C$13, 100%, $E$13) + CHOOSE(CONTROL!$C$28, 0, 0)</f>
        <v>50.9358</v>
      </c>
      <c r="E605" s="4">
        <f>237.732834586021 * CHOOSE(CONTROL!$C$9, $C$13, 100%, $E$13) + CHOOSE(CONTROL!$C$28, 0, 0)</f>
        <v>237.732834586021</v>
      </c>
    </row>
    <row r="606" spans="1:5" ht="15">
      <c r="A606" s="13">
        <v>59961</v>
      </c>
      <c r="B606" s="4">
        <f>36.3247 * CHOOSE(CONTROL!$C$9, $C$13, 100%, $E$13) + CHOOSE(CONTROL!$C$28, 0.0003, 0)</f>
        <v>36.325000000000003</v>
      </c>
      <c r="C606" s="4">
        <f>35.9614 * CHOOSE(CONTROL!$C$9, $C$13, 100%, $E$13) + CHOOSE(CONTROL!$C$28, 0.0003, 0)</f>
        <v>35.9617</v>
      </c>
      <c r="D606" s="4">
        <f>52.6682 * CHOOSE(CONTROL!$C$9, $C$13, 100%, $E$13) + CHOOSE(CONTROL!$C$28, 0, 0)</f>
        <v>52.668199999999999</v>
      </c>
      <c r="E606" s="4">
        <f>243.377548962665 * CHOOSE(CONTROL!$C$9, $C$13, 100%, $E$13) + CHOOSE(CONTROL!$C$28, 0, 0)</f>
        <v>243.377548962665</v>
      </c>
    </row>
    <row r="607" spans="1:5" ht="15">
      <c r="A607" s="13">
        <v>59992</v>
      </c>
      <c r="B607" s="4">
        <f>38.49 * CHOOSE(CONTROL!$C$9, $C$13, 100%, $E$13) + CHOOSE(CONTROL!$C$28, 0.0003, 0)</f>
        <v>38.490300000000005</v>
      </c>
      <c r="C607" s="4">
        <f>38.1268 * CHOOSE(CONTROL!$C$9, $C$13, 100%, $E$13) + CHOOSE(CONTROL!$C$28, 0.0003, 0)</f>
        <v>38.127100000000006</v>
      </c>
      <c r="D607" s="4">
        <f>55.3801 * CHOOSE(CONTROL!$C$9, $C$13, 100%, $E$13) + CHOOSE(CONTROL!$C$28, 0, 0)</f>
        <v>55.380099999999999</v>
      </c>
      <c r="E607" s="4">
        <f>258.200868894073 * CHOOSE(CONTROL!$C$9, $C$13, 100%, $E$13) + CHOOSE(CONTROL!$C$28, 0, 0)</f>
        <v>258.20086889407298</v>
      </c>
    </row>
    <row r="608" spans="1:5" ht="15">
      <c r="A608" s="13">
        <v>60022</v>
      </c>
      <c r="B608" s="4">
        <f>40.0285 * CHOOSE(CONTROL!$C$9, $C$13, 100%, $E$13) + CHOOSE(CONTROL!$C$28, 0.0003, 0)</f>
        <v>40.028800000000004</v>
      </c>
      <c r="C608" s="4">
        <f>39.6652 * CHOOSE(CONTROL!$C$9, $C$13, 100%, $E$13) + CHOOSE(CONTROL!$C$28, 0.0003, 0)</f>
        <v>39.665500000000002</v>
      </c>
      <c r="D608" s="4">
        <f>56.9422 * CHOOSE(CONTROL!$C$9, $C$13, 100%, $E$13) + CHOOSE(CONTROL!$C$28, 0, 0)</f>
        <v>56.9422</v>
      </c>
      <c r="E608" s="4">
        <f>268.733035252051 * CHOOSE(CONTROL!$C$9, $C$13, 100%, $E$13) + CHOOSE(CONTROL!$C$28, 0, 0)</f>
        <v>268.73303525205102</v>
      </c>
    </row>
    <row r="609" spans="1:5" ht="15">
      <c r="A609" s="13">
        <v>60053</v>
      </c>
      <c r="B609" s="4">
        <f>40.9685 * CHOOSE(CONTROL!$C$9, $C$13, 100%, $E$13) + CHOOSE(CONTROL!$C$28, 0.0136, 0)</f>
        <v>40.982099999999996</v>
      </c>
      <c r="C609" s="4">
        <f>40.6052 * CHOOSE(CONTROL!$C$9, $C$13, 100%, $E$13) + CHOOSE(CONTROL!$C$28, 0.0136, 0)</f>
        <v>40.6188</v>
      </c>
      <c r="D609" s="4">
        <f>56.3249 * CHOOSE(CONTROL!$C$9, $C$13, 100%, $E$13) + CHOOSE(CONTROL!$C$28, 0, 0)</f>
        <v>56.3249</v>
      </c>
      <c r="E609" s="4">
        <f>275.167936475976 * CHOOSE(CONTROL!$C$9, $C$13, 100%, $E$13) + CHOOSE(CONTROL!$C$28, 0, 0)</f>
        <v>275.16793647597598</v>
      </c>
    </row>
    <row r="610" spans="1:5" ht="15">
      <c r="A610" s="13">
        <v>60083</v>
      </c>
      <c r="B610" s="4">
        <f>41.0957 * CHOOSE(CONTROL!$C$9, $C$13, 100%, $E$13) + CHOOSE(CONTROL!$C$28, 0.0136, 0)</f>
        <v>41.109299999999998</v>
      </c>
      <c r="C610" s="4">
        <f>40.7324 * CHOOSE(CONTROL!$C$9, $C$13, 100%, $E$13) + CHOOSE(CONTROL!$C$28, 0.0136, 0)</f>
        <v>40.745999999999995</v>
      </c>
      <c r="D610" s="4">
        <f>56.8277 * CHOOSE(CONTROL!$C$9, $C$13, 100%, $E$13) + CHOOSE(CONTROL!$C$28, 0, 0)</f>
        <v>56.8277</v>
      </c>
      <c r="E610" s="4">
        <f>276.038605316962 * CHOOSE(CONTROL!$C$9, $C$13, 100%, $E$13) + CHOOSE(CONTROL!$C$28, 0, 0)</f>
        <v>276.03860531696199</v>
      </c>
    </row>
    <row r="611" spans="1:5" ht="15">
      <c r="A611" s="13">
        <v>60114</v>
      </c>
      <c r="B611" s="4">
        <f>41.0828 * CHOOSE(CONTROL!$C$9, $C$13, 100%, $E$13) + CHOOSE(CONTROL!$C$28, 0.0136, 0)</f>
        <v>41.096399999999996</v>
      </c>
      <c r="C611" s="4">
        <f>40.7196 * CHOOSE(CONTROL!$C$9, $C$13, 100%, $E$13) + CHOOSE(CONTROL!$C$28, 0.0136, 0)</f>
        <v>40.733199999999997</v>
      </c>
      <c r="D611" s="4">
        <f>57.7348 * CHOOSE(CONTROL!$C$9, $C$13, 100%, $E$13) + CHOOSE(CONTROL!$C$28, 0, 0)</f>
        <v>57.7348</v>
      </c>
      <c r="E611" s="4">
        <f>275.950806778376 * CHOOSE(CONTROL!$C$9, $C$13, 100%, $E$13) + CHOOSE(CONTROL!$C$28, 0, 0)</f>
        <v>275.95080677837598</v>
      </c>
    </row>
    <row r="612" spans="1:5" ht="15">
      <c r="A612" s="13">
        <v>60145</v>
      </c>
      <c r="B612" s="4">
        <f>42.0479 * CHOOSE(CONTROL!$C$9, $C$13, 100%, $E$13) + CHOOSE(CONTROL!$C$28, 0.0136, 0)</f>
        <v>42.061499999999995</v>
      </c>
      <c r="C612" s="4">
        <f>41.6847 * CHOOSE(CONTROL!$C$9, $C$13, 100%, $E$13) + CHOOSE(CONTROL!$C$28, 0.0136, 0)</f>
        <v>41.698299999999996</v>
      </c>
      <c r="D612" s="4">
        <f>57.1357 * CHOOSE(CONTROL!$C$9, $C$13, 100%, $E$13) + CHOOSE(CONTROL!$C$28, 0, 0)</f>
        <v>57.1357</v>
      </c>
      <c r="E612" s="4">
        <f>282.557646807034 * CHOOSE(CONTROL!$C$9, $C$13, 100%, $E$13) + CHOOSE(CONTROL!$C$28, 0, 0)</f>
        <v>282.55764680703402</v>
      </c>
    </row>
    <row r="613" spans="1:5" ht="15">
      <c r="A613" s="13">
        <v>60175</v>
      </c>
      <c r="B613" s="4">
        <f>40.4031 * CHOOSE(CONTROL!$C$9, $C$13, 100%, $E$13) + CHOOSE(CONTROL!$C$28, 0.0136, 0)</f>
        <v>40.416699999999999</v>
      </c>
      <c r="C613" s="4">
        <f>40.0398 * CHOOSE(CONTROL!$C$9, $C$13, 100%, $E$13) + CHOOSE(CONTROL!$C$28, 0.0136, 0)</f>
        <v>40.053399999999996</v>
      </c>
      <c r="D613" s="4">
        <f>56.8527 * CHOOSE(CONTROL!$C$9, $C$13, 100%, $E$13) + CHOOSE(CONTROL!$C$28, 0, 0)</f>
        <v>56.852699999999999</v>
      </c>
      <c r="E613" s="4">
        <f>271.297484233274 * CHOOSE(CONTROL!$C$9, $C$13, 100%, $E$13) + CHOOSE(CONTROL!$C$28, 0, 0)</f>
        <v>271.29748423327402</v>
      </c>
    </row>
    <row r="614" spans="1:5" ht="15">
      <c r="A614" s="13">
        <v>60206</v>
      </c>
      <c r="B614" s="4">
        <f>39.0864 * CHOOSE(CONTROL!$C$9, $C$13, 100%, $E$13) + CHOOSE(CONTROL!$C$28, 0.0003, 0)</f>
        <v>39.0867</v>
      </c>
      <c r="C614" s="4">
        <f>38.7231 * CHOOSE(CONTROL!$C$9, $C$13, 100%, $E$13) + CHOOSE(CONTROL!$C$28, 0.0003, 0)</f>
        <v>38.723400000000005</v>
      </c>
      <c r="D614" s="4">
        <f>56.0948 * CHOOSE(CONTROL!$C$9, $C$13, 100%, $E$13) + CHOOSE(CONTROL!$C$28, 0, 0)</f>
        <v>56.094799999999999</v>
      </c>
      <c r="E614" s="4">
        <f>262.283500938361 * CHOOSE(CONTROL!$C$9, $C$13, 100%, $E$13) + CHOOSE(CONTROL!$C$28, 0, 0)</f>
        <v>262.28350093836099</v>
      </c>
    </row>
    <row r="615" spans="1:5" ht="15">
      <c r="A615" s="13">
        <v>60236</v>
      </c>
      <c r="B615" s="4">
        <f>38.2383 * CHOOSE(CONTROL!$C$9, $C$13, 100%, $E$13) + CHOOSE(CONTROL!$C$28, 0.0003, 0)</f>
        <v>38.238600000000005</v>
      </c>
      <c r="C615" s="4">
        <f>37.8751 * CHOOSE(CONTROL!$C$9, $C$13, 100%, $E$13) + CHOOSE(CONTROL!$C$28, 0.0003, 0)</f>
        <v>37.875400000000006</v>
      </c>
      <c r="D615" s="4">
        <f>55.8343 * CHOOSE(CONTROL!$C$9, $C$13, 100%, $E$13) + CHOOSE(CONTROL!$C$28, 0, 0)</f>
        <v>55.834299999999999</v>
      </c>
      <c r="E615" s="4">
        <f>256.477822574307 * CHOOSE(CONTROL!$C$9, $C$13, 100%, $E$13) + CHOOSE(CONTROL!$C$28, 0, 0)</f>
        <v>256.47782257430703</v>
      </c>
    </row>
    <row r="616" spans="1:5" ht="15">
      <c r="A616" s="13">
        <v>60267</v>
      </c>
      <c r="B616" s="4">
        <f>37.6516 * CHOOSE(CONTROL!$C$9, $C$13, 100%, $E$13) + CHOOSE(CONTROL!$C$28, 0.0003, 0)</f>
        <v>37.651900000000005</v>
      </c>
      <c r="C616" s="4">
        <f>37.2883 * CHOOSE(CONTROL!$C$9, $C$13, 100%, $E$13) + CHOOSE(CONTROL!$C$28, 0.0003, 0)</f>
        <v>37.288600000000002</v>
      </c>
      <c r="D616" s="4">
        <f>53.9161 * CHOOSE(CONTROL!$C$9, $C$13, 100%, $E$13) + CHOOSE(CONTROL!$C$28, 0, 0)</f>
        <v>53.9161</v>
      </c>
      <c r="E616" s="4">
        <f>252.46103943396 * CHOOSE(CONTROL!$C$9, $C$13, 100%, $E$13) + CHOOSE(CONTROL!$C$28, 0, 0)</f>
        <v>252.46103943396</v>
      </c>
    </row>
    <row r="617" spans="1:5" ht="15">
      <c r="A617" s="13">
        <v>60298</v>
      </c>
      <c r="B617" s="4">
        <f>36.0462 * CHOOSE(CONTROL!$C$9, $C$13, 100%, $E$13) + CHOOSE(CONTROL!$C$28, 0.0003, 0)</f>
        <v>36.046500000000002</v>
      </c>
      <c r="C617" s="4">
        <f>35.683 * CHOOSE(CONTROL!$C$9, $C$13, 100%, $E$13) + CHOOSE(CONTROL!$C$28, 0.0003, 0)</f>
        <v>35.683300000000003</v>
      </c>
      <c r="D617" s="4">
        <f>51.8031 * CHOOSE(CONTROL!$C$9, $C$13, 100%, $E$13) + CHOOSE(CONTROL!$C$28, 0, 0)</f>
        <v>51.803100000000001</v>
      </c>
      <c r="E617" s="4">
        <f>241.945011288793 * CHOOSE(CONTROL!$C$9, $C$13, 100%, $E$13) + CHOOSE(CONTROL!$C$28, 0, 0)</f>
        <v>241.94501128879301</v>
      </c>
    </row>
    <row r="618" spans="1:5" ht="15">
      <c r="A618" s="13">
        <v>60326</v>
      </c>
      <c r="B618" s="4">
        <f>36.8838 * CHOOSE(CONTROL!$C$9, $C$13, 100%, $E$13) + CHOOSE(CONTROL!$C$28, 0.0003, 0)</f>
        <v>36.884100000000004</v>
      </c>
      <c r="C618" s="4">
        <f>36.5205 * CHOOSE(CONTROL!$C$9, $C$13, 100%, $E$13) + CHOOSE(CONTROL!$C$28, 0.0003, 0)</f>
        <v>36.520800000000001</v>
      </c>
      <c r="D618" s="4">
        <f>53.566 * CHOOSE(CONTROL!$C$9, $C$13, 100%, $E$13) + CHOOSE(CONTROL!$C$28, 0, 0)</f>
        <v>53.566000000000003</v>
      </c>
      <c r="E618" s="4">
        <f>247.689739340168 * CHOOSE(CONTROL!$C$9, $C$13, 100%, $E$13) + CHOOSE(CONTROL!$C$28, 0, 0)</f>
        <v>247.68973934016799</v>
      </c>
    </row>
    <row r="619" spans="1:5" ht="15">
      <c r="A619" s="13">
        <v>60357</v>
      </c>
      <c r="B619" s="4">
        <f>39.0831 * CHOOSE(CONTROL!$C$9, $C$13, 100%, $E$13) + CHOOSE(CONTROL!$C$28, 0.0003, 0)</f>
        <v>39.083400000000005</v>
      </c>
      <c r="C619" s="4">
        <f>38.7198 * CHOOSE(CONTROL!$C$9, $C$13, 100%, $E$13) + CHOOSE(CONTROL!$C$28, 0.0003, 0)</f>
        <v>38.720100000000002</v>
      </c>
      <c r="D619" s="4">
        <f>56.3258 * CHOOSE(CONTROL!$C$9, $C$13, 100%, $E$13) + CHOOSE(CONTROL!$C$28, 0, 0)</f>
        <v>56.325800000000001</v>
      </c>
      <c r="E619" s="4">
        <f>262.775700496469 * CHOOSE(CONTROL!$C$9, $C$13, 100%, $E$13) + CHOOSE(CONTROL!$C$28, 0, 0)</f>
        <v>262.77570049646903</v>
      </c>
    </row>
    <row r="620" spans="1:5" ht="15">
      <c r="A620" s="13">
        <v>60387</v>
      </c>
      <c r="B620" s="4">
        <f>40.6458 * CHOOSE(CONTROL!$C$9, $C$13, 100%, $E$13) + CHOOSE(CONTROL!$C$28, 0.0003, 0)</f>
        <v>40.646100000000004</v>
      </c>
      <c r="C620" s="4">
        <f>40.2825 * CHOOSE(CONTROL!$C$9, $C$13, 100%, $E$13) + CHOOSE(CONTROL!$C$28, 0.0003, 0)</f>
        <v>40.282800000000002</v>
      </c>
      <c r="D620" s="4">
        <f>57.9156 * CHOOSE(CONTROL!$C$9, $C$13, 100%, $E$13) + CHOOSE(CONTROL!$C$28, 0, 0)</f>
        <v>57.915599999999998</v>
      </c>
      <c r="E620" s="4">
        <f>273.494476944886 * CHOOSE(CONTROL!$C$9, $C$13, 100%, $E$13) + CHOOSE(CONTROL!$C$28, 0, 0)</f>
        <v>273.494476944886</v>
      </c>
    </row>
    <row r="621" spans="1:5" ht="15">
      <c r="A621" s="13">
        <v>60418</v>
      </c>
      <c r="B621" s="4">
        <f>41.6006 * CHOOSE(CONTROL!$C$9, $C$13, 100%, $E$13) + CHOOSE(CONTROL!$C$28, 0.0136, 0)</f>
        <v>41.614199999999997</v>
      </c>
      <c r="C621" s="4">
        <f>41.2373 * CHOOSE(CONTROL!$C$9, $C$13, 100%, $E$13) + CHOOSE(CONTROL!$C$28, 0.0136, 0)</f>
        <v>41.250899999999994</v>
      </c>
      <c r="D621" s="4">
        <f>57.2874 * CHOOSE(CONTROL!$C$9, $C$13, 100%, $E$13) + CHOOSE(CONTROL!$C$28, 0, 0)</f>
        <v>57.287399999999998</v>
      </c>
      <c r="E621" s="4">
        <f>280.043392461652 * CHOOSE(CONTROL!$C$9, $C$13, 100%, $E$13) + CHOOSE(CONTROL!$C$28, 0, 0)</f>
        <v>280.04339246165199</v>
      </c>
    </row>
    <row r="622" spans="1:5" ht="15">
      <c r="A622" s="13">
        <v>60448</v>
      </c>
      <c r="B622" s="4">
        <f>41.7297 * CHOOSE(CONTROL!$C$9, $C$13, 100%, $E$13) + CHOOSE(CONTROL!$C$28, 0.0136, 0)</f>
        <v>41.743299999999998</v>
      </c>
      <c r="C622" s="4">
        <f>41.3665 * CHOOSE(CONTROL!$C$9, $C$13, 100%, $E$13) + CHOOSE(CONTROL!$C$28, 0.0136, 0)</f>
        <v>41.380099999999999</v>
      </c>
      <c r="D622" s="4">
        <f>57.799 * CHOOSE(CONTROL!$C$9, $C$13, 100%, $E$13) + CHOOSE(CONTROL!$C$28, 0, 0)</f>
        <v>57.798999999999999</v>
      </c>
      <c r="E622" s="4">
        <f>280.929487909628 * CHOOSE(CONTROL!$C$9, $C$13, 100%, $E$13) + CHOOSE(CONTROL!$C$28, 0, 0)</f>
        <v>280.92948790962799</v>
      </c>
    </row>
    <row r="623" spans="1:5" ht="15">
      <c r="A623" s="13">
        <v>60479</v>
      </c>
      <c r="B623" s="4">
        <f>41.7167 * CHOOSE(CONTROL!$C$9, $C$13, 100%, $E$13) + CHOOSE(CONTROL!$C$28, 0.0136, 0)</f>
        <v>41.7303</v>
      </c>
      <c r="C623" s="4">
        <f>41.3534 * CHOOSE(CONTROL!$C$9, $C$13, 100%, $E$13) + CHOOSE(CONTROL!$C$28, 0.0136, 0)</f>
        <v>41.366999999999997</v>
      </c>
      <c r="D623" s="4">
        <f>58.7221 * CHOOSE(CONTROL!$C$9, $C$13, 100%, $E$13) + CHOOSE(CONTROL!$C$28, 0, 0)</f>
        <v>58.722099999999998</v>
      </c>
      <c r="E623" s="4">
        <f>280.840133746807 * CHOOSE(CONTROL!$C$9, $C$13, 100%, $E$13) + CHOOSE(CONTROL!$C$28, 0, 0)</f>
        <v>280.840133746807</v>
      </c>
    </row>
    <row r="624" spans="1:5" ht="15">
      <c r="A624" s="13">
        <v>60510</v>
      </c>
      <c r="B624" s="4">
        <f>42.697 * CHOOSE(CONTROL!$C$9, $C$13, 100%, $E$13) + CHOOSE(CONTROL!$C$28, 0.0136, 0)</f>
        <v>42.710599999999999</v>
      </c>
      <c r="C624" s="4">
        <f>42.3337 * CHOOSE(CONTROL!$C$9, $C$13, 100%, $E$13) + CHOOSE(CONTROL!$C$28, 0.0136, 0)</f>
        <v>42.347299999999997</v>
      </c>
      <c r="D624" s="4">
        <f>58.1125 * CHOOSE(CONTROL!$C$9, $C$13, 100%, $E$13) + CHOOSE(CONTROL!$C$28, 0, 0)</f>
        <v>58.112499999999997</v>
      </c>
      <c r="E624" s="4">
        <f>287.564034499097 * CHOOSE(CONTROL!$C$9, $C$13, 100%, $E$13) + CHOOSE(CONTROL!$C$28, 0, 0)</f>
        <v>287.56403449909698</v>
      </c>
    </row>
    <row r="625" spans="1:5" ht="15">
      <c r="A625" s="13">
        <v>60540</v>
      </c>
      <c r="B625" s="4">
        <f>41.0263 * CHOOSE(CONTROL!$C$9, $C$13, 100%, $E$13) + CHOOSE(CONTROL!$C$28, 0.0136, 0)</f>
        <v>41.039899999999996</v>
      </c>
      <c r="C625" s="4">
        <f>40.663 * CHOOSE(CONTROL!$C$9, $C$13, 100%, $E$13) + CHOOSE(CONTROL!$C$28, 0.0136, 0)</f>
        <v>40.676599999999993</v>
      </c>
      <c r="D625" s="4">
        <f>57.8244 * CHOOSE(CONTROL!$C$9, $C$13, 100%, $E$13) + CHOOSE(CONTROL!$C$28, 0, 0)</f>
        <v>57.824399999999997</v>
      </c>
      <c r="E625" s="4">
        <f>276.104363117287 * CHOOSE(CONTROL!$C$9, $C$13, 100%, $E$13) + CHOOSE(CONTROL!$C$28, 0, 0)</f>
        <v>276.10436311728699</v>
      </c>
    </row>
    <row r="626" spans="1:5" ht="15">
      <c r="A626" s="13">
        <v>60571</v>
      </c>
      <c r="B626" s="4">
        <f>39.6889 * CHOOSE(CONTROL!$C$9, $C$13, 100%, $E$13) + CHOOSE(CONTROL!$C$28, 0.0003, 0)</f>
        <v>39.6892</v>
      </c>
      <c r="C626" s="4">
        <f>39.3256 * CHOOSE(CONTROL!$C$9, $C$13, 100%, $E$13) + CHOOSE(CONTROL!$C$28, 0.0003, 0)</f>
        <v>39.325900000000004</v>
      </c>
      <c r="D626" s="4">
        <f>57.0532 * CHOOSE(CONTROL!$C$9, $C$13, 100%, $E$13) + CHOOSE(CONTROL!$C$28, 0, 0)</f>
        <v>57.053199999999997</v>
      </c>
      <c r="E626" s="4">
        <f>266.930669067651 * CHOOSE(CONTROL!$C$9, $C$13, 100%, $E$13) + CHOOSE(CONTROL!$C$28, 0, 0)</f>
        <v>266.93066906765102</v>
      </c>
    </row>
    <row r="627" spans="1:5" ht="15">
      <c r="A627" s="13">
        <v>60601</v>
      </c>
      <c r="B627" s="4">
        <f>38.8275 * CHOOSE(CONTROL!$C$9, $C$13, 100%, $E$13) + CHOOSE(CONTROL!$C$28, 0.0003, 0)</f>
        <v>38.827800000000003</v>
      </c>
      <c r="C627" s="4">
        <f>38.4642 * CHOOSE(CONTROL!$C$9, $C$13, 100%, $E$13) + CHOOSE(CONTROL!$C$28, 0.0003, 0)</f>
        <v>38.464500000000001</v>
      </c>
      <c r="D627" s="4">
        <f>56.788 * CHOOSE(CONTROL!$C$9, $C$13, 100%, $E$13) + CHOOSE(CONTROL!$C$28, 0, 0)</f>
        <v>56.787999999999997</v>
      </c>
      <c r="E627" s="4">
        <f>261.022125051104 * CHOOSE(CONTROL!$C$9, $C$13, 100%, $E$13) + CHOOSE(CONTROL!$C$28, 0, 0)</f>
        <v>261.02212505110401</v>
      </c>
    </row>
    <row r="628" spans="1:5" ht="15">
      <c r="A628" s="13">
        <v>60632</v>
      </c>
      <c r="B628" s="4">
        <f>38.2315 * CHOOSE(CONTROL!$C$9, $C$13, 100%, $E$13) + CHOOSE(CONTROL!$C$28, 0.0003, 0)</f>
        <v>38.2318</v>
      </c>
      <c r="C628" s="4">
        <f>37.8682 * CHOOSE(CONTROL!$C$9, $C$13, 100%, $E$13) + CHOOSE(CONTROL!$C$28, 0.0003, 0)</f>
        <v>37.868500000000004</v>
      </c>
      <c r="D628" s="4">
        <f>54.836 * CHOOSE(CONTROL!$C$9, $C$13, 100%, $E$13) + CHOOSE(CONTROL!$C$28, 0, 0)</f>
        <v>54.835999999999999</v>
      </c>
      <c r="E628" s="4">
        <f>256.934172102037 * CHOOSE(CONTROL!$C$9, $C$13, 100%, $E$13) + CHOOSE(CONTROL!$C$28, 0, 0)</f>
        <v>256.934172102037</v>
      </c>
    </row>
    <row r="629" spans="1:5" ht="15">
      <c r="A629" s="13">
        <v>60663</v>
      </c>
      <c r="B629" s="4">
        <f>36.6009 * CHOOSE(CONTROL!$C$9, $C$13, 100%, $E$13) + CHOOSE(CONTROL!$C$28, 0.0003, 0)</f>
        <v>36.601200000000006</v>
      </c>
      <c r="C629" s="4">
        <f>36.2376 * CHOOSE(CONTROL!$C$9, $C$13, 100%, $E$13) + CHOOSE(CONTROL!$C$28, 0.0003, 0)</f>
        <v>36.237900000000003</v>
      </c>
      <c r="D629" s="4">
        <f>52.6856 * CHOOSE(CONTROL!$C$9, $C$13, 100%, $E$13) + CHOOSE(CONTROL!$C$28, 0, 0)</f>
        <v>52.685600000000001</v>
      </c>
      <c r="E629" s="4">
        <f>246.231819805072 * CHOOSE(CONTROL!$C$9, $C$13, 100%, $E$13) + CHOOSE(CONTROL!$C$28, 0, 0)</f>
        <v>246.23181980507201</v>
      </c>
    </row>
    <row r="630" spans="1:5" ht="15">
      <c r="A630" s="13">
        <v>60691</v>
      </c>
      <c r="B630" s="4">
        <f>37.4516 * CHOOSE(CONTROL!$C$9, $C$13, 100%, $E$13) + CHOOSE(CONTROL!$C$28, 0.0003, 0)</f>
        <v>37.451900000000002</v>
      </c>
      <c r="C630" s="4">
        <f>37.0883 * CHOOSE(CONTROL!$C$9, $C$13, 100%, $E$13) + CHOOSE(CONTROL!$C$28, 0.0003, 0)</f>
        <v>37.0886</v>
      </c>
      <c r="D630" s="4">
        <f>54.4797 * CHOOSE(CONTROL!$C$9, $C$13, 100%, $E$13) + CHOOSE(CONTROL!$C$28, 0, 0)</f>
        <v>54.479700000000001</v>
      </c>
      <c r="E630" s="4">
        <f>252.078333584548 * CHOOSE(CONTROL!$C$9, $C$13, 100%, $E$13) + CHOOSE(CONTROL!$C$28, 0, 0)</f>
        <v>252.07833358454801</v>
      </c>
    </row>
    <row r="631" spans="1:5" ht="15">
      <c r="A631" s="13">
        <v>60722</v>
      </c>
      <c r="B631" s="4">
        <f>39.6855 * CHOOSE(CONTROL!$C$9, $C$13, 100%, $E$13) + CHOOSE(CONTROL!$C$28, 0.0003, 0)</f>
        <v>39.6858</v>
      </c>
      <c r="C631" s="4">
        <f>39.3223 * CHOOSE(CONTROL!$C$9, $C$13, 100%, $E$13) + CHOOSE(CONTROL!$C$28, 0.0003, 0)</f>
        <v>39.322600000000001</v>
      </c>
      <c r="D631" s="4">
        <f>57.2883 * CHOOSE(CONTROL!$C$9, $C$13, 100%, $E$13) + CHOOSE(CONTROL!$C$28, 0, 0)</f>
        <v>57.2883</v>
      </c>
      <c r="E631" s="4">
        <f>267.431589472063 * CHOOSE(CONTROL!$C$9, $C$13, 100%, $E$13) + CHOOSE(CONTROL!$C$28, 0, 0)</f>
        <v>267.43158947206302</v>
      </c>
    </row>
    <row r="632" spans="1:5" ht="15">
      <c r="A632" s="13">
        <v>60752</v>
      </c>
      <c r="B632" s="4">
        <f>41.2728 * CHOOSE(CONTROL!$C$9, $C$13, 100%, $E$13) + CHOOSE(CONTROL!$C$28, 0.0003, 0)</f>
        <v>41.273099999999999</v>
      </c>
      <c r="C632" s="4">
        <f>40.9095 * CHOOSE(CONTROL!$C$9, $C$13, 100%, $E$13) + CHOOSE(CONTROL!$C$28, 0.0003, 0)</f>
        <v>40.909800000000004</v>
      </c>
      <c r="D632" s="4">
        <f>58.9061 * CHOOSE(CONTROL!$C$9, $C$13, 100%, $E$13) + CHOOSE(CONTROL!$C$28, 0, 0)</f>
        <v>58.906100000000002</v>
      </c>
      <c r="E632" s="4">
        <f>278.340282389179 * CHOOSE(CONTROL!$C$9, $C$13, 100%, $E$13) + CHOOSE(CONTROL!$C$28, 0, 0)</f>
        <v>278.34028238917898</v>
      </c>
    </row>
    <row r="633" spans="1:5" ht="15">
      <c r="A633" s="13">
        <v>60783</v>
      </c>
      <c r="B633" s="4">
        <f>42.2426 * CHOOSE(CONTROL!$C$9, $C$13, 100%, $E$13) + CHOOSE(CONTROL!$C$28, 0.0136, 0)</f>
        <v>42.2562</v>
      </c>
      <c r="C633" s="4">
        <f>41.8793 * CHOOSE(CONTROL!$C$9, $C$13, 100%, $E$13) + CHOOSE(CONTROL!$C$28, 0.0136, 0)</f>
        <v>41.892899999999997</v>
      </c>
      <c r="D633" s="4">
        <f>58.2668 * CHOOSE(CONTROL!$C$9, $C$13, 100%, $E$13) + CHOOSE(CONTROL!$C$28, 0, 0)</f>
        <v>58.266800000000003</v>
      </c>
      <c r="E633" s="4">
        <f>285.005232316656 * CHOOSE(CONTROL!$C$9, $C$13, 100%, $E$13) + CHOOSE(CONTROL!$C$28, 0, 0)</f>
        <v>285.00523231665602</v>
      </c>
    </row>
    <row r="634" spans="1:5" ht="15">
      <c r="A634" s="13">
        <v>60813</v>
      </c>
      <c r="B634" s="4">
        <f>42.3738 * CHOOSE(CONTROL!$C$9, $C$13, 100%, $E$13) + CHOOSE(CONTROL!$C$28, 0.0136, 0)</f>
        <v>42.3874</v>
      </c>
      <c r="C634" s="4">
        <f>42.0105 * CHOOSE(CONTROL!$C$9, $C$13, 100%, $E$13) + CHOOSE(CONTROL!$C$28, 0.0136, 0)</f>
        <v>42.024099999999997</v>
      </c>
      <c r="D634" s="4">
        <f>58.7875 * CHOOSE(CONTROL!$C$9, $C$13, 100%, $E$13) + CHOOSE(CONTROL!$C$28, 0, 0)</f>
        <v>58.787500000000001</v>
      </c>
      <c r="E634" s="4">
        <f>285.907027701955 * CHOOSE(CONTROL!$C$9, $C$13, 100%, $E$13) + CHOOSE(CONTROL!$C$28, 0, 0)</f>
        <v>285.90702770195497</v>
      </c>
    </row>
    <row r="635" spans="1:5" ht="15">
      <c r="A635" s="13">
        <v>60844</v>
      </c>
      <c r="B635" s="4">
        <f>42.3605 * CHOOSE(CONTROL!$C$9, $C$13, 100%, $E$13) + CHOOSE(CONTROL!$C$28, 0.0136, 0)</f>
        <v>42.374099999999999</v>
      </c>
      <c r="C635" s="4">
        <f>41.9973 * CHOOSE(CONTROL!$C$9, $C$13, 100%, $E$13) + CHOOSE(CONTROL!$C$28, 0.0136, 0)</f>
        <v>42.010899999999999</v>
      </c>
      <c r="D635" s="4">
        <f>59.7269 * CHOOSE(CONTROL!$C$9, $C$13, 100%, $E$13) + CHOOSE(CONTROL!$C$28, 0, 0)</f>
        <v>59.726900000000001</v>
      </c>
      <c r="E635" s="4">
        <f>285.816090352177 * CHOOSE(CONTROL!$C$9, $C$13, 100%, $E$13) + CHOOSE(CONTROL!$C$28, 0, 0)</f>
        <v>285.81609035217701</v>
      </c>
    </row>
    <row r="636" spans="1:5" ht="15">
      <c r="A636" s="13">
        <v>60875</v>
      </c>
      <c r="B636" s="4">
        <f>43.3562 * CHOOSE(CONTROL!$C$9, $C$13, 100%, $E$13) + CHOOSE(CONTROL!$C$28, 0.0136, 0)</f>
        <v>43.369799999999998</v>
      </c>
      <c r="C636" s="4">
        <f>42.9929 * CHOOSE(CONTROL!$C$9, $C$13, 100%, $E$13) + CHOOSE(CONTROL!$C$28, 0.0136, 0)</f>
        <v>43.006499999999996</v>
      </c>
      <c r="D636" s="4">
        <f>59.1065 * CHOOSE(CONTROL!$C$9, $C$13, 100%, $E$13) + CHOOSE(CONTROL!$C$28, 0, 0)</f>
        <v>59.106499999999997</v>
      </c>
      <c r="E636" s="4">
        <f>292.659125922969 * CHOOSE(CONTROL!$C$9, $C$13, 100%, $E$13) + CHOOSE(CONTROL!$C$28, 0, 0)</f>
        <v>292.659125922969</v>
      </c>
    </row>
    <row r="637" spans="1:5" ht="15">
      <c r="A637" s="13">
        <v>60905</v>
      </c>
      <c r="B637" s="4">
        <f>41.6593 * CHOOSE(CONTROL!$C$9, $C$13, 100%, $E$13) + CHOOSE(CONTROL!$C$28, 0.0136, 0)</f>
        <v>41.672899999999998</v>
      </c>
      <c r="C637" s="4">
        <f>41.296 * CHOOSE(CONTROL!$C$9, $C$13, 100%, $E$13) + CHOOSE(CONTROL!$C$28, 0.0136, 0)</f>
        <v>41.309599999999996</v>
      </c>
      <c r="D637" s="4">
        <f>58.8134 * CHOOSE(CONTROL!$C$9, $C$13, 100%, $E$13) + CHOOSE(CONTROL!$C$28, 0, 0)</f>
        <v>58.813400000000001</v>
      </c>
      <c r="E637" s="4">
        <f>280.996410813944 * CHOOSE(CONTROL!$C$9, $C$13, 100%, $E$13) + CHOOSE(CONTROL!$C$28, 0, 0)</f>
        <v>280.99641081394401</v>
      </c>
    </row>
    <row r="638" spans="1:5" ht="15">
      <c r="A638" s="13">
        <v>60936</v>
      </c>
      <c r="B638" s="4">
        <f>40.3008 * CHOOSE(CONTROL!$C$9, $C$13, 100%, $E$13) + CHOOSE(CONTROL!$C$28, 0.0003, 0)</f>
        <v>40.301100000000005</v>
      </c>
      <c r="C638" s="4">
        <f>39.9375 * CHOOSE(CONTROL!$C$9, $C$13, 100%, $E$13) + CHOOSE(CONTROL!$C$28, 0.0003, 0)</f>
        <v>39.937800000000003</v>
      </c>
      <c r="D638" s="4">
        <f>58.0285 * CHOOSE(CONTROL!$C$9, $C$13, 100%, $E$13) + CHOOSE(CONTROL!$C$28, 0, 0)</f>
        <v>58.028500000000001</v>
      </c>
      <c r="E638" s="4">
        <f>271.660176236739 * CHOOSE(CONTROL!$C$9, $C$13, 100%, $E$13) + CHOOSE(CONTROL!$C$28, 0, 0)</f>
        <v>271.66017623673901</v>
      </c>
    </row>
    <row r="639" spans="1:5" ht="15">
      <c r="A639" s="13">
        <v>60966</v>
      </c>
      <c r="B639" s="4">
        <f>39.4259 * CHOOSE(CONTROL!$C$9, $C$13, 100%, $E$13) + CHOOSE(CONTROL!$C$28, 0.0003, 0)</f>
        <v>39.426200000000001</v>
      </c>
      <c r="C639" s="4">
        <f>39.0626 * CHOOSE(CONTROL!$C$9, $C$13, 100%, $E$13) + CHOOSE(CONTROL!$C$28, 0.0003, 0)</f>
        <v>39.062900000000006</v>
      </c>
      <c r="D639" s="4">
        <f>57.7587 * CHOOSE(CONTROL!$C$9, $C$13, 100%, $E$13) + CHOOSE(CONTROL!$C$28, 0, 0)</f>
        <v>57.758699999999997</v>
      </c>
      <c r="E639" s="4">
        <f>265.64694398267 * CHOOSE(CONTROL!$C$9, $C$13, 100%, $E$13) + CHOOSE(CONTROL!$C$28, 0, 0)</f>
        <v>265.64694398267</v>
      </c>
    </row>
    <row r="640" spans="1:5" ht="15">
      <c r="A640" s="13">
        <v>60997</v>
      </c>
      <c r="B640" s="4">
        <f>38.8205 * CHOOSE(CONTROL!$C$9, $C$13, 100%, $E$13) + CHOOSE(CONTROL!$C$28, 0.0003, 0)</f>
        <v>38.820800000000006</v>
      </c>
      <c r="C640" s="4">
        <f>38.4572 * CHOOSE(CONTROL!$C$9, $C$13, 100%, $E$13) + CHOOSE(CONTROL!$C$28, 0.0003, 0)</f>
        <v>38.457500000000003</v>
      </c>
      <c r="D640" s="4">
        <f>55.7721 * CHOOSE(CONTROL!$C$9, $C$13, 100%, $E$13) + CHOOSE(CONTROL!$C$28, 0, 0)</f>
        <v>55.772100000000002</v>
      </c>
      <c r="E640" s="4">
        <f>261.486560230328 * CHOOSE(CONTROL!$C$9, $C$13, 100%, $E$13) + CHOOSE(CONTROL!$C$28, 0, 0)</f>
        <v>261.486560230328</v>
      </c>
    </row>
    <row r="641" spans="1:5" ht="15">
      <c r="A641" s="13">
        <v>61028</v>
      </c>
      <c r="B641" s="4">
        <f>37.1643 * CHOOSE(CONTROL!$C$9, $C$13, 100%, $E$13) + CHOOSE(CONTROL!$C$28, 0.0003, 0)</f>
        <v>37.1646</v>
      </c>
      <c r="C641" s="4">
        <f>36.801 * CHOOSE(CONTROL!$C$9, $C$13, 100%, $E$13) + CHOOSE(CONTROL!$C$28, 0.0003, 0)</f>
        <v>36.801300000000005</v>
      </c>
      <c r="D641" s="4">
        <f>53.5837 * CHOOSE(CONTROL!$C$9, $C$13, 100%, $E$13) + CHOOSE(CONTROL!$C$28, 0, 0)</f>
        <v>53.5837</v>
      </c>
      <c r="E641" s="4">
        <f>250.594582469599 * CHOOSE(CONTROL!$C$9, $C$13, 100%, $E$13) + CHOOSE(CONTROL!$C$28, 0, 0)</f>
        <v>250.594582469599</v>
      </c>
    </row>
    <row r="642" spans="1:5" ht="15">
      <c r="A642" s="13">
        <v>61056</v>
      </c>
      <c r="B642" s="4">
        <f>38.0284 * CHOOSE(CONTROL!$C$9, $C$13, 100%, $E$13) + CHOOSE(CONTROL!$C$28, 0.0003, 0)</f>
        <v>38.028700000000001</v>
      </c>
      <c r="C642" s="4">
        <f>37.6651 * CHOOSE(CONTROL!$C$9, $C$13, 100%, $E$13) + CHOOSE(CONTROL!$C$28, 0.0003, 0)</f>
        <v>37.665400000000005</v>
      </c>
      <c r="D642" s="4">
        <f>55.4096 * CHOOSE(CONTROL!$C$9, $C$13, 100%, $E$13) + CHOOSE(CONTROL!$C$28, 0, 0)</f>
        <v>55.409599999999998</v>
      </c>
      <c r="E642" s="4">
        <f>256.544685427983 * CHOOSE(CONTROL!$C$9, $C$13, 100%, $E$13) + CHOOSE(CONTROL!$C$28, 0, 0)</f>
        <v>256.54468542798298</v>
      </c>
    </row>
    <row r="643" spans="1:5" ht="15">
      <c r="A643" s="13">
        <v>61087</v>
      </c>
      <c r="B643" s="4">
        <f>40.2974 * CHOOSE(CONTROL!$C$9, $C$13, 100%, $E$13) + CHOOSE(CONTROL!$C$28, 0.0003, 0)</f>
        <v>40.297700000000006</v>
      </c>
      <c r="C643" s="4">
        <f>39.9341 * CHOOSE(CONTROL!$C$9, $C$13, 100%, $E$13) + CHOOSE(CONTROL!$C$28, 0.0003, 0)</f>
        <v>39.934400000000004</v>
      </c>
      <c r="D643" s="4">
        <f>58.2678 * CHOOSE(CONTROL!$C$9, $C$13, 100%, $E$13) + CHOOSE(CONTROL!$C$28, 0, 0)</f>
        <v>58.267800000000001</v>
      </c>
      <c r="E643" s="4">
        <f>272.169972004375 * CHOOSE(CONTROL!$C$9, $C$13, 100%, $E$13) + CHOOSE(CONTROL!$C$28, 0, 0)</f>
        <v>272.16997200437498</v>
      </c>
    </row>
    <row r="644" spans="1:5" ht="15">
      <c r="A644" s="13">
        <v>61117</v>
      </c>
      <c r="B644" s="4">
        <f>41.9096 * CHOOSE(CONTROL!$C$9, $C$13, 100%, $E$13) + CHOOSE(CONTROL!$C$28, 0.0003, 0)</f>
        <v>41.9099</v>
      </c>
      <c r="C644" s="4">
        <f>41.5464 * CHOOSE(CONTROL!$C$9, $C$13, 100%, $E$13) + CHOOSE(CONTROL!$C$28, 0.0003, 0)</f>
        <v>41.546700000000001</v>
      </c>
      <c r="D644" s="4">
        <f>59.9142 * CHOOSE(CONTROL!$C$9, $C$13, 100%, $E$13) + CHOOSE(CONTROL!$C$28, 0, 0)</f>
        <v>59.914200000000001</v>
      </c>
      <c r="E644" s="4">
        <f>283.271946351224 * CHOOSE(CONTROL!$C$9, $C$13, 100%, $E$13) + CHOOSE(CONTROL!$C$28, 0, 0)</f>
        <v>283.27194635122402</v>
      </c>
    </row>
    <row r="645" spans="1:5" ht="15">
      <c r="A645" s="13">
        <v>61148</v>
      </c>
      <c r="B645" s="4">
        <f>42.8947 * CHOOSE(CONTROL!$C$9, $C$13, 100%, $E$13) + CHOOSE(CONTROL!$C$28, 0.0136, 0)</f>
        <v>42.908299999999997</v>
      </c>
      <c r="C645" s="4">
        <f>42.5314 * CHOOSE(CONTROL!$C$9, $C$13, 100%, $E$13) + CHOOSE(CONTROL!$C$28, 0.0136, 0)</f>
        <v>42.544999999999995</v>
      </c>
      <c r="D645" s="4">
        <f>59.2636 * CHOOSE(CONTROL!$C$9, $C$13, 100%, $E$13) + CHOOSE(CONTROL!$C$28, 0, 0)</f>
        <v>59.263599999999997</v>
      </c>
      <c r="E645" s="4">
        <f>290.054986599959 * CHOOSE(CONTROL!$C$9, $C$13, 100%, $E$13) + CHOOSE(CONTROL!$C$28, 0, 0)</f>
        <v>290.05498659995902</v>
      </c>
    </row>
    <row r="646" spans="1:5" ht="15">
      <c r="A646" s="13">
        <v>61178</v>
      </c>
      <c r="B646" s="4">
        <f>43.0279 * CHOOSE(CONTROL!$C$9, $C$13, 100%, $E$13) + CHOOSE(CONTROL!$C$28, 0.0136, 0)</f>
        <v>43.041499999999999</v>
      </c>
      <c r="C646" s="4">
        <f>42.6647 * CHOOSE(CONTROL!$C$9, $C$13, 100%, $E$13) + CHOOSE(CONTROL!$C$28, 0.0136, 0)</f>
        <v>42.6783</v>
      </c>
      <c r="D646" s="4">
        <f>59.7934 * CHOOSE(CONTROL!$C$9, $C$13, 100%, $E$13) + CHOOSE(CONTROL!$C$28, 0, 0)</f>
        <v>59.793399999999998</v>
      </c>
      <c r="E646" s="4">
        <f>290.972760095808 * CHOOSE(CONTROL!$C$9, $C$13, 100%, $E$13) + CHOOSE(CONTROL!$C$28, 0, 0)</f>
        <v>290.97276009580798</v>
      </c>
    </row>
    <row r="647" spans="1:5" ht="15">
      <c r="A647" s="13">
        <v>61209</v>
      </c>
      <c r="B647" s="4">
        <f>43.0145 * CHOOSE(CONTROL!$C$9, $C$13, 100%, $E$13) + CHOOSE(CONTROL!$C$28, 0.0136, 0)</f>
        <v>43.028099999999995</v>
      </c>
      <c r="C647" s="4">
        <f>42.6512 * CHOOSE(CONTROL!$C$9, $C$13, 100%, $E$13) + CHOOSE(CONTROL!$C$28, 0.0136, 0)</f>
        <v>42.6648</v>
      </c>
      <c r="D647" s="4">
        <f>60.7495 * CHOOSE(CONTROL!$C$9, $C$13, 100%, $E$13) + CHOOSE(CONTROL!$C$28, 0, 0)</f>
        <v>60.749499999999998</v>
      </c>
      <c r="E647" s="4">
        <f>290.880211507991 * CHOOSE(CONTROL!$C$9, $C$13, 100%, $E$13) + CHOOSE(CONTROL!$C$28, 0, 0)</f>
        <v>290.88021150799102</v>
      </c>
    </row>
    <row r="648" spans="1:5" ht="15">
      <c r="A648" s="13">
        <v>61240</v>
      </c>
      <c r="B648" s="4">
        <f>44.0258 * CHOOSE(CONTROL!$C$9, $C$13, 100%, $E$13) + CHOOSE(CONTROL!$C$28, 0.0136, 0)</f>
        <v>44.039399999999993</v>
      </c>
      <c r="C648" s="4">
        <f>43.6626 * CHOOSE(CONTROL!$C$9, $C$13, 100%, $E$13) + CHOOSE(CONTROL!$C$28, 0.0136, 0)</f>
        <v>43.676199999999994</v>
      </c>
      <c r="D648" s="4">
        <f>60.1181 * CHOOSE(CONTROL!$C$9, $C$13, 100%, $E$13) + CHOOSE(CONTROL!$C$28, 0, 0)</f>
        <v>60.118099999999998</v>
      </c>
      <c r="E648" s="4">
        <f>297.8444927412 * CHOOSE(CONTROL!$C$9, $C$13, 100%, $E$13) + CHOOSE(CONTROL!$C$28, 0, 0)</f>
        <v>297.84449274119999</v>
      </c>
    </row>
    <row r="649" spans="1:5" ht="15">
      <c r="A649" s="13">
        <v>61270</v>
      </c>
      <c r="B649" s="4">
        <f>42.3022 * CHOOSE(CONTROL!$C$9, $C$13, 100%, $E$13) + CHOOSE(CONTROL!$C$28, 0.0136, 0)</f>
        <v>42.315799999999996</v>
      </c>
      <c r="C649" s="4">
        <f>41.9389 * CHOOSE(CONTROL!$C$9, $C$13, 100%, $E$13) + CHOOSE(CONTROL!$C$28, 0.0136, 0)</f>
        <v>41.952499999999993</v>
      </c>
      <c r="D649" s="4">
        <f>59.8198 * CHOOSE(CONTROL!$C$9, $C$13, 100%, $E$13) + CHOOSE(CONTROL!$C$28, 0, 0)</f>
        <v>59.819800000000001</v>
      </c>
      <c r="E649" s="4">
        <f>285.975136353704 * CHOOSE(CONTROL!$C$9, $C$13, 100%, $E$13) + CHOOSE(CONTROL!$C$28, 0, 0)</f>
        <v>285.97513635370399</v>
      </c>
    </row>
    <row r="650" spans="1:5" ht="15">
      <c r="A650" s="13">
        <v>61301</v>
      </c>
      <c r="B650" s="4">
        <f>40.9224 * CHOOSE(CONTROL!$C$9, $C$13, 100%, $E$13) + CHOOSE(CONTROL!$C$28, 0.0003, 0)</f>
        <v>40.922700000000006</v>
      </c>
      <c r="C650" s="4">
        <f>40.5591 * CHOOSE(CONTROL!$C$9, $C$13, 100%, $E$13) + CHOOSE(CONTROL!$C$28, 0.0003, 0)</f>
        <v>40.559400000000004</v>
      </c>
      <c r="D650" s="4">
        <f>59.0211 * CHOOSE(CONTROL!$C$9, $C$13, 100%, $E$13) + CHOOSE(CONTROL!$C$28, 0, 0)</f>
        <v>59.021099999999997</v>
      </c>
      <c r="E650" s="4">
        <f>276.473481337853 * CHOOSE(CONTROL!$C$9, $C$13, 100%, $E$13) + CHOOSE(CONTROL!$C$28, 0, 0)</f>
        <v>276.473481337853</v>
      </c>
    </row>
    <row r="651" spans="1:5" ht="15">
      <c r="A651" s="13">
        <v>61331</v>
      </c>
      <c r="B651" s="4">
        <f>40.0337 * CHOOSE(CONTROL!$C$9, $C$13, 100%, $E$13) + CHOOSE(CONTROL!$C$28, 0.0003, 0)</f>
        <v>40.034000000000006</v>
      </c>
      <c r="C651" s="4">
        <f>39.6704 * CHOOSE(CONTROL!$C$9, $C$13, 100%, $E$13) + CHOOSE(CONTROL!$C$28, 0.0003, 0)</f>
        <v>39.670700000000004</v>
      </c>
      <c r="D651" s="4">
        <f>58.7465 * CHOOSE(CONTROL!$C$9, $C$13, 100%, $E$13) + CHOOSE(CONTROL!$C$28, 0, 0)</f>
        <v>58.746499999999997</v>
      </c>
      <c r="E651" s="4">
        <f>270.353705968472 * CHOOSE(CONTROL!$C$9, $C$13, 100%, $E$13) + CHOOSE(CONTROL!$C$28, 0, 0)</f>
        <v>270.35370596847201</v>
      </c>
    </row>
    <row r="652" spans="1:5" ht="15">
      <c r="A652" s="13">
        <v>61362</v>
      </c>
      <c r="B652" s="4">
        <f>39.4188 * CHOOSE(CONTROL!$C$9, $C$13, 100%, $E$13) + CHOOSE(CONTROL!$C$28, 0.0003, 0)</f>
        <v>39.4191</v>
      </c>
      <c r="C652" s="4">
        <f>39.0555 * CHOOSE(CONTROL!$C$9, $C$13, 100%, $E$13) + CHOOSE(CONTROL!$C$28, 0.0003, 0)</f>
        <v>39.055800000000005</v>
      </c>
      <c r="D652" s="4">
        <f>56.7248 * CHOOSE(CONTROL!$C$9, $C$13, 100%, $E$13) + CHOOSE(CONTROL!$C$28, 0, 0)</f>
        <v>56.724800000000002</v>
      </c>
      <c r="E652" s="4">
        <f>266.119608075856 * CHOOSE(CONTROL!$C$9, $C$13, 100%, $E$13) + CHOOSE(CONTROL!$C$28, 0, 0)</f>
        <v>266.11960807585598</v>
      </c>
    </row>
    <row r="653" spans="1:5" ht="15">
      <c r="A653" s="13">
        <v>61393</v>
      </c>
      <c r="B653" s="4">
        <f>37.7365 * CHOOSE(CONTROL!$C$9, $C$13, 100%, $E$13) + CHOOSE(CONTROL!$C$28, 0.0003, 0)</f>
        <v>37.736800000000002</v>
      </c>
      <c r="C653" s="4">
        <f>37.3733 * CHOOSE(CONTROL!$C$9, $C$13, 100%, $E$13) + CHOOSE(CONTROL!$C$28, 0.0003, 0)</f>
        <v>37.373600000000003</v>
      </c>
      <c r="D653" s="4">
        <f>54.4978 * CHOOSE(CONTROL!$C$9, $C$13, 100%, $E$13) + CHOOSE(CONTROL!$C$28, 0, 0)</f>
        <v>54.497799999999998</v>
      </c>
      <c r="E653" s="4">
        <f>255.034645046388 * CHOOSE(CONTROL!$C$9, $C$13, 100%, $E$13) + CHOOSE(CONTROL!$C$28, 0, 0)</f>
        <v>255.03464504638799</v>
      </c>
    </row>
    <row r="654" spans="1:5" ht="15">
      <c r="A654" s="13">
        <v>61422</v>
      </c>
      <c r="B654" s="4">
        <f>38.6142 * CHOOSE(CONTROL!$C$9, $C$13, 100%, $E$13) + CHOOSE(CONTROL!$C$28, 0.0003, 0)</f>
        <v>38.6145</v>
      </c>
      <c r="C654" s="4">
        <f>38.2509 * CHOOSE(CONTROL!$C$9, $C$13, 100%, $E$13) + CHOOSE(CONTROL!$C$28, 0.0003, 0)</f>
        <v>38.251200000000004</v>
      </c>
      <c r="D654" s="4">
        <f>56.3558 * CHOOSE(CONTROL!$C$9, $C$13, 100%, $E$13) + CHOOSE(CONTROL!$C$28, 0, 0)</f>
        <v>56.355800000000002</v>
      </c>
      <c r="E654" s="4">
        <f>261.09017258823 * CHOOSE(CONTROL!$C$9, $C$13, 100%, $E$13) + CHOOSE(CONTROL!$C$28, 0, 0)</f>
        <v>261.09017258823002</v>
      </c>
    </row>
    <row r="655" spans="1:5" ht="15">
      <c r="A655" s="13">
        <v>61453</v>
      </c>
      <c r="B655" s="4">
        <f>40.9189 * CHOOSE(CONTROL!$C$9, $C$13, 100%, $E$13) + CHOOSE(CONTROL!$C$28, 0.0003, 0)</f>
        <v>40.919200000000004</v>
      </c>
      <c r="C655" s="4">
        <f>40.5557 * CHOOSE(CONTROL!$C$9, $C$13, 100%, $E$13) + CHOOSE(CONTROL!$C$28, 0.0003, 0)</f>
        <v>40.556000000000004</v>
      </c>
      <c r="D655" s="4">
        <f>59.2645 * CHOOSE(CONTROL!$C$9, $C$13, 100%, $E$13) + CHOOSE(CONTROL!$C$28, 0, 0)</f>
        <v>59.264499999999998</v>
      </c>
      <c r="E655" s="4">
        <f>276.992309723383 * CHOOSE(CONTROL!$C$9, $C$13, 100%, $E$13) + CHOOSE(CONTROL!$C$28, 0, 0)</f>
        <v>276.99230972338302</v>
      </c>
    </row>
    <row r="656" spans="1:5" ht="15">
      <c r="A656" s="13">
        <v>61483</v>
      </c>
      <c r="B656" s="4">
        <f>42.5565 * CHOOSE(CONTROL!$C$9, $C$13, 100%, $E$13) + CHOOSE(CONTROL!$C$28, 0.0003, 0)</f>
        <v>42.556800000000003</v>
      </c>
      <c r="C656" s="4">
        <f>42.1932 * CHOOSE(CONTROL!$C$9, $C$13, 100%, $E$13) + CHOOSE(CONTROL!$C$28, 0.0003, 0)</f>
        <v>42.1935</v>
      </c>
      <c r="D656" s="4">
        <f>60.94 * CHOOSE(CONTROL!$C$9, $C$13, 100%, $E$13) + CHOOSE(CONTROL!$C$28, 0, 0)</f>
        <v>60.94</v>
      </c>
      <c r="E656" s="4">
        <f>288.290990081751 * CHOOSE(CONTROL!$C$9, $C$13, 100%, $E$13) + CHOOSE(CONTROL!$C$28, 0, 0)</f>
        <v>288.29099008175098</v>
      </c>
    </row>
    <row r="657" spans="1:5" ht="15">
      <c r="A657" s="13">
        <v>61514</v>
      </c>
      <c r="B657" s="4">
        <f>43.557 * CHOOSE(CONTROL!$C$9, $C$13, 100%, $E$13) + CHOOSE(CONTROL!$C$28, 0.0136, 0)</f>
        <v>43.570599999999999</v>
      </c>
      <c r="C657" s="4">
        <f>43.1937 * CHOOSE(CONTROL!$C$9, $C$13, 100%, $E$13) + CHOOSE(CONTROL!$C$28, 0.0136, 0)</f>
        <v>43.207299999999996</v>
      </c>
      <c r="D657" s="4">
        <f>60.278 * CHOOSE(CONTROL!$C$9, $C$13, 100%, $E$13) + CHOOSE(CONTROL!$C$28, 0, 0)</f>
        <v>60.277999999999999</v>
      </c>
      <c r="E657" s="4">
        <f>295.194212989139 * CHOOSE(CONTROL!$C$9, $C$13, 100%, $E$13) + CHOOSE(CONTROL!$C$28, 0, 0)</f>
        <v>295.19421298913898</v>
      </c>
    </row>
    <row r="658" spans="1:5" ht="15">
      <c r="A658" s="13">
        <v>61544</v>
      </c>
      <c r="B658" s="4">
        <f>43.6924 * CHOOSE(CONTROL!$C$9, $C$13, 100%, $E$13) + CHOOSE(CONTROL!$C$28, 0.0136, 0)</f>
        <v>43.705999999999996</v>
      </c>
      <c r="C658" s="4">
        <f>43.3291 * CHOOSE(CONTROL!$C$9, $C$13, 100%, $E$13) + CHOOSE(CONTROL!$C$28, 0.0136, 0)</f>
        <v>43.342699999999994</v>
      </c>
      <c r="D658" s="4">
        <f>60.8172 * CHOOSE(CONTROL!$C$9, $C$13, 100%, $E$13) + CHOOSE(CONTROL!$C$28, 0, 0)</f>
        <v>60.8172</v>
      </c>
      <c r="E658" s="4">
        <f>296.128247697472 * CHOOSE(CONTROL!$C$9, $C$13, 100%, $E$13) + CHOOSE(CONTROL!$C$28, 0, 0)</f>
        <v>296.12824769747198</v>
      </c>
    </row>
    <row r="659" spans="1:5" ht="15">
      <c r="A659" s="13">
        <v>61575</v>
      </c>
      <c r="B659" s="4">
        <f>43.6787 * CHOOSE(CONTROL!$C$9, $C$13, 100%, $E$13) + CHOOSE(CONTROL!$C$28, 0.0136, 0)</f>
        <v>43.692299999999996</v>
      </c>
      <c r="C659" s="4">
        <f>43.3154 * CHOOSE(CONTROL!$C$9, $C$13, 100%, $E$13) + CHOOSE(CONTROL!$C$28, 0.0136, 0)</f>
        <v>43.328999999999994</v>
      </c>
      <c r="D659" s="4">
        <f>61.7901 * CHOOSE(CONTROL!$C$9, $C$13, 100%, $E$13) + CHOOSE(CONTROL!$C$28, 0, 0)</f>
        <v>61.790100000000002</v>
      </c>
      <c r="E659" s="4">
        <f>296.034059323523 * CHOOSE(CONTROL!$C$9, $C$13, 100%, $E$13) + CHOOSE(CONTROL!$C$28, 0, 0)</f>
        <v>296.03405932352302</v>
      </c>
    </row>
    <row r="660" spans="1:5" ht="15">
      <c r="A660" s="13">
        <v>61606</v>
      </c>
      <c r="B660" s="4">
        <f>44.706 * CHOOSE(CONTROL!$C$9, $C$13, 100%, $E$13) + CHOOSE(CONTROL!$C$28, 0.0136, 0)</f>
        <v>44.7196</v>
      </c>
      <c r="C660" s="4">
        <f>44.3427 * CHOOSE(CONTROL!$C$9, $C$13, 100%, $E$13) + CHOOSE(CONTROL!$C$28, 0.0136, 0)</f>
        <v>44.356299999999997</v>
      </c>
      <c r="D660" s="4">
        <f>61.1476 * CHOOSE(CONTROL!$C$9, $C$13, 100%, $E$13) + CHOOSE(CONTROL!$C$28, 0, 0)</f>
        <v>61.147599999999997</v>
      </c>
      <c r="E660" s="4">
        <f>303.121734463229 * CHOOSE(CONTROL!$C$9, $C$13, 100%, $E$13) + CHOOSE(CONTROL!$C$28, 0, 0)</f>
        <v>303.12173446322902</v>
      </c>
    </row>
    <row r="661" spans="1:5" ht="15">
      <c r="A661" s="13">
        <v>61636</v>
      </c>
      <c r="B661" s="4">
        <f>42.9552 * CHOOSE(CONTROL!$C$9, $C$13, 100%, $E$13) + CHOOSE(CONTROL!$C$28, 0.0136, 0)</f>
        <v>42.968799999999995</v>
      </c>
      <c r="C661" s="4">
        <f>42.5919 * CHOOSE(CONTROL!$C$9, $C$13, 100%, $E$13) + CHOOSE(CONTROL!$C$28, 0.0136, 0)</f>
        <v>42.605499999999999</v>
      </c>
      <c r="D661" s="4">
        <f>60.844 * CHOOSE(CONTROL!$C$9, $C$13, 100%, $E$13) + CHOOSE(CONTROL!$C$28, 0, 0)</f>
        <v>60.844000000000001</v>
      </c>
      <c r="E661" s="4">
        <f>291.042075504195 * CHOOSE(CONTROL!$C$9, $C$13, 100%, $E$13) + CHOOSE(CONTROL!$C$28, 0, 0)</f>
        <v>291.042075504195</v>
      </c>
    </row>
    <row r="662" spans="1:5" ht="15">
      <c r="A662" s="13">
        <v>61667</v>
      </c>
      <c r="B662" s="4">
        <f>41.5537 * CHOOSE(CONTROL!$C$9, $C$13, 100%, $E$13) + CHOOSE(CONTROL!$C$28, 0.0003, 0)</f>
        <v>41.554000000000002</v>
      </c>
      <c r="C662" s="4">
        <f>41.1904 * CHOOSE(CONTROL!$C$9, $C$13, 100%, $E$13) + CHOOSE(CONTROL!$C$28, 0.0003, 0)</f>
        <v>41.1907</v>
      </c>
      <c r="D662" s="4">
        <f>60.0311 * CHOOSE(CONTROL!$C$9, $C$13, 100%, $E$13) + CHOOSE(CONTROL!$C$28, 0, 0)</f>
        <v>60.031100000000002</v>
      </c>
      <c r="E662" s="4">
        <f>281.372069112039 * CHOOSE(CONTROL!$C$9, $C$13, 100%, $E$13) + CHOOSE(CONTROL!$C$28, 0, 0)</f>
        <v>281.37206911203901</v>
      </c>
    </row>
    <row r="663" spans="1:5" ht="15">
      <c r="A663" s="13">
        <v>61697</v>
      </c>
      <c r="B663" s="4">
        <f>40.651 * CHOOSE(CONTROL!$C$9, $C$13, 100%, $E$13) + CHOOSE(CONTROL!$C$28, 0.0003, 0)</f>
        <v>40.651300000000006</v>
      </c>
      <c r="C663" s="4">
        <f>40.2878 * CHOOSE(CONTROL!$C$9, $C$13, 100%, $E$13) + CHOOSE(CONTROL!$C$28, 0.0003, 0)</f>
        <v>40.2881</v>
      </c>
      <c r="D663" s="4">
        <f>59.7517 * CHOOSE(CONTROL!$C$9, $C$13, 100%, $E$13) + CHOOSE(CONTROL!$C$28, 0, 0)</f>
        <v>59.7517</v>
      </c>
      <c r="E663" s="4">
        <f>275.143862884623 * CHOOSE(CONTROL!$C$9, $C$13, 100%, $E$13) + CHOOSE(CONTROL!$C$28, 0, 0)</f>
        <v>275.14386288462299</v>
      </c>
    </row>
    <row r="664" spans="1:5" ht="15">
      <c r="A664" s="13">
        <v>61728</v>
      </c>
      <c r="B664" s="4">
        <f>40.0265 * CHOOSE(CONTROL!$C$9, $C$13, 100%, $E$13) + CHOOSE(CONTROL!$C$28, 0.0003, 0)</f>
        <v>40.026800000000001</v>
      </c>
      <c r="C664" s="4">
        <f>39.6632 * CHOOSE(CONTROL!$C$9, $C$13, 100%, $E$13) + CHOOSE(CONTROL!$C$28, 0.0003, 0)</f>
        <v>39.663500000000006</v>
      </c>
      <c r="D664" s="4">
        <f>57.6943 * CHOOSE(CONTROL!$C$9, $C$13, 100%, $E$13) + CHOOSE(CONTROL!$C$28, 0, 0)</f>
        <v>57.694299999999998</v>
      </c>
      <c r="E664" s="4">
        <f>270.83474477643 * CHOOSE(CONTROL!$C$9, $C$13, 100%, $E$13) + CHOOSE(CONTROL!$C$28, 0, 0)</f>
        <v>270.83474477643</v>
      </c>
    </row>
    <row r="665" spans="1:5" ht="15">
      <c r="A665" s="13">
        <v>61759</v>
      </c>
      <c r="B665" s="4">
        <f>38.3178 * CHOOSE(CONTROL!$C$9, $C$13, 100%, $E$13) + CHOOSE(CONTROL!$C$28, 0.0003, 0)</f>
        <v>38.318100000000001</v>
      </c>
      <c r="C665" s="4">
        <f>37.9545 * CHOOSE(CONTROL!$C$9, $C$13, 100%, $E$13) + CHOOSE(CONTROL!$C$28, 0.0003, 0)</f>
        <v>37.954800000000006</v>
      </c>
      <c r="D665" s="4">
        <f>55.4279 * CHOOSE(CONTROL!$C$9, $C$13, 100%, $E$13) + CHOOSE(CONTROL!$C$28, 0, 0)</f>
        <v>55.427900000000001</v>
      </c>
      <c r="E665" s="4">
        <f>259.553377143848 * CHOOSE(CONTROL!$C$9, $C$13, 100%, $E$13) + CHOOSE(CONTROL!$C$28, 0, 0)</f>
        <v>259.55337714384802</v>
      </c>
    </row>
    <row r="666" spans="1:5" ht="15">
      <c r="A666" s="13">
        <v>61787</v>
      </c>
      <c r="B666" s="4">
        <f>39.2092 * CHOOSE(CONTROL!$C$9, $C$13, 100%, $E$13) + CHOOSE(CONTROL!$C$28, 0.0003, 0)</f>
        <v>39.209500000000006</v>
      </c>
      <c r="C666" s="4">
        <f>38.8459 * CHOOSE(CONTROL!$C$9, $C$13, 100%, $E$13) + CHOOSE(CONTROL!$C$28, 0.0003, 0)</f>
        <v>38.846200000000003</v>
      </c>
      <c r="D666" s="4">
        <f>57.3188 * CHOOSE(CONTROL!$C$9, $C$13, 100%, $E$13) + CHOOSE(CONTROL!$C$28, 0, 0)</f>
        <v>57.318800000000003</v>
      </c>
      <c r="E666" s="4">
        <f>265.716197193598 * CHOOSE(CONTROL!$C$9, $C$13, 100%, $E$13) + CHOOSE(CONTROL!$C$28, 0, 0)</f>
        <v>265.71619719359802</v>
      </c>
    </row>
    <row r="667" spans="1:5" ht="15">
      <c r="A667" s="13">
        <v>61818</v>
      </c>
      <c r="B667" s="4">
        <f>41.5502 * CHOOSE(CONTROL!$C$9, $C$13, 100%, $E$13) + CHOOSE(CONTROL!$C$28, 0.0003, 0)</f>
        <v>41.5505</v>
      </c>
      <c r="C667" s="4">
        <f>41.1869 * CHOOSE(CONTROL!$C$9, $C$13, 100%, $E$13) + CHOOSE(CONTROL!$C$28, 0.0003, 0)</f>
        <v>41.187200000000004</v>
      </c>
      <c r="D667" s="4">
        <f>60.2789 * CHOOSE(CONTROL!$C$9, $C$13, 100%, $E$13) + CHOOSE(CONTROL!$C$28, 0, 0)</f>
        <v>60.2789</v>
      </c>
      <c r="E667" s="4">
        <f>281.900090156387 * CHOOSE(CONTROL!$C$9, $C$13, 100%, $E$13) + CHOOSE(CONTROL!$C$28, 0, 0)</f>
        <v>281.90009015638702</v>
      </c>
    </row>
    <row r="668" spans="1:5" ht="15">
      <c r="A668" s="13">
        <v>61848</v>
      </c>
      <c r="B668" s="4">
        <f>43.2135 * CHOOSE(CONTROL!$C$9, $C$13, 100%, $E$13) + CHOOSE(CONTROL!$C$28, 0.0003, 0)</f>
        <v>43.213800000000006</v>
      </c>
      <c r="C668" s="4">
        <f>42.8503 * CHOOSE(CONTROL!$C$9, $C$13, 100%, $E$13) + CHOOSE(CONTROL!$C$28, 0.0003, 0)</f>
        <v>42.8506</v>
      </c>
      <c r="D668" s="4">
        <f>61.984 * CHOOSE(CONTROL!$C$9, $C$13, 100%, $E$13) + CHOOSE(CONTROL!$C$28, 0, 0)</f>
        <v>61.984000000000002</v>
      </c>
      <c r="E668" s="4">
        <f>293.398961785181 * CHOOSE(CONTROL!$C$9, $C$13, 100%, $E$13) + CHOOSE(CONTROL!$C$28, 0, 0)</f>
        <v>293.39896178518097</v>
      </c>
    </row>
    <row r="669" spans="1:5" ht="15">
      <c r="A669" s="13">
        <v>61879</v>
      </c>
      <c r="B669" s="4">
        <f>44.2298 * CHOOSE(CONTROL!$C$9, $C$13, 100%, $E$13) + CHOOSE(CONTROL!$C$28, 0.0136, 0)</f>
        <v>44.243399999999994</v>
      </c>
      <c r="C669" s="4">
        <f>43.8665 * CHOOSE(CONTROL!$C$9, $C$13, 100%, $E$13) + CHOOSE(CONTROL!$C$28, 0.0136, 0)</f>
        <v>43.880099999999999</v>
      </c>
      <c r="D669" s="4">
        <f>61.3102 * CHOOSE(CONTROL!$C$9, $C$13, 100%, $E$13) + CHOOSE(CONTROL!$C$28, 0, 0)</f>
        <v>61.310200000000002</v>
      </c>
      <c r="E669" s="4">
        <f>300.424496760883 * CHOOSE(CONTROL!$C$9, $C$13, 100%, $E$13) + CHOOSE(CONTROL!$C$28, 0, 0)</f>
        <v>300.42449676088302</v>
      </c>
    </row>
    <row r="670" spans="1:5" ht="15">
      <c r="A670" s="13">
        <v>61909</v>
      </c>
      <c r="B670" s="4">
        <f>44.3673 * CHOOSE(CONTROL!$C$9, $C$13, 100%, $E$13) + CHOOSE(CONTROL!$C$28, 0.0136, 0)</f>
        <v>44.380899999999997</v>
      </c>
      <c r="C670" s="4">
        <f>44.004 * CHOOSE(CONTROL!$C$9, $C$13, 100%, $E$13) + CHOOSE(CONTROL!$C$28, 0.0136, 0)</f>
        <v>44.017599999999995</v>
      </c>
      <c r="D670" s="4">
        <f>61.859 * CHOOSE(CONTROL!$C$9, $C$13, 100%, $E$13) + CHOOSE(CONTROL!$C$28, 0, 0)</f>
        <v>61.859000000000002</v>
      </c>
      <c r="E670" s="4">
        <f>301.375080799665 * CHOOSE(CONTROL!$C$9, $C$13, 100%, $E$13) + CHOOSE(CONTROL!$C$28, 0, 0)</f>
        <v>301.375080799665</v>
      </c>
    </row>
    <row r="671" spans="1:5" ht="15">
      <c r="A671" s="13">
        <v>61940</v>
      </c>
      <c r="B671" s="4">
        <f>44.3534 * CHOOSE(CONTROL!$C$9, $C$13, 100%, $E$13) + CHOOSE(CONTROL!$C$28, 0.0136, 0)</f>
        <v>44.366999999999997</v>
      </c>
      <c r="C671" s="4">
        <f>43.9901 * CHOOSE(CONTROL!$C$9, $C$13, 100%, $E$13) + CHOOSE(CONTROL!$C$28, 0.0136, 0)</f>
        <v>44.003699999999995</v>
      </c>
      <c r="D671" s="4">
        <f>62.8491 * CHOOSE(CONTROL!$C$9, $C$13, 100%, $E$13) + CHOOSE(CONTROL!$C$28, 0, 0)</f>
        <v>62.8491</v>
      </c>
      <c r="E671" s="4">
        <f>301.27922358567 * CHOOSE(CONTROL!$C$9, $C$13, 100%, $E$13) + CHOOSE(CONTROL!$C$28, 0, 0)</f>
        <v>301.27922358567002</v>
      </c>
    </row>
    <row r="672" spans="1:5" ht="15">
      <c r="A672" s="13">
        <v>61971</v>
      </c>
      <c r="B672" s="4">
        <f>45.3968 * CHOOSE(CONTROL!$C$9, $C$13, 100%, $E$13) + CHOOSE(CONTROL!$C$28, 0.0136, 0)</f>
        <v>45.410399999999996</v>
      </c>
      <c r="C672" s="4">
        <f>45.0335 * CHOOSE(CONTROL!$C$9, $C$13, 100%, $E$13) + CHOOSE(CONTROL!$C$28, 0.0136, 0)</f>
        <v>45.047099999999993</v>
      </c>
      <c r="D672" s="4">
        <f>62.1952 * CHOOSE(CONTROL!$C$9, $C$13, 100%, $E$13) + CHOOSE(CONTROL!$C$28, 0, 0)</f>
        <v>62.1952</v>
      </c>
      <c r="E672" s="4">
        <f>308.492478938779 * CHOOSE(CONTROL!$C$9, $C$13, 100%, $E$13) + CHOOSE(CONTROL!$C$28, 0, 0)</f>
        <v>308.49247893877902</v>
      </c>
    </row>
    <row r="673" spans="1:5" ht="15">
      <c r="A673" s="13">
        <v>62001</v>
      </c>
      <c r="B673" s="4">
        <f>43.6185 * CHOOSE(CONTROL!$C$9, $C$13, 100%, $E$13) + CHOOSE(CONTROL!$C$28, 0.0136, 0)</f>
        <v>43.632099999999994</v>
      </c>
      <c r="C673" s="4">
        <f>43.2552 * CHOOSE(CONTROL!$C$9, $C$13, 100%, $E$13) + CHOOSE(CONTROL!$C$28, 0.0136, 0)</f>
        <v>43.268799999999999</v>
      </c>
      <c r="D673" s="4">
        <f>61.8863 * CHOOSE(CONTROL!$C$9, $C$13, 100%, $E$13) + CHOOSE(CONTROL!$C$28, 0, 0)</f>
        <v>61.886299999999999</v>
      </c>
      <c r="E673" s="4">
        <f>296.198791243946 * CHOOSE(CONTROL!$C$9, $C$13, 100%, $E$13) + CHOOSE(CONTROL!$C$28, 0, 0)</f>
        <v>296.198791243946</v>
      </c>
    </row>
    <row r="674" spans="1:5" ht="15">
      <c r="A674" s="13">
        <v>62032</v>
      </c>
      <c r="B674" s="4">
        <f>42.195 * CHOOSE(CONTROL!$C$9, $C$13, 100%, $E$13) + CHOOSE(CONTROL!$C$28, 0.0003, 0)</f>
        <v>42.195300000000003</v>
      </c>
      <c r="C674" s="4">
        <f>41.8317 * CHOOSE(CONTROL!$C$9, $C$13, 100%, $E$13) + CHOOSE(CONTROL!$C$28, 0.0003, 0)</f>
        <v>41.832000000000001</v>
      </c>
      <c r="D674" s="4">
        <f>61.0591 * CHOOSE(CONTROL!$C$9, $C$13, 100%, $E$13) + CHOOSE(CONTROL!$C$28, 0, 0)</f>
        <v>61.059100000000001</v>
      </c>
      <c r="E674" s="4">
        <f>286.357450607146 * CHOOSE(CONTROL!$C$9, $C$13, 100%, $E$13) + CHOOSE(CONTROL!$C$28, 0, 0)</f>
        <v>286.35745060714601</v>
      </c>
    </row>
    <row r="675" spans="1:5" ht="15">
      <c r="A675" s="13">
        <v>62062</v>
      </c>
      <c r="B675" s="4">
        <f>41.2781 * CHOOSE(CONTROL!$C$9, $C$13, 100%, $E$13) + CHOOSE(CONTROL!$C$28, 0.0003, 0)</f>
        <v>41.278400000000005</v>
      </c>
      <c r="C675" s="4">
        <f>40.9148 * CHOOSE(CONTROL!$C$9, $C$13, 100%, $E$13) + CHOOSE(CONTROL!$C$28, 0.0003, 0)</f>
        <v>40.915100000000002</v>
      </c>
      <c r="D675" s="4">
        <f>60.7747 * CHOOSE(CONTROL!$C$9, $C$13, 100%, $E$13) + CHOOSE(CONTROL!$C$28, 0, 0)</f>
        <v>60.774700000000003</v>
      </c>
      <c r="E675" s="4">
        <f>280.018892331739 * CHOOSE(CONTROL!$C$9, $C$13, 100%, $E$13) + CHOOSE(CONTROL!$C$28, 0, 0)</f>
        <v>280.01889233173898</v>
      </c>
    </row>
    <row r="676" spans="1:5" ht="15">
      <c r="A676" s="13">
        <v>62093</v>
      </c>
      <c r="B676" s="4">
        <f>40.6438 * CHOOSE(CONTROL!$C$9, $C$13, 100%, $E$13) + CHOOSE(CONTROL!$C$28, 0.0003, 0)</f>
        <v>40.644100000000002</v>
      </c>
      <c r="C676" s="4">
        <f>40.2805 * CHOOSE(CONTROL!$C$9, $C$13, 100%, $E$13) + CHOOSE(CONTROL!$C$28, 0.0003, 0)</f>
        <v>40.280800000000006</v>
      </c>
      <c r="D676" s="4">
        <f>58.6809 * CHOOSE(CONTROL!$C$9, $C$13, 100%, $E$13) + CHOOSE(CONTROL!$C$28, 0, 0)</f>
        <v>58.680900000000001</v>
      </c>
      <c r="E676" s="4">
        <f>275.633424791477 * CHOOSE(CONTROL!$C$9, $C$13, 100%, $E$13) + CHOOSE(CONTROL!$C$28, 0, 0)</f>
        <v>275.63342479147701</v>
      </c>
    </row>
    <row r="677" spans="1:5" ht="15">
      <c r="A677" s="13">
        <v>62124</v>
      </c>
      <c r="B677" s="4">
        <f>38.9082 * CHOOSE(CONTROL!$C$9, $C$13, 100%, $E$13) + CHOOSE(CONTROL!$C$28, 0.0003, 0)</f>
        <v>38.908500000000004</v>
      </c>
      <c r="C677" s="4">
        <f>38.5449 * CHOOSE(CONTROL!$C$9, $C$13, 100%, $E$13) + CHOOSE(CONTROL!$C$28, 0.0003, 0)</f>
        <v>38.545200000000001</v>
      </c>
      <c r="D677" s="4">
        <f>56.3745 * CHOOSE(CONTROL!$C$9, $C$13, 100%, $E$13) + CHOOSE(CONTROL!$C$28, 0, 0)</f>
        <v>56.374499999999998</v>
      </c>
      <c r="E677" s="4">
        <f>264.152172637264 * CHOOSE(CONTROL!$C$9, $C$13, 100%, $E$13) + CHOOSE(CONTROL!$C$28, 0, 0)</f>
        <v>264.15217263726402</v>
      </c>
    </row>
    <row r="678" spans="1:5" ht="15">
      <c r="A678" s="13">
        <v>62152</v>
      </c>
      <c r="B678" s="4">
        <f>39.8136 * CHOOSE(CONTROL!$C$9, $C$13, 100%, $E$13) + CHOOSE(CONTROL!$C$28, 0.0003, 0)</f>
        <v>39.813900000000004</v>
      </c>
      <c r="C678" s="4">
        <f>39.4503 * CHOOSE(CONTROL!$C$9, $C$13, 100%, $E$13) + CHOOSE(CONTROL!$C$28, 0.0003, 0)</f>
        <v>39.450600000000001</v>
      </c>
      <c r="D678" s="4">
        <f>58.2988 * CHOOSE(CONTROL!$C$9, $C$13, 100%, $E$13) + CHOOSE(CONTROL!$C$28, 0, 0)</f>
        <v>58.2988</v>
      </c>
      <c r="E678" s="4">
        <f>270.424186215464 * CHOOSE(CONTROL!$C$9, $C$13, 100%, $E$13) + CHOOSE(CONTROL!$C$28, 0, 0)</f>
        <v>270.42418621546398</v>
      </c>
    </row>
    <row r="679" spans="1:5" ht="15">
      <c r="A679" s="13">
        <v>62183</v>
      </c>
      <c r="B679" s="4">
        <f>42.1914 * CHOOSE(CONTROL!$C$9, $C$13, 100%, $E$13) + CHOOSE(CONTROL!$C$28, 0.0003, 0)</f>
        <v>42.191700000000004</v>
      </c>
      <c r="C679" s="4">
        <f>41.8282 * CHOOSE(CONTROL!$C$9, $C$13, 100%, $E$13) + CHOOSE(CONTROL!$C$28, 0.0003, 0)</f>
        <v>41.828500000000005</v>
      </c>
      <c r="D679" s="4">
        <f>61.3112 * CHOOSE(CONTROL!$C$9, $C$13, 100%, $E$13) + CHOOSE(CONTROL!$C$28, 0, 0)</f>
        <v>61.311199999999999</v>
      </c>
      <c r="E679" s="4">
        <f>286.89482718686 * CHOOSE(CONTROL!$C$9, $C$13, 100%, $E$13) + CHOOSE(CONTROL!$C$28, 0, 0)</f>
        <v>286.89482718686003</v>
      </c>
    </row>
    <row r="680" spans="1:5" ht="15">
      <c r="A680" s="13">
        <v>62213</v>
      </c>
      <c r="B680" s="4">
        <f>43.8809 * CHOOSE(CONTROL!$C$9, $C$13, 100%, $E$13) + CHOOSE(CONTROL!$C$28, 0.0003, 0)</f>
        <v>43.8812</v>
      </c>
      <c r="C680" s="4">
        <f>43.5176 * CHOOSE(CONTROL!$C$9, $C$13, 100%, $E$13) + CHOOSE(CONTROL!$C$28, 0.0003, 0)</f>
        <v>43.517900000000004</v>
      </c>
      <c r="D680" s="4">
        <f>63.0465 * CHOOSE(CONTROL!$C$9, $C$13, 100%, $E$13) + CHOOSE(CONTROL!$C$28, 0, 0)</f>
        <v>63.046500000000002</v>
      </c>
      <c r="E680" s="4">
        <f>298.597437097188 * CHOOSE(CONTROL!$C$9, $C$13, 100%, $E$13) + CHOOSE(CONTROL!$C$28, 0, 0)</f>
        <v>298.59743709718799</v>
      </c>
    </row>
    <row r="681" spans="1:5" ht="15">
      <c r="A681" s="13">
        <v>62244</v>
      </c>
      <c r="B681" s="4">
        <f>44.9131 * CHOOSE(CONTROL!$C$9, $C$13, 100%, $E$13) + CHOOSE(CONTROL!$C$28, 0.0136, 0)</f>
        <v>44.926699999999997</v>
      </c>
      <c r="C681" s="4">
        <f>44.5498 * CHOOSE(CONTROL!$C$9, $C$13, 100%, $E$13) + CHOOSE(CONTROL!$C$28, 0.0136, 0)</f>
        <v>44.563399999999994</v>
      </c>
      <c r="D681" s="4">
        <f>62.3608 * CHOOSE(CONTROL!$C$9, $C$13, 100%, $E$13) + CHOOSE(CONTROL!$C$28, 0, 0)</f>
        <v>62.360799999999998</v>
      </c>
      <c r="E681" s="4">
        <f>305.747451279983 * CHOOSE(CONTROL!$C$9, $C$13, 100%, $E$13) + CHOOSE(CONTROL!$C$28, 0, 0)</f>
        <v>305.74745127998301</v>
      </c>
    </row>
    <row r="682" spans="1:5" ht="15">
      <c r="A682" s="13">
        <v>62274</v>
      </c>
      <c r="B682" s="4">
        <f>45.0528 * CHOOSE(CONTROL!$C$9, $C$13, 100%, $E$13) + CHOOSE(CONTROL!$C$28, 0.0136, 0)</f>
        <v>45.066399999999994</v>
      </c>
      <c r="C682" s="4">
        <f>44.6895 * CHOOSE(CONTROL!$C$9, $C$13, 100%, $E$13) + CHOOSE(CONTROL!$C$28, 0.0136, 0)</f>
        <v>44.703099999999999</v>
      </c>
      <c r="D682" s="4">
        <f>62.9192 * CHOOSE(CONTROL!$C$9, $C$13, 100%, $E$13) + CHOOSE(CONTROL!$C$28, 0, 0)</f>
        <v>62.919199999999996</v>
      </c>
      <c r="E682" s="4">
        <f>306.714877872084 * CHOOSE(CONTROL!$C$9, $C$13, 100%, $E$13) + CHOOSE(CONTROL!$C$28, 0, 0)</f>
        <v>306.714877872084</v>
      </c>
    </row>
    <row r="683" spans="1:5" ht="15">
      <c r="A683" s="13">
        <v>62305</v>
      </c>
      <c r="B683" s="4">
        <f>45.0387 * CHOOSE(CONTROL!$C$9, $C$13, 100%, $E$13) + CHOOSE(CONTROL!$C$28, 0.0136, 0)</f>
        <v>45.052299999999995</v>
      </c>
      <c r="C683" s="4">
        <f>44.6754 * CHOOSE(CONTROL!$C$9, $C$13, 100%, $E$13) + CHOOSE(CONTROL!$C$28, 0.0136, 0)</f>
        <v>44.689</v>
      </c>
      <c r="D683" s="4">
        <f>63.9268 * CHOOSE(CONTROL!$C$9, $C$13, 100%, $E$13) + CHOOSE(CONTROL!$C$28, 0, 0)</f>
        <v>63.9268</v>
      </c>
      <c r="E683" s="4">
        <f>306.617322249351 * CHOOSE(CONTROL!$C$9, $C$13, 100%, $E$13) + CHOOSE(CONTROL!$C$28, 0, 0)</f>
        <v>306.61732224935099</v>
      </c>
    </row>
    <row r="684" spans="1:5" ht="15">
      <c r="A684" s="13">
        <v>62336</v>
      </c>
      <c r="B684" s="4">
        <f>46.0985 * CHOOSE(CONTROL!$C$9, $C$13, 100%, $E$13) + CHOOSE(CONTROL!$C$28, 0.0136, 0)</f>
        <v>46.112099999999998</v>
      </c>
      <c r="C684" s="4">
        <f>45.7352 * CHOOSE(CONTROL!$C$9, $C$13, 100%, $E$13) + CHOOSE(CONTROL!$C$28, 0.0136, 0)</f>
        <v>45.748799999999996</v>
      </c>
      <c r="D684" s="4">
        <f>63.2614 * CHOOSE(CONTROL!$C$9, $C$13, 100%, $E$13) + CHOOSE(CONTROL!$C$28, 0, 0)</f>
        <v>63.261400000000002</v>
      </c>
      <c r="E684" s="4">
        <f>313.958382859998 * CHOOSE(CONTROL!$C$9, $C$13, 100%, $E$13) + CHOOSE(CONTROL!$C$28, 0, 0)</f>
        <v>313.95838285999798</v>
      </c>
    </row>
    <row r="685" spans="1:5" ht="15">
      <c r="A685" s="13">
        <v>62366</v>
      </c>
      <c r="B685" s="4">
        <f>44.2923 * CHOOSE(CONTROL!$C$9, $C$13, 100%, $E$13) + CHOOSE(CONTROL!$C$28, 0.0136, 0)</f>
        <v>44.305899999999994</v>
      </c>
      <c r="C685" s="4">
        <f>43.929 * CHOOSE(CONTROL!$C$9, $C$13, 100%, $E$13) + CHOOSE(CONTROL!$C$28, 0.0136, 0)</f>
        <v>43.942599999999999</v>
      </c>
      <c r="D685" s="4">
        <f>62.947 * CHOOSE(CONTROL!$C$9, $C$13, 100%, $E$13) + CHOOSE(CONTROL!$C$28, 0, 0)</f>
        <v>62.947000000000003</v>
      </c>
      <c r="E685" s="4">
        <f>301.44687424451 * CHOOSE(CONTROL!$C$9, $C$13, 100%, $E$13) + CHOOSE(CONTROL!$C$28, 0, 0)</f>
        <v>301.44687424451001</v>
      </c>
    </row>
    <row r="686" spans="1:5" ht="15">
      <c r="A686" s="13">
        <v>62397</v>
      </c>
      <c r="B686" s="4">
        <f>42.8463 * CHOOSE(CONTROL!$C$9, $C$13, 100%, $E$13) + CHOOSE(CONTROL!$C$28, 0.0003, 0)</f>
        <v>42.846600000000002</v>
      </c>
      <c r="C686" s="4">
        <f>42.4831 * CHOOSE(CONTROL!$C$9, $C$13, 100%, $E$13) + CHOOSE(CONTROL!$C$28, 0.0003, 0)</f>
        <v>42.483400000000003</v>
      </c>
      <c r="D686" s="4">
        <f>62.1052 * CHOOSE(CONTROL!$C$9, $C$13, 100%, $E$13) + CHOOSE(CONTROL!$C$28, 0, 0)</f>
        <v>62.105200000000004</v>
      </c>
      <c r="E686" s="4">
        <f>291.431163643937 * CHOOSE(CONTROL!$C$9, $C$13, 100%, $E$13) + CHOOSE(CONTROL!$C$28, 0, 0)</f>
        <v>291.431163643937</v>
      </c>
    </row>
    <row r="687" spans="1:5" ht="15">
      <c r="A687" s="13">
        <v>62427</v>
      </c>
      <c r="B687" s="4">
        <f>41.915 * CHOOSE(CONTROL!$C$9, $C$13, 100%, $E$13) + CHOOSE(CONTROL!$C$28, 0.0003, 0)</f>
        <v>41.915300000000002</v>
      </c>
      <c r="C687" s="4">
        <f>41.5518 * CHOOSE(CONTROL!$C$9, $C$13, 100%, $E$13) + CHOOSE(CONTROL!$C$28, 0.0003, 0)</f>
        <v>41.552100000000003</v>
      </c>
      <c r="D687" s="4">
        <f>61.8157 * CHOOSE(CONTROL!$C$9, $C$13, 100%, $E$13) + CHOOSE(CONTROL!$C$28, 0, 0)</f>
        <v>61.8157</v>
      </c>
      <c r="E687" s="4">
        <f>284.980298090728 * CHOOSE(CONTROL!$C$9, $C$13, 100%, $E$13) + CHOOSE(CONTROL!$C$28, 0, 0)</f>
        <v>284.98029809072801</v>
      </c>
    </row>
    <row r="688" spans="1:5" ht="15">
      <c r="A688" s="13">
        <v>62458</v>
      </c>
      <c r="B688" s="4">
        <f>41.2707 * CHOOSE(CONTROL!$C$9, $C$13, 100%, $E$13) + CHOOSE(CONTROL!$C$28, 0.0003, 0)</f>
        <v>41.271000000000001</v>
      </c>
      <c r="C688" s="4">
        <f>40.9074 * CHOOSE(CONTROL!$C$9, $C$13, 100%, $E$13) + CHOOSE(CONTROL!$C$28, 0.0003, 0)</f>
        <v>40.907700000000006</v>
      </c>
      <c r="D688" s="4">
        <f>59.685 * CHOOSE(CONTROL!$C$9, $C$13, 100%, $E$13) + CHOOSE(CONTROL!$C$28, 0, 0)</f>
        <v>59.685000000000002</v>
      </c>
      <c r="E688" s="4">
        <f>280.5171283507 * CHOOSE(CONTROL!$C$9, $C$13, 100%, $E$13) + CHOOSE(CONTROL!$C$28, 0, 0)</f>
        <v>280.51712835069998</v>
      </c>
    </row>
    <row r="689" spans="1:5" ht="15">
      <c r="A689" s="13">
        <v>62489</v>
      </c>
      <c r="B689" s="4">
        <f>39.5078 * CHOOSE(CONTROL!$C$9, $C$13, 100%, $E$13) + CHOOSE(CONTROL!$C$28, 0.0003, 0)</f>
        <v>39.508100000000006</v>
      </c>
      <c r="C689" s="4">
        <f>39.1445 * CHOOSE(CONTROL!$C$9, $C$13, 100%, $E$13) + CHOOSE(CONTROL!$C$28, 0.0003, 0)</f>
        <v>39.144800000000004</v>
      </c>
      <c r="D689" s="4">
        <f>57.3379 * CHOOSE(CONTROL!$C$9, $C$13, 100%, $E$13) + CHOOSE(CONTROL!$C$28, 0, 0)</f>
        <v>57.337899999999998</v>
      </c>
      <c r="E689" s="4">
        <f>268.832450098755 * CHOOSE(CONTROL!$C$9, $C$13, 100%, $E$13) + CHOOSE(CONTROL!$C$28, 0, 0)</f>
        <v>268.83245009875498</v>
      </c>
    </row>
    <row r="690" spans="1:5" ht="15">
      <c r="A690" s="13">
        <v>62517</v>
      </c>
      <c r="B690" s="4">
        <f>40.4275 * CHOOSE(CONTROL!$C$9, $C$13, 100%, $E$13) + CHOOSE(CONTROL!$C$28, 0.0003, 0)</f>
        <v>40.427800000000005</v>
      </c>
      <c r="C690" s="4">
        <f>40.0643 * CHOOSE(CONTROL!$C$9, $C$13, 100%, $E$13) + CHOOSE(CONTROL!$C$28, 0.0003, 0)</f>
        <v>40.064600000000006</v>
      </c>
      <c r="D690" s="4">
        <f>59.2962 * CHOOSE(CONTROL!$C$9, $C$13, 100%, $E$13) + CHOOSE(CONTROL!$C$28, 0, 0)</f>
        <v>59.296199999999999</v>
      </c>
      <c r="E690" s="4">
        <f>275.21559190844 * CHOOSE(CONTROL!$C$9, $C$13, 100%, $E$13) + CHOOSE(CONTROL!$C$28, 0, 0)</f>
        <v>275.21559190843999</v>
      </c>
    </row>
    <row r="691" spans="1:5" ht="15">
      <c r="A691" s="13">
        <v>62548</v>
      </c>
      <c r="B691" s="4">
        <f>42.8427 * CHOOSE(CONTROL!$C$9, $C$13, 100%, $E$13) + CHOOSE(CONTROL!$C$28, 0.0003, 0)</f>
        <v>42.843000000000004</v>
      </c>
      <c r="C691" s="4">
        <f>42.4795 * CHOOSE(CONTROL!$C$9, $C$13, 100%, $E$13) + CHOOSE(CONTROL!$C$28, 0.0003, 0)</f>
        <v>42.479800000000004</v>
      </c>
      <c r="D691" s="4">
        <f>62.3618 * CHOOSE(CONTROL!$C$9, $C$13, 100%, $E$13) + CHOOSE(CONTROL!$C$28, 0, 0)</f>
        <v>62.361800000000002</v>
      </c>
      <c r="E691" s="4">
        <f>291.97806152143 * CHOOSE(CONTROL!$C$9, $C$13, 100%, $E$13) + CHOOSE(CONTROL!$C$28, 0, 0)</f>
        <v>291.97806152142999</v>
      </c>
    </row>
    <row r="692" spans="1:5" ht="15">
      <c r="A692" s="13">
        <v>62578</v>
      </c>
      <c r="B692" s="4">
        <f>44.5588 * CHOOSE(CONTROL!$C$9, $C$13, 100%, $E$13) + CHOOSE(CONTROL!$C$28, 0.0003, 0)</f>
        <v>44.559100000000001</v>
      </c>
      <c r="C692" s="4">
        <f>44.1955 * CHOOSE(CONTROL!$C$9, $C$13, 100%, $E$13) + CHOOSE(CONTROL!$C$28, 0.0003, 0)</f>
        <v>44.195800000000006</v>
      </c>
      <c r="D692" s="4">
        <f>64.1277 * CHOOSE(CONTROL!$C$9, $C$13, 100%, $E$13) + CHOOSE(CONTROL!$C$28, 0, 0)</f>
        <v>64.127700000000004</v>
      </c>
      <c r="E692" s="4">
        <f>303.888019570738 * CHOOSE(CONTROL!$C$9, $C$13, 100%, $E$13) + CHOOSE(CONTROL!$C$28, 0, 0)</f>
        <v>303.88801957073798</v>
      </c>
    </row>
    <row r="693" spans="1:5" ht="15">
      <c r="A693" s="13">
        <v>62609</v>
      </c>
      <c r="B693" s="4">
        <f>45.6072 * CHOOSE(CONTROL!$C$9, $C$13, 100%, $E$13) + CHOOSE(CONTROL!$C$28, 0.0136, 0)</f>
        <v>45.620799999999996</v>
      </c>
      <c r="C693" s="4">
        <f>45.2439 * CHOOSE(CONTROL!$C$9, $C$13, 100%, $E$13) + CHOOSE(CONTROL!$C$28, 0.0136, 0)</f>
        <v>45.257499999999993</v>
      </c>
      <c r="D693" s="4">
        <f>63.4299 * CHOOSE(CONTROL!$C$9, $C$13, 100%, $E$13) + CHOOSE(CONTROL!$C$28, 0, 0)</f>
        <v>63.429900000000004</v>
      </c>
      <c r="E693" s="4">
        <f>311.164718497009 * CHOOSE(CONTROL!$C$9, $C$13, 100%, $E$13) + CHOOSE(CONTROL!$C$28, 0, 0)</f>
        <v>311.16471849700901</v>
      </c>
    </row>
    <row r="694" spans="1:5" ht="15">
      <c r="A694" s="13">
        <v>62639</v>
      </c>
      <c r="B694" s="4">
        <f>45.7491 * CHOOSE(CONTROL!$C$9, $C$13, 100%, $E$13) + CHOOSE(CONTROL!$C$28, 0.0136, 0)</f>
        <v>45.762699999999995</v>
      </c>
      <c r="C694" s="4">
        <f>45.3858 * CHOOSE(CONTROL!$C$9, $C$13, 100%, $E$13) + CHOOSE(CONTROL!$C$28, 0.0136, 0)</f>
        <v>45.3994</v>
      </c>
      <c r="D694" s="4">
        <f>63.9982 * CHOOSE(CONTROL!$C$9, $C$13, 100%, $E$13) + CHOOSE(CONTROL!$C$28, 0, 0)</f>
        <v>63.998199999999997</v>
      </c>
      <c r="E694" s="4">
        <f>312.149286060655 * CHOOSE(CONTROL!$C$9, $C$13, 100%, $E$13) + CHOOSE(CONTROL!$C$28, 0, 0)</f>
        <v>312.14928606065502</v>
      </c>
    </row>
    <row r="695" spans="1:5" ht="15">
      <c r="A695" s="13">
        <v>62670</v>
      </c>
      <c r="B695" s="4">
        <f>45.7348 * CHOOSE(CONTROL!$C$9, $C$13, 100%, $E$13) + CHOOSE(CONTROL!$C$28, 0.0136, 0)</f>
        <v>45.748399999999997</v>
      </c>
      <c r="C695" s="4">
        <f>45.3715 * CHOOSE(CONTROL!$C$9, $C$13, 100%, $E$13) + CHOOSE(CONTROL!$C$28, 0.0136, 0)</f>
        <v>45.385099999999994</v>
      </c>
      <c r="D695" s="4">
        <f>65.0236 * CHOOSE(CONTROL!$C$9, $C$13, 100%, $E$13) + CHOOSE(CONTROL!$C$28, 0, 0)</f>
        <v>65.023600000000002</v>
      </c>
      <c r="E695" s="4">
        <f>312.05000193659 * CHOOSE(CONTROL!$C$9, $C$13, 100%, $E$13) + CHOOSE(CONTROL!$C$28, 0, 0)</f>
        <v>312.05000193658998</v>
      </c>
    </row>
    <row r="696" spans="1:5" ht="15">
      <c r="A696" s="13">
        <v>62701</v>
      </c>
      <c r="B696" s="4">
        <f>46.8112 * CHOOSE(CONTROL!$C$9, $C$13, 100%, $E$13) + CHOOSE(CONTROL!$C$28, 0.0136, 0)</f>
        <v>46.824799999999996</v>
      </c>
      <c r="C696" s="4">
        <f>46.448 * CHOOSE(CONTROL!$C$9, $C$13, 100%, $E$13) + CHOOSE(CONTROL!$C$28, 0.0136, 0)</f>
        <v>46.461599999999997</v>
      </c>
      <c r="D696" s="4">
        <f>64.3464 * CHOOSE(CONTROL!$C$9, $C$13, 100%, $E$13) + CHOOSE(CONTROL!$C$28, 0, 0)</f>
        <v>64.346400000000003</v>
      </c>
      <c r="E696" s="4">
        <f>319.521132272488 * CHOOSE(CONTROL!$C$9, $C$13, 100%, $E$13) + CHOOSE(CONTROL!$C$28, 0, 0)</f>
        <v>319.52113227248799</v>
      </c>
    </row>
    <row r="697" spans="1:5" ht="15">
      <c r="A697" s="13">
        <v>62731</v>
      </c>
      <c r="B697" s="4">
        <f>44.9766 * CHOOSE(CONTROL!$C$9, $C$13, 100%, $E$13) + CHOOSE(CONTROL!$C$28, 0.0136, 0)</f>
        <v>44.990199999999994</v>
      </c>
      <c r="C697" s="4">
        <f>44.6133 * CHOOSE(CONTROL!$C$9, $C$13, 100%, $E$13) + CHOOSE(CONTROL!$C$28, 0.0136, 0)</f>
        <v>44.626899999999999</v>
      </c>
      <c r="D697" s="4">
        <f>64.0264 * CHOOSE(CONTROL!$C$9, $C$13, 100%, $E$13) + CHOOSE(CONTROL!$C$28, 0, 0)</f>
        <v>64.026399999999995</v>
      </c>
      <c r="E697" s="4">
        <f>306.78794336114 * CHOOSE(CONTROL!$C$9, $C$13, 100%, $E$13) + CHOOSE(CONTROL!$C$28, 0, 0)</f>
        <v>306.78794336113998</v>
      </c>
    </row>
    <row r="698" spans="1:5" ht="15">
      <c r="A698" s="13">
        <v>62762</v>
      </c>
      <c r="B698" s="4">
        <f>43.5079 * CHOOSE(CONTROL!$C$9, $C$13, 100%, $E$13) + CHOOSE(CONTROL!$C$28, 0.0003, 0)</f>
        <v>43.508200000000002</v>
      </c>
      <c r="C698" s="4">
        <f>43.1446 * CHOOSE(CONTROL!$C$9, $C$13, 100%, $E$13) + CHOOSE(CONTROL!$C$28, 0.0003, 0)</f>
        <v>43.1449</v>
      </c>
      <c r="D698" s="4">
        <f>63.1697 * CHOOSE(CONTROL!$C$9, $C$13, 100%, $E$13) + CHOOSE(CONTROL!$C$28, 0, 0)</f>
        <v>63.169699999999999</v>
      </c>
      <c r="E698" s="4">
        <f>296.594773290457 * CHOOSE(CONTROL!$C$9, $C$13, 100%, $E$13) + CHOOSE(CONTROL!$C$28, 0, 0)</f>
        <v>296.594773290457</v>
      </c>
    </row>
    <row r="699" spans="1:5" ht="15">
      <c r="A699" s="13">
        <v>62792</v>
      </c>
      <c r="B699" s="4">
        <f>42.562 * CHOOSE(CONTROL!$C$9, $C$13, 100%, $E$13) + CHOOSE(CONTROL!$C$28, 0.0003, 0)</f>
        <v>42.5623</v>
      </c>
      <c r="C699" s="4">
        <f>42.1987 * CHOOSE(CONTROL!$C$9, $C$13, 100%, $E$13) + CHOOSE(CONTROL!$C$28, 0.0003, 0)</f>
        <v>42.199000000000005</v>
      </c>
      <c r="D699" s="4">
        <f>62.8752 * CHOOSE(CONTROL!$C$9, $C$13, 100%, $E$13) + CHOOSE(CONTROL!$C$28, 0, 0)</f>
        <v>62.8752</v>
      </c>
      <c r="E699" s="4">
        <f>290.029610586652 * CHOOSE(CONTROL!$C$9, $C$13, 100%, $E$13) + CHOOSE(CONTROL!$C$28, 0, 0)</f>
        <v>290.02961058665198</v>
      </c>
    </row>
    <row r="700" spans="1:5" ht="15">
      <c r="A700" s="13">
        <v>62823</v>
      </c>
      <c r="B700" s="4">
        <f>41.9075 * CHOOSE(CONTROL!$C$9, $C$13, 100%, $E$13) + CHOOSE(CONTROL!$C$28, 0.0003, 0)</f>
        <v>41.907800000000002</v>
      </c>
      <c r="C700" s="4">
        <f>41.5442 * CHOOSE(CONTROL!$C$9, $C$13, 100%, $E$13) + CHOOSE(CONTROL!$C$28, 0.0003, 0)</f>
        <v>41.544499999999999</v>
      </c>
      <c r="D700" s="4">
        <f>60.7068 * CHOOSE(CONTROL!$C$9, $C$13, 100%, $E$13) + CHOOSE(CONTROL!$C$28, 0, 0)</f>
        <v>60.706800000000001</v>
      </c>
      <c r="E700" s="4">
        <f>285.487361910674 * CHOOSE(CONTROL!$C$9, $C$13, 100%, $E$13) + CHOOSE(CONTROL!$C$28, 0, 0)</f>
        <v>285.487361910674</v>
      </c>
    </row>
    <row r="701" spans="1:5" ht="15">
      <c r="A701" s="13">
        <v>62854</v>
      </c>
      <c r="B701" s="4">
        <f>40.1169 * CHOOSE(CONTROL!$C$9, $C$13, 100%, $E$13) + CHOOSE(CONTROL!$C$28, 0.0003, 0)</f>
        <v>40.117200000000004</v>
      </c>
      <c r="C701" s="4">
        <f>39.7536 * CHOOSE(CONTROL!$C$9, $C$13, 100%, $E$13) + CHOOSE(CONTROL!$C$28, 0.0003, 0)</f>
        <v>39.753900000000002</v>
      </c>
      <c r="D701" s="4">
        <f>58.3182 * CHOOSE(CONTROL!$C$9, $C$13, 100%, $E$13) + CHOOSE(CONTROL!$C$28, 0, 0)</f>
        <v>58.318199999999997</v>
      </c>
      <c r="E701" s="4">
        <f>273.595653234859 * CHOOSE(CONTROL!$C$9, $C$13, 100%, $E$13) + CHOOSE(CONTROL!$C$28, 0, 0)</f>
        <v>273.59565323485901</v>
      </c>
    </row>
    <row r="702" spans="1:5" ht="15">
      <c r="A702" s="13">
        <v>62883</v>
      </c>
      <c r="B702" s="4">
        <f>41.0511 * CHOOSE(CONTROL!$C$9, $C$13, 100%, $E$13) + CHOOSE(CONTROL!$C$28, 0.0003, 0)</f>
        <v>41.051400000000001</v>
      </c>
      <c r="C702" s="4">
        <f>40.6878 * CHOOSE(CONTROL!$C$9, $C$13, 100%, $E$13) + CHOOSE(CONTROL!$C$28, 0.0003, 0)</f>
        <v>40.688100000000006</v>
      </c>
      <c r="D702" s="4">
        <f>60.3111 * CHOOSE(CONTROL!$C$9, $C$13, 100%, $E$13) + CHOOSE(CONTROL!$C$28, 0, 0)</f>
        <v>60.311100000000003</v>
      </c>
      <c r="E702" s="4">
        <f>280.091892258347 * CHOOSE(CONTROL!$C$9, $C$13, 100%, $E$13) + CHOOSE(CONTROL!$C$28, 0, 0)</f>
        <v>280.091892258347</v>
      </c>
    </row>
    <row r="703" spans="1:5" ht="15">
      <c r="A703" s="13">
        <v>62914</v>
      </c>
      <c r="B703" s="4">
        <f>43.5043 * CHOOSE(CONTROL!$C$9, $C$13, 100%, $E$13) + CHOOSE(CONTROL!$C$28, 0.0003, 0)</f>
        <v>43.504600000000003</v>
      </c>
      <c r="C703" s="4">
        <f>43.141 * CHOOSE(CONTROL!$C$9, $C$13, 100%, $E$13) + CHOOSE(CONTROL!$C$28, 0.0003, 0)</f>
        <v>43.141300000000001</v>
      </c>
      <c r="D703" s="4">
        <f>63.4309 * CHOOSE(CONTROL!$C$9, $C$13, 100%, $E$13) + CHOOSE(CONTROL!$C$28, 0, 0)</f>
        <v>63.430900000000001</v>
      </c>
      <c r="E703" s="4">
        <f>297.151361165136 * CHOOSE(CONTROL!$C$9, $C$13, 100%, $E$13) + CHOOSE(CONTROL!$C$28, 0, 0)</f>
        <v>297.151361165136</v>
      </c>
    </row>
    <row r="704" spans="1:5" ht="15">
      <c r="A704" s="13">
        <v>62944</v>
      </c>
      <c r="B704" s="4">
        <f>45.2473 * CHOOSE(CONTROL!$C$9, $C$13, 100%, $E$13) + CHOOSE(CONTROL!$C$28, 0.0003, 0)</f>
        <v>45.247600000000006</v>
      </c>
      <c r="C704" s="4">
        <f>44.884 * CHOOSE(CONTROL!$C$9, $C$13, 100%, $E$13) + CHOOSE(CONTROL!$C$28, 0.0003, 0)</f>
        <v>44.884300000000003</v>
      </c>
      <c r="D704" s="4">
        <f>65.228 * CHOOSE(CONTROL!$C$9, $C$13, 100%, $E$13) + CHOOSE(CONTROL!$C$28, 0, 0)</f>
        <v>65.227999999999994</v>
      </c>
      <c r="E704" s="4">
        <f>309.272341170724 * CHOOSE(CONTROL!$C$9, $C$13, 100%, $E$13) + CHOOSE(CONTROL!$C$28, 0, 0)</f>
        <v>309.27234117072402</v>
      </c>
    </row>
    <row r="705" spans="1:5" ht="15">
      <c r="A705" s="13">
        <v>62975</v>
      </c>
      <c r="B705" s="4">
        <f>46.3122 * CHOOSE(CONTROL!$C$9, $C$13, 100%, $E$13) + CHOOSE(CONTROL!$C$28, 0.0136, 0)</f>
        <v>46.325799999999994</v>
      </c>
      <c r="C705" s="4">
        <f>45.9489 * CHOOSE(CONTROL!$C$9, $C$13, 100%, $E$13) + CHOOSE(CONTROL!$C$28, 0.0136, 0)</f>
        <v>45.962499999999999</v>
      </c>
      <c r="D705" s="4">
        <f>64.5178 * CHOOSE(CONTROL!$C$9, $C$13, 100%, $E$13) + CHOOSE(CONTROL!$C$28, 0, 0)</f>
        <v>64.517799999999994</v>
      </c>
      <c r="E705" s="4">
        <f>316.677969454791 * CHOOSE(CONTROL!$C$9, $C$13, 100%, $E$13) + CHOOSE(CONTROL!$C$28, 0, 0)</f>
        <v>316.67796945479103</v>
      </c>
    </row>
    <row r="706" spans="1:5" ht="15">
      <c r="A706" s="13">
        <v>63005</v>
      </c>
      <c r="B706" s="4">
        <f>46.4563 * CHOOSE(CONTROL!$C$9, $C$13, 100%, $E$13) + CHOOSE(CONTROL!$C$28, 0.0136, 0)</f>
        <v>46.469899999999996</v>
      </c>
      <c r="C706" s="4">
        <f>46.093 * CHOOSE(CONTROL!$C$9, $C$13, 100%, $E$13) + CHOOSE(CONTROL!$C$28, 0.0136, 0)</f>
        <v>46.1066</v>
      </c>
      <c r="D706" s="4">
        <f>65.0962 * CHOOSE(CONTROL!$C$9, $C$13, 100%, $E$13) + CHOOSE(CONTROL!$C$28, 0, 0)</f>
        <v>65.096199999999996</v>
      </c>
      <c r="E706" s="4">
        <f>317.679981695615 * CHOOSE(CONTROL!$C$9, $C$13, 100%, $E$13) + CHOOSE(CONTROL!$C$28, 0, 0)</f>
        <v>317.67998169561503</v>
      </c>
    </row>
    <row r="707" spans="1:5" ht="15">
      <c r="A707" s="13">
        <v>63036</v>
      </c>
      <c r="B707" s="4">
        <f>46.4418 * CHOOSE(CONTROL!$C$9, $C$13, 100%, $E$13) + CHOOSE(CONTROL!$C$28, 0.0136, 0)</f>
        <v>46.455399999999997</v>
      </c>
      <c r="C707" s="4">
        <f>46.0785 * CHOOSE(CONTROL!$C$9, $C$13, 100%, $E$13) + CHOOSE(CONTROL!$C$28, 0.0136, 0)</f>
        <v>46.092099999999995</v>
      </c>
      <c r="D707" s="4">
        <f>66.1397 * CHOOSE(CONTROL!$C$9, $C$13, 100%, $E$13) + CHOOSE(CONTROL!$C$28, 0, 0)</f>
        <v>66.139700000000005</v>
      </c>
      <c r="E707" s="4">
        <f>317.578938444439 * CHOOSE(CONTROL!$C$9, $C$13, 100%, $E$13) + CHOOSE(CONTROL!$C$28, 0, 0)</f>
        <v>317.57893844443902</v>
      </c>
    </row>
    <row r="708" spans="1:5" ht="15">
      <c r="A708" s="13">
        <v>63067</v>
      </c>
      <c r="B708" s="4">
        <f>47.5352 * CHOOSE(CONTROL!$C$9, $C$13, 100%, $E$13) + CHOOSE(CONTROL!$C$28, 0.0136, 0)</f>
        <v>47.5488</v>
      </c>
      <c r="C708" s="4">
        <f>47.1719 * CHOOSE(CONTROL!$C$9, $C$13, 100%, $E$13) + CHOOSE(CONTROL!$C$28, 0.0136, 0)</f>
        <v>47.185499999999998</v>
      </c>
      <c r="D708" s="4">
        <f>65.4506 * CHOOSE(CONTROL!$C$9, $C$13, 100%, $E$13) + CHOOSE(CONTROL!$C$28, 0, 0)</f>
        <v>65.450599999999994</v>
      </c>
      <c r="E708" s="4">
        <f>325.182443095392 * CHOOSE(CONTROL!$C$9, $C$13, 100%, $E$13) + CHOOSE(CONTROL!$C$28, 0, 0)</f>
        <v>325.18244309539199</v>
      </c>
    </row>
    <row r="709" spans="1:5" ht="15">
      <c r="A709" s="13">
        <v>63097</v>
      </c>
      <c r="B709" s="4">
        <f>45.6717 * CHOOSE(CONTROL!$C$9, $C$13, 100%, $E$13) + CHOOSE(CONTROL!$C$28, 0.0136, 0)</f>
        <v>45.685299999999998</v>
      </c>
      <c r="C709" s="4">
        <f>45.3084 * CHOOSE(CONTROL!$C$9, $C$13, 100%, $E$13) + CHOOSE(CONTROL!$C$28, 0.0136, 0)</f>
        <v>45.321999999999996</v>
      </c>
      <c r="D709" s="4">
        <f>65.125 * CHOOSE(CONTROL!$C$9, $C$13, 100%, $E$13) + CHOOSE(CONTROL!$C$28, 0, 0)</f>
        <v>65.125</v>
      </c>
      <c r="E709" s="4">
        <f>312.22364613214 * CHOOSE(CONTROL!$C$9, $C$13, 100%, $E$13) + CHOOSE(CONTROL!$C$28, 0, 0)</f>
        <v>312.22364613214</v>
      </c>
    </row>
    <row r="710" spans="1:5" ht="15">
      <c r="A710" s="13">
        <v>63128</v>
      </c>
      <c r="B710" s="4">
        <f>44.1799 * CHOOSE(CONTROL!$C$9, $C$13, 100%, $E$13) + CHOOSE(CONTROL!$C$28, 0.0003, 0)</f>
        <v>44.180200000000006</v>
      </c>
      <c r="C710" s="4">
        <f>43.8166 * CHOOSE(CONTROL!$C$9, $C$13, 100%, $E$13) + CHOOSE(CONTROL!$C$28, 0.0003, 0)</f>
        <v>43.816900000000004</v>
      </c>
      <c r="D710" s="4">
        <f>64.2531 * CHOOSE(CONTROL!$C$9, $C$13, 100%, $E$13) + CHOOSE(CONTROL!$C$28, 0, 0)</f>
        <v>64.253100000000003</v>
      </c>
      <c r="E710" s="4">
        <f>301.849872344794 * CHOOSE(CONTROL!$C$9, $C$13, 100%, $E$13) + CHOOSE(CONTROL!$C$28, 0, 0)</f>
        <v>301.84987234479399</v>
      </c>
    </row>
    <row r="711" spans="1:5" ht="15">
      <c r="A711" s="13">
        <v>63158</v>
      </c>
      <c r="B711" s="4">
        <f>43.2191 * CHOOSE(CONTROL!$C$9, $C$13, 100%, $E$13) + CHOOSE(CONTROL!$C$28, 0.0003, 0)</f>
        <v>43.2194</v>
      </c>
      <c r="C711" s="4">
        <f>42.8558 * CHOOSE(CONTROL!$C$9, $C$13, 100%, $E$13) + CHOOSE(CONTROL!$C$28, 0.0003, 0)</f>
        <v>42.856100000000005</v>
      </c>
      <c r="D711" s="4">
        <f>63.9534 * CHOOSE(CONTROL!$C$9, $C$13, 100%, $E$13) + CHOOSE(CONTROL!$C$28, 0, 0)</f>
        <v>63.953400000000002</v>
      </c>
      <c r="E711" s="4">
        <f>295.168387360818 * CHOOSE(CONTROL!$C$9, $C$13, 100%, $E$13) + CHOOSE(CONTROL!$C$28, 0, 0)</f>
        <v>295.16838736081797</v>
      </c>
    </row>
    <row r="712" spans="1:5" ht="15">
      <c r="A712" s="13">
        <v>63189</v>
      </c>
      <c r="B712" s="4">
        <f>42.5544 * CHOOSE(CONTROL!$C$9, $C$13, 100%, $E$13) + CHOOSE(CONTROL!$C$28, 0.0003, 0)</f>
        <v>42.554700000000004</v>
      </c>
      <c r="C712" s="4">
        <f>42.1911 * CHOOSE(CONTROL!$C$9, $C$13, 100%, $E$13) + CHOOSE(CONTROL!$C$28, 0.0003, 0)</f>
        <v>42.191400000000002</v>
      </c>
      <c r="D712" s="4">
        <f>61.7467 * CHOOSE(CONTROL!$C$9, $C$13, 100%, $E$13) + CHOOSE(CONTROL!$C$28, 0, 0)</f>
        <v>61.746699999999997</v>
      </c>
      <c r="E712" s="4">
        <f>290.545658619541 * CHOOSE(CONTROL!$C$9, $C$13, 100%, $E$13) + CHOOSE(CONTROL!$C$28, 0, 0)</f>
        <v>290.54565861954097</v>
      </c>
    </row>
    <row r="713" spans="1:5" ht="15">
      <c r="A713" s="13">
        <v>63220</v>
      </c>
      <c r="B713" s="4">
        <f>40.7356 * CHOOSE(CONTROL!$C$9, $C$13, 100%, $E$13) + CHOOSE(CONTROL!$C$28, 0.0003, 0)</f>
        <v>40.735900000000001</v>
      </c>
      <c r="C713" s="4">
        <f>40.3723 * CHOOSE(CONTROL!$C$9, $C$13, 100%, $E$13) + CHOOSE(CONTROL!$C$28, 0.0003, 0)</f>
        <v>40.372600000000006</v>
      </c>
      <c r="D713" s="4">
        <f>59.3159 * CHOOSE(CONTROL!$C$9, $C$13, 100%, $E$13) + CHOOSE(CONTROL!$C$28, 0, 0)</f>
        <v>59.315899999999999</v>
      </c>
      <c r="E713" s="4">
        <f>278.443251331867 * CHOOSE(CONTROL!$C$9, $C$13, 100%, $E$13) + CHOOSE(CONTROL!$C$28, 0, 0)</f>
        <v>278.44325133186697</v>
      </c>
    </row>
    <row r="714" spans="1:5" ht="15">
      <c r="A714" s="13">
        <v>63248</v>
      </c>
      <c r="B714" s="4">
        <f>41.6845 * CHOOSE(CONTROL!$C$9, $C$13, 100%, $E$13) + CHOOSE(CONTROL!$C$28, 0.0003, 0)</f>
        <v>41.684800000000003</v>
      </c>
      <c r="C714" s="4">
        <f>41.3212 * CHOOSE(CONTROL!$C$9, $C$13, 100%, $E$13) + CHOOSE(CONTROL!$C$28, 0.0003, 0)</f>
        <v>41.3215</v>
      </c>
      <c r="D714" s="4">
        <f>61.344 * CHOOSE(CONTROL!$C$9, $C$13, 100%, $E$13) + CHOOSE(CONTROL!$C$28, 0, 0)</f>
        <v>61.344000000000001</v>
      </c>
      <c r="E714" s="4">
        <f>285.054591438124 * CHOOSE(CONTROL!$C$9, $C$13, 100%, $E$13) + CHOOSE(CONTROL!$C$28, 0, 0)</f>
        <v>285.05459143812402</v>
      </c>
    </row>
    <row r="715" spans="1:5" ht="15">
      <c r="A715" s="13">
        <v>63279</v>
      </c>
      <c r="B715" s="4">
        <f>44.1762 * CHOOSE(CONTROL!$C$9, $C$13, 100%, $E$13) + CHOOSE(CONTROL!$C$28, 0.0003, 0)</f>
        <v>44.176500000000004</v>
      </c>
      <c r="C715" s="4">
        <f>43.8129 * CHOOSE(CONTROL!$C$9, $C$13, 100%, $E$13) + CHOOSE(CONTROL!$C$28, 0.0003, 0)</f>
        <v>43.813200000000002</v>
      </c>
      <c r="D715" s="4">
        <f>64.5189 * CHOOSE(CONTROL!$C$9, $C$13, 100%, $E$13) + CHOOSE(CONTROL!$C$28, 0, 0)</f>
        <v>64.518900000000002</v>
      </c>
      <c r="E715" s="4">
        <f>302.416321905104 * CHOOSE(CONTROL!$C$9, $C$13, 100%, $E$13) + CHOOSE(CONTROL!$C$28, 0, 0)</f>
        <v>302.41632190510398</v>
      </c>
    </row>
    <row r="716" spans="1:5" ht="15">
      <c r="A716" s="13">
        <v>63309</v>
      </c>
      <c r="B716" s="4">
        <f>45.9466 * CHOOSE(CONTROL!$C$9, $C$13, 100%, $E$13) + CHOOSE(CONTROL!$C$28, 0.0003, 0)</f>
        <v>45.946899999999999</v>
      </c>
      <c r="C716" s="4">
        <f>45.5834 * CHOOSE(CONTROL!$C$9, $C$13, 100%, $E$13) + CHOOSE(CONTROL!$C$28, 0.0003, 0)</f>
        <v>45.5837</v>
      </c>
      <c r="D716" s="4">
        <f>66.3477 * CHOOSE(CONTROL!$C$9, $C$13, 100%, $E$13) + CHOOSE(CONTROL!$C$28, 0, 0)</f>
        <v>66.347700000000003</v>
      </c>
      <c r="E716" s="4">
        <f>314.752062777374 * CHOOSE(CONTROL!$C$9, $C$13, 100%, $E$13) + CHOOSE(CONTROL!$C$28, 0, 0)</f>
        <v>314.75206277737402</v>
      </c>
    </row>
    <row r="717" spans="1:5" ht="15">
      <c r="A717" s="13">
        <v>63340</v>
      </c>
      <c r="B717" s="4">
        <f>47.0283 * CHOOSE(CONTROL!$C$9, $C$13, 100%, $E$13) + CHOOSE(CONTROL!$C$28, 0.0136, 0)</f>
        <v>47.041899999999998</v>
      </c>
      <c r="C717" s="4">
        <f>46.665 * CHOOSE(CONTROL!$C$9, $C$13, 100%, $E$13) + CHOOSE(CONTROL!$C$28, 0.0136, 0)</f>
        <v>46.678599999999996</v>
      </c>
      <c r="D717" s="4">
        <f>65.625 * CHOOSE(CONTROL!$C$9, $C$13, 100%, $E$13) + CHOOSE(CONTROL!$C$28, 0, 0)</f>
        <v>65.625</v>
      </c>
      <c r="E717" s="4">
        <f>322.288904803884 * CHOOSE(CONTROL!$C$9, $C$13, 100%, $E$13) + CHOOSE(CONTROL!$C$28, 0, 0)</f>
        <v>322.28890480388401</v>
      </c>
    </row>
    <row r="718" spans="1:5" ht="15">
      <c r="A718" s="13">
        <v>63370</v>
      </c>
      <c r="B718" s="4">
        <f>47.1747 * CHOOSE(CONTROL!$C$9, $C$13, 100%, $E$13) + CHOOSE(CONTROL!$C$28, 0.0136, 0)</f>
        <v>47.188299999999998</v>
      </c>
      <c r="C718" s="4">
        <f>46.8114 * CHOOSE(CONTROL!$C$9, $C$13, 100%, $E$13) + CHOOSE(CONTROL!$C$28, 0.0136, 0)</f>
        <v>46.824999999999996</v>
      </c>
      <c r="D718" s="4">
        <f>66.2136 * CHOOSE(CONTROL!$C$9, $C$13, 100%, $E$13) + CHOOSE(CONTROL!$C$28, 0, 0)</f>
        <v>66.2136</v>
      </c>
      <c r="E718" s="4">
        <f>323.308670808608 * CHOOSE(CONTROL!$C$9, $C$13, 100%, $E$13) + CHOOSE(CONTROL!$C$28, 0, 0)</f>
        <v>323.30867080860799</v>
      </c>
    </row>
    <row r="719" spans="1:5" ht="15">
      <c r="A719" s="13">
        <v>63401</v>
      </c>
      <c r="B719" s="4">
        <f>47.1599 * CHOOSE(CONTROL!$C$9, $C$13, 100%, $E$13) + CHOOSE(CONTROL!$C$28, 0.0136, 0)</f>
        <v>47.173499999999997</v>
      </c>
      <c r="C719" s="4">
        <f>46.7966 * CHOOSE(CONTROL!$C$9, $C$13, 100%, $E$13) + CHOOSE(CONTROL!$C$28, 0.0136, 0)</f>
        <v>46.810199999999995</v>
      </c>
      <c r="D719" s="4">
        <f>67.2756 * CHOOSE(CONTROL!$C$9, $C$13, 100%, $E$13) + CHOOSE(CONTROL!$C$28, 0, 0)</f>
        <v>67.275599999999997</v>
      </c>
      <c r="E719" s="4">
        <f>323.205837261913 * CHOOSE(CONTROL!$C$9, $C$13, 100%, $E$13) + CHOOSE(CONTROL!$C$28, 0, 0)</f>
        <v>323.20583726191302</v>
      </c>
    </row>
    <row r="720" spans="1:5" ht="15">
      <c r="A720" s="13">
        <v>63432</v>
      </c>
      <c r="B720" s="4">
        <f>48.2705 * CHOOSE(CONTROL!$C$9, $C$13, 100%, $E$13) + CHOOSE(CONTROL!$C$28, 0.0136, 0)</f>
        <v>48.284099999999995</v>
      </c>
      <c r="C720" s="4">
        <f>47.9072 * CHOOSE(CONTROL!$C$9, $C$13, 100%, $E$13) + CHOOSE(CONTROL!$C$28, 0.0136, 0)</f>
        <v>47.9208</v>
      </c>
      <c r="D720" s="4">
        <f>66.5742 * CHOOSE(CONTROL!$C$9, $C$13, 100%, $E$13) + CHOOSE(CONTROL!$C$28, 0, 0)</f>
        <v>66.574200000000005</v>
      </c>
      <c r="E720" s="4">
        <f>330.9440616507 * CHOOSE(CONTROL!$C$9, $C$13, 100%, $E$13) + CHOOSE(CONTROL!$C$28, 0, 0)</f>
        <v>330.94406165070001</v>
      </c>
    </row>
    <row r="721" spans="1:5" ht="15">
      <c r="A721" s="13">
        <v>63462</v>
      </c>
      <c r="B721" s="4">
        <f>46.3777 * CHOOSE(CONTROL!$C$9, $C$13, 100%, $E$13) + CHOOSE(CONTROL!$C$28, 0.0136, 0)</f>
        <v>46.391299999999994</v>
      </c>
      <c r="C721" s="4">
        <f>46.0144 * CHOOSE(CONTROL!$C$9, $C$13, 100%, $E$13) + CHOOSE(CONTROL!$C$28, 0.0136, 0)</f>
        <v>46.027999999999999</v>
      </c>
      <c r="D721" s="4">
        <f>66.2429 * CHOOSE(CONTROL!$C$9, $C$13, 100%, $E$13) + CHOOSE(CONTROL!$C$28, 0, 0)</f>
        <v>66.242900000000006</v>
      </c>
      <c r="E721" s="4">
        <f>317.755659287086 * CHOOSE(CONTROL!$C$9, $C$13, 100%, $E$13) + CHOOSE(CONTROL!$C$28, 0, 0)</f>
        <v>317.75565928708602</v>
      </c>
    </row>
    <row r="722" spans="1:5" ht="15">
      <c r="A722" s="13">
        <v>63493</v>
      </c>
      <c r="B722" s="4">
        <f>44.8625 * CHOOSE(CONTROL!$C$9, $C$13, 100%, $E$13) + CHOOSE(CONTROL!$C$28, 0.0003, 0)</f>
        <v>44.8628</v>
      </c>
      <c r="C722" s="4">
        <f>44.4992 * CHOOSE(CONTROL!$C$9, $C$13, 100%, $E$13) + CHOOSE(CONTROL!$C$28, 0.0003, 0)</f>
        <v>44.499500000000005</v>
      </c>
      <c r="D722" s="4">
        <f>65.3556 * CHOOSE(CONTROL!$C$9, $C$13, 100%, $E$13) + CHOOSE(CONTROL!$C$28, 0, 0)</f>
        <v>65.355599999999995</v>
      </c>
      <c r="E722" s="4">
        <f>307.198081826414 * CHOOSE(CONTROL!$C$9, $C$13, 100%, $E$13) + CHOOSE(CONTROL!$C$28, 0, 0)</f>
        <v>307.19808182641401</v>
      </c>
    </row>
    <row r="723" spans="1:5" ht="15">
      <c r="A723" s="13">
        <v>63523</v>
      </c>
      <c r="B723" s="4">
        <f>43.8866 * CHOOSE(CONTROL!$C$9, $C$13, 100%, $E$13) + CHOOSE(CONTROL!$C$28, 0.0003, 0)</f>
        <v>43.886900000000004</v>
      </c>
      <c r="C723" s="4">
        <f>43.5233 * CHOOSE(CONTROL!$C$9, $C$13, 100%, $E$13) + CHOOSE(CONTROL!$C$28, 0.0003, 0)</f>
        <v>43.523600000000002</v>
      </c>
      <c r="D723" s="4">
        <f>65.0506 * CHOOSE(CONTROL!$C$9, $C$13, 100%, $E$13) + CHOOSE(CONTROL!$C$28, 0, 0)</f>
        <v>65.050600000000003</v>
      </c>
      <c r="E723" s="4">
        <f>300.398213551217 * CHOOSE(CONTROL!$C$9, $C$13, 100%, $E$13) + CHOOSE(CONTROL!$C$28, 0, 0)</f>
        <v>300.398213551217</v>
      </c>
    </row>
    <row r="724" spans="1:5" ht="15">
      <c r="A724" s="13">
        <v>63554</v>
      </c>
      <c r="B724" s="4">
        <f>43.2114 * CHOOSE(CONTROL!$C$9, $C$13, 100%, $E$13) + CHOOSE(CONTROL!$C$28, 0.0003, 0)</f>
        <v>43.2117</v>
      </c>
      <c r="C724" s="4">
        <f>42.8481 * CHOOSE(CONTROL!$C$9, $C$13, 100%, $E$13) + CHOOSE(CONTROL!$C$28, 0.0003, 0)</f>
        <v>42.848400000000005</v>
      </c>
      <c r="D724" s="4">
        <f>62.8049 * CHOOSE(CONTROL!$C$9, $C$13, 100%, $E$13) + CHOOSE(CONTROL!$C$28, 0, 0)</f>
        <v>62.804900000000004</v>
      </c>
      <c r="E724" s="4">
        <f>295.693578789928 * CHOOSE(CONTROL!$C$9, $C$13, 100%, $E$13) + CHOOSE(CONTROL!$C$28, 0, 0)</f>
        <v>295.69357878992798</v>
      </c>
    </row>
    <row r="725" spans="1:5" ht="15">
      <c r="A725" s="13">
        <v>63585</v>
      </c>
      <c r="B725" s="4">
        <f>41.364 * CHOOSE(CONTROL!$C$9, $C$13, 100%, $E$13) + CHOOSE(CONTROL!$C$28, 0.0003, 0)</f>
        <v>41.3643</v>
      </c>
      <c r="C725" s="4">
        <f>41.0007 * CHOOSE(CONTROL!$C$9, $C$13, 100%, $E$13) + CHOOSE(CONTROL!$C$28, 0.0003, 0)</f>
        <v>41.001000000000005</v>
      </c>
      <c r="D725" s="4">
        <f>60.3311 * CHOOSE(CONTROL!$C$9, $C$13, 100%, $E$13) + CHOOSE(CONTROL!$C$28, 0, 0)</f>
        <v>60.331099999999999</v>
      </c>
      <c r="E725" s="4">
        <f>283.376739709047 * CHOOSE(CONTROL!$C$9, $C$13, 100%, $E$13) + CHOOSE(CONTROL!$C$28, 0, 0)</f>
        <v>283.376739709047</v>
      </c>
    </row>
    <row r="726" spans="1:5" ht="15">
      <c r="A726" s="13">
        <v>63613</v>
      </c>
      <c r="B726" s="4">
        <f>42.3278 * CHOOSE(CONTROL!$C$9, $C$13, 100%, $E$13) + CHOOSE(CONTROL!$C$28, 0.0003, 0)</f>
        <v>42.328100000000006</v>
      </c>
      <c r="C726" s="4">
        <f>41.9645 * CHOOSE(CONTROL!$C$9, $C$13, 100%, $E$13) + CHOOSE(CONTROL!$C$28, 0.0003, 0)</f>
        <v>41.964800000000004</v>
      </c>
      <c r="D726" s="4">
        <f>62.3951 * CHOOSE(CONTROL!$C$9, $C$13, 100%, $E$13) + CHOOSE(CONTROL!$C$28, 0, 0)</f>
        <v>62.395099999999999</v>
      </c>
      <c r="E726" s="4">
        <f>290.105220271809 * CHOOSE(CONTROL!$C$9, $C$13, 100%, $E$13) + CHOOSE(CONTROL!$C$28, 0, 0)</f>
        <v>290.105220271809</v>
      </c>
    </row>
    <row r="727" spans="1:5" ht="15">
      <c r="A727" s="13">
        <v>63644</v>
      </c>
      <c r="B727" s="4">
        <f>44.8587 * CHOOSE(CONTROL!$C$9, $C$13, 100%, $E$13) + CHOOSE(CONTROL!$C$28, 0.0003, 0)</f>
        <v>44.859000000000002</v>
      </c>
      <c r="C727" s="4">
        <f>44.4954 * CHOOSE(CONTROL!$C$9, $C$13, 100%, $E$13) + CHOOSE(CONTROL!$C$28, 0.0003, 0)</f>
        <v>44.495699999999999</v>
      </c>
      <c r="D727" s="4">
        <f>65.6261 * CHOOSE(CONTROL!$C$9, $C$13, 100%, $E$13) + CHOOSE(CONTROL!$C$28, 0, 0)</f>
        <v>65.626099999999994</v>
      </c>
      <c r="E727" s="4">
        <f>307.774567802793 * CHOOSE(CONTROL!$C$9, $C$13, 100%, $E$13) + CHOOSE(CONTROL!$C$28, 0, 0)</f>
        <v>307.774567802793</v>
      </c>
    </row>
    <row r="728" spans="1:5" ht="15">
      <c r="A728" s="13">
        <v>63674</v>
      </c>
      <c r="B728" s="4">
        <f>46.657 * CHOOSE(CONTROL!$C$9, $C$13, 100%, $E$13) + CHOOSE(CONTROL!$C$28, 0.0003, 0)</f>
        <v>46.657299999999999</v>
      </c>
      <c r="C728" s="4">
        <f>46.2937 * CHOOSE(CONTROL!$C$9, $C$13, 100%, $E$13) + CHOOSE(CONTROL!$C$28, 0.0003, 0)</f>
        <v>46.294000000000004</v>
      </c>
      <c r="D728" s="4">
        <f>67.4872 * CHOOSE(CONTROL!$C$9, $C$13, 100%, $E$13) + CHOOSE(CONTROL!$C$28, 0, 0)</f>
        <v>67.487200000000001</v>
      </c>
      <c r="E728" s="4">
        <f>320.328874698575 * CHOOSE(CONTROL!$C$9, $C$13, 100%, $E$13) + CHOOSE(CONTROL!$C$28, 0, 0)</f>
        <v>320.32887469857502</v>
      </c>
    </row>
    <row r="729" spans="1:5" ht="15">
      <c r="A729" s="13">
        <v>63705</v>
      </c>
      <c r="B729" s="4">
        <f>47.7557 * CHOOSE(CONTROL!$C$9, $C$13, 100%, $E$13) + CHOOSE(CONTROL!$C$28, 0.0136, 0)</f>
        <v>47.769299999999994</v>
      </c>
      <c r="C729" s="4">
        <f>47.3924 * CHOOSE(CONTROL!$C$9, $C$13, 100%, $E$13) + CHOOSE(CONTROL!$C$28, 0.0136, 0)</f>
        <v>47.405999999999999</v>
      </c>
      <c r="D729" s="4">
        <f>66.7518 * CHOOSE(CONTROL!$C$9, $C$13, 100%, $E$13) + CHOOSE(CONTROL!$C$28, 0, 0)</f>
        <v>66.751800000000003</v>
      </c>
      <c r="E729" s="4">
        <f>327.999255327154 * CHOOSE(CONTROL!$C$9, $C$13, 100%, $E$13) + CHOOSE(CONTROL!$C$28, 0, 0)</f>
        <v>327.999255327154</v>
      </c>
    </row>
    <row r="730" spans="1:5" ht="15">
      <c r="A730" s="13">
        <v>63735</v>
      </c>
      <c r="B730" s="4">
        <f>47.9043 * CHOOSE(CONTROL!$C$9, $C$13, 100%, $E$13) + CHOOSE(CONTROL!$C$28, 0.0136, 0)</f>
        <v>47.917899999999996</v>
      </c>
      <c r="C730" s="4">
        <f>47.5411 * CHOOSE(CONTROL!$C$9, $C$13, 100%, $E$13) + CHOOSE(CONTROL!$C$28, 0.0136, 0)</f>
        <v>47.554699999999997</v>
      </c>
      <c r="D730" s="4">
        <f>67.3508 * CHOOSE(CONTROL!$C$9, $C$13, 100%, $E$13) + CHOOSE(CONTROL!$C$28, 0, 0)</f>
        <v>67.350800000000007</v>
      </c>
      <c r="E730" s="4">
        <f>329.037089658934 * CHOOSE(CONTROL!$C$9, $C$13, 100%, $E$13) + CHOOSE(CONTROL!$C$28, 0, 0)</f>
        <v>329.03708965893401</v>
      </c>
    </row>
    <row r="731" spans="1:5" ht="15">
      <c r="A731" s="13">
        <v>63766</v>
      </c>
      <c r="B731" s="4">
        <f>47.8893 * CHOOSE(CONTROL!$C$9, $C$13, 100%, $E$13) + CHOOSE(CONTROL!$C$28, 0.0136, 0)</f>
        <v>47.902899999999995</v>
      </c>
      <c r="C731" s="4">
        <f>47.5261 * CHOOSE(CONTROL!$C$9, $C$13, 100%, $E$13) + CHOOSE(CONTROL!$C$28, 0.0136, 0)</f>
        <v>47.539699999999996</v>
      </c>
      <c r="D731" s="4">
        <f>68.4315 * CHOOSE(CONTROL!$C$9, $C$13, 100%, $E$13) + CHOOSE(CONTROL!$C$28, 0, 0)</f>
        <v>68.4315</v>
      </c>
      <c r="E731" s="4">
        <f>328.932434096066 * CHOOSE(CONTROL!$C$9, $C$13, 100%, $E$13) + CHOOSE(CONTROL!$C$28, 0, 0)</f>
        <v>328.932434096066</v>
      </c>
    </row>
    <row r="732" spans="1:5" ht="15">
      <c r="A732" s="13">
        <v>63797</v>
      </c>
      <c r="B732" s="4">
        <f>49.0174 * CHOOSE(CONTROL!$C$9, $C$13, 100%, $E$13) + CHOOSE(CONTROL!$C$28, 0.0136, 0)</f>
        <v>49.030999999999999</v>
      </c>
      <c r="C732" s="4">
        <f>48.6541 * CHOOSE(CONTROL!$C$9, $C$13, 100%, $E$13) + CHOOSE(CONTROL!$C$28, 0.0136, 0)</f>
        <v>48.667699999999996</v>
      </c>
      <c r="D732" s="4">
        <f>67.7178 * CHOOSE(CONTROL!$C$9, $C$13, 100%, $E$13) + CHOOSE(CONTROL!$C$28, 0, 0)</f>
        <v>67.717799999999997</v>
      </c>
      <c r="E732" s="4">
        <f>336.807765201929 * CHOOSE(CONTROL!$C$9, $C$13, 100%, $E$13) + CHOOSE(CONTROL!$C$28, 0, 0)</f>
        <v>336.80776520192899</v>
      </c>
    </row>
    <row r="733" spans="1:5" ht="15">
      <c r="A733" s="13">
        <v>63827</v>
      </c>
      <c r="B733" s="4">
        <f>47.0948 * CHOOSE(CONTROL!$C$9, $C$13, 100%, $E$13) + CHOOSE(CONTROL!$C$28, 0.0136, 0)</f>
        <v>47.108399999999996</v>
      </c>
      <c r="C733" s="4">
        <f>46.7316 * CHOOSE(CONTROL!$C$9, $C$13, 100%, $E$13) + CHOOSE(CONTROL!$C$28, 0.0136, 0)</f>
        <v>46.745199999999997</v>
      </c>
      <c r="D733" s="4">
        <f>67.3806 * CHOOSE(CONTROL!$C$9, $C$13, 100%, $E$13) + CHOOSE(CONTROL!$C$28, 0, 0)</f>
        <v>67.380600000000001</v>
      </c>
      <c r="E733" s="4">
        <f>323.385689264029 * CHOOSE(CONTROL!$C$9, $C$13, 100%, $E$13) + CHOOSE(CONTROL!$C$28, 0, 0)</f>
        <v>323.385689264029</v>
      </c>
    </row>
    <row r="734" spans="1:5" ht="15">
      <c r="A734" s="13">
        <v>63858</v>
      </c>
      <c r="B734" s="4">
        <f>45.5558 * CHOOSE(CONTROL!$C$9, $C$13, 100%, $E$13) + CHOOSE(CONTROL!$C$28, 0.0003, 0)</f>
        <v>45.556100000000001</v>
      </c>
      <c r="C734" s="4">
        <f>45.1925 * CHOOSE(CONTROL!$C$9, $C$13, 100%, $E$13) + CHOOSE(CONTROL!$C$28, 0.0003, 0)</f>
        <v>45.192800000000005</v>
      </c>
      <c r="D734" s="4">
        <f>66.4776 * CHOOSE(CONTROL!$C$9, $C$13, 100%, $E$13) + CHOOSE(CONTROL!$C$28, 0, 0)</f>
        <v>66.477599999999995</v>
      </c>
      <c r="E734" s="4">
        <f>312.641051476184 * CHOOSE(CONTROL!$C$9, $C$13, 100%, $E$13) + CHOOSE(CONTROL!$C$28, 0, 0)</f>
        <v>312.64105147618397</v>
      </c>
    </row>
    <row r="735" spans="1:5" ht="15">
      <c r="A735" s="13">
        <v>63888</v>
      </c>
      <c r="B735" s="4">
        <f>44.5645 * CHOOSE(CONTROL!$C$9, $C$13, 100%, $E$13) + CHOOSE(CONTROL!$C$28, 0.0003, 0)</f>
        <v>44.564800000000005</v>
      </c>
      <c r="C735" s="4">
        <f>44.2012 * CHOOSE(CONTROL!$C$9, $C$13, 100%, $E$13) + CHOOSE(CONTROL!$C$28, 0.0003, 0)</f>
        <v>44.201500000000003</v>
      </c>
      <c r="D735" s="4">
        <f>66.1672 * CHOOSE(CONTROL!$C$9, $C$13, 100%, $E$13) + CHOOSE(CONTROL!$C$28, 0, 0)</f>
        <v>66.167199999999994</v>
      </c>
      <c r="E735" s="4">
        <f>305.720702381497 * CHOOSE(CONTROL!$C$9, $C$13, 100%, $E$13) + CHOOSE(CONTROL!$C$28, 0, 0)</f>
        <v>305.72070238149701</v>
      </c>
    </row>
    <row r="736" spans="1:5" ht="15">
      <c r="A736" s="13">
        <v>63919</v>
      </c>
      <c r="B736" s="4">
        <f>43.8787 * CHOOSE(CONTROL!$C$9, $C$13, 100%, $E$13) + CHOOSE(CONTROL!$C$28, 0.0003, 0)</f>
        <v>43.879000000000005</v>
      </c>
      <c r="C736" s="4">
        <f>43.5154 * CHOOSE(CONTROL!$C$9, $C$13, 100%, $E$13) + CHOOSE(CONTROL!$C$28, 0.0003, 0)</f>
        <v>43.515700000000002</v>
      </c>
      <c r="D736" s="4">
        <f>63.8819 * CHOOSE(CONTROL!$C$9, $C$13, 100%, $E$13) + CHOOSE(CONTROL!$C$28, 0, 0)</f>
        <v>63.881900000000002</v>
      </c>
      <c r="E736" s="4">
        <f>300.932710380258 * CHOOSE(CONTROL!$C$9, $C$13, 100%, $E$13) + CHOOSE(CONTROL!$C$28, 0, 0)</f>
        <v>300.93271038025802</v>
      </c>
    </row>
    <row r="737" spans="1:5" ht="15">
      <c r="A737" s="13">
        <v>63950</v>
      </c>
      <c r="B737" s="4">
        <f>42.0023 * CHOOSE(CONTROL!$C$9, $C$13, 100%, $E$13) + CHOOSE(CONTROL!$C$28, 0.0003, 0)</f>
        <v>42.002600000000001</v>
      </c>
      <c r="C737" s="4">
        <f>41.639 * CHOOSE(CONTROL!$C$9, $C$13, 100%, $E$13) + CHOOSE(CONTROL!$C$28, 0.0003, 0)</f>
        <v>41.639300000000006</v>
      </c>
      <c r="D737" s="4">
        <f>61.3644 * CHOOSE(CONTROL!$C$9, $C$13, 100%, $E$13) + CHOOSE(CONTROL!$C$28, 0, 0)</f>
        <v>61.364400000000003</v>
      </c>
      <c r="E737" s="4">
        <f>288.397640179899 * CHOOSE(CONTROL!$C$9, $C$13, 100%, $E$13) + CHOOSE(CONTROL!$C$28, 0, 0)</f>
        <v>288.39764017989899</v>
      </c>
    </row>
    <row r="738" spans="1:5" ht="15">
      <c r="A738" s="13">
        <v>63978</v>
      </c>
      <c r="B738" s="4">
        <f>42.9812 * CHOOSE(CONTROL!$C$9, $C$13, 100%, $E$13) + CHOOSE(CONTROL!$C$28, 0.0003, 0)</f>
        <v>42.981500000000004</v>
      </c>
      <c r="C738" s="4">
        <f>42.6179 * CHOOSE(CONTROL!$C$9, $C$13, 100%, $E$13) + CHOOSE(CONTROL!$C$28, 0.0003, 0)</f>
        <v>42.618200000000002</v>
      </c>
      <c r="D738" s="4">
        <f>63.4648 * CHOOSE(CONTROL!$C$9, $C$13, 100%, $E$13) + CHOOSE(CONTROL!$C$28, 0, 0)</f>
        <v>63.464799999999997</v>
      </c>
      <c r="E738" s="4">
        <f>295.245336706753 * CHOOSE(CONTROL!$C$9, $C$13, 100%, $E$13) + CHOOSE(CONTROL!$C$28, 0, 0)</f>
        <v>295.24533670675299</v>
      </c>
    </row>
    <row r="739" spans="1:5" ht="15">
      <c r="A739" s="13">
        <v>64009</v>
      </c>
      <c r="B739" s="4">
        <f>45.552 * CHOOSE(CONTROL!$C$9, $C$13, 100%, $E$13) + CHOOSE(CONTROL!$C$28, 0.0003, 0)</f>
        <v>45.552300000000002</v>
      </c>
      <c r="C739" s="4">
        <f>45.1887 * CHOOSE(CONTROL!$C$9, $C$13, 100%, $E$13) + CHOOSE(CONTROL!$C$28, 0.0003, 0)</f>
        <v>45.189</v>
      </c>
      <c r="D739" s="4">
        <f>66.7529 * CHOOSE(CONTROL!$C$9, $C$13, 100%, $E$13) + CHOOSE(CONTROL!$C$28, 0, 0)</f>
        <v>66.752899999999997</v>
      </c>
      <c r="E739" s="4">
        <f>313.227751694964 * CHOOSE(CONTROL!$C$9, $C$13, 100%, $E$13) + CHOOSE(CONTROL!$C$28, 0, 0)</f>
        <v>313.22775169496401</v>
      </c>
    </row>
    <row r="740" spans="1:5" ht="15">
      <c r="A740" s="13">
        <v>64039</v>
      </c>
      <c r="B740" s="4">
        <f>47.3785 * CHOOSE(CONTROL!$C$9, $C$13, 100%, $E$13) + CHOOSE(CONTROL!$C$28, 0.0003, 0)</f>
        <v>47.378800000000005</v>
      </c>
      <c r="C740" s="4">
        <f>47.0152 * CHOOSE(CONTROL!$C$9, $C$13, 100%, $E$13) + CHOOSE(CONTROL!$C$28, 0.0003, 0)</f>
        <v>47.015500000000003</v>
      </c>
      <c r="D740" s="4">
        <f>68.6469 * CHOOSE(CONTROL!$C$9, $C$13, 100%, $E$13) + CHOOSE(CONTROL!$C$28, 0, 0)</f>
        <v>68.646900000000002</v>
      </c>
      <c r="E740" s="4">
        <f>326.004497191278 * CHOOSE(CONTROL!$C$9, $C$13, 100%, $E$13) + CHOOSE(CONTROL!$C$28, 0, 0)</f>
        <v>326.00449719127801</v>
      </c>
    </row>
    <row r="741" spans="1:5" ht="15">
      <c r="A741" s="13">
        <v>64070</v>
      </c>
      <c r="B741" s="4">
        <f>48.4945 * CHOOSE(CONTROL!$C$9, $C$13, 100%, $E$13) + CHOOSE(CONTROL!$C$28, 0.0136, 0)</f>
        <v>48.508099999999999</v>
      </c>
      <c r="C741" s="4">
        <f>48.1312 * CHOOSE(CONTROL!$C$9, $C$13, 100%, $E$13) + CHOOSE(CONTROL!$C$28, 0.0136, 0)</f>
        <v>48.144799999999996</v>
      </c>
      <c r="D741" s="4">
        <f>67.8985 * CHOOSE(CONTROL!$C$9, $C$13, 100%, $E$13) + CHOOSE(CONTROL!$C$28, 0, 0)</f>
        <v>67.898499999999999</v>
      </c>
      <c r="E741" s="4">
        <f>333.810782473673 * CHOOSE(CONTROL!$C$9, $C$13, 100%, $E$13) + CHOOSE(CONTROL!$C$28, 0, 0)</f>
        <v>333.81078247367299</v>
      </c>
    </row>
    <row r="742" spans="1:5" ht="15">
      <c r="A742" s="13">
        <v>64100</v>
      </c>
      <c r="B742" s="4">
        <f>48.6455 * CHOOSE(CONTROL!$C$9, $C$13, 100%, $E$13) + CHOOSE(CONTROL!$C$28, 0.0136, 0)</f>
        <v>48.659099999999995</v>
      </c>
      <c r="C742" s="4">
        <f>48.2822 * CHOOSE(CONTROL!$C$9, $C$13, 100%, $E$13) + CHOOSE(CONTROL!$C$28, 0.0136, 0)</f>
        <v>48.2958</v>
      </c>
      <c r="D742" s="4">
        <f>68.508 * CHOOSE(CONTROL!$C$9, $C$13, 100%, $E$13) + CHOOSE(CONTROL!$C$28, 0, 0)</f>
        <v>68.507999999999996</v>
      </c>
      <c r="E742" s="4">
        <f>334.867005269131 * CHOOSE(CONTROL!$C$9, $C$13, 100%, $E$13) + CHOOSE(CONTROL!$C$28, 0, 0)</f>
        <v>334.86700526913103</v>
      </c>
    </row>
    <row r="743" spans="1:5" ht="15">
      <c r="A743" s="13">
        <v>64131</v>
      </c>
      <c r="B743" s="4">
        <f>48.6302 * CHOOSE(CONTROL!$C$9, $C$13, 100%, $E$13) + CHOOSE(CONTROL!$C$28, 0.0136, 0)</f>
        <v>48.643799999999999</v>
      </c>
      <c r="C743" s="4">
        <f>48.267 * CHOOSE(CONTROL!$C$9, $C$13, 100%, $E$13) + CHOOSE(CONTROL!$C$28, 0.0136, 0)</f>
        <v>48.2806</v>
      </c>
      <c r="D743" s="4">
        <f>69.6078 * CHOOSE(CONTROL!$C$9, $C$13, 100%, $E$13) + CHOOSE(CONTROL!$C$28, 0, 0)</f>
        <v>69.607799999999997</v>
      </c>
      <c r="E743" s="4">
        <f>334.760495407404 * CHOOSE(CONTROL!$C$9, $C$13, 100%, $E$13) + CHOOSE(CONTROL!$C$28, 0, 0)</f>
        <v>334.76049540740399</v>
      </c>
    </row>
    <row r="744" spans="1:5" ht="15">
      <c r="A744" s="13">
        <v>64162</v>
      </c>
      <c r="B744" s="4">
        <f>49.776 * CHOOSE(CONTROL!$C$9, $C$13, 100%, $E$13) + CHOOSE(CONTROL!$C$28, 0.0136, 0)</f>
        <v>49.7896</v>
      </c>
      <c r="C744" s="4">
        <f>49.4127 * CHOOSE(CONTROL!$C$9, $C$13, 100%, $E$13) + CHOOSE(CONTROL!$C$28, 0.0136, 0)</f>
        <v>49.426299999999998</v>
      </c>
      <c r="D744" s="4">
        <f>68.8815 * CHOOSE(CONTROL!$C$9, $C$13, 100%, $E$13) + CHOOSE(CONTROL!$C$28, 0, 0)</f>
        <v>68.881500000000003</v>
      </c>
      <c r="E744" s="4">
        <f>342.775362502347 * CHOOSE(CONTROL!$C$9, $C$13, 100%, $E$13) + CHOOSE(CONTROL!$C$28, 0, 0)</f>
        <v>342.77536250234698</v>
      </c>
    </row>
    <row r="745" spans="1:5" ht="15">
      <c r="A745" s="13">
        <v>64192</v>
      </c>
      <c r="B745" s="4">
        <f>47.8232 * CHOOSE(CONTROL!$C$9, $C$13, 100%, $E$13) + CHOOSE(CONTROL!$C$28, 0.0136, 0)</f>
        <v>47.836799999999997</v>
      </c>
      <c r="C745" s="4">
        <f>47.46 * CHOOSE(CONTROL!$C$9, $C$13, 100%, $E$13) + CHOOSE(CONTROL!$C$28, 0.0136, 0)</f>
        <v>47.473599999999998</v>
      </c>
      <c r="D745" s="4">
        <f>68.5383 * CHOOSE(CONTROL!$C$9, $C$13, 100%, $E$13) + CHOOSE(CONTROL!$C$28, 0, 0)</f>
        <v>68.538300000000007</v>
      </c>
      <c r="E745" s="4">
        <f>329.115472735882 * CHOOSE(CONTROL!$C$9, $C$13, 100%, $E$13) + CHOOSE(CONTROL!$C$28, 0, 0)</f>
        <v>329.11547273588201</v>
      </c>
    </row>
    <row r="746" spans="1:5" ht="15">
      <c r="A746" s="13">
        <v>64223</v>
      </c>
      <c r="B746" s="4">
        <f>46.26 * CHOOSE(CONTROL!$C$9, $C$13, 100%, $E$13) + CHOOSE(CONTROL!$C$28, 0.0003, 0)</f>
        <v>46.260300000000001</v>
      </c>
      <c r="C746" s="4">
        <f>45.8967 * CHOOSE(CONTROL!$C$9, $C$13, 100%, $E$13) + CHOOSE(CONTROL!$C$28, 0.0003, 0)</f>
        <v>45.897000000000006</v>
      </c>
      <c r="D746" s="4">
        <f>67.6195 * CHOOSE(CONTROL!$C$9, $C$13, 100%, $E$13) + CHOOSE(CONTROL!$C$28, 0, 0)</f>
        <v>67.619500000000002</v>
      </c>
      <c r="E746" s="4">
        <f>318.180460265262 * CHOOSE(CONTROL!$C$9, $C$13, 100%, $E$13) + CHOOSE(CONTROL!$C$28, 0, 0)</f>
        <v>318.18046026526201</v>
      </c>
    </row>
    <row r="747" spans="1:5" ht="15">
      <c r="A747" s="13">
        <v>64253</v>
      </c>
      <c r="B747" s="4">
        <f>45.2531 * CHOOSE(CONTROL!$C$9, $C$13, 100%, $E$13) + CHOOSE(CONTROL!$C$28, 0.0003, 0)</f>
        <v>45.253400000000006</v>
      </c>
      <c r="C747" s="4">
        <f>44.8898 * CHOOSE(CONTROL!$C$9, $C$13, 100%, $E$13) + CHOOSE(CONTROL!$C$28, 0.0003, 0)</f>
        <v>44.890100000000004</v>
      </c>
      <c r="D747" s="4">
        <f>67.3036 * CHOOSE(CONTROL!$C$9, $C$13, 100%, $E$13) + CHOOSE(CONTROL!$C$28, 0, 0)</f>
        <v>67.303600000000003</v>
      </c>
      <c r="E747" s="4">
        <f>311.137495658576 * CHOOSE(CONTROL!$C$9, $C$13, 100%, $E$13) + CHOOSE(CONTROL!$C$28, 0, 0)</f>
        <v>311.13749565857597</v>
      </c>
    </row>
    <row r="748" spans="1:5" ht="15">
      <c r="A748" s="13">
        <v>64284</v>
      </c>
      <c r="B748" s="4">
        <f>44.5565 * CHOOSE(CONTROL!$C$9, $C$13, 100%, $E$13) + CHOOSE(CONTROL!$C$28, 0.0003, 0)</f>
        <v>44.556800000000003</v>
      </c>
      <c r="C748" s="4">
        <f>44.1932 * CHOOSE(CONTROL!$C$9, $C$13, 100%, $E$13) + CHOOSE(CONTROL!$C$28, 0.0003, 0)</f>
        <v>44.1935</v>
      </c>
      <c r="D748" s="4">
        <f>64.9778 * CHOOSE(CONTROL!$C$9, $C$13, 100%, $E$13) + CHOOSE(CONTROL!$C$28, 0, 0)</f>
        <v>64.977800000000002</v>
      </c>
      <c r="E748" s="4">
        <f>306.264669484573 * CHOOSE(CONTROL!$C$9, $C$13, 100%, $E$13) + CHOOSE(CONTROL!$C$28, 0, 0)</f>
        <v>306.26466948457301</v>
      </c>
    </row>
    <row r="749" spans="1:5" ht="15">
      <c r="A749" s="13">
        <v>64315</v>
      </c>
      <c r="B749" s="4">
        <f>42.6506 * CHOOSE(CONTROL!$C$9, $C$13, 100%, $E$13) + CHOOSE(CONTROL!$C$28, 0.0003, 0)</f>
        <v>42.6509</v>
      </c>
      <c r="C749" s="4">
        <f>42.2873 * CHOOSE(CONTROL!$C$9, $C$13, 100%, $E$13) + CHOOSE(CONTROL!$C$28, 0.0003, 0)</f>
        <v>42.287600000000005</v>
      </c>
      <c r="D749" s="4">
        <f>62.4159 * CHOOSE(CONTROL!$C$9, $C$13, 100%, $E$13) + CHOOSE(CONTROL!$C$28, 0, 0)</f>
        <v>62.415900000000001</v>
      </c>
      <c r="E749" s="4">
        <f>293.507501521583 * CHOOSE(CONTROL!$C$9, $C$13, 100%, $E$13) + CHOOSE(CONTROL!$C$28, 0, 0)</f>
        <v>293.50750152158298</v>
      </c>
    </row>
    <row r="750" spans="1:5" ht="15">
      <c r="A750" s="13">
        <v>64344</v>
      </c>
      <c r="B750" s="4">
        <f>43.6449 * CHOOSE(CONTROL!$C$9, $C$13, 100%, $E$13) + CHOOSE(CONTROL!$C$28, 0.0003, 0)</f>
        <v>43.645200000000003</v>
      </c>
      <c r="C750" s="4">
        <f>43.2816 * CHOOSE(CONTROL!$C$9, $C$13, 100%, $E$13) + CHOOSE(CONTROL!$C$28, 0.0003, 0)</f>
        <v>43.2819</v>
      </c>
      <c r="D750" s="4">
        <f>64.5534 * CHOOSE(CONTROL!$C$9, $C$13, 100%, $E$13) + CHOOSE(CONTROL!$C$28, 0, 0)</f>
        <v>64.553399999999996</v>
      </c>
      <c r="E750" s="4">
        <f>300.476526294189 * CHOOSE(CONTROL!$C$9, $C$13, 100%, $E$13) + CHOOSE(CONTROL!$C$28, 0, 0)</f>
        <v>300.476526294189</v>
      </c>
    </row>
    <row r="751" spans="1:5" ht="15">
      <c r="A751" s="13">
        <v>64375</v>
      </c>
      <c r="B751" s="4">
        <f>46.2561 * CHOOSE(CONTROL!$C$9, $C$13, 100%, $E$13) + CHOOSE(CONTROL!$C$28, 0.0003, 0)</f>
        <v>46.256400000000006</v>
      </c>
      <c r="C751" s="4">
        <f>45.8928 * CHOOSE(CONTROL!$C$9, $C$13, 100%, $E$13) + CHOOSE(CONTROL!$C$28, 0.0003, 0)</f>
        <v>45.893100000000004</v>
      </c>
      <c r="D751" s="4">
        <f>67.8996 * CHOOSE(CONTROL!$C$9, $C$13, 100%, $E$13) + CHOOSE(CONTROL!$C$28, 0, 0)</f>
        <v>67.899600000000007</v>
      </c>
      <c r="E751" s="4">
        <f>318.777555703522 * CHOOSE(CONTROL!$C$9, $C$13, 100%, $E$13) + CHOOSE(CONTROL!$C$28, 0, 0)</f>
        <v>318.77755570352201</v>
      </c>
    </row>
    <row r="752" spans="1:5" ht="15">
      <c r="A752" s="13">
        <v>64405</v>
      </c>
      <c r="B752" s="4">
        <f>48.1114 * CHOOSE(CONTROL!$C$9, $C$13, 100%, $E$13) + CHOOSE(CONTROL!$C$28, 0.0003, 0)</f>
        <v>48.111700000000006</v>
      </c>
      <c r="C752" s="4">
        <f>47.7481 * CHOOSE(CONTROL!$C$9, $C$13, 100%, $E$13) + CHOOSE(CONTROL!$C$28, 0.0003, 0)</f>
        <v>47.748400000000004</v>
      </c>
      <c r="D752" s="4">
        <f>69.8271 * CHOOSE(CONTROL!$C$9, $C$13, 100%, $E$13) + CHOOSE(CONTROL!$C$28, 0, 0)</f>
        <v>69.827100000000002</v>
      </c>
      <c r="E752" s="4">
        <f>331.780680992137 * CHOOSE(CONTROL!$C$9, $C$13, 100%, $E$13) + CHOOSE(CONTROL!$C$28, 0, 0)</f>
        <v>331.78068099213698</v>
      </c>
    </row>
    <row r="753" spans="1:5" ht="15">
      <c r="A753" s="13">
        <v>64436</v>
      </c>
      <c r="B753" s="4">
        <f>49.2449 * CHOOSE(CONTROL!$C$9, $C$13, 100%, $E$13) + CHOOSE(CONTROL!$C$28, 0.0136, 0)</f>
        <v>49.258499999999998</v>
      </c>
      <c r="C753" s="4">
        <f>48.8816 * CHOOSE(CONTROL!$C$9, $C$13, 100%, $E$13) + CHOOSE(CONTROL!$C$28, 0.0136, 0)</f>
        <v>48.895199999999996</v>
      </c>
      <c r="D753" s="4">
        <f>69.0654 * CHOOSE(CONTROL!$C$9, $C$13, 100%, $E$13) + CHOOSE(CONTROL!$C$28, 0, 0)</f>
        <v>69.065399999999997</v>
      </c>
      <c r="E753" s="4">
        <f>339.725278902061 * CHOOSE(CONTROL!$C$9, $C$13, 100%, $E$13) + CHOOSE(CONTROL!$C$28, 0, 0)</f>
        <v>339.72527890206101</v>
      </c>
    </row>
    <row r="754" spans="1:5" ht="15">
      <c r="A754" s="13">
        <v>64466</v>
      </c>
      <c r="B754" s="4">
        <f>49.3982 * CHOOSE(CONTROL!$C$9, $C$13, 100%, $E$13) + CHOOSE(CONTROL!$C$28, 0.0136, 0)</f>
        <v>49.411799999999999</v>
      </c>
      <c r="C754" s="4">
        <f>49.035 * CHOOSE(CONTROL!$C$9, $C$13, 100%, $E$13) + CHOOSE(CONTROL!$C$28, 0.0136, 0)</f>
        <v>49.048599999999993</v>
      </c>
      <c r="D754" s="4">
        <f>69.6857 * CHOOSE(CONTROL!$C$9, $C$13, 100%, $E$13) + CHOOSE(CONTROL!$C$28, 0, 0)</f>
        <v>69.685699999999997</v>
      </c>
      <c r="E754" s="4">
        <f>340.800215970033 * CHOOSE(CONTROL!$C$9, $C$13, 100%, $E$13) + CHOOSE(CONTROL!$C$28, 0, 0)</f>
        <v>340.80021597003298</v>
      </c>
    </row>
    <row r="755" spans="1:5" ht="15">
      <c r="A755" s="13">
        <v>64497</v>
      </c>
      <c r="B755" s="4">
        <f>49.3828 * CHOOSE(CONTROL!$C$9, $C$13, 100%, $E$13) + CHOOSE(CONTROL!$C$28, 0.0136, 0)</f>
        <v>49.3964</v>
      </c>
      <c r="C755" s="4">
        <f>49.0195 * CHOOSE(CONTROL!$C$9, $C$13, 100%, $E$13) + CHOOSE(CONTROL!$C$28, 0.0136, 0)</f>
        <v>49.033099999999997</v>
      </c>
      <c r="D755" s="4">
        <f>70.805 * CHOOSE(CONTROL!$C$9, $C$13, 100%, $E$13) + CHOOSE(CONTROL!$C$28, 0, 0)</f>
        <v>70.805000000000007</v>
      </c>
      <c r="E755" s="4">
        <f>340.691818954775 * CHOOSE(CONTROL!$C$9, $C$13, 100%, $E$13) + CHOOSE(CONTROL!$C$28, 0, 0)</f>
        <v>340.69181895477499</v>
      </c>
    </row>
    <row r="756" spans="1:5" ht="15">
      <c r="A756" s="13">
        <v>64528</v>
      </c>
      <c r="B756" s="4">
        <f>50.5466 * CHOOSE(CONTROL!$C$9, $C$13, 100%, $E$13) + CHOOSE(CONTROL!$C$28, 0.0136, 0)</f>
        <v>50.560199999999995</v>
      </c>
      <c r="C756" s="4">
        <f>50.1833 * CHOOSE(CONTROL!$C$9, $C$13, 100%, $E$13) + CHOOSE(CONTROL!$C$28, 0.0136, 0)</f>
        <v>50.196899999999999</v>
      </c>
      <c r="D756" s="4">
        <f>70.0658 * CHOOSE(CONTROL!$C$9, $C$13, 100%, $E$13) + CHOOSE(CONTROL!$C$28, 0, 0)</f>
        <v>70.065799999999996</v>
      </c>
      <c r="E756" s="4">
        <f>348.848694352913 * CHOOSE(CONTROL!$C$9, $C$13, 100%, $E$13) + CHOOSE(CONTROL!$C$28, 0, 0)</f>
        <v>348.84869435291301</v>
      </c>
    </row>
    <row r="757" spans="1:5" ht="15">
      <c r="A757" s="13">
        <v>64558</v>
      </c>
      <c r="B757" s="4">
        <f>48.5631 * CHOOSE(CONTROL!$C$9, $C$13, 100%, $E$13) + CHOOSE(CONTROL!$C$28, 0.0136, 0)</f>
        <v>48.576699999999995</v>
      </c>
      <c r="C757" s="4">
        <f>48.1998 * CHOOSE(CONTROL!$C$9, $C$13, 100%, $E$13) + CHOOSE(CONTROL!$C$28, 0.0136, 0)</f>
        <v>48.2134</v>
      </c>
      <c r="D757" s="4">
        <f>69.7166 * CHOOSE(CONTROL!$C$9, $C$13, 100%, $E$13) + CHOOSE(CONTROL!$C$28, 0, 0)</f>
        <v>69.7166</v>
      </c>
      <c r="E757" s="4">
        <f>334.94677714612 * CHOOSE(CONTROL!$C$9, $C$13, 100%, $E$13) + CHOOSE(CONTROL!$C$28, 0, 0)</f>
        <v>334.94677714611998</v>
      </c>
    </row>
    <row r="758" spans="1:5" ht="15">
      <c r="A758" s="13">
        <v>64589</v>
      </c>
      <c r="B758" s="4">
        <f>46.9753 * CHOOSE(CONTROL!$C$9, $C$13, 100%, $E$13) + CHOOSE(CONTROL!$C$28, 0.0003, 0)</f>
        <v>46.9756</v>
      </c>
      <c r="C758" s="4">
        <f>46.612 * CHOOSE(CONTROL!$C$9, $C$13, 100%, $E$13) + CHOOSE(CONTROL!$C$28, 0.0003, 0)</f>
        <v>46.612300000000005</v>
      </c>
      <c r="D758" s="4">
        <f>68.7815 * CHOOSE(CONTROL!$C$9, $C$13, 100%, $E$13) + CHOOSE(CONTROL!$C$28, 0, 0)</f>
        <v>68.781499999999994</v>
      </c>
      <c r="E758" s="4">
        <f>323.818016913002 * CHOOSE(CONTROL!$C$9, $C$13, 100%, $E$13) + CHOOSE(CONTROL!$C$28, 0, 0)</f>
        <v>323.818016913002</v>
      </c>
    </row>
    <row r="759" spans="1:5" ht="15">
      <c r="A759" s="13">
        <v>64619</v>
      </c>
      <c r="B759" s="4">
        <f>45.9526 * CHOOSE(CONTROL!$C$9, $C$13, 100%, $E$13) + CHOOSE(CONTROL!$C$28, 0.0003, 0)</f>
        <v>45.9529</v>
      </c>
      <c r="C759" s="4">
        <f>45.5893 * CHOOSE(CONTROL!$C$9, $C$13, 100%, $E$13) + CHOOSE(CONTROL!$C$28, 0.0003, 0)</f>
        <v>45.589600000000004</v>
      </c>
      <c r="D759" s="4">
        <f>68.46 * CHOOSE(CONTROL!$C$9, $C$13, 100%, $E$13) + CHOOSE(CONTROL!$C$28, 0, 0)</f>
        <v>68.459999999999994</v>
      </c>
      <c r="E759" s="4">
        <f>316.65026427909 * CHOOSE(CONTROL!$C$9, $C$13, 100%, $E$13) + CHOOSE(CONTROL!$C$28, 0, 0)</f>
        <v>316.65026427908998</v>
      </c>
    </row>
    <row r="760" spans="1:5" ht="15">
      <c r="A760" s="13">
        <v>64650</v>
      </c>
      <c r="B760" s="4">
        <f>45.245 * CHOOSE(CONTROL!$C$9, $C$13, 100%, $E$13) + CHOOSE(CONTROL!$C$28, 0.0003, 0)</f>
        <v>45.2453</v>
      </c>
      <c r="C760" s="4">
        <f>44.8817 * CHOOSE(CONTROL!$C$9, $C$13, 100%, $E$13) + CHOOSE(CONTROL!$C$28, 0.0003, 0)</f>
        <v>44.882000000000005</v>
      </c>
      <c r="D760" s="4">
        <f>66.0932 * CHOOSE(CONTROL!$C$9, $C$13, 100%, $E$13) + CHOOSE(CONTROL!$C$28, 0, 0)</f>
        <v>66.093199999999996</v>
      </c>
      <c r="E760" s="4">
        <f>311.691100831053 * CHOOSE(CONTROL!$C$9, $C$13, 100%, $E$13) + CHOOSE(CONTROL!$C$28, 0, 0)</f>
        <v>311.69110083105301</v>
      </c>
    </row>
    <row r="761" spans="1:5" ht="15">
      <c r="A761" s="13">
        <v>64681</v>
      </c>
      <c r="B761" s="4">
        <f>43.3091 * CHOOSE(CONTROL!$C$9, $C$13, 100%, $E$13) + CHOOSE(CONTROL!$C$28, 0.0003, 0)</f>
        <v>43.309400000000004</v>
      </c>
      <c r="C761" s="4">
        <f>42.9458 * CHOOSE(CONTROL!$C$9, $C$13, 100%, $E$13) + CHOOSE(CONTROL!$C$28, 0.0003, 0)</f>
        <v>42.946100000000001</v>
      </c>
      <c r="D761" s="4">
        <f>63.4859 * CHOOSE(CONTROL!$C$9, $C$13, 100%, $E$13) + CHOOSE(CONTROL!$C$28, 0, 0)</f>
        <v>63.485900000000001</v>
      </c>
      <c r="E761" s="4">
        <f>298.707899952666 * CHOOSE(CONTROL!$C$9, $C$13, 100%, $E$13) + CHOOSE(CONTROL!$C$28, 0, 0)</f>
        <v>298.70789995266603</v>
      </c>
    </row>
    <row r="762" spans="1:5" ht="15">
      <c r="A762" s="13">
        <v>64709</v>
      </c>
      <c r="B762" s="4">
        <f>44.3191 * CHOOSE(CONTROL!$C$9, $C$13, 100%, $E$13) + CHOOSE(CONTROL!$C$28, 0.0003, 0)</f>
        <v>44.319400000000002</v>
      </c>
      <c r="C762" s="4">
        <f>43.9558 * CHOOSE(CONTROL!$C$9, $C$13, 100%, $E$13) + CHOOSE(CONTROL!$C$28, 0.0003, 0)</f>
        <v>43.956100000000006</v>
      </c>
      <c r="D762" s="4">
        <f>65.6612 * CHOOSE(CONTROL!$C$9, $C$13, 100%, $E$13) + CHOOSE(CONTROL!$C$28, 0, 0)</f>
        <v>65.661199999999994</v>
      </c>
      <c r="E762" s="4">
        <f>305.800402678325 * CHOOSE(CONTROL!$C$9, $C$13, 100%, $E$13) + CHOOSE(CONTROL!$C$28, 0, 0)</f>
        <v>305.80040267832499</v>
      </c>
    </row>
    <row r="763" spans="1:5" ht="15">
      <c r="A763" s="13">
        <v>64740</v>
      </c>
      <c r="B763" s="4">
        <f>46.9713 * CHOOSE(CONTROL!$C$9, $C$13, 100%, $E$13) + CHOOSE(CONTROL!$C$28, 0.0003, 0)</f>
        <v>46.971600000000002</v>
      </c>
      <c r="C763" s="4">
        <f>46.608 * CHOOSE(CONTROL!$C$9, $C$13, 100%, $E$13) + CHOOSE(CONTROL!$C$28, 0.0003, 0)</f>
        <v>46.6083</v>
      </c>
      <c r="D763" s="4">
        <f>69.0665 * CHOOSE(CONTROL!$C$9, $C$13, 100%, $E$13) + CHOOSE(CONTROL!$C$28, 0, 0)</f>
        <v>69.066500000000005</v>
      </c>
      <c r="E763" s="4">
        <f>324.425691754392 * CHOOSE(CONTROL!$C$9, $C$13, 100%, $E$13) + CHOOSE(CONTROL!$C$28, 0, 0)</f>
        <v>324.42569175439201</v>
      </c>
    </row>
    <row r="764" spans="1:5" ht="15">
      <c r="A764" s="13">
        <v>64770</v>
      </c>
      <c r="B764" s="4">
        <f>48.8557 * CHOOSE(CONTROL!$C$9, $C$13, 100%, $E$13) + CHOOSE(CONTROL!$C$28, 0.0003, 0)</f>
        <v>48.856000000000002</v>
      </c>
      <c r="C764" s="4">
        <f>48.4925 * CHOOSE(CONTROL!$C$9, $C$13, 100%, $E$13) + CHOOSE(CONTROL!$C$28, 0.0003, 0)</f>
        <v>48.492800000000003</v>
      </c>
      <c r="D764" s="4">
        <f>71.0281 * CHOOSE(CONTROL!$C$9, $C$13, 100%, $E$13) + CHOOSE(CONTROL!$C$28, 0, 0)</f>
        <v>71.028099999999995</v>
      </c>
      <c r="E764" s="4">
        <f>337.65920785755 * CHOOSE(CONTROL!$C$9, $C$13, 100%, $E$13) + CHOOSE(CONTROL!$C$28, 0, 0)</f>
        <v>337.65920785754997</v>
      </c>
    </row>
    <row r="765" spans="1:5" ht="15">
      <c r="A765" s="13">
        <v>64801</v>
      </c>
      <c r="B765" s="4">
        <f>50.0071 * CHOOSE(CONTROL!$C$9, $C$13, 100%, $E$13) + CHOOSE(CONTROL!$C$28, 0.0136, 0)</f>
        <v>50.020699999999998</v>
      </c>
      <c r="C765" s="4">
        <f>49.6438 * CHOOSE(CONTROL!$C$9, $C$13, 100%, $E$13) + CHOOSE(CONTROL!$C$28, 0.0136, 0)</f>
        <v>49.657399999999996</v>
      </c>
      <c r="D765" s="4">
        <f>70.253 * CHOOSE(CONTROL!$C$9, $C$13, 100%, $E$13) + CHOOSE(CONTROL!$C$28, 0, 0)</f>
        <v>70.253</v>
      </c>
      <c r="E765" s="4">
        <f>345.744569033464 * CHOOSE(CONTROL!$C$9, $C$13, 100%, $E$13) + CHOOSE(CONTROL!$C$28, 0, 0)</f>
        <v>345.74456903346402</v>
      </c>
    </row>
    <row r="766" spans="1:5" ht="15">
      <c r="A766" s="13">
        <v>64831</v>
      </c>
      <c r="B766" s="4">
        <f>50.1629 * CHOOSE(CONTROL!$C$9, $C$13, 100%, $E$13) + CHOOSE(CONTROL!$C$28, 0.0136, 0)</f>
        <v>50.176499999999997</v>
      </c>
      <c r="C766" s="4">
        <f>49.7996 * CHOOSE(CONTROL!$C$9, $C$13, 100%, $E$13) + CHOOSE(CONTROL!$C$28, 0.0136, 0)</f>
        <v>49.813199999999995</v>
      </c>
      <c r="D766" s="4">
        <f>70.8842 * CHOOSE(CONTROL!$C$9, $C$13, 100%, $E$13) + CHOOSE(CONTROL!$C$28, 0, 0)</f>
        <v>70.884200000000007</v>
      </c>
      <c r="E766" s="4">
        <f>346.838551955503 * CHOOSE(CONTROL!$C$9, $C$13, 100%, $E$13) + CHOOSE(CONTROL!$C$28, 0, 0)</f>
        <v>346.83855195550302</v>
      </c>
    </row>
    <row r="767" spans="1:5" ht="15">
      <c r="A767" s="13">
        <v>64862</v>
      </c>
      <c r="B767" s="4">
        <f>50.1472 * CHOOSE(CONTROL!$C$9, $C$13, 100%, $E$13) + CHOOSE(CONTROL!$C$28, 0.0136, 0)</f>
        <v>50.160799999999995</v>
      </c>
      <c r="C767" s="4">
        <f>49.7839 * CHOOSE(CONTROL!$C$9, $C$13, 100%, $E$13) + CHOOSE(CONTROL!$C$28, 0.0136, 0)</f>
        <v>49.797499999999999</v>
      </c>
      <c r="D767" s="4">
        <f>72.0233 * CHOOSE(CONTROL!$C$9, $C$13, 100%, $E$13) + CHOOSE(CONTROL!$C$28, 0, 0)</f>
        <v>72.023300000000006</v>
      </c>
      <c r="E767" s="4">
        <f>346.728234349919 * CHOOSE(CONTROL!$C$9, $C$13, 100%, $E$13) + CHOOSE(CONTROL!$C$28, 0, 0)</f>
        <v>346.72823434991898</v>
      </c>
    </row>
    <row r="768" spans="1:5" ht="15">
      <c r="A768" s="13">
        <v>64893</v>
      </c>
      <c r="B768" s="4">
        <f>51.3293 * CHOOSE(CONTROL!$C$9, $C$13, 100%, $E$13) + CHOOSE(CONTROL!$C$28, 0.0136, 0)</f>
        <v>51.3429</v>
      </c>
      <c r="C768" s="4">
        <f>50.966 * CHOOSE(CONTROL!$C$9, $C$13, 100%, $E$13) + CHOOSE(CONTROL!$C$28, 0.0136, 0)</f>
        <v>50.979599999999998</v>
      </c>
      <c r="D768" s="4">
        <f>71.271 * CHOOSE(CONTROL!$C$9, $C$13, 100%, $E$13) + CHOOSE(CONTROL!$C$28, 0, 0)</f>
        <v>71.271000000000001</v>
      </c>
      <c r="E768" s="4">
        <f>355.029634170101 * CHOOSE(CONTROL!$C$9, $C$13, 100%, $E$13) + CHOOSE(CONTROL!$C$28, 0, 0)</f>
        <v>355.02963417010102</v>
      </c>
    </row>
    <row r="769" spans="1:5" ht="15">
      <c r="A769" s="13">
        <v>64923</v>
      </c>
      <c r="B769" s="4">
        <f>49.3146 * CHOOSE(CONTROL!$C$9, $C$13, 100%, $E$13) + CHOOSE(CONTROL!$C$28, 0.0136, 0)</f>
        <v>49.328199999999995</v>
      </c>
      <c r="C769" s="4">
        <f>48.9513 * CHOOSE(CONTROL!$C$9, $C$13, 100%, $E$13) + CHOOSE(CONTROL!$C$28, 0.0136, 0)</f>
        <v>48.9649</v>
      </c>
      <c r="D769" s="4">
        <f>70.9156 * CHOOSE(CONTROL!$C$9, $C$13, 100%, $E$13) + CHOOSE(CONTROL!$C$28, 0, 0)</f>
        <v>70.915599999999998</v>
      </c>
      <c r="E769" s="4">
        <f>340.881401253978 * CHOOSE(CONTROL!$C$9, $C$13, 100%, $E$13) + CHOOSE(CONTROL!$C$28, 0, 0)</f>
        <v>340.88140125397803</v>
      </c>
    </row>
    <row r="770" spans="1:5" ht="15">
      <c r="A770" s="13">
        <v>64954</v>
      </c>
      <c r="B770" s="4">
        <f>47.7018 * CHOOSE(CONTROL!$C$9, $C$13, 100%, $E$13) + CHOOSE(CONTROL!$C$28, 0.0003, 0)</f>
        <v>47.702100000000002</v>
      </c>
      <c r="C770" s="4">
        <f>47.3385 * CHOOSE(CONTROL!$C$9, $C$13, 100%, $E$13) + CHOOSE(CONTROL!$C$28, 0.0003, 0)</f>
        <v>47.338800000000006</v>
      </c>
      <c r="D770" s="4">
        <f>69.964 * CHOOSE(CONTROL!$C$9, $C$13, 100%, $E$13) + CHOOSE(CONTROL!$C$28, 0, 0)</f>
        <v>69.963999999999999</v>
      </c>
      <c r="E770" s="4">
        <f>329.555460414039 * CHOOSE(CONTROL!$C$9, $C$13, 100%, $E$13) + CHOOSE(CONTROL!$C$28, 0, 0)</f>
        <v>329.55546041403898</v>
      </c>
    </row>
    <row r="771" spans="1:5" ht="15">
      <c r="A771" s="13">
        <v>64984</v>
      </c>
      <c r="B771" s="4">
        <f>46.663 * CHOOSE(CONTROL!$C$9, $C$13, 100%, $E$13) + CHOOSE(CONTROL!$C$28, 0.0003, 0)</f>
        <v>46.6633</v>
      </c>
      <c r="C771" s="4">
        <f>46.2997 * CHOOSE(CONTROL!$C$9, $C$13, 100%, $E$13) + CHOOSE(CONTROL!$C$28, 0.0003, 0)</f>
        <v>46.300000000000004</v>
      </c>
      <c r="D771" s="4">
        <f>69.6368 * CHOOSE(CONTROL!$C$9, $C$13, 100%, $E$13) + CHOOSE(CONTROL!$C$28, 0, 0)</f>
        <v>69.636799999999994</v>
      </c>
      <c r="E771" s="4">
        <f>322.26070874481 * CHOOSE(CONTROL!$C$9, $C$13, 100%, $E$13) + CHOOSE(CONTROL!$C$28, 0, 0)</f>
        <v>322.26070874481002</v>
      </c>
    </row>
    <row r="772" spans="1:5" ht="15">
      <c r="A772" s="13">
        <v>65015</v>
      </c>
      <c r="B772" s="4">
        <f>45.9443 * CHOOSE(CONTROL!$C$9, $C$13, 100%, $E$13) + CHOOSE(CONTROL!$C$28, 0.0003, 0)</f>
        <v>45.944600000000001</v>
      </c>
      <c r="C772" s="4">
        <f>45.581 * CHOOSE(CONTROL!$C$9, $C$13, 100%, $E$13) + CHOOSE(CONTROL!$C$28, 0.0003, 0)</f>
        <v>45.581300000000006</v>
      </c>
      <c r="D772" s="4">
        <f>67.2282 * CHOOSE(CONTROL!$C$9, $C$13, 100%, $E$13) + CHOOSE(CONTROL!$C$28, 0, 0)</f>
        <v>67.228200000000001</v>
      </c>
      <c r="E772" s="4">
        <f>317.213678289351 * CHOOSE(CONTROL!$C$9, $C$13, 100%, $E$13) + CHOOSE(CONTROL!$C$28, 0, 0)</f>
        <v>317.21367828935098</v>
      </c>
    </row>
    <row r="773" spans="1:5" ht="15">
      <c r="A773" s="13">
        <v>65046</v>
      </c>
      <c r="B773" s="4">
        <f>43.978 * CHOOSE(CONTROL!$C$9, $C$13, 100%, $E$13) + CHOOSE(CONTROL!$C$28, 0.0003, 0)</f>
        <v>43.978300000000004</v>
      </c>
      <c r="C773" s="4">
        <f>43.6147 * CHOOSE(CONTROL!$C$9, $C$13, 100%, $E$13) + CHOOSE(CONTROL!$C$28, 0.0003, 0)</f>
        <v>43.615000000000002</v>
      </c>
      <c r="D773" s="4">
        <f>64.5749 * CHOOSE(CONTROL!$C$9, $C$13, 100%, $E$13) + CHOOSE(CONTROL!$C$28, 0, 0)</f>
        <v>64.5749</v>
      </c>
      <c r="E773" s="4">
        <f>304.000439619328 * CHOOSE(CONTROL!$C$9, $C$13, 100%, $E$13) + CHOOSE(CONTROL!$C$28, 0, 0)</f>
        <v>304.00043961932801</v>
      </c>
    </row>
    <row r="774" spans="1:5" ht="15">
      <c r="A774" s="13">
        <v>65074</v>
      </c>
      <c r="B774" s="4">
        <f>45.0038 * CHOOSE(CONTROL!$C$9, $C$13, 100%, $E$13) + CHOOSE(CONTROL!$C$28, 0.0003, 0)</f>
        <v>45.004100000000001</v>
      </c>
      <c r="C774" s="4">
        <f>44.6406 * CHOOSE(CONTROL!$C$9, $C$13, 100%, $E$13) + CHOOSE(CONTROL!$C$28, 0.0003, 0)</f>
        <v>44.640900000000002</v>
      </c>
      <c r="D774" s="4">
        <f>66.7886 * CHOOSE(CONTROL!$C$9, $C$13, 100%, $E$13) + CHOOSE(CONTROL!$C$28, 0, 0)</f>
        <v>66.788600000000002</v>
      </c>
      <c r="E774" s="4">
        <f>311.218608094094 * CHOOSE(CONTROL!$C$9, $C$13, 100%, $E$13) + CHOOSE(CONTROL!$C$28, 0, 0)</f>
        <v>311.21860809409401</v>
      </c>
    </row>
    <row r="775" spans="1:5" ht="15">
      <c r="A775" s="13">
        <v>65105</v>
      </c>
      <c r="B775" s="4">
        <f>47.6978 * CHOOSE(CONTROL!$C$9, $C$13, 100%, $E$13) + CHOOSE(CONTROL!$C$28, 0.0003, 0)</f>
        <v>47.698100000000004</v>
      </c>
      <c r="C775" s="4">
        <f>47.3345 * CHOOSE(CONTROL!$C$9, $C$13, 100%, $E$13) + CHOOSE(CONTROL!$C$28, 0.0003, 0)</f>
        <v>47.334800000000001</v>
      </c>
      <c r="D775" s="4">
        <f>70.2541 * CHOOSE(CONTROL!$C$9, $C$13, 100%, $E$13) + CHOOSE(CONTROL!$C$28, 0, 0)</f>
        <v>70.254099999999994</v>
      </c>
      <c r="E775" s="4">
        <f>330.173902105597 * CHOOSE(CONTROL!$C$9, $C$13, 100%, $E$13) + CHOOSE(CONTROL!$C$28, 0, 0)</f>
        <v>330.17390210559699</v>
      </c>
    </row>
    <row r="776" spans="1:5" ht="15">
      <c r="A776" s="13">
        <v>65135</v>
      </c>
      <c r="B776" s="4">
        <f>49.6118 * CHOOSE(CONTROL!$C$9, $C$13, 100%, $E$13) + CHOOSE(CONTROL!$C$28, 0.0003, 0)</f>
        <v>49.612100000000005</v>
      </c>
      <c r="C776" s="4">
        <f>49.2485 * CHOOSE(CONTROL!$C$9, $C$13, 100%, $E$13) + CHOOSE(CONTROL!$C$28, 0.0003, 0)</f>
        <v>49.248800000000003</v>
      </c>
      <c r="D776" s="4">
        <f>72.2503 * CHOOSE(CONTROL!$C$9, $C$13, 100%, $E$13) + CHOOSE(CONTROL!$C$28, 0, 0)</f>
        <v>72.250299999999996</v>
      </c>
      <c r="E776" s="4">
        <f>343.641891113276 * CHOOSE(CONTROL!$C$9, $C$13, 100%, $E$13) + CHOOSE(CONTROL!$C$28, 0, 0)</f>
        <v>343.64189111327602</v>
      </c>
    </row>
    <row r="777" spans="1:5" ht="15">
      <c r="A777" s="13">
        <v>65166</v>
      </c>
      <c r="B777" s="4">
        <f>50.7813 * CHOOSE(CONTROL!$C$9, $C$13, 100%, $E$13) + CHOOSE(CONTROL!$C$28, 0.0136, 0)</f>
        <v>50.794899999999998</v>
      </c>
      <c r="C777" s="4">
        <f>50.418 * CHOOSE(CONTROL!$C$9, $C$13, 100%, $E$13) + CHOOSE(CONTROL!$C$28, 0.0136, 0)</f>
        <v>50.431599999999996</v>
      </c>
      <c r="D777" s="4">
        <f>71.4615 * CHOOSE(CONTROL!$C$9, $C$13, 100%, $E$13) + CHOOSE(CONTROL!$C$28, 0, 0)</f>
        <v>71.461500000000001</v>
      </c>
      <c r="E777" s="4">
        <f>351.870509614321 * CHOOSE(CONTROL!$C$9, $C$13, 100%, $E$13) + CHOOSE(CONTROL!$C$28, 0, 0)</f>
        <v>351.87050961432101</v>
      </c>
    </row>
    <row r="778" spans="1:5" ht="15">
      <c r="A778" s="13">
        <v>65196</v>
      </c>
      <c r="B778" s="4">
        <f>50.9395 * CHOOSE(CONTROL!$C$9, $C$13, 100%, $E$13) + CHOOSE(CONTROL!$C$28, 0.0136, 0)</f>
        <v>50.953099999999999</v>
      </c>
      <c r="C778" s="4">
        <f>50.5762 * CHOOSE(CONTROL!$C$9, $C$13, 100%, $E$13) + CHOOSE(CONTROL!$C$28, 0.0136, 0)</f>
        <v>50.589799999999997</v>
      </c>
      <c r="D778" s="4">
        <f>72.1039 * CHOOSE(CONTROL!$C$9, $C$13, 100%, $E$13) + CHOOSE(CONTROL!$C$28, 0, 0)</f>
        <v>72.103899999999996</v>
      </c>
      <c r="E778" s="4">
        <f>352.983875846981 * CHOOSE(CONTROL!$C$9, $C$13, 100%, $E$13) + CHOOSE(CONTROL!$C$28, 0, 0)</f>
        <v>352.98387584698099</v>
      </c>
    </row>
    <row r="779" spans="1:5" ht="15">
      <c r="A779" s="13">
        <v>65227</v>
      </c>
      <c r="B779" s="4">
        <f>50.9236 * CHOOSE(CONTROL!$C$9, $C$13, 100%, $E$13) + CHOOSE(CONTROL!$C$28, 0.0136, 0)</f>
        <v>50.937199999999997</v>
      </c>
      <c r="C779" s="4">
        <f>50.5603 * CHOOSE(CONTROL!$C$9, $C$13, 100%, $E$13) + CHOOSE(CONTROL!$C$28, 0.0136, 0)</f>
        <v>50.573899999999995</v>
      </c>
      <c r="D779" s="4">
        <f>73.2631 * CHOOSE(CONTROL!$C$9, $C$13, 100%, $E$13) + CHOOSE(CONTROL!$C$28, 0, 0)</f>
        <v>73.263099999999994</v>
      </c>
      <c r="E779" s="4">
        <f>352.871603621839 * CHOOSE(CONTROL!$C$9, $C$13, 100%, $E$13) + CHOOSE(CONTROL!$C$28, 0, 0)</f>
        <v>352.87160362183897</v>
      </c>
    </row>
    <row r="780" spans="1:5" ht="15">
      <c r="A780" s="13">
        <v>65258</v>
      </c>
      <c r="B780" s="4">
        <f>52.1243 * CHOOSE(CONTROL!$C$9, $C$13, 100%, $E$13) + CHOOSE(CONTROL!$C$28, 0.0136, 0)</f>
        <v>52.137899999999995</v>
      </c>
      <c r="C780" s="4">
        <f>51.761 * CHOOSE(CONTROL!$C$9, $C$13, 100%, $E$13) + CHOOSE(CONTROL!$C$28, 0.0136, 0)</f>
        <v>51.7746</v>
      </c>
      <c r="D780" s="4">
        <f>72.4976 * CHOOSE(CONTROL!$C$9, $C$13, 100%, $E$13) + CHOOSE(CONTROL!$C$28, 0, 0)</f>
        <v>72.497600000000006</v>
      </c>
      <c r="E780" s="4">
        <f>361.320088563787 * CHOOSE(CONTROL!$C$9, $C$13, 100%, $E$13) + CHOOSE(CONTROL!$C$28, 0, 0)</f>
        <v>361.32008856378701</v>
      </c>
    </row>
    <row r="781" spans="1:5" ht="15">
      <c r="A781" s="13">
        <v>65288</v>
      </c>
      <c r="B781" s="4">
        <f>50.0779 * CHOOSE(CONTROL!$C$9, $C$13, 100%, $E$13) + CHOOSE(CONTROL!$C$28, 0.0136, 0)</f>
        <v>50.091499999999996</v>
      </c>
      <c r="C781" s="4">
        <f>49.7146 * CHOOSE(CONTROL!$C$9, $C$13, 100%, $E$13) + CHOOSE(CONTROL!$C$28, 0.0136, 0)</f>
        <v>49.728199999999994</v>
      </c>
      <c r="D781" s="4">
        <f>72.1359 * CHOOSE(CONTROL!$C$9, $C$13, 100%, $E$13) + CHOOSE(CONTROL!$C$28, 0, 0)</f>
        <v>72.135900000000007</v>
      </c>
      <c r="E781" s="4">
        <f>346.921175689304 * CHOOSE(CONTROL!$C$9, $C$13, 100%, $E$13) + CHOOSE(CONTROL!$C$28, 0, 0)</f>
        <v>346.92117568930399</v>
      </c>
    </row>
    <row r="782" spans="1:5" ht="15">
      <c r="A782" s="13">
        <v>65319</v>
      </c>
      <c r="B782" s="4">
        <f>48.4397 * CHOOSE(CONTROL!$C$9, $C$13, 100%, $E$13) + CHOOSE(CONTROL!$C$28, 0.0003, 0)</f>
        <v>48.440000000000005</v>
      </c>
      <c r="C782" s="4">
        <f>48.0764 * CHOOSE(CONTROL!$C$9, $C$13, 100%, $E$13) + CHOOSE(CONTROL!$C$28, 0.0003, 0)</f>
        <v>48.076700000000002</v>
      </c>
      <c r="D782" s="4">
        <f>71.1674 * CHOOSE(CONTROL!$C$9, $C$13, 100%, $E$13) + CHOOSE(CONTROL!$C$28, 0, 0)</f>
        <v>71.167400000000001</v>
      </c>
      <c r="E782" s="4">
        <f>335.394560574707 * CHOOSE(CONTROL!$C$9, $C$13, 100%, $E$13) + CHOOSE(CONTROL!$C$28, 0, 0)</f>
        <v>335.39456057470699</v>
      </c>
    </row>
    <row r="783" spans="1:5" ht="15">
      <c r="A783" s="13">
        <v>65349</v>
      </c>
      <c r="B783" s="4">
        <f>47.3846 * CHOOSE(CONTROL!$C$9, $C$13, 100%, $E$13) + CHOOSE(CONTROL!$C$28, 0.0003, 0)</f>
        <v>47.384900000000002</v>
      </c>
      <c r="C783" s="4">
        <f>47.0213 * CHOOSE(CONTROL!$C$9, $C$13, 100%, $E$13) + CHOOSE(CONTROL!$C$28, 0.0003, 0)</f>
        <v>47.021599999999999</v>
      </c>
      <c r="D783" s="4">
        <f>70.8345 * CHOOSE(CONTROL!$C$9, $C$13, 100%, $E$13) + CHOOSE(CONTROL!$C$28, 0, 0)</f>
        <v>70.834500000000006</v>
      </c>
      <c r="E783" s="4">
        <f>327.970559687181 * CHOOSE(CONTROL!$C$9, $C$13, 100%, $E$13) + CHOOSE(CONTROL!$C$28, 0, 0)</f>
        <v>327.97055968718098</v>
      </c>
    </row>
    <row r="784" spans="1:5" ht="15">
      <c r="A784" s="13">
        <v>65380</v>
      </c>
      <c r="B784" s="4">
        <f>46.6546 * CHOOSE(CONTROL!$C$9, $C$13, 100%, $E$13) + CHOOSE(CONTROL!$C$28, 0.0003, 0)</f>
        <v>46.654900000000005</v>
      </c>
      <c r="C784" s="4">
        <f>46.2913 * CHOOSE(CONTROL!$C$9, $C$13, 100%, $E$13) + CHOOSE(CONTROL!$C$28, 0.0003, 0)</f>
        <v>46.291600000000003</v>
      </c>
      <c r="D784" s="4">
        <f>68.3833 * CHOOSE(CONTROL!$C$9, $C$13, 100%, $E$13) + CHOOSE(CONTROL!$C$28, 0, 0)</f>
        <v>68.383300000000006</v>
      </c>
      <c r="E784" s="4">
        <f>322.834105386927 * CHOOSE(CONTROL!$C$9, $C$13, 100%, $E$13) + CHOOSE(CONTROL!$C$28, 0, 0)</f>
        <v>322.83410538692698</v>
      </c>
    </row>
    <row r="785" spans="1:5" ht="15">
      <c r="A785" s="13">
        <v>65411</v>
      </c>
      <c r="B785" s="4">
        <f>44.6574 * CHOOSE(CONTROL!$C$9, $C$13, 100%, $E$13) + CHOOSE(CONTROL!$C$28, 0.0003, 0)</f>
        <v>44.657700000000006</v>
      </c>
      <c r="C785" s="4">
        <f>44.2941 * CHOOSE(CONTROL!$C$9, $C$13, 100%, $E$13) + CHOOSE(CONTROL!$C$28, 0.0003, 0)</f>
        <v>44.294400000000003</v>
      </c>
      <c r="D785" s="4">
        <f>65.6831 * CHOOSE(CONTROL!$C$9, $C$13, 100%, $E$13) + CHOOSE(CONTROL!$C$28, 0, 0)</f>
        <v>65.683099999999996</v>
      </c>
      <c r="E785" s="4">
        <f>309.386753090191 * CHOOSE(CONTROL!$C$9, $C$13, 100%, $E$13) + CHOOSE(CONTROL!$C$28, 0, 0)</f>
        <v>309.38675309019101</v>
      </c>
    </row>
    <row r="786" spans="1:5" ht="15">
      <c r="A786" s="13">
        <v>65439</v>
      </c>
      <c r="B786" s="4">
        <f>45.6994 * CHOOSE(CONTROL!$C$9, $C$13, 100%, $E$13) + CHOOSE(CONTROL!$C$28, 0.0003, 0)</f>
        <v>45.6997</v>
      </c>
      <c r="C786" s="4">
        <f>45.3361 * CHOOSE(CONTROL!$C$9, $C$13, 100%, $E$13) + CHOOSE(CONTROL!$C$28, 0.0003, 0)</f>
        <v>45.336400000000005</v>
      </c>
      <c r="D786" s="4">
        <f>67.936 * CHOOSE(CONTROL!$C$9, $C$13, 100%, $E$13) + CHOOSE(CONTROL!$C$28, 0, 0)</f>
        <v>67.936000000000007</v>
      </c>
      <c r="E786" s="4">
        <f>316.732813873728 * CHOOSE(CONTROL!$C$9, $C$13, 100%, $E$13) + CHOOSE(CONTROL!$C$28, 0, 0)</f>
        <v>316.73281387372799</v>
      </c>
    </row>
    <row r="787" spans="1:5" ht="15">
      <c r="A787" s="13">
        <v>65470</v>
      </c>
      <c r="B787" s="4">
        <f>48.4356 * CHOOSE(CONTROL!$C$9, $C$13, 100%, $E$13) + CHOOSE(CONTROL!$C$28, 0.0003, 0)</f>
        <v>48.435900000000004</v>
      </c>
      <c r="C787" s="4">
        <f>48.0724 * CHOOSE(CONTROL!$C$9, $C$13, 100%, $E$13) + CHOOSE(CONTROL!$C$28, 0.0003, 0)</f>
        <v>48.072700000000005</v>
      </c>
      <c r="D787" s="4">
        <f>71.4626 * CHOOSE(CONTROL!$C$9, $C$13, 100%, $E$13) + CHOOSE(CONTROL!$C$28, 0, 0)</f>
        <v>71.462599999999995</v>
      </c>
      <c r="E787" s="4">
        <f>336.023959884676 * CHOOSE(CONTROL!$C$9, $C$13, 100%, $E$13) + CHOOSE(CONTROL!$C$28, 0, 0)</f>
        <v>336.023959884676</v>
      </c>
    </row>
    <row r="788" spans="1:5" ht="15">
      <c r="A788" s="13">
        <v>65500</v>
      </c>
      <c r="B788" s="4">
        <f>50.3798 * CHOOSE(CONTROL!$C$9, $C$13, 100%, $E$13) + CHOOSE(CONTROL!$C$28, 0.0003, 0)</f>
        <v>50.380100000000006</v>
      </c>
      <c r="C788" s="4">
        <f>50.0165 * CHOOSE(CONTROL!$C$9, $C$13, 100%, $E$13) + CHOOSE(CONTROL!$C$28, 0.0003, 0)</f>
        <v>50.016800000000003</v>
      </c>
      <c r="D788" s="4">
        <f>73.4941 * CHOOSE(CONTROL!$C$9, $C$13, 100%, $E$13) + CHOOSE(CONTROL!$C$28, 0, 0)</f>
        <v>73.494100000000003</v>
      </c>
      <c r="E788" s="4">
        <f>349.730576213777 * CHOOSE(CONTROL!$C$9, $C$13, 100%, $E$13) + CHOOSE(CONTROL!$C$28, 0, 0)</f>
        <v>349.730576213777</v>
      </c>
    </row>
    <row r="789" spans="1:5" ht="15">
      <c r="A789" s="13">
        <v>65531</v>
      </c>
      <c r="B789" s="4">
        <f>51.5676 * CHOOSE(CONTROL!$C$9, $C$13, 100%, $E$13) + CHOOSE(CONTROL!$C$28, 0.0136, 0)</f>
        <v>51.581199999999995</v>
      </c>
      <c r="C789" s="4">
        <f>51.2044 * CHOOSE(CONTROL!$C$9, $C$13, 100%, $E$13) + CHOOSE(CONTROL!$C$28, 0.0136, 0)</f>
        <v>51.217999999999996</v>
      </c>
      <c r="D789" s="4">
        <f>72.6914 * CHOOSE(CONTROL!$C$9, $C$13, 100%, $E$13) + CHOOSE(CONTROL!$C$28, 0, 0)</f>
        <v>72.691400000000002</v>
      </c>
      <c r="E789" s="4">
        <f>358.104990289112 * CHOOSE(CONTROL!$C$9, $C$13, 100%, $E$13) + CHOOSE(CONTROL!$C$28, 0, 0)</f>
        <v>358.10499028911198</v>
      </c>
    </row>
    <row r="790" spans="1:5" ht="15">
      <c r="A790" s="13">
        <v>65561</v>
      </c>
      <c r="B790" s="4">
        <f>51.7284 * CHOOSE(CONTROL!$C$9, $C$13, 100%, $E$13) + CHOOSE(CONTROL!$C$28, 0.0136, 0)</f>
        <v>51.741999999999997</v>
      </c>
      <c r="C790" s="4">
        <f>51.3651 * CHOOSE(CONTROL!$C$9, $C$13, 100%, $E$13) + CHOOSE(CONTROL!$C$28, 0.0136, 0)</f>
        <v>51.378699999999995</v>
      </c>
      <c r="D790" s="4">
        <f>73.3451 * CHOOSE(CONTROL!$C$9, $C$13, 100%, $E$13) + CHOOSE(CONTROL!$C$28, 0, 0)</f>
        <v>73.345100000000002</v>
      </c>
      <c r="E790" s="4">
        <f>359.238083268038 * CHOOSE(CONTROL!$C$9, $C$13, 100%, $E$13) + CHOOSE(CONTROL!$C$28, 0, 0)</f>
        <v>359.238083268038</v>
      </c>
    </row>
    <row r="791" spans="1:5" ht="15">
      <c r="A791" s="13">
        <v>65592</v>
      </c>
      <c r="B791" s="4">
        <f>51.7122 * CHOOSE(CONTROL!$C$9, $C$13, 100%, $E$13) + CHOOSE(CONTROL!$C$28, 0.0136, 0)</f>
        <v>51.7258</v>
      </c>
      <c r="C791" s="4">
        <f>51.3489 * CHOOSE(CONTROL!$C$9, $C$13, 100%, $E$13) + CHOOSE(CONTROL!$C$28, 0.0136, 0)</f>
        <v>51.362499999999997</v>
      </c>
      <c r="D791" s="4">
        <f>74.5248 * CHOOSE(CONTROL!$C$9, $C$13, 100%, $E$13) + CHOOSE(CONTROL!$C$28, 0, 0)</f>
        <v>74.524799999999999</v>
      </c>
      <c r="E791" s="4">
        <f>359.123821791171 * CHOOSE(CONTROL!$C$9, $C$13, 100%, $E$13) + CHOOSE(CONTROL!$C$28, 0, 0)</f>
        <v>359.123821791171</v>
      </c>
    </row>
    <row r="792" spans="1:5" ht="15">
      <c r="A792" s="13">
        <v>65623</v>
      </c>
      <c r="B792" s="4">
        <f>52.9317 * CHOOSE(CONTROL!$C$9, $C$13, 100%, $E$13) + CHOOSE(CONTROL!$C$28, 0.0136, 0)</f>
        <v>52.945299999999996</v>
      </c>
      <c r="C792" s="4">
        <f>52.5685 * CHOOSE(CONTROL!$C$9, $C$13, 100%, $E$13) + CHOOSE(CONTROL!$C$28, 0.0136, 0)</f>
        <v>52.582099999999997</v>
      </c>
      <c r="D792" s="4">
        <f>73.7457 * CHOOSE(CONTROL!$C$9, $C$13, 100%, $E$13) + CHOOSE(CONTROL!$C$28, 0, 0)</f>
        <v>73.745699999999999</v>
      </c>
      <c r="E792" s="4">
        <f>367.72199792537 * CHOOSE(CONTROL!$C$9, $C$13, 100%, $E$13) + CHOOSE(CONTROL!$C$28, 0, 0)</f>
        <v>367.72199792536998</v>
      </c>
    </row>
    <row r="793" spans="1:5" ht="15">
      <c r="A793" s="13">
        <v>65653</v>
      </c>
      <c r="B793" s="4">
        <f>50.8532 * CHOOSE(CONTROL!$C$9, $C$13, 100%, $E$13) + CHOOSE(CONTROL!$C$28, 0.0136, 0)</f>
        <v>50.866799999999998</v>
      </c>
      <c r="C793" s="4">
        <f>50.4899 * CHOOSE(CONTROL!$C$9, $C$13, 100%, $E$13) + CHOOSE(CONTROL!$C$28, 0.0136, 0)</f>
        <v>50.503499999999995</v>
      </c>
      <c r="D793" s="4">
        <f>73.3777 * CHOOSE(CONTROL!$C$9, $C$13, 100%, $E$13) + CHOOSE(CONTROL!$C$28, 0, 0)</f>
        <v>73.377700000000004</v>
      </c>
      <c r="E793" s="4">
        <f>353.067963517251 * CHOOSE(CONTROL!$C$9, $C$13, 100%, $E$13) + CHOOSE(CONTROL!$C$28, 0, 0)</f>
        <v>353.06796351725097</v>
      </c>
    </row>
    <row r="794" spans="1:5" ht="15">
      <c r="A794" s="13">
        <v>65684</v>
      </c>
      <c r="B794" s="4">
        <f>49.1893 * CHOOSE(CONTROL!$C$9, $C$13, 100%, $E$13) + CHOOSE(CONTROL!$C$28, 0.0003, 0)</f>
        <v>49.189600000000006</v>
      </c>
      <c r="C794" s="4">
        <f>48.826 * CHOOSE(CONTROL!$C$9, $C$13, 100%, $E$13) + CHOOSE(CONTROL!$C$28, 0.0003, 0)</f>
        <v>48.826300000000003</v>
      </c>
      <c r="D794" s="4">
        <f>72.3921 * CHOOSE(CONTROL!$C$9, $C$13, 100%, $E$13) + CHOOSE(CONTROL!$C$28, 0, 0)</f>
        <v>72.392099999999999</v>
      </c>
      <c r="E794" s="4">
        <f>341.337118558965 * CHOOSE(CONTROL!$C$9, $C$13, 100%, $E$13) + CHOOSE(CONTROL!$C$28, 0, 0)</f>
        <v>341.33711855896502</v>
      </c>
    </row>
    <row r="795" spans="1:5" ht="15">
      <c r="A795" s="13">
        <v>65714</v>
      </c>
      <c r="B795" s="4">
        <f>48.1176 * CHOOSE(CONTROL!$C$9, $C$13, 100%, $E$13) + CHOOSE(CONTROL!$C$28, 0.0003, 0)</f>
        <v>48.117900000000006</v>
      </c>
      <c r="C795" s="4">
        <f>47.7543 * CHOOSE(CONTROL!$C$9, $C$13, 100%, $E$13) + CHOOSE(CONTROL!$C$28, 0.0003, 0)</f>
        <v>47.754600000000003</v>
      </c>
      <c r="D795" s="4">
        <f>72.0533 * CHOOSE(CONTROL!$C$9, $C$13, 100%, $E$13) + CHOOSE(CONTROL!$C$28, 0, 0)</f>
        <v>72.053299999999993</v>
      </c>
      <c r="E795" s="4">
        <f>333.781578401172 * CHOOSE(CONTROL!$C$9, $C$13, 100%, $E$13) + CHOOSE(CONTROL!$C$28, 0, 0)</f>
        <v>333.781578401172</v>
      </c>
    </row>
    <row r="796" spans="1:5" ht="15">
      <c r="A796" s="13">
        <v>65745</v>
      </c>
      <c r="B796" s="4">
        <f>47.3761 * CHOOSE(CONTROL!$C$9, $C$13, 100%, $E$13) + CHOOSE(CONTROL!$C$28, 0.0003, 0)</f>
        <v>47.376400000000004</v>
      </c>
      <c r="C796" s="4">
        <f>47.0128 * CHOOSE(CONTROL!$C$9, $C$13, 100%, $E$13) + CHOOSE(CONTROL!$C$28, 0.0003, 0)</f>
        <v>47.013100000000001</v>
      </c>
      <c r="D796" s="4">
        <f>69.5588 * CHOOSE(CONTROL!$C$9, $C$13, 100%, $E$13) + CHOOSE(CONTROL!$C$28, 0, 0)</f>
        <v>69.558800000000005</v>
      </c>
      <c r="E796" s="4">
        <f>328.554115834533 * CHOOSE(CONTROL!$C$9, $C$13, 100%, $E$13) + CHOOSE(CONTROL!$C$28, 0, 0)</f>
        <v>328.55411583453298</v>
      </c>
    </row>
    <row r="797" spans="1:5" ht="15">
      <c r="A797" s="13">
        <v>65776</v>
      </c>
      <c r="B797" s="4">
        <f>45.3474 * CHOOSE(CONTROL!$C$9, $C$13, 100%, $E$13) + CHOOSE(CONTROL!$C$28, 0.0003, 0)</f>
        <v>45.347700000000003</v>
      </c>
      <c r="C797" s="4">
        <f>44.9842 * CHOOSE(CONTROL!$C$9, $C$13, 100%, $E$13) + CHOOSE(CONTROL!$C$28, 0.0003, 0)</f>
        <v>44.984500000000004</v>
      </c>
      <c r="D797" s="4">
        <f>66.8109 * CHOOSE(CONTROL!$C$9, $C$13, 100%, $E$13) + CHOOSE(CONTROL!$C$28, 0, 0)</f>
        <v>66.810900000000004</v>
      </c>
      <c r="E797" s="4">
        <f>314.868501859906 * CHOOSE(CONTROL!$C$9, $C$13, 100%, $E$13) + CHOOSE(CONTROL!$C$28, 0, 0)</f>
        <v>314.86850185990602</v>
      </c>
    </row>
    <row r="798" spans="1:5" ht="15">
      <c r="A798" s="13">
        <v>65805</v>
      </c>
      <c r="B798" s="4">
        <f>46.4058 * CHOOSE(CONTROL!$C$9, $C$13, 100%, $E$13) + CHOOSE(CONTROL!$C$28, 0.0003, 0)</f>
        <v>46.406100000000002</v>
      </c>
      <c r="C798" s="4">
        <f>46.0425 * CHOOSE(CONTROL!$C$9, $C$13, 100%, $E$13) + CHOOSE(CONTROL!$C$28, 0.0003, 0)</f>
        <v>46.0428</v>
      </c>
      <c r="D798" s="4">
        <f>69.1036 * CHOOSE(CONTROL!$C$9, $C$13, 100%, $E$13) + CHOOSE(CONTROL!$C$28, 0, 0)</f>
        <v>69.1036</v>
      </c>
      <c r="E798" s="4">
        <f>322.344720962311 * CHOOSE(CONTROL!$C$9, $C$13, 100%, $E$13) + CHOOSE(CONTROL!$C$28, 0, 0)</f>
        <v>322.34472096231099</v>
      </c>
    </row>
    <row r="799" spans="1:5" ht="15">
      <c r="A799" s="13">
        <v>65836</v>
      </c>
      <c r="B799" s="4">
        <f>49.1851 * CHOOSE(CONTROL!$C$9, $C$13, 100%, $E$13) + CHOOSE(CONTROL!$C$28, 0.0003, 0)</f>
        <v>49.185400000000001</v>
      </c>
      <c r="C799" s="4">
        <f>48.8218 * CHOOSE(CONTROL!$C$9, $C$13, 100%, $E$13) + CHOOSE(CONTROL!$C$28, 0.0003, 0)</f>
        <v>48.822100000000006</v>
      </c>
      <c r="D799" s="4">
        <f>72.6925 * CHOOSE(CONTROL!$C$9, $C$13, 100%, $E$13) + CHOOSE(CONTROL!$C$28, 0, 0)</f>
        <v>72.692499999999995</v>
      </c>
      <c r="E799" s="4">
        <f>341.977669635641 * CHOOSE(CONTROL!$C$9, $C$13, 100%, $E$13) + CHOOSE(CONTROL!$C$28, 0, 0)</f>
        <v>341.97766963564101</v>
      </c>
    </row>
    <row r="800" spans="1:5" ht="15">
      <c r="A800" s="13">
        <v>65866</v>
      </c>
      <c r="B800" s="4">
        <f>51.1599 * CHOOSE(CONTROL!$C$9, $C$13, 100%, $E$13) + CHOOSE(CONTROL!$C$28, 0.0003, 0)</f>
        <v>51.160200000000003</v>
      </c>
      <c r="C800" s="4">
        <f>50.7966 * CHOOSE(CONTROL!$C$9, $C$13, 100%, $E$13) + CHOOSE(CONTROL!$C$28, 0.0003, 0)</f>
        <v>50.796900000000001</v>
      </c>
      <c r="D800" s="4">
        <f>74.7599 * CHOOSE(CONTROL!$C$9, $C$13, 100%, $E$13) + CHOOSE(CONTROL!$C$28, 0, 0)</f>
        <v>74.759900000000002</v>
      </c>
      <c r="E800" s="4">
        <f>355.927141311484 * CHOOSE(CONTROL!$C$9, $C$13, 100%, $E$13) + CHOOSE(CONTROL!$C$28, 0, 0)</f>
        <v>355.92714131148398</v>
      </c>
    </row>
    <row r="801" spans="1:5" ht="15">
      <c r="A801" s="13">
        <v>65897</v>
      </c>
      <c r="B801" s="4">
        <f>52.3664 * CHOOSE(CONTROL!$C$9, $C$13, 100%, $E$13) + CHOOSE(CONTROL!$C$28, 0.0136, 0)</f>
        <v>52.379999999999995</v>
      </c>
      <c r="C801" s="4">
        <f>52.0031 * CHOOSE(CONTROL!$C$9, $C$13, 100%, $E$13) + CHOOSE(CONTROL!$C$28, 0.0136, 0)</f>
        <v>52.0167</v>
      </c>
      <c r="D801" s="4">
        <f>73.943 * CHOOSE(CONTROL!$C$9, $C$13, 100%, $E$13) + CHOOSE(CONTROL!$C$28, 0, 0)</f>
        <v>73.942999999999998</v>
      </c>
      <c r="E801" s="4">
        <f>364.449934183248 * CHOOSE(CONTROL!$C$9, $C$13, 100%, $E$13) + CHOOSE(CONTROL!$C$28, 0, 0)</f>
        <v>364.44993418324799</v>
      </c>
    </row>
    <row r="802" spans="1:5" ht="15">
      <c r="A802" s="13">
        <v>65927</v>
      </c>
      <c r="B802" s="4">
        <f>52.5296 * CHOOSE(CONTROL!$C$9, $C$13, 100%, $E$13) + CHOOSE(CONTROL!$C$28, 0.0136, 0)</f>
        <v>52.543199999999999</v>
      </c>
      <c r="C802" s="4">
        <f>52.1664 * CHOOSE(CONTROL!$C$9, $C$13, 100%, $E$13) + CHOOSE(CONTROL!$C$28, 0.0136, 0)</f>
        <v>52.18</v>
      </c>
      <c r="D802" s="4">
        <f>74.6083 * CHOOSE(CONTROL!$C$9, $C$13, 100%, $E$13) + CHOOSE(CONTROL!$C$28, 0, 0)</f>
        <v>74.6083</v>
      </c>
      <c r="E802" s="4">
        <f>365.603103429115 * CHOOSE(CONTROL!$C$9, $C$13, 100%, $E$13) + CHOOSE(CONTROL!$C$28, 0, 0)</f>
        <v>365.60310342911498</v>
      </c>
    </row>
    <row r="803" spans="1:5" ht="15">
      <c r="A803" s="13">
        <v>65958</v>
      </c>
      <c r="B803" s="4">
        <f>52.5132 * CHOOSE(CONTROL!$C$9, $C$13, 100%, $E$13) + CHOOSE(CONTROL!$C$28, 0.0136, 0)</f>
        <v>52.526799999999994</v>
      </c>
      <c r="C803" s="4">
        <f>52.1499 * CHOOSE(CONTROL!$C$9, $C$13, 100%, $E$13) + CHOOSE(CONTROL!$C$28, 0.0136, 0)</f>
        <v>52.163499999999999</v>
      </c>
      <c r="D803" s="4">
        <f>75.8088 * CHOOSE(CONTROL!$C$9, $C$13, 100%, $E$13) + CHOOSE(CONTROL!$C$28, 0, 0)</f>
        <v>75.808800000000005</v>
      </c>
      <c r="E803" s="4">
        <f>365.486817454742 * CHOOSE(CONTROL!$C$9, $C$13, 100%, $E$13) + CHOOSE(CONTROL!$C$28, 0, 0)</f>
        <v>365.48681745474198</v>
      </c>
    </row>
    <row r="804" spans="1:5" ht="15">
      <c r="A804" s="13">
        <v>65989</v>
      </c>
      <c r="B804" s="4">
        <f>53.7519 * CHOOSE(CONTROL!$C$9, $C$13, 100%, $E$13) + CHOOSE(CONTROL!$C$28, 0.0136, 0)</f>
        <v>53.765499999999996</v>
      </c>
      <c r="C804" s="4">
        <f>53.3886 * CHOOSE(CONTROL!$C$9, $C$13, 100%, $E$13) + CHOOSE(CONTROL!$C$28, 0.0136, 0)</f>
        <v>53.402199999999993</v>
      </c>
      <c r="D804" s="4">
        <f>75.016 * CHOOSE(CONTROL!$C$9, $C$13, 100%, $E$13) + CHOOSE(CONTROL!$C$28, 0, 0)</f>
        <v>75.016000000000005</v>
      </c>
      <c r="E804" s="4">
        <f>374.23733702632 * CHOOSE(CONTROL!$C$9, $C$13, 100%, $E$13) + CHOOSE(CONTROL!$C$28, 0, 0)</f>
        <v>374.23733702632001</v>
      </c>
    </row>
    <row r="805" spans="1:5" ht="15">
      <c r="A805" s="13">
        <v>66019</v>
      </c>
      <c r="B805" s="4">
        <f>51.6407 * CHOOSE(CONTROL!$C$9, $C$13, 100%, $E$13) + CHOOSE(CONTROL!$C$28, 0.0136, 0)</f>
        <v>51.654299999999999</v>
      </c>
      <c r="C805" s="4">
        <f>51.2774 * CHOOSE(CONTROL!$C$9, $C$13, 100%, $E$13) + CHOOSE(CONTROL!$C$28, 0.0136, 0)</f>
        <v>51.290999999999997</v>
      </c>
      <c r="D805" s="4">
        <f>74.6414 * CHOOSE(CONTROL!$C$9, $C$13, 100%, $E$13) + CHOOSE(CONTROL!$C$28, 0, 0)</f>
        <v>74.641400000000004</v>
      </c>
      <c r="E805" s="4">
        <f>359.323660812966 * CHOOSE(CONTROL!$C$9, $C$13, 100%, $E$13) + CHOOSE(CONTROL!$C$28, 0, 0)</f>
        <v>359.32366081296601</v>
      </c>
    </row>
    <row r="806" spans="1:5" ht="15">
      <c r="A806" s="13">
        <v>66050</v>
      </c>
      <c r="B806" s="4">
        <f>49.9506 * CHOOSE(CONTROL!$C$9, $C$13, 100%, $E$13) + CHOOSE(CONTROL!$C$28, 0.0003, 0)</f>
        <v>49.950900000000004</v>
      </c>
      <c r="C806" s="4">
        <f>49.5873 * CHOOSE(CONTROL!$C$9, $C$13, 100%, $E$13) + CHOOSE(CONTROL!$C$28, 0.0003, 0)</f>
        <v>49.587600000000002</v>
      </c>
      <c r="D806" s="4">
        <f>73.6384 * CHOOSE(CONTROL!$C$9, $C$13, 100%, $E$13) + CHOOSE(CONTROL!$C$28, 0, 0)</f>
        <v>73.638400000000004</v>
      </c>
      <c r="E806" s="4">
        <f>347.384967443992 * CHOOSE(CONTROL!$C$9, $C$13, 100%, $E$13) + CHOOSE(CONTROL!$C$28, 0, 0)</f>
        <v>347.38496744399202</v>
      </c>
    </row>
    <row r="807" spans="1:5" ht="15">
      <c r="A807" s="13">
        <v>66080</v>
      </c>
      <c r="B807" s="4">
        <f>48.8621 * CHOOSE(CONTROL!$C$9, $C$13, 100%, $E$13) + CHOOSE(CONTROL!$C$28, 0.0003, 0)</f>
        <v>48.862400000000001</v>
      </c>
      <c r="C807" s="4">
        <f>48.4988 * CHOOSE(CONTROL!$C$9, $C$13, 100%, $E$13) + CHOOSE(CONTROL!$C$28, 0.0003, 0)</f>
        <v>48.499100000000006</v>
      </c>
      <c r="D807" s="4">
        <f>73.2936 * CHOOSE(CONTROL!$C$9, $C$13, 100%, $E$13) + CHOOSE(CONTROL!$C$28, 0, 0)</f>
        <v>73.293599999999998</v>
      </c>
      <c r="E807" s="4">
        <f>339.695557388568 * CHOOSE(CONTROL!$C$9, $C$13, 100%, $E$13) + CHOOSE(CONTROL!$C$28, 0, 0)</f>
        <v>339.69555738856798</v>
      </c>
    </row>
    <row r="808" spans="1:5" ht="15">
      <c r="A808" s="13">
        <v>66111</v>
      </c>
      <c r="B808" s="4">
        <f>48.1089 * CHOOSE(CONTROL!$C$9, $C$13, 100%, $E$13) + CHOOSE(CONTROL!$C$28, 0.0003, 0)</f>
        <v>48.109200000000001</v>
      </c>
      <c r="C808" s="4">
        <f>47.7456 * CHOOSE(CONTROL!$C$9, $C$13, 100%, $E$13) + CHOOSE(CONTROL!$C$28, 0.0003, 0)</f>
        <v>47.745900000000006</v>
      </c>
      <c r="D808" s="4">
        <f>70.7551 * CHOOSE(CONTROL!$C$9, $C$13, 100%, $E$13) + CHOOSE(CONTROL!$C$28, 0, 0)</f>
        <v>70.755099999999999</v>
      </c>
      <c r="E808" s="4">
        <f>334.375474060998 * CHOOSE(CONTROL!$C$9, $C$13, 100%, $E$13) + CHOOSE(CONTROL!$C$28, 0, 0)</f>
        <v>334.37547406099799</v>
      </c>
    </row>
    <row r="809" spans="1:5" ht="15">
      <c r="A809" s="13">
        <v>66142</v>
      </c>
      <c r="B809" s="4">
        <f>46.0484 * CHOOSE(CONTROL!$C$9, $C$13, 100%, $E$13) + CHOOSE(CONTROL!$C$28, 0.0003, 0)</f>
        <v>46.048700000000004</v>
      </c>
      <c r="C809" s="4">
        <f>45.6851 * CHOOSE(CONTROL!$C$9, $C$13, 100%, $E$13) + CHOOSE(CONTROL!$C$28, 0.0003, 0)</f>
        <v>45.685400000000001</v>
      </c>
      <c r="D809" s="4">
        <f>67.9586 * CHOOSE(CONTROL!$C$9, $C$13, 100%, $E$13) + CHOOSE(CONTROL!$C$28, 0, 0)</f>
        <v>67.958600000000004</v>
      </c>
      <c r="E809" s="4">
        <f>320.447376861672 * CHOOSE(CONTROL!$C$9, $C$13, 100%, $E$13) + CHOOSE(CONTROL!$C$28, 0, 0)</f>
        <v>320.44737686167201</v>
      </c>
    </row>
    <row r="810" spans="1:5" ht="15">
      <c r="A810" s="13">
        <v>66170</v>
      </c>
      <c r="B810" s="4">
        <f>47.1234 * CHOOSE(CONTROL!$C$9, $C$13, 100%, $E$13) + CHOOSE(CONTROL!$C$28, 0.0003, 0)</f>
        <v>47.123699999999999</v>
      </c>
      <c r="C810" s="4">
        <f>46.7601 * CHOOSE(CONTROL!$C$9, $C$13, 100%, $E$13) + CHOOSE(CONTROL!$C$28, 0.0003, 0)</f>
        <v>46.760400000000004</v>
      </c>
      <c r="D810" s="4">
        <f>70.2918 * CHOOSE(CONTROL!$C$9, $C$13, 100%, $E$13) + CHOOSE(CONTROL!$C$28, 0, 0)</f>
        <v>70.291799999999995</v>
      </c>
      <c r="E810" s="4">
        <f>328.056060442461 * CHOOSE(CONTROL!$C$9, $C$13, 100%, $E$13) + CHOOSE(CONTROL!$C$28, 0, 0)</f>
        <v>328.05606044246099</v>
      </c>
    </row>
    <row r="811" spans="1:5" ht="15">
      <c r="A811" s="13">
        <v>66201</v>
      </c>
      <c r="B811" s="4">
        <f>49.9464 * CHOOSE(CONTROL!$C$9, $C$13, 100%, $E$13) + CHOOSE(CONTROL!$C$28, 0.0003, 0)</f>
        <v>49.9467</v>
      </c>
      <c r="C811" s="4">
        <f>49.5831 * CHOOSE(CONTROL!$C$9, $C$13, 100%, $E$13) + CHOOSE(CONTROL!$C$28, 0.0003, 0)</f>
        <v>49.583400000000005</v>
      </c>
      <c r="D811" s="4">
        <f>73.9442 * CHOOSE(CONTROL!$C$9, $C$13, 100%, $E$13) + CHOOSE(CONTROL!$C$28, 0, 0)</f>
        <v>73.944199999999995</v>
      </c>
      <c r="E811" s="4">
        <f>348.036867875614 * CHOOSE(CONTROL!$C$9, $C$13, 100%, $E$13) + CHOOSE(CONTROL!$C$28, 0, 0)</f>
        <v>348.03686787561401</v>
      </c>
    </row>
    <row r="812" spans="1:5" ht="15">
      <c r="A812" s="13">
        <v>66231</v>
      </c>
      <c r="B812" s="4">
        <f>51.9522 * CHOOSE(CONTROL!$C$9, $C$13, 100%, $E$13) + CHOOSE(CONTROL!$C$28, 0.0003, 0)</f>
        <v>51.952500000000001</v>
      </c>
      <c r="C812" s="4">
        <f>51.5889 * CHOOSE(CONTROL!$C$9, $C$13, 100%, $E$13) + CHOOSE(CONTROL!$C$28, 0.0003, 0)</f>
        <v>51.589200000000005</v>
      </c>
      <c r="D812" s="4">
        <f>76.0481 * CHOOSE(CONTROL!$C$9, $C$13, 100%, $E$13) + CHOOSE(CONTROL!$C$28, 0, 0)</f>
        <v>76.048100000000005</v>
      </c>
      <c r="E812" s="4">
        <f>362.23349783614 * CHOOSE(CONTROL!$C$9, $C$13, 100%, $E$13) + CHOOSE(CONTROL!$C$28, 0, 0)</f>
        <v>362.23349783613997</v>
      </c>
    </row>
    <row r="813" spans="1:5" ht="15">
      <c r="A813" s="13">
        <v>66262</v>
      </c>
      <c r="B813" s="4">
        <f>53.1777 * CHOOSE(CONTROL!$C$9, $C$13, 100%, $E$13) + CHOOSE(CONTROL!$C$28, 0.0136, 0)</f>
        <v>53.191299999999998</v>
      </c>
      <c r="C813" s="4">
        <f>52.8144 * CHOOSE(CONTROL!$C$9, $C$13, 100%, $E$13) + CHOOSE(CONTROL!$C$28, 0.0136, 0)</f>
        <v>52.827999999999996</v>
      </c>
      <c r="D813" s="4">
        <f>75.2167 * CHOOSE(CONTROL!$C$9, $C$13, 100%, $E$13) + CHOOSE(CONTROL!$C$28, 0, 0)</f>
        <v>75.216700000000003</v>
      </c>
      <c r="E813" s="4">
        <f>370.907298496287 * CHOOSE(CONTROL!$C$9, $C$13, 100%, $E$13) + CHOOSE(CONTROL!$C$28, 0, 0)</f>
        <v>370.90729849628701</v>
      </c>
    </row>
    <row r="814" spans="1:5" ht="15">
      <c r="A814" s="13">
        <v>66292</v>
      </c>
      <c r="B814" s="4">
        <f>53.3435 * CHOOSE(CONTROL!$C$9, $C$13, 100%, $E$13) + CHOOSE(CONTROL!$C$28, 0.0136, 0)</f>
        <v>53.357099999999996</v>
      </c>
      <c r="C814" s="4">
        <f>52.9802 * CHOOSE(CONTROL!$C$9, $C$13, 100%, $E$13) + CHOOSE(CONTROL!$C$28, 0.0136, 0)</f>
        <v>52.9938</v>
      </c>
      <c r="D814" s="4">
        <f>75.8938 * CHOOSE(CONTROL!$C$9, $C$13, 100%, $E$13) + CHOOSE(CONTROL!$C$28, 0, 0)</f>
        <v>75.893799999999999</v>
      </c>
      <c r="E814" s="4">
        <f>372.080899722618 * CHOOSE(CONTROL!$C$9, $C$13, 100%, $E$13) + CHOOSE(CONTROL!$C$28, 0, 0)</f>
        <v>372.08089972261803</v>
      </c>
    </row>
    <row r="815" spans="1:5" ht="15">
      <c r="A815" s="13">
        <v>66323</v>
      </c>
      <c r="B815" s="4">
        <f>53.3268 * CHOOSE(CONTROL!$C$9, $C$13, 100%, $E$13) + CHOOSE(CONTROL!$C$28, 0.0136, 0)</f>
        <v>53.340399999999995</v>
      </c>
      <c r="C815" s="4">
        <f>52.9635 * CHOOSE(CONTROL!$C$9, $C$13, 100%, $E$13) + CHOOSE(CONTROL!$C$28, 0.0136, 0)</f>
        <v>52.9771</v>
      </c>
      <c r="D815" s="4">
        <f>77.1155 * CHOOSE(CONTROL!$C$9, $C$13, 100%, $E$13) + CHOOSE(CONTROL!$C$28, 0, 0)</f>
        <v>77.115499999999997</v>
      </c>
      <c r="E815" s="4">
        <f>371.962553380467 * CHOOSE(CONTROL!$C$9, $C$13, 100%, $E$13) + CHOOSE(CONTROL!$C$28, 0, 0)</f>
        <v>371.962553380467</v>
      </c>
    </row>
    <row r="816" spans="1:5" ht="15">
      <c r="A816" s="13">
        <v>66354</v>
      </c>
      <c r="B816" s="4">
        <f>54.585 * CHOOSE(CONTROL!$C$9, $C$13, 100%, $E$13) + CHOOSE(CONTROL!$C$28, 0.0136, 0)</f>
        <v>54.598599999999998</v>
      </c>
      <c r="C816" s="4">
        <f>54.2217 * CHOOSE(CONTROL!$C$9, $C$13, 100%, $E$13) + CHOOSE(CONTROL!$C$28, 0.0136, 0)</f>
        <v>54.235299999999995</v>
      </c>
      <c r="D816" s="4">
        <f>76.3087 * CHOOSE(CONTROL!$C$9, $C$13, 100%, $E$13) + CHOOSE(CONTROL!$C$28, 0, 0)</f>
        <v>76.308700000000002</v>
      </c>
      <c r="E816" s="4">
        <f>380.868115627327 * CHOOSE(CONTROL!$C$9, $C$13, 100%, $E$13) + CHOOSE(CONTROL!$C$28, 0, 0)</f>
        <v>380.86811562732697</v>
      </c>
    </row>
    <row r="817" spans="1:5" ht="15">
      <c r="A817" s="13">
        <v>66384</v>
      </c>
      <c r="B817" s="4">
        <f>52.4406 * CHOOSE(CONTROL!$C$9, $C$13, 100%, $E$13) + CHOOSE(CONTROL!$C$28, 0.0136, 0)</f>
        <v>52.4542</v>
      </c>
      <c r="C817" s="4">
        <f>52.0773 * CHOOSE(CONTROL!$C$9, $C$13, 100%, $E$13) + CHOOSE(CONTROL!$C$28, 0.0136, 0)</f>
        <v>52.090899999999998</v>
      </c>
      <c r="D817" s="4">
        <f>75.9275 * CHOOSE(CONTROL!$C$9, $C$13, 100%, $E$13) + CHOOSE(CONTROL!$C$28, 0, 0)</f>
        <v>75.927499999999995</v>
      </c>
      <c r="E817" s="4">
        <f>365.690197246466 * CHOOSE(CONTROL!$C$9, $C$13, 100%, $E$13) + CHOOSE(CONTROL!$C$28, 0, 0)</f>
        <v>365.69019724646603</v>
      </c>
    </row>
    <row r="818" spans="1:5" ht="15">
      <c r="A818" s="13">
        <v>66415</v>
      </c>
      <c r="B818" s="4">
        <f>50.7239 * CHOOSE(CONTROL!$C$9, $C$13, 100%, $E$13) + CHOOSE(CONTROL!$C$28, 0.0003, 0)</f>
        <v>50.724200000000003</v>
      </c>
      <c r="C818" s="4">
        <f>50.3606 * CHOOSE(CONTROL!$C$9, $C$13, 100%, $E$13) + CHOOSE(CONTROL!$C$28, 0.0003, 0)</f>
        <v>50.360900000000001</v>
      </c>
      <c r="D818" s="4">
        <f>74.9068 * CHOOSE(CONTROL!$C$9, $C$13, 100%, $E$13) + CHOOSE(CONTROL!$C$28, 0, 0)</f>
        <v>74.906800000000004</v>
      </c>
      <c r="E818" s="4">
        <f>353.539972785634 * CHOOSE(CONTROL!$C$9, $C$13, 100%, $E$13) + CHOOSE(CONTROL!$C$28, 0, 0)</f>
        <v>353.53997278563401</v>
      </c>
    </row>
    <row r="819" spans="1:5" ht="15">
      <c r="A819" s="13">
        <v>66445</v>
      </c>
      <c r="B819" s="4">
        <f>49.6182 * CHOOSE(CONTROL!$C$9, $C$13, 100%, $E$13) + CHOOSE(CONTROL!$C$28, 0.0003, 0)</f>
        <v>49.618500000000004</v>
      </c>
      <c r="C819" s="4">
        <f>49.255 * CHOOSE(CONTROL!$C$9, $C$13, 100%, $E$13) + CHOOSE(CONTROL!$C$28, 0.0003, 0)</f>
        <v>49.255300000000005</v>
      </c>
      <c r="D819" s="4">
        <f>74.5559 * CHOOSE(CONTROL!$C$9, $C$13, 100%, $E$13) + CHOOSE(CONTROL!$C$28, 0, 0)</f>
        <v>74.555899999999994</v>
      </c>
      <c r="E819" s="4">
        <f>345.714320910902 * CHOOSE(CONTROL!$C$9, $C$13, 100%, $E$13) + CHOOSE(CONTROL!$C$28, 0, 0)</f>
        <v>345.71432091090202</v>
      </c>
    </row>
    <row r="820" spans="1:5" ht="15">
      <c r="A820" s="13">
        <v>66476</v>
      </c>
      <c r="B820" s="4">
        <f>48.8533 * CHOOSE(CONTROL!$C$9, $C$13, 100%, $E$13) + CHOOSE(CONTROL!$C$28, 0.0003, 0)</f>
        <v>48.8536</v>
      </c>
      <c r="C820" s="4">
        <f>48.49 * CHOOSE(CONTROL!$C$9, $C$13, 100%, $E$13) + CHOOSE(CONTROL!$C$28, 0.0003, 0)</f>
        <v>48.490300000000005</v>
      </c>
      <c r="D820" s="4">
        <f>71.9725 * CHOOSE(CONTROL!$C$9, $C$13, 100%, $E$13) + CHOOSE(CONTROL!$C$28, 0, 0)</f>
        <v>71.972499999999997</v>
      </c>
      <c r="E820" s="4">
        <f>340.299975757495 * CHOOSE(CONTROL!$C$9, $C$13, 100%, $E$13) + CHOOSE(CONTROL!$C$28, 0, 0)</f>
        <v>340.29997575749502</v>
      </c>
    </row>
    <row r="821" spans="1:5" ht="15">
      <c r="A821" s="13">
        <v>66507</v>
      </c>
      <c r="B821" s="4">
        <f>46.7603 * CHOOSE(CONTROL!$C$9, $C$13, 100%, $E$13) + CHOOSE(CONTROL!$C$28, 0.0003, 0)</f>
        <v>46.760600000000004</v>
      </c>
      <c r="C821" s="4">
        <f>46.397 * CHOOSE(CONTROL!$C$9, $C$13, 100%, $E$13) + CHOOSE(CONTROL!$C$28, 0.0003, 0)</f>
        <v>46.397300000000001</v>
      </c>
      <c r="D821" s="4">
        <f>69.1266 * CHOOSE(CONTROL!$C$9, $C$13, 100%, $E$13) + CHOOSE(CONTROL!$C$28, 0, 0)</f>
        <v>69.126599999999996</v>
      </c>
      <c r="E821" s="4">
        <f>326.12509898883 * CHOOSE(CONTROL!$C$9, $C$13, 100%, $E$13) + CHOOSE(CONTROL!$C$28, 0, 0)</f>
        <v>326.12509898883002</v>
      </c>
    </row>
    <row r="822" spans="1:5" ht="15">
      <c r="A822" s="13">
        <v>66535</v>
      </c>
      <c r="B822" s="4">
        <f>47.8522 * CHOOSE(CONTROL!$C$9, $C$13, 100%, $E$13) + CHOOSE(CONTROL!$C$28, 0.0003, 0)</f>
        <v>47.852500000000006</v>
      </c>
      <c r="C822" s="4">
        <f>47.4889 * CHOOSE(CONTROL!$C$9, $C$13, 100%, $E$13) + CHOOSE(CONTROL!$C$28, 0.0003, 0)</f>
        <v>47.489200000000004</v>
      </c>
      <c r="D822" s="4">
        <f>71.501 * CHOOSE(CONTROL!$C$9, $C$13, 100%, $E$13) + CHOOSE(CONTROL!$C$28, 0, 0)</f>
        <v>71.501000000000005</v>
      </c>
      <c r="E822" s="4">
        <f>333.868594068307 * CHOOSE(CONTROL!$C$9, $C$13, 100%, $E$13) + CHOOSE(CONTROL!$C$28, 0, 0)</f>
        <v>333.868594068307</v>
      </c>
    </row>
    <row r="823" spans="1:5" ht="15">
      <c r="A823" s="13">
        <v>66566</v>
      </c>
      <c r="B823" s="4">
        <f>50.7196 * CHOOSE(CONTROL!$C$9, $C$13, 100%, $E$13) + CHOOSE(CONTROL!$C$28, 0.0003, 0)</f>
        <v>50.719900000000003</v>
      </c>
      <c r="C823" s="4">
        <f>50.3564 * CHOOSE(CONTROL!$C$9, $C$13, 100%, $E$13) + CHOOSE(CONTROL!$C$28, 0.0003, 0)</f>
        <v>50.356700000000004</v>
      </c>
      <c r="D823" s="4">
        <f>75.2179 * CHOOSE(CONTROL!$C$9, $C$13, 100%, $E$13) + CHOOSE(CONTROL!$C$28, 0, 0)</f>
        <v>75.2179</v>
      </c>
      <c r="E823" s="4">
        <f>354.203423661332 * CHOOSE(CONTROL!$C$9, $C$13, 100%, $E$13) + CHOOSE(CONTROL!$C$28, 0, 0)</f>
        <v>354.20342366133201</v>
      </c>
    </row>
    <row r="824" spans="1:5" ht="15">
      <c r="A824" s="13">
        <v>66596</v>
      </c>
      <c r="B824" s="4">
        <f>52.757 * CHOOSE(CONTROL!$C$9, $C$13, 100%, $E$13) + CHOOSE(CONTROL!$C$28, 0.0003, 0)</f>
        <v>52.757300000000001</v>
      </c>
      <c r="C824" s="4">
        <f>52.3937 * CHOOSE(CONTROL!$C$9, $C$13, 100%, $E$13) + CHOOSE(CONTROL!$C$28, 0.0003, 0)</f>
        <v>52.394000000000005</v>
      </c>
      <c r="D824" s="4">
        <f>77.359 * CHOOSE(CONTROL!$C$9, $C$13, 100%, $E$13) + CHOOSE(CONTROL!$C$28, 0, 0)</f>
        <v>77.358999999999995</v>
      </c>
      <c r="E824" s="4">
        <f>368.651591084412 * CHOOSE(CONTROL!$C$9, $C$13, 100%, $E$13) + CHOOSE(CONTROL!$C$28, 0, 0)</f>
        <v>368.65159108441202</v>
      </c>
    </row>
    <row r="825" spans="1:5" ht="15">
      <c r="A825" s="13">
        <v>66627</v>
      </c>
      <c r="B825" s="4">
        <f>54.0017 * CHOOSE(CONTROL!$C$9, $C$13, 100%, $E$13) + CHOOSE(CONTROL!$C$28, 0.0136, 0)</f>
        <v>54.015299999999996</v>
      </c>
      <c r="C825" s="4">
        <f>53.6385 * CHOOSE(CONTROL!$C$9, $C$13, 100%, $E$13) + CHOOSE(CONTROL!$C$28, 0.0136, 0)</f>
        <v>53.652099999999997</v>
      </c>
      <c r="D825" s="4">
        <f>76.513 * CHOOSE(CONTROL!$C$9, $C$13, 100%, $E$13) + CHOOSE(CONTROL!$C$28, 0, 0)</f>
        <v>76.513000000000005</v>
      </c>
      <c r="E825" s="4">
        <f>377.479075105668 * CHOOSE(CONTROL!$C$9, $C$13, 100%, $E$13) + CHOOSE(CONTROL!$C$28, 0, 0)</f>
        <v>377.47907510566802</v>
      </c>
    </row>
    <row r="826" spans="1:5" ht="15">
      <c r="A826" s="13">
        <v>66657</v>
      </c>
      <c r="B826" s="4">
        <f>54.1702 * CHOOSE(CONTROL!$C$9, $C$13, 100%, $E$13) + CHOOSE(CONTROL!$C$28, 0.0136, 0)</f>
        <v>54.183799999999998</v>
      </c>
      <c r="C826" s="4">
        <f>53.8069 * CHOOSE(CONTROL!$C$9, $C$13, 100%, $E$13) + CHOOSE(CONTROL!$C$28, 0.0136, 0)</f>
        <v>53.820499999999996</v>
      </c>
      <c r="D826" s="4">
        <f>77.202 * CHOOSE(CONTROL!$C$9, $C$13, 100%, $E$13) + CHOOSE(CONTROL!$C$28, 0, 0)</f>
        <v>77.201999999999998</v>
      </c>
      <c r="E826" s="4">
        <f>378.673470328555 * CHOOSE(CONTROL!$C$9, $C$13, 100%, $E$13) + CHOOSE(CONTROL!$C$28, 0, 0)</f>
        <v>378.67347032855503</v>
      </c>
    </row>
    <row r="827" spans="1:5" ht="15">
      <c r="A827" s="13">
        <v>66688</v>
      </c>
      <c r="B827" s="4">
        <f>54.1532 * CHOOSE(CONTROL!$C$9, $C$13, 100%, $E$13) + CHOOSE(CONTROL!$C$28, 0.0136, 0)</f>
        <v>54.166799999999995</v>
      </c>
      <c r="C827" s="4">
        <f>53.7899 * CHOOSE(CONTROL!$C$9, $C$13, 100%, $E$13) + CHOOSE(CONTROL!$C$28, 0.0136, 0)</f>
        <v>53.8035</v>
      </c>
      <c r="D827" s="4">
        <f>78.4453 * CHOOSE(CONTROL!$C$9, $C$13, 100%, $E$13) + CHOOSE(CONTROL!$C$28, 0, 0)</f>
        <v>78.445300000000003</v>
      </c>
      <c r="E827" s="4">
        <f>378.553027112802 * CHOOSE(CONTROL!$C$9, $C$13, 100%, $E$13) + CHOOSE(CONTROL!$C$28, 0, 0)</f>
        <v>378.553027112802</v>
      </c>
    </row>
    <row r="828" spans="1:5" ht="15">
      <c r="A828" s="13">
        <v>66719</v>
      </c>
      <c r="B828" s="4">
        <f>55.4312 * CHOOSE(CONTROL!$C$9, $C$13, 100%, $E$13) + CHOOSE(CONTROL!$C$28, 0.0136, 0)</f>
        <v>55.444799999999994</v>
      </c>
      <c r="C828" s="4">
        <f>55.0679 * CHOOSE(CONTROL!$C$9, $C$13, 100%, $E$13) + CHOOSE(CONTROL!$C$28, 0.0136, 0)</f>
        <v>55.081499999999998</v>
      </c>
      <c r="D828" s="4">
        <f>77.6242 * CHOOSE(CONTROL!$C$9, $C$13, 100%, $E$13) + CHOOSE(CONTROL!$C$28, 0, 0)</f>
        <v>77.624200000000002</v>
      </c>
      <c r="E828" s="4">
        <f>387.616379098242 * CHOOSE(CONTROL!$C$9, $C$13, 100%, $E$13) + CHOOSE(CONTROL!$C$28, 0, 0)</f>
        <v>387.61637909824202</v>
      </c>
    </row>
    <row r="829" spans="1:5" ht="15">
      <c r="A829" s="13">
        <v>66749</v>
      </c>
      <c r="B829" s="4">
        <f>53.253 * CHOOSE(CONTROL!$C$9, $C$13, 100%, $E$13) + CHOOSE(CONTROL!$C$28, 0.0136, 0)</f>
        <v>53.266599999999997</v>
      </c>
      <c r="C829" s="4">
        <f>52.8898 * CHOOSE(CONTROL!$C$9, $C$13, 100%, $E$13) + CHOOSE(CONTROL!$C$28, 0.0136, 0)</f>
        <v>52.903399999999998</v>
      </c>
      <c r="D829" s="4">
        <f>77.2363 * CHOOSE(CONTROL!$C$9, $C$13, 100%, $E$13) + CHOOSE(CONTROL!$C$28, 0, 0)</f>
        <v>77.2363</v>
      </c>
      <c r="E829" s="4">
        <f>372.169536677874 * CHOOSE(CONTROL!$C$9, $C$13, 100%, $E$13) + CHOOSE(CONTROL!$C$28, 0, 0)</f>
        <v>372.16953667787402</v>
      </c>
    </row>
    <row r="830" spans="1:5" ht="15">
      <c r="A830" s="13">
        <v>66780</v>
      </c>
      <c r="B830" s="4">
        <f>51.5094 * CHOOSE(CONTROL!$C$9, $C$13, 100%, $E$13) + CHOOSE(CONTROL!$C$28, 0.0003, 0)</f>
        <v>51.509700000000002</v>
      </c>
      <c r="C830" s="4">
        <f>51.1461 * CHOOSE(CONTROL!$C$9, $C$13, 100%, $E$13) + CHOOSE(CONTROL!$C$28, 0.0003, 0)</f>
        <v>51.1464</v>
      </c>
      <c r="D830" s="4">
        <f>76.1976 * CHOOSE(CONTROL!$C$9, $C$13, 100%, $E$13) + CHOOSE(CONTROL!$C$28, 0, 0)</f>
        <v>76.197599999999994</v>
      </c>
      <c r="E830" s="4">
        <f>359.804033193863 * CHOOSE(CONTROL!$C$9, $C$13, 100%, $E$13) + CHOOSE(CONTROL!$C$28, 0, 0)</f>
        <v>359.80403319386301</v>
      </c>
    </row>
    <row r="831" spans="1:5" ht="15">
      <c r="A831" s="13">
        <v>66810</v>
      </c>
      <c r="B831" s="4">
        <f>50.3863 * CHOOSE(CONTROL!$C$9, $C$13, 100%, $E$13) + CHOOSE(CONTROL!$C$28, 0.0003, 0)</f>
        <v>50.386600000000001</v>
      </c>
      <c r="C831" s="4">
        <f>50.023 * CHOOSE(CONTROL!$C$9, $C$13, 100%, $E$13) + CHOOSE(CONTROL!$C$28, 0.0003, 0)</f>
        <v>50.023300000000006</v>
      </c>
      <c r="D831" s="4">
        <f>75.8404 * CHOOSE(CONTROL!$C$9, $C$13, 100%, $E$13) + CHOOSE(CONTROL!$C$28, 0, 0)</f>
        <v>75.840400000000002</v>
      </c>
      <c r="E831" s="4">
        <f>351.839725552172 * CHOOSE(CONTROL!$C$9, $C$13, 100%, $E$13) + CHOOSE(CONTROL!$C$28, 0, 0)</f>
        <v>351.83972555217201</v>
      </c>
    </row>
    <row r="832" spans="1:5" ht="15">
      <c r="A832" s="13">
        <v>66841</v>
      </c>
      <c r="B832" s="4">
        <f>49.6093 * CHOOSE(CONTROL!$C$9, $C$13, 100%, $E$13) + CHOOSE(CONTROL!$C$28, 0.0003, 0)</f>
        <v>49.6096</v>
      </c>
      <c r="C832" s="4">
        <f>49.246 * CHOOSE(CONTROL!$C$9, $C$13, 100%, $E$13) + CHOOSE(CONTROL!$C$28, 0.0003, 0)</f>
        <v>49.246300000000005</v>
      </c>
      <c r="D832" s="4">
        <f>73.2114 * CHOOSE(CONTROL!$C$9, $C$13, 100%, $E$13) + CHOOSE(CONTROL!$C$28, 0, 0)</f>
        <v>73.211399999999998</v>
      </c>
      <c r="E832" s="4">
        <f>346.329448431456 * CHOOSE(CONTROL!$C$9, $C$13, 100%, $E$13) + CHOOSE(CONTROL!$C$28, 0, 0)</f>
        <v>346.329448431456</v>
      </c>
    </row>
    <row r="833" spans="1:5" ht="15">
      <c r="A833" s="13">
        <v>66872</v>
      </c>
      <c r="B833" s="4">
        <f>47.4835 * CHOOSE(CONTROL!$C$9, $C$13, 100%, $E$13) + CHOOSE(CONTROL!$C$28, 0.0003, 0)</f>
        <v>47.483800000000002</v>
      </c>
      <c r="C833" s="4">
        <f>47.1202 * CHOOSE(CONTROL!$C$9, $C$13, 100%, $E$13) + CHOOSE(CONTROL!$C$28, 0.0003, 0)</f>
        <v>47.1205</v>
      </c>
      <c r="D833" s="4">
        <f>70.3152 * CHOOSE(CONTROL!$C$9, $C$13, 100%, $E$13) + CHOOSE(CONTROL!$C$28, 0, 0)</f>
        <v>70.315200000000004</v>
      </c>
      <c r="E833" s="4">
        <f>331.9034196257 * CHOOSE(CONTROL!$C$9, $C$13, 100%, $E$13) + CHOOSE(CONTROL!$C$28, 0, 0)</f>
        <v>331.9034196257</v>
      </c>
    </row>
    <row r="834" spans="1:5" ht="15">
      <c r="A834" s="13">
        <v>66900</v>
      </c>
      <c r="B834" s="4">
        <f>48.5925 * CHOOSE(CONTROL!$C$9, $C$13, 100%, $E$13) + CHOOSE(CONTROL!$C$28, 0.0003, 0)</f>
        <v>48.592800000000004</v>
      </c>
      <c r="C834" s="4">
        <f>48.2293 * CHOOSE(CONTROL!$C$9, $C$13, 100%, $E$13) + CHOOSE(CONTROL!$C$28, 0.0003, 0)</f>
        <v>48.229600000000005</v>
      </c>
      <c r="D834" s="4">
        <f>72.7316 * CHOOSE(CONTROL!$C$9, $C$13, 100%, $E$13) + CHOOSE(CONTROL!$C$28, 0, 0)</f>
        <v>72.7316</v>
      </c>
      <c r="E834" s="4">
        <f>339.784114808934 * CHOOSE(CONTROL!$C$9, $C$13, 100%, $E$13) + CHOOSE(CONTROL!$C$28, 0, 0)</f>
        <v>339.78411480893402</v>
      </c>
    </row>
    <row r="835" spans="1:5" ht="15">
      <c r="A835" s="13">
        <v>66931</v>
      </c>
      <c r="B835" s="4">
        <f>51.505 * CHOOSE(CONTROL!$C$9, $C$13, 100%, $E$13) + CHOOSE(CONTROL!$C$28, 0.0003, 0)</f>
        <v>51.505300000000005</v>
      </c>
      <c r="C835" s="4">
        <f>51.1418 * CHOOSE(CONTROL!$C$9, $C$13, 100%, $E$13) + CHOOSE(CONTROL!$C$28, 0.0003, 0)</f>
        <v>51.142100000000006</v>
      </c>
      <c r="D835" s="4">
        <f>76.5142 * CHOOSE(CONTROL!$C$9, $C$13, 100%, $E$13) + CHOOSE(CONTROL!$C$28, 0, 0)</f>
        <v>76.514200000000002</v>
      </c>
      <c r="E835" s="4">
        <f>360.479239165683 * CHOOSE(CONTROL!$C$9, $C$13, 100%, $E$13) + CHOOSE(CONTROL!$C$28, 0, 0)</f>
        <v>360.479239165683</v>
      </c>
    </row>
    <row r="836" spans="1:5" ht="15">
      <c r="A836" s="13">
        <v>66961</v>
      </c>
      <c r="B836" s="4">
        <f>53.5744 * CHOOSE(CONTROL!$C$9, $C$13, 100%, $E$13) + CHOOSE(CONTROL!$C$28, 0.0003, 0)</f>
        <v>53.5747</v>
      </c>
      <c r="C836" s="4">
        <f>53.2111 * CHOOSE(CONTROL!$C$9, $C$13, 100%, $E$13) + CHOOSE(CONTROL!$C$28, 0.0003, 0)</f>
        <v>53.211400000000005</v>
      </c>
      <c r="D836" s="4">
        <f>78.6931 * CHOOSE(CONTROL!$C$9, $C$13, 100%, $E$13) + CHOOSE(CONTROL!$C$28, 0, 0)</f>
        <v>78.693100000000001</v>
      </c>
      <c r="E836" s="4">
        <f>375.183400819948 * CHOOSE(CONTROL!$C$9, $C$13, 100%, $E$13) + CHOOSE(CONTROL!$C$28, 0, 0)</f>
        <v>375.18340081994802</v>
      </c>
    </row>
    <row r="837" spans="1:5" ht="15">
      <c r="A837" s="13">
        <v>66992</v>
      </c>
      <c r="B837" s="4">
        <f>54.8387 * CHOOSE(CONTROL!$C$9, $C$13, 100%, $E$13) + CHOOSE(CONTROL!$C$28, 0.0136, 0)</f>
        <v>54.8523</v>
      </c>
      <c r="C837" s="4">
        <f>54.4755 * CHOOSE(CONTROL!$C$9, $C$13, 100%, $E$13) + CHOOSE(CONTROL!$C$28, 0.0136, 0)</f>
        <v>54.489099999999993</v>
      </c>
      <c r="D837" s="4">
        <f>77.8321 * CHOOSE(CONTROL!$C$9, $C$13, 100%, $E$13) + CHOOSE(CONTROL!$C$28, 0, 0)</f>
        <v>77.832099999999997</v>
      </c>
      <c r="E837" s="4">
        <f>384.167291181133 * CHOOSE(CONTROL!$C$9, $C$13, 100%, $E$13) + CHOOSE(CONTROL!$C$28, 0, 0)</f>
        <v>384.16729118113301</v>
      </c>
    </row>
    <row r="838" spans="1:5" ht="15">
      <c r="A838" s="13">
        <v>67022</v>
      </c>
      <c r="B838" s="4">
        <f>55.0098 * CHOOSE(CONTROL!$C$9, $C$13, 100%, $E$13) + CHOOSE(CONTROL!$C$28, 0.0136, 0)</f>
        <v>55.023399999999995</v>
      </c>
      <c r="C838" s="4">
        <f>54.6465 * CHOOSE(CONTROL!$C$9, $C$13, 100%, $E$13) + CHOOSE(CONTROL!$C$28, 0.0136, 0)</f>
        <v>54.6601</v>
      </c>
      <c r="D838" s="4">
        <f>78.5333 * CHOOSE(CONTROL!$C$9, $C$13, 100%, $E$13) + CHOOSE(CONTROL!$C$28, 0, 0)</f>
        <v>78.533299999999997</v>
      </c>
      <c r="E838" s="4">
        <f>385.382848830912 * CHOOSE(CONTROL!$C$9, $C$13, 100%, $E$13) + CHOOSE(CONTROL!$C$28, 0, 0)</f>
        <v>385.382848830912</v>
      </c>
    </row>
    <row r="839" spans="1:5" ht="15">
      <c r="A839" s="13">
        <v>67053</v>
      </c>
      <c r="B839" s="4">
        <f>54.9926 * CHOOSE(CONTROL!$C$9, $C$13, 100%, $E$13) + CHOOSE(CONTROL!$C$28, 0.0136, 0)</f>
        <v>55.0062</v>
      </c>
      <c r="C839" s="4">
        <f>54.6293 * CHOOSE(CONTROL!$C$9, $C$13, 100%, $E$13) + CHOOSE(CONTROL!$C$28, 0.0136, 0)</f>
        <v>54.642899999999997</v>
      </c>
      <c r="D839" s="4">
        <f>79.7985 * CHOOSE(CONTROL!$C$9, $C$13, 100%, $E$13) + CHOOSE(CONTROL!$C$28, 0, 0)</f>
        <v>79.798500000000004</v>
      </c>
      <c r="E839" s="4">
        <f>385.260271588917 * CHOOSE(CONTROL!$C$9, $C$13, 100%, $E$13) + CHOOSE(CONTROL!$C$28, 0, 0)</f>
        <v>385.26027158891702</v>
      </c>
    </row>
    <row r="840" spans="1:5" ht="15">
      <c r="A840" s="13">
        <v>67084</v>
      </c>
      <c r="B840" s="4">
        <f>56.2907 * CHOOSE(CONTROL!$C$9, $C$13, 100%, $E$13) + CHOOSE(CONTROL!$C$28, 0.0136, 0)</f>
        <v>56.304299999999998</v>
      </c>
      <c r="C840" s="4">
        <f>55.9274 * CHOOSE(CONTROL!$C$9, $C$13, 100%, $E$13) + CHOOSE(CONTROL!$C$28, 0.0136, 0)</f>
        <v>55.940999999999995</v>
      </c>
      <c r="D840" s="4">
        <f>78.963 * CHOOSE(CONTROL!$C$9, $C$13, 100%, $E$13) + CHOOSE(CONTROL!$C$28, 0, 0)</f>
        <v>78.962999999999994</v>
      </c>
      <c r="E840" s="4">
        <f>394.484209049008 * CHOOSE(CONTROL!$C$9, $C$13, 100%, $E$13) + CHOOSE(CONTROL!$C$28, 0, 0)</f>
        <v>394.48420904900797</v>
      </c>
    </row>
    <row r="841" spans="1:5" ht="15">
      <c r="A841" s="13">
        <v>67114</v>
      </c>
      <c r="B841" s="4">
        <f>54.0783 * CHOOSE(CONTROL!$C$9, $C$13, 100%, $E$13) + CHOOSE(CONTROL!$C$28, 0.0136, 0)</f>
        <v>54.091899999999995</v>
      </c>
      <c r="C841" s="4">
        <f>53.715 * CHOOSE(CONTROL!$C$9, $C$13, 100%, $E$13) + CHOOSE(CONTROL!$C$28, 0.0136, 0)</f>
        <v>53.7286</v>
      </c>
      <c r="D841" s="4">
        <f>78.5682 * CHOOSE(CONTROL!$C$9, $C$13, 100%, $E$13) + CHOOSE(CONTROL!$C$28, 0, 0)</f>
        <v>78.568200000000004</v>
      </c>
      <c r="E841" s="4">
        <f>378.763677763206 * CHOOSE(CONTROL!$C$9, $C$13, 100%, $E$13) + CHOOSE(CONTROL!$C$28, 0, 0)</f>
        <v>378.76367776320598</v>
      </c>
    </row>
    <row r="842" spans="1:5" ht="15">
      <c r="A842" s="13">
        <v>67145</v>
      </c>
      <c r="B842" s="4">
        <f>52.3072 * CHOOSE(CONTROL!$C$9, $C$13, 100%, $E$13) + CHOOSE(CONTROL!$C$28, 0.0003, 0)</f>
        <v>52.307500000000005</v>
      </c>
      <c r="C842" s="4">
        <f>51.9439 * CHOOSE(CONTROL!$C$9, $C$13, 100%, $E$13) + CHOOSE(CONTROL!$C$28, 0.0003, 0)</f>
        <v>51.944200000000002</v>
      </c>
      <c r="D842" s="4">
        <f>77.5111 * CHOOSE(CONTROL!$C$9, $C$13, 100%, $E$13) + CHOOSE(CONTROL!$C$28, 0, 0)</f>
        <v>77.511099999999999</v>
      </c>
      <c r="E842" s="4">
        <f>366.17908091843 * CHOOSE(CONTROL!$C$9, $C$13, 100%, $E$13) + CHOOSE(CONTROL!$C$28, 0, 0)</f>
        <v>366.17908091842997</v>
      </c>
    </row>
    <row r="843" spans="1:5" ht="15">
      <c r="A843" s="13">
        <v>67175</v>
      </c>
      <c r="B843" s="4">
        <f>51.1665 * CHOOSE(CONTROL!$C$9, $C$13, 100%, $E$13) + CHOOSE(CONTROL!$C$28, 0.0003, 0)</f>
        <v>51.166800000000002</v>
      </c>
      <c r="C843" s="4">
        <f>50.8032 * CHOOSE(CONTROL!$C$9, $C$13, 100%, $E$13) + CHOOSE(CONTROL!$C$28, 0.0003, 0)</f>
        <v>50.8035</v>
      </c>
      <c r="D843" s="4">
        <f>77.1477 * CHOOSE(CONTROL!$C$9, $C$13, 100%, $E$13) + CHOOSE(CONTROL!$C$28, 0, 0)</f>
        <v>77.1477</v>
      </c>
      <c r="E843" s="4">
        <f>358.07366079154 * CHOOSE(CONTROL!$C$9, $C$13, 100%, $E$13) + CHOOSE(CONTROL!$C$28, 0, 0)</f>
        <v>358.07366079154002</v>
      </c>
    </row>
    <row r="844" spans="1:5" ht="15">
      <c r="A844" s="13">
        <v>67206</v>
      </c>
      <c r="B844" s="4">
        <f>50.3773 * CHOOSE(CONTROL!$C$9, $C$13, 100%, $E$13) + CHOOSE(CONTROL!$C$28, 0.0003, 0)</f>
        <v>50.377600000000001</v>
      </c>
      <c r="C844" s="4">
        <f>50.014 * CHOOSE(CONTROL!$C$9, $C$13, 100%, $E$13) + CHOOSE(CONTROL!$C$28, 0.0003, 0)</f>
        <v>50.014300000000006</v>
      </c>
      <c r="D844" s="4">
        <f>74.4722 * CHOOSE(CONTROL!$C$9, $C$13, 100%, $E$13) + CHOOSE(CONTROL!$C$28, 0, 0)</f>
        <v>74.472200000000001</v>
      </c>
      <c r="E844" s="4">
        <f>352.465751970288 * CHOOSE(CONTROL!$C$9, $C$13, 100%, $E$13) + CHOOSE(CONTROL!$C$28, 0, 0)</f>
        <v>352.46575197028801</v>
      </c>
    </row>
    <row r="845" spans="1:5" ht="15">
      <c r="A845" s="13">
        <v>67237</v>
      </c>
      <c r="B845" s="4">
        <f>48.218 * CHOOSE(CONTROL!$C$9, $C$13, 100%, $E$13) + CHOOSE(CONTROL!$C$28, 0.0003, 0)</f>
        <v>48.218300000000006</v>
      </c>
      <c r="C845" s="4">
        <f>47.8547 * CHOOSE(CONTROL!$C$9, $C$13, 100%, $E$13) + CHOOSE(CONTROL!$C$28, 0.0003, 0)</f>
        <v>47.855000000000004</v>
      </c>
      <c r="D845" s="4">
        <f>71.5249 * CHOOSE(CONTROL!$C$9, $C$13, 100%, $E$13) + CHOOSE(CONTROL!$C$28, 0, 0)</f>
        <v>71.524900000000002</v>
      </c>
      <c r="E845" s="4">
        <f>337.784121187822 * CHOOSE(CONTROL!$C$9, $C$13, 100%, $E$13) + CHOOSE(CONTROL!$C$28, 0, 0)</f>
        <v>337.784121187822</v>
      </c>
    </row>
    <row r="846" spans="1:5" ht="15">
      <c r="A846" s="13">
        <v>67266</v>
      </c>
      <c r="B846" s="4">
        <f>49.3445 * CHOOSE(CONTROL!$C$9, $C$13, 100%, $E$13) + CHOOSE(CONTROL!$C$28, 0.0003, 0)</f>
        <v>49.344799999999999</v>
      </c>
      <c r="C846" s="4">
        <f>48.9812 * CHOOSE(CONTROL!$C$9, $C$13, 100%, $E$13) + CHOOSE(CONTROL!$C$28, 0.0003, 0)</f>
        <v>48.981500000000004</v>
      </c>
      <c r="D846" s="4">
        <f>73.9839 * CHOOSE(CONTROL!$C$9, $C$13, 100%, $E$13) + CHOOSE(CONTROL!$C$28, 0, 0)</f>
        <v>73.983900000000006</v>
      </c>
      <c r="E846" s="4">
        <f>345.804447401453 * CHOOSE(CONTROL!$C$9, $C$13, 100%, $E$13) + CHOOSE(CONTROL!$C$28, 0, 0)</f>
        <v>345.80444740145299</v>
      </c>
    </row>
    <row r="847" spans="1:5" ht="15">
      <c r="A847" s="13">
        <v>67297</v>
      </c>
      <c r="B847" s="4">
        <f>52.3028 * CHOOSE(CONTROL!$C$9, $C$13, 100%, $E$13) + CHOOSE(CONTROL!$C$28, 0.0003, 0)</f>
        <v>52.303100000000001</v>
      </c>
      <c r="C847" s="4">
        <f>51.9395 * CHOOSE(CONTROL!$C$9, $C$13, 100%, $E$13) + CHOOSE(CONTROL!$C$28, 0.0003, 0)</f>
        <v>51.939800000000005</v>
      </c>
      <c r="D847" s="4">
        <f>77.8333 * CHOOSE(CONTROL!$C$9, $C$13, 100%, $E$13) + CHOOSE(CONTROL!$C$28, 0, 0)</f>
        <v>77.833299999999994</v>
      </c>
      <c r="E847" s="4">
        <f>366.866250264468 * CHOOSE(CONTROL!$C$9, $C$13, 100%, $E$13) + CHOOSE(CONTROL!$C$28, 0, 0)</f>
        <v>366.86625026446802</v>
      </c>
    </row>
    <row r="848" spans="1:5" ht="15">
      <c r="A848" s="13">
        <v>67327</v>
      </c>
      <c r="B848" s="4">
        <f>54.4047 * CHOOSE(CONTROL!$C$9, $C$13, 100%, $E$13) + CHOOSE(CONTROL!$C$28, 0.0003, 0)</f>
        <v>54.405000000000001</v>
      </c>
      <c r="C848" s="4">
        <f>54.0414 * CHOOSE(CONTROL!$C$9, $C$13, 100%, $E$13) + CHOOSE(CONTROL!$C$28, 0.0003, 0)</f>
        <v>54.041700000000006</v>
      </c>
      <c r="D848" s="4">
        <f>80.0507 * CHOOSE(CONTROL!$C$9, $C$13, 100%, $E$13) + CHOOSE(CONTROL!$C$28, 0, 0)</f>
        <v>80.050700000000006</v>
      </c>
      <c r="E848" s="4">
        <f>381.830941884069 * CHOOSE(CONTROL!$C$9, $C$13, 100%, $E$13) + CHOOSE(CONTROL!$C$28, 0, 0)</f>
        <v>381.83094188406898</v>
      </c>
    </row>
    <row r="849" spans="1:5" ht="15">
      <c r="A849" s="13">
        <v>67358</v>
      </c>
      <c r="B849" s="4">
        <f>55.6889 * CHOOSE(CONTROL!$C$9, $C$13, 100%, $E$13) + CHOOSE(CONTROL!$C$28, 0.0136, 0)</f>
        <v>55.702499999999993</v>
      </c>
      <c r="C849" s="4">
        <f>55.3256 * CHOOSE(CONTROL!$C$9, $C$13, 100%, $E$13) + CHOOSE(CONTROL!$C$28, 0.0136, 0)</f>
        <v>55.339199999999998</v>
      </c>
      <c r="D849" s="4">
        <f>79.1745 * CHOOSE(CONTROL!$C$9, $C$13, 100%, $E$13) + CHOOSE(CONTROL!$C$28, 0, 0)</f>
        <v>79.174499999999995</v>
      </c>
      <c r="E849" s="4">
        <f>390.974009810042 * CHOOSE(CONTROL!$C$9, $C$13, 100%, $E$13) + CHOOSE(CONTROL!$C$28, 0, 0)</f>
        <v>390.97400981004199</v>
      </c>
    </row>
    <row r="850" spans="1:5" ht="15">
      <c r="A850" s="13">
        <v>67388</v>
      </c>
      <c r="B850" s="4">
        <f>55.8627 * CHOOSE(CONTROL!$C$9, $C$13, 100%, $E$13) + CHOOSE(CONTROL!$C$28, 0.0136, 0)</f>
        <v>55.876299999999993</v>
      </c>
      <c r="C850" s="4">
        <f>55.4994 * CHOOSE(CONTROL!$C$9, $C$13, 100%, $E$13) + CHOOSE(CONTROL!$C$28, 0.0136, 0)</f>
        <v>55.512999999999998</v>
      </c>
      <c r="D850" s="4">
        <f>79.8881 * CHOOSE(CONTROL!$C$9, $C$13, 100%, $E$13) + CHOOSE(CONTROL!$C$28, 0, 0)</f>
        <v>79.888099999999994</v>
      </c>
      <c r="E850" s="4">
        <f>392.211104844938 * CHOOSE(CONTROL!$C$9, $C$13, 100%, $E$13) + CHOOSE(CONTROL!$C$28, 0, 0)</f>
        <v>392.21110484493801</v>
      </c>
    </row>
    <row r="851" spans="1:5" ht="15">
      <c r="A851" s="13">
        <v>67419</v>
      </c>
      <c r="B851" s="4">
        <f>55.8452 * CHOOSE(CONTROL!$C$9, $C$13, 100%, $E$13) + CHOOSE(CONTROL!$C$28, 0.0136, 0)</f>
        <v>55.858799999999995</v>
      </c>
      <c r="C851" s="4">
        <f>55.4819 * CHOOSE(CONTROL!$C$9, $C$13, 100%, $E$13) + CHOOSE(CONTROL!$C$28, 0.0136, 0)</f>
        <v>55.4955</v>
      </c>
      <c r="D851" s="4">
        <f>81.1757 * CHOOSE(CONTROL!$C$9, $C$13, 100%, $E$13) + CHOOSE(CONTROL!$C$28, 0, 0)</f>
        <v>81.175700000000006</v>
      </c>
      <c r="E851" s="4">
        <f>392.086355765789 * CHOOSE(CONTROL!$C$9, $C$13, 100%, $E$13) + CHOOSE(CONTROL!$C$28, 0, 0)</f>
        <v>392.08635576578899</v>
      </c>
    </row>
    <row r="852" spans="1:5" ht="15">
      <c r="A852" s="13">
        <v>67450</v>
      </c>
      <c r="B852" s="4">
        <f>57.1637 * CHOOSE(CONTROL!$C$9, $C$13, 100%, $E$13) + CHOOSE(CONTROL!$C$28, 0.0136, 0)</f>
        <v>57.177299999999995</v>
      </c>
      <c r="C852" s="4">
        <f>56.8004 * CHOOSE(CONTROL!$C$9, $C$13, 100%, $E$13) + CHOOSE(CONTROL!$C$28, 0.0136, 0)</f>
        <v>56.814</v>
      </c>
      <c r="D852" s="4">
        <f>80.3254 * CHOOSE(CONTROL!$C$9, $C$13, 100%, $E$13) + CHOOSE(CONTROL!$C$28, 0, 0)</f>
        <v>80.325400000000002</v>
      </c>
      <c r="E852" s="4">
        <f>401.473723971763 * CHOOSE(CONTROL!$C$9, $C$13, 100%, $E$13) + CHOOSE(CONTROL!$C$28, 0, 0)</f>
        <v>401.47372397176298</v>
      </c>
    </row>
    <row r="853" spans="1:5" ht="15">
      <c r="A853" s="13">
        <v>67480</v>
      </c>
      <c r="B853" s="4">
        <f>54.9165 * CHOOSE(CONTROL!$C$9, $C$13, 100%, $E$13) + CHOOSE(CONTROL!$C$28, 0.0136, 0)</f>
        <v>54.930099999999996</v>
      </c>
      <c r="C853" s="4">
        <f>54.5532 * CHOOSE(CONTROL!$C$9, $C$13, 100%, $E$13) + CHOOSE(CONTROL!$C$28, 0.0136, 0)</f>
        <v>54.566799999999994</v>
      </c>
      <c r="D853" s="4">
        <f>79.9236 * CHOOSE(CONTROL!$C$9, $C$13, 100%, $E$13) + CHOOSE(CONTROL!$C$28, 0, 0)</f>
        <v>79.923599999999993</v>
      </c>
      <c r="E853" s="4">
        <f>385.474654570884 * CHOOSE(CONTROL!$C$9, $C$13, 100%, $E$13) + CHOOSE(CONTROL!$C$28, 0, 0)</f>
        <v>385.47465457088401</v>
      </c>
    </row>
    <row r="854" spans="1:5" ht="15">
      <c r="A854" s="13">
        <v>67511</v>
      </c>
      <c r="B854" s="4">
        <f>53.1176 * CHOOSE(CONTROL!$C$9, $C$13, 100%, $E$13) + CHOOSE(CONTROL!$C$28, 0.0003, 0)</f>
        <v>53.117900000000006</v>
      </c>
      <c r="C854" s="4">
        <f>52.7543 * CHOOSE(CONTROL!$C$9, $C$13, 100%, $E$13) + CHOOSE(CONTROL!$C$28, 0.0003, 0)</f>
        <v>52.754600000000003</v>
      </c>
      <c r="D854" s="4">
        <f>78.8479 * CHOOSE(CONTROL!$C$9, $C$13, 100%, $E$13) + CHOOSE(CONTROL!$C$28, 0, 0)</f>
        <v>78.847899999999996</v>
      </c>
      <c r="E854" s="4">
        <f>372.667082444904 * CHOOSE(CONTROL!$C$9, $C$13, 100%, $E$13) + CHOOSE(CONTROL!$C$28, 0, 0)</f>
        <v>372.667082444904</v>
      </c>
    </row>
    <row r="855" spans="1:5" ht="15">
      <c r="A855" s="13">
        <v>67541</v>
      </c>
      <c r="B855" s="4">
        <f>51.9589 * CHOOSE(CONTROL!$C$9, $C$13, 100%, $E$13) + CHOOSE(CONTROL!$C$28, 0.0003, 0)</f>
        <v>51.959200000000003</v>
      </c>
      <c r="C855" s="4">
        <f>51.5956 * CHOOSE(CONTROL!$C$9, $C$13, 100%, $E$13) + CHOOSE(CONTROL!$C$28, 0.0003, 0)</f>
        <v>51.5959</v>
      </c>
      <c r="D855" s="4">
        <f>78.478 * CHOOSE(CONTROL!$C$9, $C$13, 100%, $E$13) + CHOOSE(CONTROL!$C$28, 0, 0)</f>
        <v>78.477999999999994</v>
      </c>
      <c r="E855" s="4">
        <f>364.418049586166 * CHOOSE(CONTROL!$C$9, $C$13, 100%, $E$13) + CHOOSE(CONTROL!$C$28, 0, 0)</f>
        <v>364.41804958616598</v>
      </c>
    </row>
    <row r="856" spans="1:5" ht="15">
      <c r="A856" s="13">
        <v>67572</v>
      </c>
      <c r="B856" s="4">
        <f>51.1573 * CHOOSE(CONTROL!$C$9, $C$13, 100%, $E$13) + CHOOSE(CONTROL!$C$28, 0.0003, 0)</f>
        <v>51.157600000000002</v>
      </c>
      <c r="C856" s="4">
        <f>50.794 * CHOOSE(CONTROL!$C$9, $C$13, 100%, $E$13) + CHOOSE(CONTROL!$C$28, 0.0003, 0)</f>
        <v>50.7943</v>
      </c>
      <c r="D856" s="4">
        <f>75.7552 * CHOOSE(CONTROL!$C$9, $C$13, 100%, $E$13) + CHOOSE(CONTROL!$C$28, 0, 0)</f>
        <v>75.755200000000002</v>
      </c>
      <c r="E856" s="4">
        <f>358.710779215092 * CHOOSE(CONTROL!$C$9, $C$13, 100%, $E$13) + CHOOSE(CONTROL!$C$28, 0, 0)</f>
        <v>358.71077921509197</v>
      </c>
    </row>
    <row r="857" spans="1:5" ht="15">
      <c r="A857" s="13">
        <v>67603</v>
      </c>
      <c r="B857" s="4">
        <f>48.964 * CHOOSE(CONTROL!$C$9, $C$13, 100%, $E$13) + CHOOSE(CONTROL!$C$28, 0.0003, 0)</f>
        <v>48.964300000000001</v>
      </c>
      <c r="C857" s="4">
        <f>48.6007 * CHOOSE(CONTROL!$C$9, $C$13, 100%, $E$13) + CHOOSE(CONTROL!$C$28, 0.0003, 0)</f>
        <v>48.601000000000006</v>
      </c>
      <c r="D857" s="4">
        <f>72.7559 * CHOOSE(CONTROL!$C$9, $C$13, 100%, $E$13) + CHOOSE(CONTROL!$C$28, 0, 0)</f>
        <v>72.755899999999997</v>
      </c>
      <c r="E857" s="4">
        <f>343.769017671773 * CHOOSE(CONTROL!$C$9, $C$13, 100%, $E$13) + CHOOSE(CONTROL!$C$28, 0, 0)</f>
        <v>343.76901767177299</v>
      </c>
    </row>
    <row r="858" spans="1:5" ht="15">
      <c r="A858" s="13">
        <v>67631</v>
      </c>
      <c r="B858" s="4">
        <f>50.1083 * CHOOSE(CONTROL!$C$9, $C$13, 100%, $E$13) + CHOOSE(CONTROL!$C$28, 0.0003, 0)</f>
        <v>50.108600000000003</v>
      </c>
      <c r="C858" s="4">
        <f>49.745 * CHOOSE(CONTROL!$C$9, $C$13, 100%, $E$13) + CHOOSE(CONTROL!$C$28, 0.0003, 0)</f>
        <v>49.7453</v>
      </c>
      <c r="D858" s="4">
        <f>75.2584 * CHOOSE(CONTROL!$C$9, $C$13, 100%, $E$13) + CHOOSE(CONTROL!$C$28, 0, 0)</f>
        <v>75.258399999999995</v>
      </c>
      <c r="E858" s="4">
        <f>351.931448913868 * CHOOSE(CONTROL!$C$9, $C$13, 100%, $E$13) + CHOOSE(CONTROL!$C$28, 0, 0)</f>
        <v>351.931448913868</v>
      </c>
    </row>
    <row r="859" spans="1:5" ht="15">
      <c r="A859" s="13">
        <v>67662</v>
      </c>
      <c r="B859" s="4">
        <f>53.1131 * CHOOSE(CONTROL!$C$9, $C$13, 100%, $E$13) + CHOOSE(CONTROL!$C$28, 0.0003, 0)</f>
        <v>53.113400000000006</v>
      </c>
      <c r="C859" s="4">
        <f>52.7498 * CHOOSE(CONTROL!$C$9, $C$13, 100%, $E$13) + CHOOSE(CONTROL!$C$28, 0.0003, 0)</f>
        <v>52.750100000000003</v>
      </c>
      <c r="D859" s="4">
        <f>79.1758 * CHOOSE(CONTROL!$C$9, $C$13, 100%, $E$13) + CHOOSE(CONTROL!$C$28, 0, 0)</f>
        <v>79.175799999999995</v>
      </c>
      <c r="E859" s="4">
        <f>373.36642713355 * CHOOSE(CONTROL!$C$9, $C$13, 100%, $E$13) + CHOOSE(CONTROL!$C$28, 0, 0)</f>
        <v>373.36642713355002</v>
      </c>
    </row>
    <row r="860" spans="1:5" ht="15">
      <c r="A860" s="13">
        <v>67692</v>
      </c>
      <c r="B860" s="4">
        <f>55.248 * CHOOSE(CONTROL!$C$9, $C$13, 100%, $E$13) + CHOOSE(CONTROL!$C$28, 0.0003, 0)</f>
        <v>55.2483</v>
      </c>
      <c r="C860" s="4">
        <f>54.8848 * CHOOSE(CONTROL!$C$9, $C$13, 100%, $E$13) + CHOOSE(CONTROL!$C$28, 0.0003, 0)</f>
        <v>54.885100000000001</v>
      </c>
      <c r="D860" s="4">
        <f>81.4324 * CHOOSE(CONTROL!$C$9, $C$13, 100%, $E$13) + CHOOSE(CONTROL!$C$28, 0, 0)</f>
        <v>81.432400000000001</v>
      </c>
      <c r="E860" s="4">
        <f>388.596264817278 * CHOOSE(CONTROL!$C$9, $C$13, 100%, $E$13) + CHOOSE(CONTROL!$C$28, 0, 0)</f>
        <v>388.59626481727798</v>
      </c>
    </row>
    <row r="861" spans="1:5" ht="15">
      <c r="A861" s="13">
        <v>67723</v>
      </c>
      <c r="B861" s="4">
        <f>56.5525 * CHOOSE(CONTROL!$C$9, $C$13, 100%, $E$13) + CHOOSE(CONTROL!$C$28, 0.0136, 0)</f>
        <v>56.566099999999999</v>
      </c>
      <c r="C861" s="4">
        <f>56.1892 * CHOOSE(CONTROL!$C$9, $C$13, 100%, $E$13) + CHOOSE(CONTROL!$C$28, 0.0136, 0)</f>
        <v>56.202799999999996</v>
      </c>
      <c r="D861" s="4">
        <f>80.5407 * CHOOSE(CONTROL!$C$9, $C$13, 100%, $E$13) + CHOOSE(CONTROL!$C$28, 0, 0)</f>
        <v>80.540700000000001</v>
      </c>
      <c r="E861" s="4">
        <f>397.901330633768 * CHOOSE(CONTROL!$C$9, $C$13, 100%, $E$13) + CHOOSE(CONTROL!$C$28, 0, 0)</f>
        <v>397.901330633768</v>
      </c>
    </row>
    <row r="862" spans="1:5" ht="15">
      <c r="A862" s="13">
        <v>67753</v>
      </c>
      <c r="B862" s="4">
        <f>56.729 * CHOOSE(CONTROL!$C$9, $C$13, 100%, $E$13) + CHOOSE(CONTROL!$C$28, 0.0136, 0)</f>
        <v>56.742599999999996</v>
      </c>
      <c r="C862" s="4">
        <f>56.3657 * CHOOSE(CONTROL!$C$9, $C$13, 100%, $E$13) + CHOOSE(CONTROL!$C$28, 0.0136, 0)</f>
        <v>56.379299999999994</v>
      </c>
      <c r="D862" s="4">
        <f>81.2669 * CHOOSE(CONTROL!$C$9, $C$13, 100%, $E$13) + CHOOSE(CONTROL!$C$28, 0, 0)</f>
        <v>81.266900000000007</v>
      </c>
      <c r="E862" s="4">
        <f>399.160344655556 * CHOOSE(CONTROL!$C$9, $C$13, 100%, $E$13) + CHOOSE(CONTROL!$C$28, 0, 0)</f>
        <v>399.160344655556</v>
      </c>
    </row>
    <row r="863" spans="1:5" ht="15">
      <c r="A863" s="13">
        <v>67784</v>
      </c>
      <c r="B863" s="4">
        <f>56.7112 * CHOOSE(CONTROL!$C$9, $C$13, 100%, $E$13) + CHOOSE(CONTROL!$C$28, 0.0136, 0)</f>
        <v>56.724799999999995</v>
      </c>
      <c r="C863" s="4">
        <f>56.3479 * CHOOSE(CONTROL!$C$9, $C$13, 100%, $E$13) + CHOOSE(CONTROL!$C$28, 0.0136, 0)</f>
        <v>56.361499999999999</v>
      </c>
      <c r="D863" s="4">
        <f>82.5773 * CHOOSE(CONTROL!$C$9, $C$13, 100%, $E$13) + CHOOSE(CONTROL!$C$28, 0, 0)</f>
        <v>82.577299999999994</v>
      </c>
      <c r="E863" s="4">
        <f>399.033385258401 * CHOOSE(CONTROL!$C$9, $C$13, 100%, $E$13) + CHOOSE(CONTROL!$C$28, 0, 0)</f>
        <v>399.03338525840098</v>
      </c>
    </row>
    <row r="864" spans="1:5" ht="15">
      <c r="A864" s="13">
        <v>67815</v>
      </c>
      <c r="B864" s="4">
        <f>58.0504 * CHOOSE(CONTROL!$C$9, $C$13, 100%, $E$13) + CHOOSE(CONTROL!$C$28, 0.0136, 0)</f>
        <v>58.064</v>
      </c>
      <c r="C864" s="4">
        <f>57.6871 * CHOOSE(CONTROL!$C$9, $C$13, 100%, $E$13) + CHOOSE(CONTROL!$C$28, 0.0136, 0)</f>
        <v>57.700699999999998</v>
      </c>
      <c r="D864" s="4">
        <f>81.7119 * CHOOSE(CONTROL!$C$9, $C$13, 100%, $E$13) + CHOOSE(CONTROL!$C$28, 0, 0)</f>
        <v>81.7119</v>
      </c>
      <c r="E864" s="4">
        <f>408.587079894321 * CHOOSE(CONTROL!$C$9, $C$13, 100%, $E$13) + CHOOSE(CONTROL!$C$28, 0, 0)</f>
        <v>408.58707989432099</v>
      </c>
    </row>
    <row r="865" spans="1:5" ht="15">
      <c r="A865" s="13">
        <v>67845</v>
      </c>
      <c r="B865" s="4">
        <f>55.7679 * CHOOSE(CONTROL!$C$9, $C$13, 100%, $E$13) + CHOOSE(CONTROL!$C$28, 0.0136, 0)</f>
        <v>55.781499999999994</v>
      </c>
      <c r="C865" s="4">
        <f>55.4046 * CHOOSE(CONTROL!$C$9, $C$13, 100%, $E$13) + CHOOSE(CONTROL!$C$28, 0.0136, 0)</f>
        <v>55.418199999999999</v>
      </c>
      <c r="D865" s="4">
        <f>81.303 * CHOOSE(CONTROL!$C$9, $C$13, 100%, $E$13) + CHOOSE(CONTROL!$C$28, 0, 0)</f>
        <v>81.302999999999997</v>
      </c>
      <c r="E865" s="4">
        <f>392.304537209182 * CHOOSE(CONTROL!$C$9, $C$13, 100%, $E$13) + CHOOSE(CONTROL!$C$28, 0, 0)</f>
        <v>392.304537209182</v>
      </c>
    </row>
    <row r="866" spans="1:5" ht="15">
      <c r="A866" s="13">
        <v>67876</v>
      </c>
      <c r="B866" s="4">
        <f>53.9407 * CHOOSE(CONTROL!$C$9, $C$13, 100%, $E$13) + CHOOSE(CONTROL!$C$28, 0.0003, 0)</f>
        <v>53.941000000000003</v>
      </c>
      <c r="C866" s="4">
        <f>53.5774 * CHOOSE(CONTROL!$C$9, $C$13, 100%, $E$13) + CHOOSE(CONTROL!$C$28, 0.0003, 0)</f>
        <v>53.5777</v>
      </c>
      <c r="D866" s="4">
        <f>80.2083 * CHOOSE(CONTROL!$C$9, $C$13, 100%, $E$13) + CHOOSE(CONTROL!$C$28, 0, 0)</f>
        <v>80.208299999999994</v>
      </c>
      <c r="E866" s="4">
        <f>379.270039101261 * CHOOSE(CONTROL!$C$9, $C$13, 100%, $E$13) + CHOOSE(CONTROL!$C$28, 0, 0)</f>
        <v>379.27003910126098</v>
      </c>
    </row>
    <row r="867" spans="1:5" ht="15">
      <c r="A867" s="13">
        <v>67906</v>
      </c>
      <c r="B867" s="4">
        <f>52.7638 * CHOOSE(CONTROL!$C$9, $C$13, 100%, $E$13) + CHOOSE(CONTROL!$C$28, 0.0003, 0)</f>
        <v>52.764100000000006</v>
      </c>
      <c r="C867" s="4">
        <f>52.4005 * CHOOSE(CONTROL!$C$9, $C$13, 100%, $E$13) + CHOOSE(CONTROL!$C$28, 0.0003, 0)</f>
        <v>52.400800000000004</v>
      </c>
      <c r="D867" s="4">
        <f>79.8319 * CHOOSE(CONTROL!$C$9, $C$13, 100%, $E$13) + CHOOSE(CONTROL!$C$28, 0, 0)</f>
        <v>79.831900000000005</v>
      </c>
      <c r="E867" s="4">
        <f>370.874848964382 * CHOOSE(CONTROL!$C$9, $C$13, 100%, $E$13) + CHOOSE(CONTROL!$C$28, 0, 0)</f>
        <v>370.87484896438201</v>
      </c>
    </row>
    <row r="868" spans="1:5" ht="15">
      <c r="A868" s="13">
        <v>67937</v>
      </c>
      <c r="B868" s="4">
        <f>51.9496 * CHOOSE(CONTROL!$C$9, $C$13, 100%, $E$13) + CHOOSE(CONTROL!$C$28, 0.0003, 0)</f>
        <v>51.9499</v>
      </c>
      <c r="C868" s="4">
        <f>51.5863 * CHOOSE(CONTROL!$C$9, $C$13, 100%, $E$13) + CHOOSE(CONTROL!$C$28, 0.0003, 0)</f>
        <v>51.586600000000004</v>
      </c>
      <c r="D868" s="4">
        <f>77.061 * CHOOSE(CONTROL!$C$9, $C$13, 100%, $E$13) + CHOOSE(CONTROL!$C$28, 0, 0)</f>
        <v>77.061000000000007</v>
      </c>
      <c r="E868" s="4">
        <f>365.066456544537 * CHOOSE(CONTROL!$C$9, $C$13, 100%, $E$13) + CHOOSE(CONTROL!$C$28, 0, 0)</f>
        <v>365.066456544537</v>
      </c>
    </row>
    <row r="869" spans="1:5" ht="15">
      <c r="A869" s="13">
        <v>67968</v>
      </c>
      <c r="B869" s="4">
        <f>49.7218 * CHOOSE(CONTROL!$C$9, $C$13, 100%, $E$13) + CHOOSE(CONTROL!$C$28, 0.0003, 0)</f>
        <v>49.722100000000005</v>
      </c>
      <c r="C869" s="4">
        <f>49.3585 * CHOOSE(CONTROL!$C$9, $C$13, 100%, $E$13) + CHOOSE(CONTROL!$C$28, 0.0003, 0)</f>
        <v>49.358800000000002</v>
      </c>
      <c r="D869" s="4">
        <f>74.0086 * CHOOSE(CONTROL!$C$9, $C$13, 100%, $E$13) + CHOOSE(CONTROL!$C$28, 0, 0)</f>
        <v>74.008600000000001</v>
      </c>
      <c r="E869" s="4">
        <f>349.859955214723 * CHOOSE(CONTROL!$C$9, $C$13, 100%, $E$13) + CHOOSE(CONTROL!$C$28, 0, 0)</f>
        <v>349.85995521472302</v>
      </c>
    </row>
    <row r="870" spans="1:5" ht="15">
      <c r="A870" s="13">
        <v>67996</v>
      </c>
      <c r="B870" s="4">
        <f>50.884 * CHOOSE(CONTROL!$C$9, $C$13, 100%, $E$13) + CHOOSE(CONTROL!$C$28, 0.0003, 0)</f>
        <v>50.884300000000003</v>
      </c>
      <c r="C870" s="4">
        <f>50.5208 * CHOOSE(CONTROL!$C$9, $C$13, 100%, $E$13) + CHOOSE(CONTROL!$C$28, 0.0003, 0)</f>
        <v>50.521100000000004</v>
      </c>
      <c r="D870" s="4">
        <f>76.5553 * CHOOSE(CONTROL!$C$9, $C$13, 100%, $E$13) + CHOOSE(CONTROL!$C$28, 0, 0)</f>
        <v>76.555300000000003</v>
      </c>
      <c r="E870" s="4">
        <f>358.167009317921 * CHOOSE(CONTROL!$C$9, $C$13, 100%, $E$13) + CHOOSE(CONTROL!$C$28, 0, 0)</f>
        <v>358.16700931792099</v>
      </c>
    </row>
    <row r="871" spans="1:5" ht="15">
      <c r="A871" s="13">
        <v>68027</v>
      </c>
      <c r="B871" s="4">
        <f>53.9361 * CHOOSE(CONTROL!$C$9, $C$13, 100%, $E$13) + CHOOSE(CONTROL!$C$28, 0.0003, 0)</f>
        <v>53.936400000000006</v>
      </c>
      <c r="C871" s="4">
        <f>53.5728 * CHOOSE(CONTROL!$C$9, $C$13, 100%, $E$13) + CHOOSE(CONTROL!$C$28, 0.0003, 0)</f>
        <v>53.573100000000004</v>
      </c>
      <c r="D871" s="4">
        <f>80.542 * CHOOSE(CONTROL!$C$9, $C$13, 100%, $E$13) + CHOOSE(CONTROL!$C$28, 0, 0)</f>
        <v>80.542000000000002</v>
      </c>
      <c r="E871" s="4">
        <f>379.981774856584 * CHOOSE(CONTROL!$C$9, $C$13, 100%, $E$13) + CHOOSE(CONTROL!$C$28, 0, 0)</f>
        <v>379.98177485658402</v>
      </c>
    </row>
    <row r="872" spans="1:5" ht="15">
      <c r="A872" s="13">
        <v>68057</v>
      </c>
      <c r="B872" s="4">
        <f>56.1047 * CHOOSE(CONTROL!$C$9, $C$13, 100%, $E$13) + CHOOSE(CONTROL!$C$28, 0.0003, 0)</f>
        <v>56.105000000000004</v>
      </c>
      <c r="C872" s="4">
        <f>55.7414 * CHOOSE(CONTROL!$C$9, $C$13, 100%, $E$13) + CHOOSE(CONTROL!$C$28, 0.0003, 0)</f>
        <v>55.741700000000002</v>
      </c>
      <c r="D872" s="4">
        <f>82.8384 * CHOOSE(CONTROL!$C$9, $C$13, 100%, $E$13) + CHOOSE(CONTROL!$C$28, 0, 0)</f>
        <v>82.838399999999993</v>
      </c>
      <c r="E872" s="4">
        <f>395.48145649178 * CHOOSE(CONTROL!$C$9, $C$13, 100%, $E$13) + CHOOSE(CONTROL!$C$28, 0, 0)</f>
        <v>395.48145649178002</v>
      </c>
    </row>
    <row r="873" spans="1:5" ht="15">
      <c r="A873" s="13">
        <v>68088</v>
      </c>
      <c r="B873" s="4">
        <f>57.4296 * CHOOSE(CONTROL!$C$9, $C$13, 100%, $E$13) + CHOOSE(CONTROL!$C$28, 0.0136, 0)</f>
        <v>57.443199999999997</v>
      </c>
      <c r="C873" s="4">
        <f>57.0663 * CHOOSE(CONTROL!$C$9, $C$13, 100%, $E$13) + CHOOSE(CONTROL!$C$28, 0.0136, 0)</f>
        <v>57.079899999999995</v>
      </c>
      <c r="D873" s="4">
        <f>81.931 * CHOOSE(CONTROL!$C$9, $C$13, 100%, $E$13) + CHOOSE(CONTROL!$C$28, 0, 0)</f>
        <v>81.930999999999997</v>
      </c>
      <c r="E873" s="4">
        <f>404.951390495361 * CHOOSE(CONTROL!$C$9, $C$13, 100%, $E$13) + CHOOSE(CONTROL!$C$28, 0, 0)</f>
        <v>404.95139049536101</v>
      </c>
    </row>
    <row r="874" spans="1:5" ht="15">
      <c r="A874" s="13">
        <v>68118</v>
      </c>
      <c r="B874" s="4">
        <f>57.6088 * CHOOSE(CONTROL!$C$9, $C$13, 100%, $E$13) + CHOOSE(CONTROL!$C$28, 0.0136, 0)</f>
        <v>57.622399999999999</v>
      </c>
      <c r="C874" s="4">
        <f>57.2456 * CHOOSE(CONTROL!$C$9, $C$13, 100%, $E$13) + CHOOSE(CONTROL!$C$28, 0.0136, 0)</f>
        <v>57.2592</v>
      </c>
      <c r="D874" s="4">
        <f>82.67 * CHOOSE(CONTROL!$C$9, $C$13, 100%, $E$13) + CHOOSE(CONTROL!$C$28, 0, 0)</f>
        <v>82.67</v>
      </c>
      <c r="E874" s="4">
        <f>406.232711867079 * CHOOSE(CONTROL!$C$9, $C$13, 100%, $E$13) + CHOOSE(CONTROL!$C$28, 0, 0)</f>
        <v>406.23271186707899</v>
      </c>
    </row>
    <row r="875" spans="1:5" ht="15">
      <c r="A875" s="13">
        <v>68149</v>
      </c>
      <c r="B875" s="4">
        <f>57.5908 * CHOOSE(CONTROL!$C$9, $C$13, 100%, $E$13) + CHOOSE(CONTROL!$C$28, 0.0136, 0)</f>
        <v>57.604399999999998</v>
      </c>
      <c r="C875" s="4">
        <f>57.2275 * CHOOSE(CONTROL!$C$9, $C$13, 100%, $E$13) + CHOOSE(CONTROL!$C$28, 0.0136, 0)</f>
        <v>57.241099999999996</v>
      </c>
      <c r="D875" s="4">
        <f>84.0035 * CHOOSE(CONTROL!$C$9, $C$13, 100%, $E$13) + CHOOSE(CONTROL!$C$28, 0, 0)</f>
        <v>84.003500000000003</v>
      </c>
      <c r="E875" s="4">
        <f>406.103502989259 * CHOOSE(CONTROL!$C$9, $C$13, 100%, $E$13) + CHOOSE(CONTROL!$C$28, 0, 0)</f>
        <v>406.10350298925903</v>
      </c>
    </row>
    <row r="876" spans="1:5" ht="15">
      <c r="A876" s="13">
        <v>68180</v>
      </c>
      <c r="B876" s="4">
        <f>58.9511 * CHOOSE(CONTROL!$C$9, $C$13, 100%, $E$13) + CHOOSE(CONTROL!$C$28, 0.0136, 0)</f>
        <v>58.964699999999993</v>
      </c>
      <c r="C876" s="4">
        <f>58.5878 * CHOOSE(CONTROL!$C$9, $C$13, 100%, $E$13) + CHOOSE(CONTROL!$C$28, 0.0136, 0)</f>
        <v>58.601399999999998</v>
      </c>
      <c r="D876" s="4">
        <f>83.1229 * CHOOSE(CONTROL!$C$9, $C$13, 100%, $E$13) + CHOOSE(CONTROL!$C$28, 0, 0)</f>
        <v>83.122900000000001</v>
      </c>
      <c r="E876" s="4">
        <f>415.826471045238 * CHOOSE(CONTROL!$C$9, $C$13, 100%, $E$13) + CHOOSE(CONTROL!$C$28, 0, 0)</f>
        <v>415.82647104523801</v>
      </c>
    </row>
    <row r="877" spans="1:5" ht="15">
      <c r="A877" s="13">
        <v>68210</v>
      </c>
      <c r="B877" s="4">
        <f>56.6327 * CHOOSE(CONTROL!$C$9, $C$13, 100%, $E$13) + CHOOSE(CONTROL!$C$28, 0.0136, 0)</f>
        <v>56.646299999999997</v>
      </c>
      <c r="C877" s="4">
        <f>56.2694 * CHOOSE(CONTROL!$C$9, $C$13, 100%, $E$13) + CHOOSE(CONTROL!$C$28, 0.0136, 0)</f>
        <v>56.282999999999994</v>
      </c>
      <c r="D877" s="4">
        <f>82.7068 * CHOOSE(CONTROL!$C$9, $C$13, 100%, $E$13) + CHOOSE(CONTROL!$C$28, 0, 0)</f>
        <v>82.706800000000001</v>
      </c>
      <c r="E877" s="4">
        <f>399.255432464782 * CHOOSE(CONTROL!$C$9, $C$13, 100%, $E$13) + CHOOSE(CONTROL!$C$28, 0, 0)</f>
        <v>399.25543246478202</v>
      </c>
    </row>
    <row r="878" spans="1:5" ht="15">
      <c r="A878" s="13">
        <v>68241</v>
      </c>
      <c r="B878" s="4">
        <f>54.7767 * CHOOSE(CONTROL!$C$9, $C$13, 100%, $E$13) + CHOOSE(CONTROL!$C$28, 0.0003, 0)</f>
        <v>54.777000000000001</v>
      </c>
      <c r="C878" s="4">
        <f>54.4134 * CHOOSE(CONTROL!$C$9, $C$13, 100%, $E$13) + CHOOSE(CONTROL!$C$28, 0.0003, 0)</f>
        <v>54.413700000000006</v>
      </c>
      <c r="D878" s="4">
        <f>81.5927 * CHOOSE(CONTROL!$C$9, $C$13, 100%, $E$13) + CHOOSE(CONTROL!$C$28, 0, 0)</f>
        <v>81.592699999999994</v>
      </c>
      <c r="E878" s="4">
        <f>385.989987675229 * CHOOSE(CONTROL!$C$9, $C$13, 100%, $E$13) + CHOOSE(CONTROL!$C$28, 0, 0)</f>
        <v>385.98998767522897</v>
      </c>
    </row>
    <row r="879" spans="1:5" ht="15">
      <c r="A879" s="13">
        <v>68271</v>
      </c>
      <c r="B879" s="4">
        <f>53.5813 * CHOOSE(CONTROL!$C$9, $C$13, 100%, $E$13) + CHOOSE(CONTROL!$C$28, 0.0003, 0)</f>
        <v>53.581600000000002</v>
      </c>
      <c r="C879" s="4">
        <f>53.2181 * CHOOSE(CONTROL!$C$9, $C$13, 100%, $E$13) + CHOOSE(CONTROL!$C$28, 0.0003, 0)</f>
        <v>53.218400000000003</v>
      </c>
      <c r="D879" s="4">
        <f>81.2097 * CHOOSE(CONTROL!$C$9, $C$13, 100%, $E$13) + CHOOSE(CONTROL!$C$28, 0, 0)</f>
        <v>81.209699999999998</v>
      </c>
      <c r="E879" s="4">
        <f>377.446050629361 * CHOOSE(CONTROL!$C$9, $C$13, 100%, $E$13) + CHOOSE(CONTROL!$C$28, 0, 0)</f>
        <v>377.44605062936103</v>
      </c>
    </row>
    <row r="880" spans="1:5" ht="15">
      <c r="A880" s="13">
        <v>68302</v>
      </c>
      <c r="B880" s="4">
        <f>52.7543 * CHOOSE(CONTROL!$C$9, $C$13, 100%, $E$13) + CHOOSE(CONTROL!$C$28, 0.0003, 0)</f>
        <v>52.754600000000003</v>
      </c>
      <c r="C880" s="4">
        <f>52.391 * CHOOSE(CONTROL!$C$9, $C$13, 100%, $E$13) + CHOOSE(CONTROL!$C$28, 0.0003, 0)</f>
        <v>52.391300000000001</v>
      </c>
      <c r="D880" s="4">
        <f>78.3898 * CHOOSE(CONTROL!$C$9, $C$13, 100%, $E$13) + CHOOSE(CONTROL!$C$28, 0, 0)</f>
        <v>78.389799999999994</v>
      </c>
      <c r="E880" s="4">
        <f>371.534744469081 * CHOOSE(CONTROL!$C$9, $C$13, 100%, $E$13) + CHOOSE(CONTROL!$C$28, 0, 0)</f>
        <v>371.53474446908098</v>
      </c>
    </row>
    <row r="881" spans="1:5" ht="15">
      <c r="A881" s="13">
        <v>68333</v>
      </c>
      <c r="B881" s="4">
        <f>50.4915 * CHOOSE(CONTROL!$C$9, $C$13, 100%, $E$13) + CHOOSE(CONTROL!$C$28, 0.0003, 0)</f>
        <v>50.491800000000005</v>
      </c>
      <c r="C881" s="4">
        <f>50.1282 * CHOOSE(CONTROL!$C$9, $C$13, 100%, $E$13) + CHOOSE(CONTROL!$C$28, 0.0003, 0)</f>
        <v>50.128500000000003</v>
      </c>
      <c r="D881" s="4">
        <f>75.2835 * CHOOSE(CONTROL!$C$9, $C$13, 100%, $E$13) + CHOOSE(CONTROL!$C$28, 0, 0)</f>
        <v>75.283500000000004</v>
      </c>
      <c r="E881" s="4">
        <f>356.058812663903 * CHOOSE(CONTROL!$C$9, $C$13, 100%, $E$13) + CHOOSE(CONTROL!$C$28, 0, 0)</f>
        <v>356.05881266390298</v>
      </c>
    </row>
    <row r="882" spans="1:5" ht="15">
      <c r="A882" s="13">
        <v>68361</v>
      </c>
      <c r="B882" s="4">
        <f>51.672 * CHOOSE(CONTROL!$C$9, $C$13, 100%, $E$13) + CHOOSE(CONTROL!$C$28, 0.0003, 0)</f>
        <v>51.6723</v>
      </c>
      <c r="C882" s="4">
        <f>51.3088 * CHOOSE(CONTROL!$C$9, $C$13, 100%, $E$13) + CHOOSE(CONTROL!$C$28, 0.0003, 0)</f>
        <v>51.309100000000001</v>
      </c>
      <c r="D882" s="4">
        <f>77.8752 * CHOOSE(CONTROL!$C$9, $C$13, 100%, $E$13) + CHOOSE(CONTROL!$C$28, 0, 0)</f>
        <v>77.875200000000007</v>
      </c>
      <c r="E882" s="4">
        <f>364.513052072081 * CHOOSE(CONTROL!$C$9, $C$13, 100%, $E$13) + CHOOSE(CONTROL!$C$28, 0, 0)</f>
        <v>364.513052072081</v>
      </c>
    </row>
    <row r="883" spans="1:5" ht="15">
      <c r="A883" s="13">
        <v>68392</v>
      </c>
      <c r="B883" s="4">
        <f>54.7721 * CHOOSE(CONTROL!$C$9, $C$13, 100%, $E$13) + CHOOSE(CONTROL!$C$28, 0.0003, 0)</f>
        <v>54.772400000000005</v>
      </c>
      <c r="C883" s="4">
        <f>54.4088 * CHOOSE(CONTROL!$C$9, $C$13, 100%, $E$13) + CHOOSE(CONTROL!$C$28, 0.0003, 0)</f>
        <v>54.409100000000002</v>
      </c>
      <c r="D883" s="4">
        <f>81.9323 * CHOOSE(CONTROL!$C$9, $C$13, 100%, $E$13) + CHOOSE(CONTROL!$C$28, 0, 0)</f>
        <v>81.932299999999998</v>
      </c>
      <c r="E883" s="4">
        <f>386.714334043522 * CHOOSE(CONTROL!$C$9, $C$13, 100%, $E$13) + CHOOSE(CONTROL!$C$28, 0, 0)</f>
        <v>386.714334043522</v>
      </c>
    </row>
    <row r="884" spans="1:5" ht="15">
      <c r="A884" s="13">
        <v>68422</v>
      </c>
      <c r="B884" s="4">
        <f>56.9747 * CHOOSE(CONTROL!$C$9, $C$13, 100%, $E$13) + CHOOSE(CONTROL!$C$28, 0.0003, 0)</f>
        <v>56.975000000000001</v>
      </c>
      <c r="C884" s="4">
        <f>56.6115 * CHOOSE(CONTROL!$C$9, $C$13, 100%, $E$13) + CHOOSE(CONTROL!$C$28, 0.0003, 0)</f>
        <v>56.611800000000002</v>
      </c>
      <c r="D884" s="4">
        <f>84.2693 * CHOOSE(CONTROL!$C$9, $C$13, 100%, $E$13) + CHOOSE(CONTROL!$C$28, 0, 0)</f>
        <v>84.269300000000001</v>
      </c>
      <c r="E884" s="4">
        <f>402.488640755215 * CHOOSE(CONTROL!$C$9, $C$13, 100%, $E$13) + CHOOSE(CONTROL!$C$28, 0, 0)</f>
        <v>402.48864075521499</v>
      </c>
    </row>
    <row r="885" spans="1:5" ht="15">
      <c r="A885" s="13">
        <v>68453</v>
      </c>
      <c r="B885" s="4">
        <f>58.3205 * CHOOSE(CONTROL!$C$9, $C$13, 100%, $E$13) + CHOOSE(CONTROL!$C$28, 0.0136, 0)</f>
        <v>58.334099999999999</v>
      </c>
      <c r="C885" s="4">
        <f>57.9572 * CHOOSE(CONTROL!$C$9, $C$13, 100%, $E$13) + CHOOSE(CONTROL!$C$28, 0.0136, 0)</f>
        <v>57.970799999999997</v>
      </c>
      <c r="D885" s="4">
        <f>83.3458 * CHOOSE(CONTROL!$C$9, $C$13, 100%, $E$13) + CHOOSE(CONTROL!$C$28, 0, 0)</f>
        <v>83.345799999999997</v>
      </c>
      <c r="E885" s="4">
        <f>412.126364098692 * CHOOSE(CONTROL!$C$9, $C$13, 100%, $E$13) + CHOOSE(CONTROL!$C$28, 0, 0)</f>
        <v>412.12636409869202</v>
      </c>
    </row>
    <row r="886" spans="1:5" ht="15">
      <c r="A886" s="13">
        <v>68483</v>
      </c>
      <c r="B886" s="4">
        <f>58.5026 * CHOOSE(CONTROL!$C$9, $C$13, 100%, $E$13) + CHOOSE(CONTROL!$C$28, 0.0136, 0)</f>
        <v>58.516199999999998</v>
      </c>
      <c r="C886" s="4">
        <f>58.1393 * CHOOSE(CONTROL!$C$9, $C$13, 100%, $E$13) + CHOOSE(CONTROL!$C$28, 0.0136, 0)</f>
        <v>58.152899999999995</v>
      </c>
      <c r="D886" s="4">
        <f>84.0979 * CHOOSE(CONTROL!$C$9, $C$13, 100%, $E$13) + CHOOSE(CONTROL!$C$28, 0, 0)</f>
        <v>84.097899999999996</v>
      </c>
      <c r="E886" s="4">
        <f>413.430388064438 * CHOOSE(CONTROL!$C$9, $C$13, 100%, $E$13) + CHOOSE(CONTROL!$C$28, 0, 0)</f>
        <v>413.43038806443798</v>
      </c>
    </row>
    <row r="887" spans="1:5" ht="15">
      <c r="A887" s="13">
        <v>68514</v>
      </c>
      <c r="B887" s="4">
        <f>58.4842 * CHOOSE(CONTROL!$C$9, $C$13, 100%, $E$13) + CHOOSE(CONTROL!$C$28, 0.0136, 0)</f>
        <v>58.497799999999998</v>
      </c>
      <c r="C887" s="4">
        <f>58.1209 * CHOOSE(CONTROL!$C$9, $C$13, 100%, $E$13) + CHOOSE(CONTROL!$C$28, 0.0136, 0)</f>
        <v>58.134499999999996</v>
      </c>
      <c r="D887" s="4">
        <f>85.455 * CHOOSE(CONTROL!$C$9, $C$13, 100%, $E$13) + CHOOSE(CONTROL!$C$28, 0, 0)</f>
        <v>85.454999999999998</v>
      </c>
      <c r="E887" s="4">
        <f>413.298889849404 * CHOOSE(CONTROL!$C$9, $C$13, 100%, $E$13) + CHOOSE(CONTROL!$C$28, 0, 0)</f>
        <v>413.29888984940402</v>
      </c>
    </row>
    <row r="888" spans="1:5" ht="15">
      <c r="A888" s="13">
        <v>68545</v>
      </c>
      <c r="B888" s="4">
        <f>59.8659 * CHOOSE(CONTROL!$C$9, $C$13, 100%, $E$13) + CHOOSE(CONTROL!$C$28, 0.0136, 0)</f>
        <v>59.8795</v>
      </c>
      <c r="C888" s="4">
        <f>59.5027 * CHOOSE(CONTROL!$C$9, $C$13, 100%, $E$13) + CHOOSE(CONTROL!$C$28, 0.0136, 0)</f>
        <v>59.516299999999994</v>
      </c>
      <c r="D888" s="4">
        <f>84.5588 * CHOOSE(CONTROL!$C$9, $C$13, 100%, $E$13) + CHOOSE(CONTROL!$C$28, 0, 0)</f>
        <v>84.558800000000005</v>
      </c>
      <c r="E888" s="4">
        <f>423.194130530654 * CHOOSE(CONTROL!$C$9, $C$13, 100%, $E$13) + CHOOSE(CONTROL!$C$28, 0, 0)</f>
        <v>423.19413053065398</v>
      </c>
    </row>
    <row r="889" spans="1:5" ht="15">
      <c r="A889" s="13">
        <v>68575</v>
      </c>
      <c r="B889" s="4">
        <f>57.511 * CHOOSE(CONTROL!$C$9, $C$13, 100%, $E$13) + CHOOSE(CONTROL!$C$28, 0.0136, 0)</f>
        <v>57.5246</v>
      </c>
      <c r="C889" s="4">
        <f>57.1478 * CHOOSE(CONTROL!$C$9, $C$13, 100%, $E$13) + CHOOSE(CONTROL!$C$28, 0.0136, 0)</f>
        <v>57.161399999999993</v>
      </c>
      <c r="D889" s="4">
        <f>84.1354 * CHOOSE(CONTROL!$C$9, $C$13, 100%, $E$13) + CHOOSE(CONTROL!$C$28, 0, 0)</f>
        <v>84.135400000000004</v>
      </c>
      <c r="E889" s="4">
        <f>406.329484452644 * CHOOSE(CONTROL!$C$9, $C$13, 100%, $E$13) + CHOOSE(CONTROL!$C$28, 0, 0)</f>
        <v>406.32948445264401</v>
      </c>
    </row>
    <row r="890" spans="1:5" ht="15">
      <c r="A890" s="13">
        <v>68606</v>
      </c>
      <c r="B890" s="4">
        <f>55.6259 * CHOOSE(CONTROL!$C$9, $C$13, 100%, $E$13) + CHOOSE(CONTROL!$C$28, 0.0003, 0)</f>
        <v>55.626200000000004</v>
      </c>
      <c r="C890" s="4">
        <f>55.2626 * CHOOSE(CONTROL!$C$9, $C$13, 100%, $E$13) + CHOOSE(CONTROL!$C$28, 0.0003, 0)</f>
        <v>55.262900000000002</v>
      </c>
      <c r="D890" s="4">
        <f>83.0016 * CHOOSE(CONTROL!$C$9, $C$13, 100%, $E$13) + CHOOSE(CONTROL!$C$28, 0, 0)</f>
        <v>83.001599999999996</v>
      </c>
      <c r="E890" s="4">
        <f>392.829001042567 * CHOOSE(CONTROL!$C$9, $C$13, 100%, $E$13) + CHOOSE(CONTROL!$C$28, 0, 0)</f>
        <v>392.82900104256697</v>
      </c>
    </row>
    <row r="891" spans="1:5" ht="15">
      <c r="A891" s="13">
        <v>68636</v>
      </c>
      <c r="B891" s="4">
        <f>54.4117 * CHOOSE(CONTROL!$C$9, $C$13, 100%, $E$13) + CHOOSE(CONTROL!$C$28, 0.0003, 0)</f>
        <v>54.412000000000006</v>
      </c>
      <c r="C891" s="4">
        <f>54.0485 * CHOOSE(CONTROL!$C$9, $C$13, 100%, $E$13) + CHOOSE(CONTROL!$C$28, 0.0003, 0)</f>
        <v>54.0488</v>
      </c>
      <c r="D891" s="4">
        <f>82.6118 * CHOOSE(CONTROL!$C$9, $C$13, 100%, $E$13) + CHOOSE(CONTROL!$C$28, 0, 0)</f>
        <v>82.611800000000002</v>
      </c>
      <c r="E891" s="4">
        <f>384.133681573495 * CHOOSE(CONTROL!$C$9, $C$13, 100%, $E$13) + CHOOSE(CONTROL!$C$28, 0, 0)</f>
        <v>384.13368157349498</v>
      </c>
    </row>
    <row r="892" spans="1:5" ht="15">
      <c r="A892" s="13">
        <v>68667</v>
      </c>
      <c r="B892" s="4">
        <f>53.5717 * CHOOSE(CONTROL!$C$9, $C$13, 100%, $E$13) + CHOOSE(CONTROL!$C$28, 0.0003, 0)</f>
        <v>53.572000000000003</v>
      </c>
      <c r="C892" s="4">
        <f>53.2084 * CHOOSE(CONTROL!$C$9, $C$13, 100%, $E$13) + CHOOSE(CONTROL!$C$28, 0.0003, 0)</f>
        <v>53.2087</v>
      </c>
      <c r="D892" s="4">
        <f>79.7421 * CHOOSE(CONTROL!$C$9, $C$13, 100%, $E$13) + CHOOSE(CONTROL!$C$28, 0, 0)</f>
        <v>79.742099999999994</v>
      </c>
      <c r="E892" s="4">
        <f>378.117638235726 * CHOOSE(CONTROL!$C$9, $C$13, 100%, $E$13) + CHOOSE(CONTROL!$C$28, 0, 0)</f>
        <v>378.11763823572602</v>
      </c>
    </row>
    <row r="893" spans="1:5" ht="15">
      <c r="A893" s="13">
        <v>68698</v>
      </c>
      <c r="B893" s="4">
        <f>51.2733 * CHOOSE(CONTROL!$C$9, $C$13, 100%, $E$13) + CHOOSE(CONTROL!$C$28, 0.0003, 0)</f>
        <v>51.273600000000002</v>
      </c>
      <c r="C893" s="4">
        <f>50.9101 * CHOOSE(CONTROL!$C$9, $C$13, 100%, $E$13) + CHOOSE(CONTROL!$C$28, 0.0003, 0)</f>
        <v>50.910400000000003</v>
      </c>
      <c r="D893" s="4">
        <f>76.5809 * CHOOSE(CONTROL!$C$9, $C$13, 100%, $E$13) + CHOOSE(CONTROL!$C$28, 0, 0)</f>
        <v>76.5809</v>
      </c>
      <c r="E893" s="4">
        <f>362.36750215617 * CHOOSE(CONTROL!$C$9, $C$13, 100%, $E$13) + CHOOSE(CONTROL!$C$28, 0, 0)</f>
        <v>362.36750215617002</v>
      </c>
    </row>
    <row r="894" spans="1:5" ht="15">
      <c r="A894" s="13">
        <v>68727</v>
      </c>
      <c r="B894" s="4">
        <f>52.4724 * CHOOSE(CONTROL!$C$9, $C$13, 100%, $E$13) + CHOOSE(CONTROL!$C$28, 0.0003, 0)</f>
        <v>52.472700000000003</v>
      </c>
      <c r="C894" s="4">
        <f>52.1091 * CHOOSE(CONTROL!$C$9, $C$13, 100%, $E$13) + CHOOSE(CONTROL!$C$28, 0.0003, 0)</f>
        <v>52.109400000000001</v>
      </c>
      <c r="D894" s="4">
        <f>79.2184 * CHOOSE(CONTROL!$C$9, $C$13, 100%, $E$13) + CHOOSE(CONTROL!$C$28, 0, 0)</f>
        <v>79.218400000000003</v>
      </c>
      <c r="E894" s="4">
        <f>370.971534714867 * CHOOSE(CONTROL!$C$9, $C$13, 100%, $E$13) + CHOOSE(CONTROL!$C$28, 0, 0)</f>
        <v>370.971534714867</v>
      </c>
    </row>
    <row r="895" spans="1:5" ht="15">
      <c r="A895" s="13">
        <v>68758</v>
      </c>
      <c r="B895" s="4">
        <f>55.6212 * CHOOSE(CONTROL!$C$9, $C$13, 100%, $E$13) + CHOOSE(CONTROL!$C$28, 0.0003, 0)</f>
        <v>55.621500000000005</v>
      </c>
      <c r="C895" s="4">
        <f>55.2579 * CHOOSE(CONTROL!$C$9, $C$13, 100%, $E$13) + CHOOSE(CONTROL!$C$28, 0.0003, 0)</f>
        <v>55.258200000000002</v>
      </c>
      <c r="D895" s="4">
        <f>83.3472 * CHOOSE(CONTROL!$C$9, $C$13, 100%, $E$13) + CHOOSE(CONTROL!$C$28, 0, 0)</f>
        <v>83.347200000000001</v>
      </c>
      <c r="E895" s="4">
        <f>393.566181460067 * CHOOSE(CONTROL!$C$9, $C$13, 100%, $E$13) + CHOOSE(CONTROL!$C$28, 0, 0)</f>
        <v>393.56618146006701</v>
      </c>
    </row>
    <row r="896" spans="1:5" ht="15">
      <c r="A896" s="13">
        <v>68788</v>
      </c>
      <c r="B896" s="4">
        <f>57.8585 * CHOOSE(CONTROL!$C$9, $C$13, 100%, $E$13) + CHOOSE(CONTROL!$C$28, 0.0003, 0)</f>
        <v>57.858800000000002</v>
      </c>
      <c r="C896" s="4">
        <f>57.4952 * CHOOSE(CONTROL!$C$9, $C$13, 100%, $E$13) + CHOOSE(CONTROL!$C$28, 0.0003, 0)</f>
        <v>57.4955</v>
      </c>
      <c r="D896" s="4">
        <f>85.7255 * CHOOSE(CONTROL!$C$9, $C$13, 100%, $E$13) + CHOOSE(CONTROL!$C$28, 0, 0)</f>
        <v>85.725499999999997</v>
      </c>
      <c r="E896" s="4">
        <f>409.61997908579 * CHOOSE(CONTROL!$C$9, $C$13, 100%, $E$13) + CHOOSE(CONTROL!$C$28, 0, 0)</f>
        <v>409.61997908579002</v>
      </c>
    </row>
    <row r="897" spans="1:5" ht="15">
      <c r="A897" s="13">
        <v>68819</v>
      </c>
      <c r="B897" s="4">
        <f>59.2254 * CHOOSE(CONTROL!$C$9, $C$13, 100%, $E$13) + CHOOSE(CONTROL!$C$28, 0.0136, 0)</f>
        <v>59.238999999999997</v>
      </c>
      <c r="C897" s="4">
        <f>58.8621 * CHOOSE(CONTROL!$C$9, $C$13, 100%, $E$13) + CHOOSE(CONTROL!$C$28, 0.0136, 0)</f>
        <v>58.875699999999995</v>
      </c>
      <c r="D897" s="4">
        <f>84.7857 * CHOOSE(CONTROL!$C$9, $C$13, 100%, $E$13) + CHOOSE(CONTROL!$C$28, 0, 0)</f>
        <v>84.785700000000006</v>
      </c>
      <c r="E897" s="4">
        <f>419.428464679276 * CHOOSE(CONTROL!$C$9, $C$13, 100%, $E$13) + CHOOSE(CONTROL!$C$28, 0, 0)</f>
        <v>419.42846467927598</v>
      </c>
    </row>
    <row r="898" spans="1:5" ht="15">
      <c r="A898" s="13">
        <v>68849</v>
      </c>
      <c r="B898" s="4">
        <f>59.4104 * CHOOSE(CONTROL!$C$9, $C$13, 100%, $E$13) + CHOOSE(CONTROL!$C$28, 0.0136, 0)</f>
        <v>59.423999999999999</v>
      </c>
      <c r="C898" s="4">
        <f>59.0471 * CHOOSE(CONTROL!$C$9, $C$13, 100%, $E$13) + CHOOSE(CONTROL!$C$28, 0.0136, 0)</f>
        <v>59.060699999999997</v>
      </c>
      <c r="D898" s="4">
        <f>85.5511 * CHOOSE(CONTROL!$C$9, $C$13, 100%, $E$13) + CHOOSE(CONTROL!$C$28, 0, 0)</f>
        <v>85.551100000000005</v>
      </c>
      <c r="E898" s="4">
        <f>420.755593486126 * CHOOSE(CONTROL!$C$9, $C$13, 100%, $E$13) + CHOOSE(CONTROL!$C$28, 0, 0)</f>
        <v>420.75559348612597</v>
      </c>
    </row>
    <row r="899" spans="1:5" ht="15">
      <c r="A899" s="13">
        <v>68880</v>
      </c>
      <c r="B899" s="4">
        <f>59.3917 * CHOOSE(CONTROL!$C$9, $C$13, 100%, $E$13) + CHOOSE(CONTROL!$C$28, 0.0136, 0)</f>
        <v>59.405299999999997</v>
      </c>
      <c r="C899" s="4">
        <f>59.0284 * CHOOSE(CONTROL!$C$9, $C$13, 100%, $E$13) + CHOOSE(CONTROL!$C$28, 0.0136, 0)</f>
        <v>59.041999999999994</v>
      </c>
      <c r="D899" s="4">
        <f>86.9321 * CHOOSE(CONTROL!$C$9, $C$13, 100%, $E$13) + CHOOSE(CONTROL!$C$28, 0, 0)</f>
        <v>86.932100000000005</v>
      </c>
      <c r="E899" s="4">
        <f>420.62176537115 * CHOOSE(CONTROL!$C$9, $C$13, 100%, $E$13) + CHOOSE(CONTROL!$C$28, 0, 0)</f>
        <v>420.62176537114999</v>
      </c>
    </row>
    <row r="900" spans="1:5" ht="15">
      <c r="A900" s="13">
        <v>68911</v>
      </c>
      <c r="B900" s="4">
        <f>60.7952 * CHOOSE(CONTROL!$C$9, $C$13, 100%, $E$13) + CHOOSE(CONTROL!$C$28, 0.0136, 0)</f>
        <v>60.808799999999998</v>
      </c>
      <c r="C900" s="4">
        <f>60.4319 * CHOOSE(CONTROL!$C$9, $C$13, 100%, $E$13) + CHOOSE(CONTROL!$C$28, 0.0136, 0)</f>
        <v>60.445499999999996</v>
      </c>
      <c r="D900" s="4">
        <f>86.0201 * CHOOSE(CONTROL!$C$9, $C$13, 100%, $E$13) + CHOOSE(CONTROL!$C$28, 0, 0)</f>
        <v>86.020099999999999</v>
      </c>
      <c r="E900" s="4">
        <f>430.692331023132 * CHOOSE(CONTROL!$C$9, $C$13, 100%, $E$13) + CHOOSE(CONTROL!$C$28, 0, 0)</f>
        <v>430.692331023132</v>
      </c>
    </row>
    <row r="901" spans="1:5" ht="15">
      <c r="A901" s="13">
        <v>68941</v>
      </c>
      <c r="B901" s="4">
        <f>58.4032 * CHOOSE(CONTROL!$C$9, $C$13, 100%, $E$13) + CHOOSE(CONTROL!$C$28, 0.0136, 0)</f>
        <v>58.416799999999995</v>
      </c>
      <c r="C901" s="4">
        <f>58.04 * CHOOSE(CONTROL!$C$9, $C$13, 100%, $E$13) + CHOOSE(CONTROL!$C$28, 0.0136, 0)</f>
        <v>58.053599999999996</v>
      </c>
      <c r="D901" s="4">
        <f>85.5892 * CHOOSE(CONTROL!$C$9, $C$13, 100%, $E$13) + CHOOSE(CONTROL!$C$28, 0, 0)</f>
        <v>85.589200000000005</v>
      </c>
      <c r="E901" s="4">
        <f>413.528875277395 * CHOOSE(CONTROL!$C$9, $C$13, 100%, $E$13) + CHOOSE(CONTROL!$C$28, 0, 0)</f>
        <v>413.528875277395</v>
      </c>
    </row>
    <row r="902" spans="1:5" ht="15">
      <c r="A902" s="13">
        <v>68972</v>
      </c>
      <c r="B902" s="4">
        <f>56.4885 * CHOOSE(CONTROL!$C$9, $C$13, 100%, $E$13) + CHOOSE(CONTROL!$C$28, 0.0003, 0)</f>
        <v>56.488800000000005</v>
      </c>
      <c r="C902" s="4">
        <f>56.1252 * CHOOSE(CONTROL!$C$9, $C$13, 100%, $E$13) + CHOOSE(CONTROL!$C$28, 0.0003, 0)</f>
        <v>56.125500000000002</v>
      </c>
      <c r="D902" s="4">
        <f>84.4354 * CHOOSE(CONTROL!$C$9, $C$13, 100%, $E$13) + CHOOSE(CONTROL!$C$28, 0, 0)</f>
        <v>84.435400000000001</v>
      </c>
      <c r="E902" s="4">
        <f>399.789188806474 * CHOOSE(CONTROL!$C$9, $C$13, 100%, $E$13) + CHOOSE(CONTROL!$C$28, 0, 0)</f>
        <v>399.78918880647399</v>
      </c>
    </row>
    <row r="903" spans="1:5" ht="15">
      <c r="A903" s="13">
        <v>69002</v>
      </c>
      <c r="B903" s="4">
        <f>55.2552 * CHOOSE(CONTROL!$C$9, $C$13, 100%, $E$13) + CHOOSE(CONTROL!$C$28, 0.0003, 0)</f>
        <v>55.255500000000005</v>
      </c>
      <c r="C903" s="4">
        <f>54.8919 * CHOOSE(CONTROL!$C$9, $C$13, 100%, $E$13) + CHOOSE(CONTROL!$C$28, 0.0003, 0)</f>
        <v>54.892200000000003</v>
      </c>
      <c r="D903" s="4">
        <f>84.0387 * CHOOSE(CONTROL!$C$9, $C$13, 100%, $E$13) + CHOOSE(CONTROL!$C$28, 0, 0)</f>
        <v>84.038700000000006</v>
      </c>
      <c r="E903" s="4">
        <f>390.939804703653 * CHOOSE(CONTROL!$C$9, $C$13, 100%, $E$13) + CHOOSE(CONTROL!$C$28, 0, 0)</f>
        <v>390.93980470365301</v>
      </c>
    </row>
    <row r="904" spans="1:5" ht="15">
      <c r="A904" s="13">
        <v>69033</v>
      </c>
      <c r="B904" s="4">
        <f>54.402 * CHOOSE(CONTROL!$C$9, $C$13, 100%, $E$13) + CHOOSE(CONTROL!$C$28, 0.0003, 0)</f>
        <v>54.402300000000004</v>
      </c>
      <c r="C904" s="4">
        <f>54.0387 * CHOOSE(CONTROL!$C$9, $C$13, 100%, $E$13) + CHOOSE(CONTROL!$C$28, 0.0003, 0)</f>
        <v>54.039000000000001</v>
      </c>
      <c r="D904" s="4">
        <f>81.1183 * CHOOSE(CONTROL!$C$9, $C$13, 100%, $E$13) + CHOOSE(CONTROL!$C$28, 0, 0)</f>
        <v>81.118300000000005</v>
      </c>
      <c r="E904" s="4">
        <f>384.817168443478 * CHOOSE(CONTROL!$C$9, $C$13, 100%, $E$13) + CHOOSE(CONTROL!$C$28, 0, 0)</f>
        <v>384.81716844347801</v>
      </c>
    </row>
    <row r="905" spans="1:5" ht="15">
      <c r="A905" s="13">
        <v>69064</v>
      </c>
      <c r="B905" s="4">
        <f>52.0674 * CHOOSE(CONTROL!$C$9, $C$13, 100%, $E$13) + CHOOSE(CONTROL!$C$28, 0.0003, 0)</f>
        <v>52.067700000000002</v>
      </c>
      <c r="C905" s="4">
        <f>51.7042 * CHOOSE(CONTROL!$C$9, $C$13, 100%, $E$13) + CHOOSE(CONTROL!$C$28, 0.0003, 0)</f>
        <v>51.704500000000003</v>
      </c>
      <c r="D905" s="4">
        <f>77.9013 * CHOOSE(CONTROL!$C$9, $C$13, 100%, $E$13) + CHOOSE(CONTROL!$C$28, 0, 0)</f>
        <v>77.901300000000006</v>
      </c>
      <c r="E905" s="4">
        <f>368.78796970783 * CHOOSE(CONTROL!$C$9, $C$13, 100%, $E$13) + CHOOSE(CONTROL!$C$28, 0, 0)</f>
        <v>368.78796970782997</v>
      </c>
    </row>
    <row r="906" spans="1:5" ht="15">
      <c r="A906" s="13">
        <v>69092</v>
      </c>
      <c r="B906" s="4">
        <f>53.2854 * CHOOSE(CONTROL!$C$9, $C$13, 100%, $E$13) + CHOOSE(CONTROL!$C$28, 0.0003, 0)</f>
        <v>53.285700000000006</v>
      </c>
      <c r="C906" s="4">
        <f>52.9221 * CHOOSE(CONTROL!$C$9, $C$13, 100%, $E$13) + CHOOSE(CONTROL!$C$28, 0.0003, 0)</f>
        <v>52.922400000000003</v>
      </c>
      <c r="D906" s="4">
        <f>80.5853 * CHOOSE(CONTROL!$C$9, $C$13, 100%, $E$13) + CHOOSE(CONTROL!$C$28, 0, 0)</f>
        <v>80.585300000000004</v>
      </c>
      <c r="E906" s="4">
        <f>377.544449468686 * CHOOSE(CONTROL!$C$9, $C$13, 100%, $E$13) + CHOOSE(CONTROL!$C$28, 0, 0)</f>
        <v>377.54444946868603</v>
      </c>
    </row>
    <row r="907" spans="1:5" ht="15">
      <c r="A907" s="13">
        <v>69123</v>
      </c>
      <c r="B907" s="4">
        <f>56.4837 * CHOOSE(CONTROL!$C$9, $C$13, 100%, $E$13) + CHOOSE(CONTROL!$C$28, 0.0003, 0)</f>
        <v>56.484000000000002</v>
      </c>
      <c r="C907" s="4">
        <f>56.1204 * CHOOSE(CONTROL!$C$9, $C$13, 100%, $E$13) + CHOOSE(CONTROL!$C$28, 0.0003, 0)</f>
        <v>56.120699999999999</v>
      </c>
      <c r="D907" s="4">
        <f>84.7871 * CHOOSE(CONTROL!$C$9, $C$13, 100%, $E$13) + CHOOSE(CONTROL!$C$28, 0, 0)</f>
        <v>84.787099999999995</v>
      </c>
      <c r="E907" s="4">
        <f>400.539430668287 * CHOOSE(CONTROL!$C$9, $C$13, 100%, $E$13) + CHOOSE(CONTROL!$C$28, 0, 0)</f>
        <v>400.53943066828703</v>
      </c>
    </row>
    <row r="908" spans="1:5" ht="15">
      <c r="A908" s="13">
        <v>69153</v>
      </c>
      <c r="B908" s="4">
        <f>58.7562 * CHOOSE(CONTROL!$C$9, $C$13, 100%, $E$13) + CHOOSE(CONTROL!$C$28, 0.0003, 0)</f>
        <v>58.756500000000003</v>
      </c>
      <c r="C908" s="4">
        <f>58.3929 * CHOOSE(CONTROL!$C$9, $C$13, 100%, $E$13) + CHOOSE(CONTROL!$C$28, 0.0003, 0)</f>
        <v>58.3932</v>
      </c>
      <c r="D908" s="4">
        <f>87.2074 * CHOOSE(CONTROL!$C$9, $C$13, 100%, $E$13) + CHOOSE(CONTROL!$C$28, 0, 0)</f>
        <v>87.207400000000007</v>
      </c>
      <c r="E908" s="4">
        <f>416.877671259022 * CHOOSE(CONTROL!$C$9, $C$13, 100%, $E$13) + CHOOSE(CONTROL!$C$28, 0, 0)</f>
        <v>416.87767125902201</v>
      </c>
    </row>
    <row r="909" spans="1:5" ht="15">
      <c r="A909" s="13">
        <v>69184</v>
      </c>
      <c r="B909" s="4">
        <f>60.1446 * CHOOSE(CONTROL!$C$9, $C$13, 100%, $E$13) + CHOOSE(CONTROL!$C$28, 0.0136, 0)</f>
        <v>60.158199999999994</v>
      </c>
      <c r="C909" s="4">
        <f>59.7813 * CHOOSE(CONTROL!$C$9, $C$13, 100%, $E$13) + CHOOSE(CONTROL!$C$28, 0.0136, 0)</f>
        <v>59.794899999999998</v>
      </c>
      <c r="D909" s="4">
        <f>86.251 * CHOOSE(CONTROL!$C$9, $C$13, 100%, $E$13) + CHOOSE(CONTROL!$C$28, 0, 0)</f>
        <v>86.251000000000005</v>
      </c>
      <c r="E909" s="4">
        <f>426.859944686983 * CHOOSE(CONTROL!$C$9, $C$13, 100%, $E$13) + CHOOSE(CONTROL!$C$28, 0, 0)</f>
        <v>426.859944686983</v>
      </c>
    </row>
    <row r="910" spans="1:5" ht="15">
      <c r="A910" s="13">
        <v>69214</v>
      </c>
      <c r="B910" s="4">
        <f>60.3324 * CHOOSE(CONTROL!$C$9, $C$13, 100%, $E$13) + CHOOSE(CONTROL!$C$28, 0.0136, 0)</f>
        <v>60.345999999999997</v>
      </c>
      <c r="C910" s="4">
        <f>59.9691 * CHOOSE(CONTROL!$C$9, $C$13, 100%, $E$13) + CHOOSE(CONTROL!$C$28, 0.0136, 0)</f>
        <v>59.982699999999994</v>
      </c>
      <c r="D910" s="4">
        <f>87.0299 * CHOOSE(CONTROL!$C$9, $C$13, 100%, $E$13) + CHOOSE(CONTROL!$C$28, 0, 0)</f>
        <v>87.029899999999998</v>
      </c>
      <c r="E910" s="4">
        <f>428.210587709072 * CHOOSE(CONTROL!$C$9, $C$13, 100%, $E$13) + CHOOSE(CONTROL!$C$28, 0, 0)</f>
        <v>428.210587709072</v>
      </c>
    </row>
    <row r="911" spans="1:5" ht="15">
      <c r="A911" s="13">
        <v>69245</v>
      </c>
      <c r="B911" s="4">
        <f>60.3135 * CHOOSE(CONTROL!$C$9, $C$13, 100%, $E$13) + CHOOSE(CONTROL!$C$28, 0.0136, 0)</f>
        <v>60.327099999999994</v>
      </c>
      <c r="C911" s="4">
        <f>59.9502 * CHOOSE(CONTROL!$C$9, $C$13, 100%, $E$13) + CHOOSE(CONTROL!$C$28, 0.0136, 0)</f>
        <v>59.963799999999999</v>
      </c>
      <c r="D911" s="4">
        <f>88.4354 * CHOOSE(CONTROL!$C$9, $C$13, 100%, $E$13) + CHOOSE(CONTROL!$C$28, 0, 0)</f>
        <v>88.435400000000001</v>
      </c>
      <c r="E911" s="4">
        <f>428.074388412727 * CHOOSE(CONTROL!$C$9, $C$13, 100%, $E$13) + CHOOSE(CONTROL!$C$28, 0, 0)</f>
        <v>428.07438841272699</v>
      </c>
    </row>
    <row r="912" spans="1:5" ht="15">
      <c r="A912" s="13">
        <v>69276</v>
      </c>
      <c r="B912" s="4">
        <f>61.739 * CHOOSE(CONTROL!$C$9, $C$13, 100%, $E$13) + CHOOSE(CONTROL!$C$28, 0.0136, 0)</f>
        <v>61.752599999999994</v>
      </c>
      <c r="C912" s="4">
        <f>61.3757 * CHOOSE(CONTROL!$C$9, $C$13, 100%, $E$13) + CHOOSE(CONTROL!$C$28, 0.0136, 0)</f>
        <v>61.389299999999999</v>
      </c>
      <c r="D912" s="4">
        <f>87.5072 * CHOOSE(CONTROL!$C$9, $C$13, 100%, $E$13) + CHOOSE(CONTROL!$C$28, 0, 0)</f>
        <v>87.507199999999997</v>
      </c>
      <c r="E912" s="4">
        <f>438.323385462697 * CHOOSE(CONTROL!$C$9, $C$13, 100%, $E$13) + CHOOSE(CONTROL!$C$28, 0, 0)</f>
        <v>438.32338546269699</v>
      </c>
    </row>
    <row r="913" spans="1:5" ht="15">
      <c r="A913" s="13">
        <v>69306</v>
      </c>
      <c r="B913" s="4">
        <f>59.3095 * CHOOSE(CONTROL!$C$9, $C$13, 100%, $E$13) + CHOOSE(CONTROL!$C$28, 0.0136, 0)</f>
        <v>59.323099999999997</v>
      </c>
      <c r="C913" s="4">
        <f>58.9462 * CHOOSE(CONTROL!$C$9, $C$13, 100%, $E$13) + CHOOSE(CONTROL!$C$28, 0.0136, 0)</f>
        <v>58.959799999999994</v>
      </c>
      <c r="D913" s="4">
        <f>87.0687 * CHOOSE(CONTROL!$C$9, $C$13, 100%, $E$13) + CHOOSE(CONTROL!$C$28, 0, 0)</f>
        <v>87.068700000000007</v>
      </c>
      <c r="E913" s="4">
        <f>420.855825706435 * CHOOSE(CONTROL!$C$9, $C$13, 100%, $E$13) + CHOOSE(CONTROL!$C$28, 0, 0)</f>
        <v>420.85582570643498</v>
      </c>
    </row>
    <row r="914" spans="1:5" ht="15">
      <c r="A914" s="13">
        <v>69337</v>
      </c>
      <c r="B914" s="4">
        <f>57.3646 * CHOOSE(CONTROL!$C$9, $C$13, 100%, $E$13) + CHOOSE(CONTROL!$C$28, 0.0003, 0)</f>
        <v>57.364900000000006</v>
      </c>
      <c r="C914" s="4">
        <f>57.0013 * CHOOSE(CONTROL!$C$9, $C$13, 100%, $E$13) + CHOOSE(CONTROL!$C$28, 0.0003, 0)</f>
        <v>57.001600000000003</v>
      </c>
      <c r="D914" s="4">
        <f>85.8945 * CHOOSE(CONTROL!$C$9, $C$13, 100%, $E$13) + CHOOSE(CONTROL!$C$28, 0, 0)</f>
        <v>85.894499999999994</v>
      </c>
      <c r="E914" s="4">
        <f>406.872697948336 * CHOOSE(CONTROL!$C$9, $C$13, 100%, $E$13) + CHOOSE(CONTROL!$C$28, 0, 0)</f>
        <v>406.872697948336</v>
      </c>
    </row>
    <row r="915" spans="1:5" ht="15">
      <c r="A915" s="13">
        <v>69367</v>
      </c>
      <c r="B915" s="4">
        <f>56.1119 * CHOOSE(CONTROL!$C$9, $C$13, 100%, $E$13) + CHOOSE(CONTROL!$C$28, 0.0003, 0)</f>
        <v>56.112200000000001</v>
      </c>
      <c r="C915" s="4">
        <f>55.7486 * CHOOSE(CONTROL!$C$9, $C$13, 100%, $E$13) + CHOOSE(CONTROL!$C$28, 0.0003, 0)</f>
        <v>55.748900000000006</v>
      </c>
      <c r="D915" s="4">
        <f>85.4908 * CHOOSE(CONTROL!$C$9, $C$13, 100%, $E$13) + CHOOSE(CONTROL!$C$28, 0, 0)</f>
        <v>85.490799999999993</v>
      </c>
      <c r="E915" s="4">
        <f>397.866519477514 * CHOOSE(CONTROL!$C$9, $C$13, 100%, $E$13) + CHOOSE(CONTROL!$C$28, 0, 0)</f>
        <v>397.86651947751398</v>
      </c>
    </row>
    <row r="916" spans="1:5" ht="15">
      <c r="A916" s="13">
        <v>69398</v>
      </c>
      <c r="B916" s="4">
        <f>55.2453 * CHOOSE(CONTROL!$C$9, $C$13, 100%, $E$13) + CHOOSE(CONTROL!$C$28, 0.0003, 0)</f>
        <v>55.245600000000003</v>
      </c>
      <c r="C916" s="4">
        <f>54.882 * CHOOSE(CONTROL!$C$9, $C$13, 100%, $E$13) + CHOOSE(CONTROL!$C$28, 0.0003, 0)</f>
        <v>54.882300000000001</v>
      </c>
      <c r="D916" s="4">
        <f>82.5188 * CHOOSE(CONTROL!$C$9, $C$13, 100%, $E$13) + CHOOSE(CONTROL!$C$28, 0, 0)</f>
        <v>82.518799999999999</v>
      </c>
      <c r="E916" s="4">
        <f>391.635401669725 * CHOOSE(CONTROL!$C$9, $C$13, 100%, $E$13) + CHOOSE(CONTROL!$C$28, 0, 0)</f>
        <v>391.63540166972501</v>
      </c>
    </row>
    <row r="917" spans="1:5" ht="15">
      <c r="A917" s="13">
        <v>69429</v>
      </c>
      <c r="B917" s="4">
        <f>52.874 * CHOOSE(CONTROL!$C$9, $C$13, 100%, $E$13) + CHOOSE(CONTROL!$C$28, 0.0003, 0)</f>
        <v>52.874300000000005</v>
      </c>
      <c r="C917" s="4">
        <f>52.5108 * CHOOSE(CONTROL!$C$9, $C$13, 100%, $E$13) + CHOOSE(CONTROL!$C$28, 0.0003, 0)</f>
        <v>52.511100000000006</v>
      </c>
      <c r="D917" s="4">
        <f>79.2449 * CHOOSE(CONTROL!$C$9, $C$13, 100%, $E$13) + CHOOSE(CONTROL!$C$28, 0, 0)</f>
        <v>79.244900000000001</v>
      </c>
      <c r="E917" s="4">
        <f>375.322195814926 * CHOOSE(CONTROL!$C$9, $C$13, 100%, $E$13) + CHOOSE(CONTROL!$C$28, 0, 0)</f>
        <v>375.32219581492598</v>
      </c>
    </row>
    <row r="918" spans="1:5" ht="15">
      <c r="A918" s="13">
        <v>69457</v>
      </c>
      <c r="B918" s="4">
        <f>54.1111 * CHOOSE(CONTROL!$C$9, $C$13, 100%, $E$13) + CHOOSE(CONTROL!$C$28, 0.0003, 0)</f>
        <v>54.111400000000003</v>
      </c>
      <c r="C918" s="4">
        <f>53.7478 * CHOOSE(CONTROL!$C$9, $C$13, 100%, $E$13) + CHOOSE(CONTROL!$C$28, 0.0003, 0)</f>
        <v>53.748100000000001</v>
      </c>
      <c r="D918" s="4">
        <f>81.9764 * CHOOSE(CONTROL!$C$9, $C$13, 100%, $E$13) + CHOOSE(CONTROL!$C$28, 0, 0)</f>
        <v>81.976399999999998</v>
      </c>
      <c r="E918" s="4">
        <f>384.233823854357 * CHOOSE(CONTROL!$C$9, $C$13, 100%, $E$13) + CHOOSE(CONTROL!$C$28, 0, 0)</f>
        <v>384.23382385435701</v>
      </c>
    </row>
    <row r="919" spans="1:5" ht="15">
      <c r="A919" s="13">
        <v>69488</v>
      </c>
      <c r="B919" s="4">
        <f>57.3597 * CHOOSE(CONTROL!$C$9, $C$13, 100%, $E$13) + CHOOSE(CONTROL!$C$28, 0.0003, 0)</f>
        <v>57.36</v>
      </c>
      <c r="C919" s="4">
        <f>56.9965 * CHOOSE(CONTROL!$C$9, $C$13, 100%, $E$13) + CHOOSE(CONTROL!$C$28, 0.0003, 0)</f>
        <v>56.9968</v>
      </c>
      <c r="D919" s="4">
        <f>86.2524 * CHOOSE(CONTROL!$C$9, $C$13, 100%, $E$13) + CHOOSE(CONTROL!$C$28, 0, 0)</f>
        <v>86.252399999999994</v>
      </c>
      <c r="E919" s="4">
        <f>407.63623267858 * CHOOSE(CONTROL!$C$9, $C$13, 100%, $E$13) + CHOOSE(CONTROL!$C$28, 0, 0)</f>
        <v>407.63623267857997</v>
      </c>
    </row>
    <row r="920" spans="1:5" ht="15">
      <c r="A920" s="13">
        <v>69518</v>
      </c>
      <c r="B920" s="4">
        <f>59.6679 * CHOOSE(CONTROL!$C$9, $C$13, 100%, $E$13) + CHOOSE(CONTROL!$C$28, 0.0003, 0)</f>
        <v>59.668200000000006</v>
      </c>
      <c r="C920" s="4">
        <f>59.3046 * CHOOSE(CONTROL!$C$9, $C$13, 100%, $E$13) + CHOOSE(CONTROL!$C$28, 0.0003, 0)</f>
        <v>59.304900000000004</v>
      </c>
      <c r="D920" s="4">
        <f>88.7155 * CHOOSE(CONTROL!$C$9, $C$13, 100%, $E$13) + CHOOSE(CONTROL!$C$28, 0, 0)</f>
        <v>88.715500000000006</v>
      </c>
      <c r="E920" s="4">
        <f>424.263956026293 * CHOOSE(CONTROL!$C$9, $C$13, 100%, $E$13) + CHOOSE(CONTROL!$C$28, 0, 0)</f>
        <v>424.26395602629299</v>
      </c>
    </row>
    <row r="921" spans="1:5" ht="15">
      <c r="A921" s="13">
        <v>69549</v>
      </c>
      <c r="B921" s="4">
        <f>61.0782 * CHOOSE(CONTROL!$C$9, $C$13, 100%, $E$13) + CHOOSE(CONTROL!$C$28, 0.0136, 0)</f>
        <v>61.091799999999999</v>
      </c>
      <c r="C921" s="4">
        <f>60.7149 * CHOOSE(CONTROL!$C$9, $C$13, 100%, $E$13) + CHOOSE(CONTROL!$C$28, 0.0136, 0)</f>
        <v>60.728499999999997</v>
      </c>
      <c r="D921" s="4">
        <f>87.7422 * CHOOSE(CONTROL!$C$9, $C$13, 100%, $E$13) + CHOOSE(CONTROL!$C$28, 0, 0)</f>
        <v>87.742199999999997</v>
      </c>
      <c r="E921" s="4">
        <f>434.423096480836 * CHOOSE(CONTROL!$C$9, $C$13, 100%, $E$13) + CHOOSE(CONTROL!$C$28, 0, 0)</f>
        <v>434.42309648083602</v>
      </c>
    </row>
    <row r="922" spans="1:5" ht="15">
      <c r="A922" s="13">
        <v>69579</v>
      </c>
      <c r="B922" s="4">
        <f>61.269 * CHOOSE(CONTROL!$C$9, $C$13, 100%, $E$13) + CHOOSE(CONTROL!$C$28, 0.0136, 0)</f>
        <v>61.282599999999995</v>
      </c>
      <c r="C922" s="4">
        <f>60.9057 * CHOOSE(CONTROL!$C$9, $C$13, 100%, $E$13) + CHOOSE(CONTROL!$C$28, 0.0136, 0)</f>
        <v>60.9193</v>
      </c>
      <c r="D922" s="4">
        <f>88.5349 * CHOOSE(CONTROL!$C$9, $C$13, 100%, $E$13) + CHOOSE(CONTROL!$C$28, 0, 0)</f>
        <v>88.534899999999993</v>
      </c>
      <c r="E922" s="4">
        <f>435.797670345635 * CHOOSE(CONTROL!$C$9, $C$13, 100%, $E$13) + CHOOSE(CONTROL!$C$28, 0, 0)</f>
        <v>435.79767034563503</v>
      </c>
    </row>
    <row r="923" spans="1:5" ht="15">
      <c r="A923" s="13">
        <v>69610</v>
      </c>
      <c r="B923" s="4">
        <f>61.2497 * CHOOSE(CONTROL!$C$9, $C$13, 100%, $E$13) + CHOOSE(CONTROL!$C$28, 0.0136, 0)</f>
        <v>61.263299999999994</v>
      </c>
      <c r="C923" s="4">
        <f>60.8865 * CHOOSE(CONTROL!$C$9, $C$13, 100%, $E$13) + CHOOSE(CONTROL!$C$28, 0.0136, 0)</f>
        <v>60.900099999999995</v>
      </c>
      <c r="D923" s="4">
        <f>89.9651 * CHOOSE(CONTROL!$C$9, $C$13, 100%, $E$13) + CHOOSE(CONTROL!$C$28, 0, 0)</f>
        <v>89.965100000000007</v>
      </c>
      <c r="E923" s="4">
        <f>435.659057855067 * CHOOSE(CONTROL!$C$9, $C$13, 100%, $E$13) + CHOOSE(CONTROL!$C$28, 0, 0)</f>
        <v>435.65905785506698</v>
      </c>
    </row>
    <row r="924" spans="1:5" ht="15">
      <c r="A924" s="13">
        <v>69641</v>
      </c>
      <c r="B924" s="4">
        <f>62.6977 * CHOOSE(CONTROL!$C$9, $C$13, 100%, $E$13) + CHOOSE(CONTROL!$C$28, 0.0136, 0)</f>
        <v>62.711299999999994</v>
      </c>
      <c r="C924" s="4">
        <f>62.3344 * CHOOSE(CONTROL!$C$9, $C$13, 100%, $E$13) + CHOOSE(CONTROL!$C$28, 0.0136, 0)</f>
        <v>62.347999999999999</v>
      </c>
      <c r="D924" s="4">
        <f>89.0206 * CHOOSE(CONTROL!$C$9, $C$13, 100%, $E$13) + CHOOSE(CONTROL!$C$28, 0, 0)</f>
        <v>89.020600000000002</v>
      </c>
      <c r="E924" s="4">
        <f>446.089647770305 * CHOOSE(CONTROL!$C$9, $C$13, 100%, $E$13) + CHOOSE(CONTROL!$C$28, 0, 0)</f>
        <v>446.08964777030502</v>
      </c>
    </row>
    <row r="925" spans="1:5" ht="15">
      <c r="A925" s="13">
        <v>69671</v>
      </c>
      <c r="B925" s="4">
        <f>60.2299 * CHOOSE(CONTROL!$C$9, $C$13, 100%, $E$13) + CHOOSE(CONTROL!$C$28, 0.0136, 0)</f>
        <v>60.243499999999997</v>
      </c>
      <c r="C925" s="4">
        <f>59.8667 * CHOOSE(CONTROL!$C$9, $C$13, 100%, $E$13) + CHOOSE(CONTROL!$C$28, 0.0136, 0)</f>
        <v>59.880299999999998</v>
      </c>
      <c r="D925" s="4">
        <f>88.5743 * CHOOSE(CONTROL!$C$9, $C$13, 100%, $E$13) + CHOOSE(CONTROL!$C$28, 0, 0)</f>
        <v>88.574299999999994</v>
      </c>
      <c r="E925" s="4">
        <f>428.312595854966 * CHOOSE(CONTROL!$C$9, $C$13, 100%, $E$13) + CHOOSE(CONTROL!$C$28, 0, 0)</f>
        <v>428.31259585496599</v>
      </c>
    </row>
    <row r="926" spans="1:5" ht="15">
      <c r="A926" s="13">
        <v>69702</v>
      </c>
      <c r="B926" s="4">
        <f>58.2545 * CHOOSE(CONTROL!$C$9, $C$13, 100%, $E$13) + CHOOSE(CONTROL!$C$28, 0.0003, 0)</f>
        <v>58.254800000000003</v>
      </c>
      <c r="C926" s="4">
        <f>57.8912 * CHOOSE(CONTROL!$C$9, $C$13, 100%, $E$13) + CHOOSE(CONTROL!$C$28, 0.0003, 0)</f>
        <v>57.891500000000001</v>
      </c>
      <c r="D926" s="4">
        <f>87.3794 * CHOOSE(CONTROL!$C$9, $C$13, 100%, $E$13) + CHOOSE(CONTROL!$C$28, 0, 0)</f>
        <v>87.379400000000004</v>
      </c>
      <c r="E926" s="4">
        <f>414.081713489989 * CHOOSE(CONTROL!$C$9, $C$13, 100%, $E$13) + CHOOSE(CONTROL!$C$28, 0, 0)</f>
        <v>414.081713489989</v>
      </c>
    </row>
    <row r="927" spans="1:5" ht="15">
      <c r="A927" s="13">
        <v>69732</v>
      </c>
      <c r="B927" s="4">
        <f>56.9821 * CHOOSE(CONTROL!$C$9, $C$13, 100%, $E$13) + CHOOSE(CONTROL!$C$28, 0.0003, 0)</f>
        <v>56.982400000000005</v>
      </c>
      <c r="C927" s="4">
        <f>56.6188 * CHOOSE(CONTROL!$C$9, $C$13, 100%, $E$13) + CHOOSE(CONTROL!$C$28, 0.0003, 0)</f>
        <v>56.619100000000003</v>
      </c>
      <c r="D927" s="4">
        <f>86.9685 * CHOOSE(CONTROL!$C$9, $C$13, 100%, $E$13) + CHOOSE(CONTROL!$C$28, 0, 0)</f>
        <v>86.968500000000006</v>
      </c>
      <c r="E927" s="4">
        <f>404.915962551184 * CHOOSE(CONTROL!$C$9, $C$13, 100%, $E$13) + CHOOSE(CONTROL!$C$28, 0, 0)</f>
        <v>404.91596255118401</v>
      </c>
    </row>
    <row r="928" spans="1:5" ht="15">
      <c r="A928" s="13">
        <v>69763</v>
      </c>
      <c r="B928" s="4">
        <f>56.1018 * CHOOSE(CONTROL!$C$9, $C$13, 100%, $E$13) + CHOOSE(CONTROL!$C$28, 0.0003, 0)</f>
        <v>56.1021</v>
      </c>
      <c r="C928" s="4">
        <f>55.7385 * CHOOSE(CONTROL!$C$9, $C$13, 100%, $E$13) + CHOOSE(CONTROL!$C$28, 0.0003, 0)</f>
        <v>55.738800000000005</v>
      </c>
      <c r="D928" s="4">
        <f>83.944 * CHOOSE(CONTROL!$C$9, $C$13, 100%, $E$13) + CHOOSE(CONTROL!$C$28, 0, 0)</f>
        <v>83.944000000000003</v>
      </c>
      <c r="E928" s="4">
        <f>398.5744411077 * CHOOSE(CONTROL!$C$9, $C$13, 100%, $E$13) + CHOOSE(CONTROL!$C$28, 0, 0)</f>
        <v>398.57444110770001</v>
      </c>
    </row>
    <row r="929" spans="1:5" ht="15">
      <c r="A929" s="13">
        <v>69794</v>
      </c>
      <c r="B929" s="4">
        <f>53.6933 * CHOOSE(CONTROL!$C$9, $C$13, 100%, $E$13) + CHOOSE(CONTROL!$C$28, 0.0003, 0)</f>
        <v>53.693600000000004</v>
      </c>
      <c r="C929" s="4">
        <f>53.33 * CHOOSE(CONTROL!$C$9, $C$13, 100%, $E$13) + CHOOSE(CONTROL!$C$28, 0.0003, 0)</f>
        <v>53.330300000000001</v>
      </c>
      <c r="D929" s="4">
        <f>80.6123 * CHOOSE(CONTROL!$C$9, $C$13, 100%, $E$13) + CHOOSE(CONTROL!$C$28, 0, 0)</f>
        <v>80.612300000000005</v>
      </c>
      <c r="E929" s="4">
        <f>381.972196064146 * CHOOSE(CONTROL!$C$9, $C$13, 100%, $E$13) + CHOOSE(CONTROL!$C$28, 0, 0)</f>
        <v>381.97219606414598</v>
      </c>
    </row>
    <row r="930" spans="1:5" ht="15">
      <c r="A930" s="13">
        <v>69822</v>
      </c>
      <c r="B930" s="4">
        <f>54.9498 * CHOOSE(CONTROL!$C$9, $C$13, 100%, $E$13) + CHOOSE(CONTROL!$C$28, 0.0003, 0)</f>
        <v>54.950100000000006</v>
      </c>
      <c r="C930" s="4">
        <f>54.5866 * CHOOSE(CONTROL!$C$9, $C$13, 100%, $E$13) + CHOOSE(CONTROL!$C$28, 0.0003, 0)</f>
        <v>54.5869</v>
      </c>
      <c r="D930" s="4">
        <f>83.3921 * CHOOSE(CONTROL!$C$9, $C$13, 100%, $E$13) + CHOOSE(CONTROL!$C$28, 0, 0)</f>
        <v>83.392099999999999</v>
      </c>
      <c r="E930" s="4">
        <f>391.041721316543 * CHOOSE(CONTROL!$C$9, $C$13, 100%, $E$13) + CHOOSE(CONTROL!$C$28, 0, 0)</f>
        <v>391.04172131654298</v>
      </c>
    </row>
    <row r="931" spans="1:5" ht="15">
      <c r="A931" s="13">
        <v>69853</v>
      </c>
      <c r="B931" s="4">
        <f>58.2496 * CHOOSE(CONTROL!$C$9, $C$13, 100%, $E$13) + CHOOSE(CONTROL!$C$28, 0.0003, 0)</f>
        <v>58.249900000000004</v>
      </c>
      <c r="C931" s="4">
        <f>57.8863 * CHOOSE(CONTROL!$C$9, $C$13, 100%, $E$13) + CHOOSE(CONTROL!$C$28, 0.0003, 0)</f>
        <v>57.886600000000001</v>
      </c>
      <c r="D931" s="4">
        <f>87.7436 * CHOOSE(CONTROL!$C$9, $C$13, 100%, $E$13) + CHOOSE(CONTROL!$C$28, 0, 0)</f>
        <v>87.743600000000001</v>
      </c>
      <c r="E931" s="4">
        <f>414.858776613179 * CHOOSE(CONTROL!$C$9, $C$13, 100%, $E$13) + CHOOSE(CONTROL!$C$28, 0, 0)</f>
        <v>414.85877661317897</v>
      </c>
    </row>
    <row r="932" spans="1:5" ht="15">
      <c r="A932" s="13">
        <v>69883</v>
      </c>
      <c r="B932" s="4">
        <f>60.594 * CHOOSE(CONTROL!$C$9, $C$13, 100%, $E$13) + CHOOSE(CONTROL!$C$28, 0.0003, 0)</f>
        <v>60.594300000000004</v>
      </c>
      <c r="C932" s="4">
        <f>60.2308 * CHOOSE(CONTROL!$C$9, $C$13, 100%, $E$13) + CHOOSE(CONTROL!$C$28, 0.0003, 0)</f>
        <v>60.231100000000005</v>
      </c>
      <c r="D932" s="4">
        <f>90.2502 * CHOOSE(CONTROL!$C$9, $C$13, 100%, $E$13) + CHOOSE(CONTROL!$C$28, 0, 0)</f>
        <v>90.250200000000007</v>
      </c>
      <c r="E932" s="4">
        <f>431.781111805434 * CHOOSE(CONTROL!$C$9, $C$13, 100%, $E$13) + CHOOSE(CONTROL!$C$28, 0, 0)</f>
        <v>431.78111180543402</v>
      </c>
    </row>
    <row r="933" spans="1:5" ht="15">
      <c r="A933" s="13">
        <v>69914</v>
      </c>
      <c r="B933" s="4">
        <f>62.0265 * CHOOSE(CONTROL!$C$9, $C$13, 100%, $E$13) + CHOOSE(CONTROL!$C$28, 0.0136, 0)</f>
        <v>62.040099999999995</v>
      </c>
      <c r="C933" s="4">
        <f>61.6632 * CHOOSE(CONTROL!$C$9, $C$13, 100%, $E$13) + CHOOSE(CONTROL!$C$28, 0.0136, 0)</f>
        <v>61.6768</v>
      </c>
      <c r="D933" s="4">
        <f>89.2597 * CHOOSE(CONTROL!$C$9, $C$13, 100%, $E$13) + CHOOSE(CONTROL!$C$28, 0, 0)</f>
        <v>89.259699999999995</v>
      </c>
      <c r="E933" s="4">
        <f>442.120253036131 * CHOOSE(CONTROL!$C$9, $C$13, 100%, $E$13) + CHOOSE(CONTROL!$C$28, 0, 0)</f>
        <v>442.12025303613098</v>
      </c>
    </row>
    <row r="934" spans="1:5" ht="15">
      <c r="A934" s="13">
        <v>69944</v>
      </c>
      <c r="B934" s="4">
        <f>62.2203 * CHOOSE(CONTROL!$C$9, $C$13, 100%, $E$13) + CHOOSE(CONTROL!$C$28, 0.0136, 0)</f>
        <v>62.233899999999998</v>
      </c>
      <c r="C934" s="4">
        <f>61.857 * CHOOSE(CONTROL!$C$9, $C$13, 100%, $E$13) + CHOOSE(CONTROL!$C$28, 0.0136, 0)</f>
        <v>61.870599999999996</v>
      </c>
      <c r="D934" s="4">
        <f>90.0664 * CHOOSE(CONTROL!$C$9, $C$13, 100%, $E$13) + CHOOSE(CONTROL!$C$28, 0, 0)</f>
        <v>90.066400000000002</v>
      </c>
      <c r="E934" s="4">
        <f>443.519181752962 * CHOOSE(CONTROL!$C$9, $C$13, 100%, $E$13) + CHOOSE(CONTROL!$C$28, 0, 0)</f>
        <v>443.51918175296203</v>
      </c>
    </row>
    <row r="935" spans="1:5" ht="15">
      <c r="A935" s="13">
        <v>69975</v>
      </c>
      <c r="B935" s="4">
        <f>62.2007 * CHOOSE(CONTROL!$C$9, $C$13, 100%, $E$13) + CHOOSE(CONTROL!$C$28, 0.0136, 0)</f>
        <v>62.214299999999994</v>
      </c>
      <c r="C935" s="4">
        <f>61.8374 * CHOOSE(CONTROL!$C$9, $C$13, 100%, $E$13) + CHOOSE(CONTROL!$C$28, 0.0136, 0)</f>
        <v>61.850999999999999</v>
      </c>
      <c r="D935" s="4">
        <f>91.522 * CHOOSE(CONTROL!$C$9, $C$13, 100%, $E$13) + CHOOSE(CONTROL!$C$28, 0, 0)</f>
        <v>91.522000000000006</v>
      </c>
      <c r="E935" s="4">
        <f>443.378113310928 * CHOOSE(CONTROL!$C$9, $C$13, 100%, $E$13) + CHOOSE(CONTROL!$C$28, 0, 0)</f>
        <v>443.37811331092797</v>
      </c>
    </row>
    <row r="936" spans="1:5" ht="15">
      <c r="A936" s="13">
        <v>70006</v>
      </c>
      <c r="B936" s="4">
        <f>63.6714 * CHOOSE(CONTROL!$C$9, $C$13, 100%, $E$13) + CHOOSE(CONTROL!$C$28, 0.0136, 0)</f>
        <v>63.684999999999995</v>
      </c>
      <c r="C936" s="4">
        <f>63.3081 * CHOOSE(CONTROL!$C$9, $C$13, 100%, $E$13) + CHOOSE(CONTROL!$C$28, 0.0136, 0)</f>
        <v>63.3217</v>
      </c>
      <c r="D936" s="4">
        <f>90.5607 * CHOOSE(CONTROL!$C$9, $C$13, 100%, $E$13) + CHOOSE(CONTROL!$C$28, 0, 0)</f>
        <v>90.560699999999997</v>
      </c>
      <c r="E936" s="4">
        <f>453.993513573941 * CHOOSE(CONTROL!$C$9, $C$13, 100%, $E$13) + CHOOSE(CONTROL!$C$28, 0, 0)</f>
        <v>453.99351357394102</v>
      </c>
    </row>
    <row r="937" spans="1:5" ht="15">
      <c r="A937" s="13">
        <v>70036</v>
      </c>
      <c r="B937" s="4">
        <f>61.1649 * CHOOSE(CONTROL!$C$9, $C$13, 100%, $E$13) + CHOOSE(CONTROL!$C$28, 0.0136, 0)</f>
        <v>61.1785</v>
      </c>
      <c r="C937" s="4">
        <f>60.8016 * CHOOSE(CONTROL!$C$9, $C$13, 100%, $E$13) + CHOOSE(CONTROL!$C$28, 0.0136, 0)</f>
        <v>60.815199999999997</v>
      </c>
      <c r="D937" s="4">
        <f>90.1065 * CHOOSE(CONTROL!$C$9, $C$13, 100%, $E$13) + CHOOSE(CONTROL!$C$28, 0, 0)</f>
        <v>90.106499999999997</v>
      </c>
      <c r="E937" s="4">
        <f>435.901485883159 * CHOOSE(CONTROL!$C$9, $C$13, 100%, $E$13) + CHOOSE(CONTROL!$C$28, 0, 0)</f>
        <v>435.90148588315901</v>
      </c>
    </row>
    <row r="938" spans="1:5" ht="15">
      <c r="A938" s="13">
        <v>70067</v>
      </c>
      <c r="B938" s="4">
        <f>59.1584 * CHOOSE(CONTROL!$C$9, $C$13, 100%, $E$13) + CHOOSE(CONTROL!$C$28, 0.0003, 0)</f>
        <v>59.158700000000003</v>
      </c>
      <c r="C938" s="4">
        <f>58.7951 * CHOOSE(CONTROL!$C$9, $C$13, 100%, $E$13) + CHOOSE(CONTROL!$C$28, 0.0003, 0)</f>
        <v>58.795400000000001</v>
      </c>
      <c r="D938" s="4">
        <f>88.8905 * CHOOSE(CONTROL!$C$9, $C$13, 100%, $E$13) + CHOOSE(CONTROL!$C$28, 0, 0)</f>
        <v>88.890500000000003</v>
      </c>
      <c r="E938" s="4">
        <f>421.418459167732 * CHOOSE(CONTROL!$C$9, $C$13, 100%, $E$13) + CHOOSE(CONTROL!$C$28, 0, 0)</f>
        <v>421.41845916773201</v>
      </c>
    </row>
    <row r="939" spans="1:5" ht="15">
      <c r="A939" s="13">
        <v>70097</v>
      </c>
      <c r="B939" s="4">
        <f>57.866 * CHOOSE(CONTROL!$C$9, $C$13, 100%, $E$13) + CHOOSE(CONTROL!$C$28, 0.0003, 0)</f>
        <v>57.866300000000003</v>
      </c>
      <c r="C939" s="4">
        <f>57.5027 * CHOOSE(CONTROL!$C$9, $C$13, 100%, $E$13) + CHOOSE(CONTROL!$C$28, 0.0003, 0)</f>
        <v>57.503</v>
      </c>
      <c r="D939" s="4">
        <f>88.4724 * CHOOSE(CONTROL!$C$9, $C$13, 100%, $E$13) + CHOOSE(CONTROL!$C$28, 0, 0)</f>
        <v>88.472399999999993</v>
      </c>
      <c r="E939" s="4">
        <f>412.090308438274 * CHOOSE(CONTROL!$C$9, $C$13, 100%, $E$13) + CHOOSE(CONTROL!$C$28, 0, 0)</f>
        <v>412.09030843827401</v>
      </c>
    </row>
    <row r="940" spans="1:5" ht="15">
      <c r="A940" s="13">
        <v>70128</v>
      </c>
      <c r="B940" s="4">
        <f>56.9719 * CHOOSE(CONTROL!$C$9, $C$13, 100%, $E$13) + CHOOSE(CONTROL!$C$28, 0.0003, 0)</f>
        <v>56.972200000000001</v>
      </c>
      <c r="C940" s="4">
        <f>56.6086 * CHOOSE(CONTROL!$C$9, $C$13, 100%, $E$13) + CHOOSE(CONTROL!$C$28, 0.0003, 0)</f>
        <v>56.608900000000006</v>
      </c>
      <c r="D940" s="4">
        <f>85.3945 * CHOOSE(CONTROL!$C$9, $C$13, 100%, $E$13) + CHOOSE(CONTROL!$C$28, 0, 0)</f>
        <v>85.394499999999994</v>
      </c>
      <c r="E940" s="4">
        <f>405.636427215247 * CHOOSE(CONTROL!$C$9, $C$13, 100%, $E$13) + CHOOSE(CONTROL!$C$28, 0, 0)</f>
        <v>405.63642721524701</v>
      </c>
    </row>
    <row r="941" spans="1:5" ht="15">
      <c r="A941" s="13">
        <v>70159</v>
      </c>
      <c r="B941" s="4">
        <f>54.5255 * CHOOSE(CONTROL!$C$9, $C$13, 100%, $E$13) + CHOOSE(CONTROL!$C$28, 0.0003, 0)</f>
        <v>54.525800000000004</v>
      </c>
      <c r="C941" s="4">
        <f>54.1622 * CHOOSE(CONTROL!$C$9, $C$13, 100%, $E$13) + CHOOSE(CONTROL!$C$28, 0.0003, 0)</f>
        <v>54.162500000000001</v>
      </c>
      <c r="D941" s="4">
        <f>82.0039 * CHOOSE(CONTROL!$C$9, $C$13, 100%, $E$13) + CHOOSE(CONTROL!$C$28, 0, 0)</f>
        <v>82.003900000000002</v>
      </c>
      <c r="E941" s="4">
        <f>388.740021754568 * CHOOSE(CONTROL!$C$9, $C$13, 100%, $E$13) + CHOOSE(CONTROL!$C$28, 0, 0)</f>
        <v>388.74002175456798</v>
      </c>
    </row>
    <row r="942" spans="1:5" ht="15">
      <c r="A942" s="13">
        <v>70188</v>
      </c>
      <c r="B942" s="4">
        <f>55.8018 * CHOOSE(CONTROL!$C$9, $C$13, 100%, $E$13) + CHOOSE(CONTROL!$C$28, 0.0003, 0)</f>
        <v>55.802100000000003</v>
      </c>
      <c r="C942" s="4">
        <f>55.4385 * CHOOSE(CONTROL!$C$9, $C$13, 100%, $E$13) + CHOOSE(CONTROL!$C$28, 0.0003, 0)</f>
        <v>55.438800000000001</v>
      </c>
      <c r="D942" s="4">
        <f>84.8328 * CHOOSE(CONTROL!$C$9, $C$13, 100%, $E$13) + CHOOSE(CONTROL!$C$28, 0, 0)</f>
        <v>84.832800000000006</v>
      </c>
      <c r="E942" s="4">
        <f>397.970241860243 * CHOOSE(CONTROL!$C$9, $C$13, 100%, $E$13) + CHOOSE(CONTROL!$C$28, 0, 0)</f>
        <v>397.97024186024299</v>
      </c>
    </row>
    <row r="943" spans="1:5" ht="15">
      <c r="A943" s="13">
        <v>70219</v>
      </c>
      <c r="B943" s="4">
        <f>59.1534 * CHOOSE(CONTROL!$C$9, $C$13, 100%, $E$13) + CHOOSE(CONTROL!$C$28, 0.0003, 0)</f>
        <v>59.153700000000001</v>
      </c>
      <c r="C943" s="4">
        <f>58.7901 * CHOOSE(CONTROL!$C$9, $C$13, 100%, $E$13) + CHOOSE(CONTROL!$C$28, 0.0003, 0)</f>
        <v>58.790400000000005</v>
      </c>
      <c r="D943" s="4">
        <f>89.2612 * CHOOSE(CONTROL!$C$9, $C$13, 100%, $E$13) + CHOOSE(CONTROL!$C$28, 0, 0)</f>
        <v>89.261200000000002</v>
      </c>
      <c r="E943" s="4">
        <f>422.209290381433 * CHOOSE(CONTROL!$C$9, $C$13, 100%, $E$13) + CHOOSE(CONTROL!$C$28, 0, 0)</f>
        <v>422.20929038143299</v>
      </c>
    </row>
    <row r="944" spans="1:5" ht="15">
      <c r="A944" s="13">
        <v>70249</v>
      </c>
      <c r="B944" s="4">
        <f>61.5347 * CHOOSE(CONTROL!$C$9, $C$13, 100%, $E$13) + CHOOSE(CONTROL!$C$28, 0.0003, 0)</f>
        <v>61.535000000000004</v>
      </c>
      <c r="C944" s="4">
        <f>61.1714 * CHOOSE(CONTROL!$C$9, $C$13, 100%, $E$13) + CHOOSE(CONTROL!$C$28, 0.0003, 0)</f>
        <v>61.171700000000001</v>
      </c>
      <c r="D944" s="4">
        <f>91.8121 * CHOOSE(CONTROL!$C$9, $C$13, 100%, $E$13) + CHOOSE(CONTROL!$C$28, 0, 0)</f>
        <v>91.812100000000001</v>
      </c>
      <c r="E944" s="4">
        <f>439.431457383532 * CHOOSE(CONTROL!$C$9, $C$13, 100%, $E$13) + CHOOSE(CONTROL!$C$28, 0, 0)</f>
        <v>439.43145738353201</v>
      </c>
    </row>
    <row r="945" spans="1:5" ht="15">
      <c r="A945" s="13">
        <v>70280</v>
      </c>
      <c r="B945" s="4">
        <f>62.9897 * CHOOSE(CONTROL!$C$9, $C$13, 100%, $E$13) + CHOOSE(CONTROL!$C$28, 0.0136, 0)</f>
        <v>63.003299999999996</v>
      </c>
      <c r="C945" s="4">
        <f>62.6264 * CHOOSE(CONTROL!$C$9, $C$13, 100%, $E$13) + CHOOSE(CONTROL!$C$28, 0.0136, 0)</f>
        <v>62.639999999999993</v>
      </c>
      <c r="D945" s="4">
        <f>90.8041 * CHOOSE(CONTROL!$C$9, $C$13, 100%, $E$13) + CHOOSE(CONTROL!$C$28, 0, 0)</f>
        <v>90.804100000000005</v>
      </c>
      <c r="E945" s="4">
        <f>449.953788664078 * CHOOSE(CONTROL!$C$9, $C$13, 100%, $E$13) + CHOOSE(CONTROL!$C$28, 0, 0)</f>
        <v>449.95378866407799</v>
      </c>
    </row>
    <row r="946" spans="1:5" ht="15">
      <c r="A946" s="13">
        <v>70310</v>
      </c>
      <c r="B946" s="4">
        <f>63.1865 * CHOOSE(CONTROL!$C$9, $C$13, 100%, $E$13) + CHOOSE(CONTROL!$C$28, 0.0136, 0)</f>
        <v>63.200099999999999</v>
      </c>
      <c r="C946" s="4">
        <f>62.8232 * CHOOSE(CONTROL!$C$9, $C$13, 100%, $E$13) + CHOOSE(CONTROL!$C$28, 0.0136, 0)</f>
        <v>62.836799999999997</v>
      </c>
      <c r="D946" s="4">
        <f>91.625 * CHOOSE(CONTROL!$C$9, $C$13, 100%, $E$13) + CHOOSE(CONTROL!$C$28, 0, 0)</f>
        <v>91.625</v>
      </c>
      <c r="E946" s="4">
        <f>451.377503754908 * CHOOSE(CONTROL!$C$9, $C$13, 100%, $E$13) + CHOOSE(CONTROL!$C$28, 0, 0)</f>
        <v>451.37750375490799</v>
      </c>
    </row>
    <row r="947" spans="1:5" ht="15">
      <c r="A947" s="13">
        <v>70341</v>
      </c>
      <c r="B947" s="4">
        <f>63.1667 * CHOOSE(CONTROL!$C$9, $C$13, 100%, $E$13) + CHOOSE(CONTROL!$C$28, 0.0136, 0)</f>
        <v>63.180299999999995</v>
      </c>
      <c r="C947" s="4">
        <f>62.8034 * CHOOSE(CONTROL!$C$9, $C$13, 100%, $E$13) + CHOOSE(CONTROL!$C$28, 0.0136, 0)</f>
        <v>62.817</v>
      </c>
      <c r="D947" s="4">
        <f>93.1063 * CHOOSE(CONTROL!$C$9, $C$13, 100%, $E$13) + CHOOSE(CONTROL!$C$28, 0, 0)</f>
        <v>93.106300000000005</v>
      </c>
      <c r="E947" s="4">
        <f>451.233935846589 * CHOOSE(CONTROL!$C$9, $C$13, 100%, $E$13) + CHOOSE(CONTROL!$C$28, 0, 0)</f>
        <v>451.23393584658902</v>
      </c>
    </row>
    <row r="948" spans="1:5" ht="15">
      <c r="A948" s="13">
        <v>70372</v>
      </c>
      <c r="B948" s="4">
        <f>64.6605 * CHOOSE(CONTROL!$C$9, $C$13, 100%, $E$13) + CHOOSE(CONTROL!$C$28, 0.0136, 0)</f>
        <v>64.674099999999996</v>
      </c>
      <c r="C948" s="4">
        <f>64.2972 * CHOOSE(CONTROL!$C$9, $C$13, 100%, $E$13) + CHOOSE(CONTROL!$C$28, 0.0136, 0)</f>
        <v>64.3108</v>
      </c>
      <c r="D948" s="4">
        <f>92.128 * CHOOSE(CONTROL!$C$9, $C$13, 100%, $E$13) + CHOOSE(CONTROL!$C$28, 0, 0)</f>
        <v>92.128</v>
      </c>
      <c r="E948" s="4">
        <f>462.037420947593 * CHOOSE(CONTROL!$C$9, $C$13, 100%, $E$13) + CHOOSE(CONTROL!$C$28, 0, 0)</f>
        <v>462.03742094759298</v>
      </c>
    </row>
    <row r="949" spans="1:5" ht="15">
      <c r="A949" s="13">
        <v>70402</v>
      </c>
      <c r="B949" s="4">
        <f>62.1145 * CHOOSE(CONTROL!$C$9, $C$13, 100%, $E$13) + CHOOSE(CONTROL!$C$28, 0.0136, 0)</f>
        <v>62.128099999999996</v>
      </c>
      <c r="C949" s="4">
        <f>61.7513 * CHOOSE(CONTROL!$C$9, $C$13, 100%, $E$13) + CHOOSE(CONTROL!$C$28, 0.0136, 0)</f>
        <v>61.764899999999997</v>
      </c>
      <c r="D949" s="4">
        <f>91.6658 * CHOOSE(CONTROL!$C$9, $C$13, 100%, $E$13) + CHOOSE(CONTROL!$C$28, 0, 0)</f>
        <v>91.665800000000004</v>
      </c>
      <c r="E949" s="4">
        <f>443.624836705682 * CHOOSE(CONTROL!$C$9, $C$13, 100%, $E$13) + CHOOSE(CONTROL!$C$28, 0, 0)</f>
        <v>443.62483670568201</v>
      </c>
    </row>
    <row r="950" spans="1:5" ht="15">
      <c r="A950" s="13">
        <v>70433</v>
      </c>
      <c r="B950" s="4">
        <f>60.0765 * CHOOSE(CONTROL!$C$9, $C$13, 100%, $E$13) + CHOOSE(CONTROL!$C$28, 0.0003, 0)</f>
        <v>60.076800000000006</v>
      </c>
      <c r="C950" s="4">
        <f>59.7132 * CHOOSE(CONTROL!$C$9, $C$13, 100%, $E$13) + CHOOSE(CONTROL!$C$28, 0.0003, 0)</f>
        <v>59.713500000000003</v>
      </c>
      <c r="D950" s="4">
        <f>90.4283 * CHOOSE(CONTROL!$C$9, $C$13, 100%, $E$13) + CHOOSE(CONTROL!$C$28, 0, 0)</f>
        <v>90.428299999999993</v>
      </c>
      <c r="E950" s="4">
        <f>428.885198118266 * CHOOSE(CONTROL!$C$9, $C$13, 100%, $E$13) + CHOOSE(CONTROL!$C$28, 0, 0)</f>
        <v>428.88519811826598</v>
      </c>
    </row>
    <row r="951" spans="1:5" ht="15">
      <c r="A951" s="13">
        <v>70463</v>
      </c>
      <c r="B951" s="4">
        <f>58.7638 * CHOOSE(CONTROL!$C$9, $C$13, 100%, $E$13) + CHOOSE(CONTROL!$C$28, 0.0003, 0)</f>
        <v>58.764100000000006</v>
      </c>
      <c r="C951" s="4">
        <f>58.4005 * CHOOSE(CONTROL!$C$9, $C$13, 100%, $E$13) + CHOOSE(CONTROL!$C$28, 0.0003, 0)</f>
        <v>58.400800000000004</v>
      </c>
      <c r="D951" s="4">
        <f>90.0028 * CHOOSE(CONTROL!$C$9, $C$13, 100%, $E$13) + CHOOSE(CONTROL!$C$28, 0, 0)</f>
        <v>90.002799999999993</v>
      </c>
      <c r="E951" s="4">
        <f>419.391770180673 * CHOOSE(CONTROL!$C$9, $C$13, 100%, $E$13) + CHOOSE(CONTROL!$C$28, 0, 0)</f>
        <v>419.39177018067301</v>
      </c>
    </row>
    <row r="952" spans="1:5" ht="15">
      <c r="A952" s="13">
        <v>70494</v>
      </c>
      <c r="B952" s="4">
        <f>57.8556 * CHOOSE(CONTROL!$C$9, $C$13, 100%, $E$13) + CHOOSE(CONTROL!$C$28, 0.0003, 0)</f>
        <v>57.855900000000005</v>
      </c>
      <c r="C952" s="4">
        <f>57.4923 * CHOOSE(CONTROL!$C$9, $C$13, 100%, $E$13) + CHOOSE(CONTROL!$C$28, 0.0003, 0)</f>
        <v>57.492600000000003</v>
      </c>
      <c r="D952" s="4">
        <f>86.8705 * CHOOSE(CONTROL!$C$9, $C$13, 100%, $E$13) + CHOOSE(CONTROL!$C$28, 0, 0)</f>
        <v>86.870500000000007</v>
      </c>
      <c r="E952" s="4">
        <f>412.823538375079 * CHOOSE(CONTROL!$C$9, $C$13, 100%, $E$13) + CHOOSE(CONTROL!$C$28, 0, 0)</f>
        <v>412.82353837507901</v>
      </c>
    </row>
    <row r="953" spans="1:5" ht="15">
      <c r="A953" s="13">
        <v>70525</v>
      </c>
      <c r="B953" s="4">
        <f>55.3707 * CHOOSE(CONTROL!$C$9, $C$13, 100%, $E$13) + CHOOSE(CONTROL!$C$28, 0.0003, 0)</f>
        <v>55.371000000000002</v>
      </c>
      <c r="C953" s="4">
        <f>55.0074 * CHOOSE(CONTROL!$C$9, $C$13, 100%, $E$13) + CHOOSE(CONTROL!$C$28, 0.0003, 0)</f>
        <v>55.0077</v>
      </c>
      <c r="D953" s="4">
        <f>83.42 * CHOOSE(CONTROL!$C$9, $C$13, 100%, $E$13) + CHOOSE(CONTROL!$C$28, 0, 0)</f>
        <v>83.42</v>
      </c>
      <c r="E953" s="4">
        <f>395.627760530413 * CHOOSE(CONTROL!$C$9, $C$13, 100%, $E$13) + CHOOSE(CONTROL!$C$28, 0, 0)</f>
        <v>395.62776053041301</v>
      </c>
    </row>
    <row r="954" spans="1:5" ht="15">
      <c r="A954" s="13">
        <v>70553</v>
      </c>
      <c r="B954" s="4">
        <f>56.6671 * CHOOSE(CONTROL!$C$9, $C$13, 100%, $E$13) + CHOOSE(CONTROL!$C$28, 0.0003, 0)</f>
        <v>56.667400000000001</v>
      </c>
      <c r="C954" s="4">
        <f>56.3038 * CHOOSE(CONTROL!$C$9, $C$13, 100%, $E$13) + CHOOSE(CONTROL!$C$28, 0.0003, 0)</f>
        <v>56.304100000000005</v>
      </c>
      <c r="D954" s="4">
        <f>86.2989 * CHOOSE(CONTROL!$C$9, $C$13, 100%, $E$13) + CHOOSE(CONTROL!$C$28, 0, 0)</f>
        <v>86.298900000000003</v>
      </c>
      <c r="E954" s="4">
        <f>405.021522698581 * CHOOSE(CONTROL!$C$9, $C$13, 100%, $E$13) + CHOOSE(CONTROL!$C$28, 0, 0)</f>
        <v>405.02152269858101</v>
      </c>
    </row>
    <row r="955" spans="1:5" ht="15">
      <c r="A955" s="13">
        <v>70584</v>
      </c>
      <c r="B955" s="4">
        <f>60.0714 * CHOOSE(CONTROL!$C$9, $C$13, 100%, $E$13) + CHOOSE(CONTROL!$C$28, 0.0003, 0)</f>
        <v>60.0717</v>
      </c>
      <c r="C955" s="4">
        <f>59.7081 * CHOOSE(CONTROL!$C$9, $C$13, 100%, $E$13) + CHOOSE(CONTROL!$C$28, 0.0003, 0)</f>
        <v>59.708400000000005</v>
      </c>
      <c r="D955" s="4">
        <f>90.8055 * CHOOSE(CONTROL!$C$9, $C$13, 100%, $E$13) + CHOOSE(CONTROL!$C$28, 0, 0)</f>
        <v>90.805499999999995</v>
      </c>
      <c r="E955" s="4">
        <f>429.690041367031 * CHOOSE(CONTROL!$C$9, $C$13, 100%, $E$13) + CHOOSE(CONTROL!$C$28, 0, 0)</f>
        <v>429.69004136703097</v>
      </c>
    </row>
    <row r="956" spans="1:5" ht="15">
      <c r="A956" s="13">
        <v>70614</v>
      </c>
      <c r="B956" s="4">
        <f>62.4902 * CHOOSE(CONTROL!$C$9, $C$13, 100%, $E$13) + CHOOSE(CONTROL!$C$28, 0.0003, 0)</f>
        <v>62.490500000000004</v>
      </c>
      <c r="C956" s="4">
        <f>62.1269 * CHOOSE(CONTROL!$C$9, $C$13, 100%, $E$13) + CHOOSE(CONTROL!$C$28, 0.0003, 0)</f>
        <v>62.127200000000002</v>
      </c>
      <c r="D956" s="4">
        <f>93.4015 * CHOOSE(CONTROL!$C$9, $C$13, 100%, $E$13) + CHOOSE(CONTROL!$C$28, 0, 0)</f>
        <v>93.401499999999999</v>
      </c>
      <c r="E956" s="4">
        <f>447.217352632201 * CHOOSE(CONTROL!$C$9, $C$13, 100%, $E$13) + CHOOSE(CONTROL!$C$28, 0, 0)</f>
        <v>447.21735263220103</v>
      </c>
    </row>
    <row r="957" spans="1:5" ht="15">
      <c r="A957" s="13">
        <v>70645</v>
      </c>
      <c r="B957" s="4">
        <f>63.968 * CHOOSE(CONTROL!$C$9, $C$13, 100%, $E$13) + CHOOSE(CONTROL!$C$28, 0.0136, 0)</f>
        <v>63.9816</v>
      </c>
      <c r="C957" s="4">
        <f>63.6047 * CHOOSE(CONTROL!$C$9, $C$13, 100%, $E$13) + CHOOSE(CONTROL!$C$28, 0.0136, 0)</f>
        <v>63.618299999999998</v>
      </c>
      <c r="D957" s="4">
        <f>92.3757 * CHOOSE(CONTROL!$C$9, $C$13, 100%, $E$13) + CHOOSE(CONTROL!$C$28, 0, 0)</f>
        <v>92.375699999999995</v>
      </c>
      <c r="E957" s="4">
        <f>457.926119744196 * CHOOSE(CONTROL!$C$9, $C$13, 100%, $E$13) + CHOOSE(CONTROL!$C$28, 0, 0)</f>
        <v>457.926119744196</v>
      </c>
    </row>
    <row r="958" spans="1:5" ht="15">
      <c r="A958" s="13">
        <v>70675</v>
      </c>
      <c r="B958" s="4">
        <f>64.168 * CHOOSE(CONTROL!$C$9, $C$13, 100%, $E$13) + CHOOSE(CONTROL!$C$28, 0.0136, 0)</f>
        <v>64.181600000000003</v>
      </c>
      <c r="C958" s="4">
        <f>63.8047 * CHOOSE(CONTROL!$C$9, $C$13, 100%, $E$13) + CHOOSE(CONTROL!$C$28, 0.0136, 0)</f>
        <v>63.818299999999994</v>
      </c>
      <c r="D958" s="4">
        <f>93.2111 * CHOOSE(CONTROL!$C$9, $C$13, 100%, $E$13) + CHOOSE(CONTROL!$C$28, 0, 0)</f>
        <v>93.211100000000002</v>
      </c>
      <c r="E958" s="4">
        <f>459.375060376746 * CHOOSE(CONTROL!$C$9, $C$13, 100%, $E$13) + CHOOSE(CONTROL!$C$28, 0, 0)</f>
        <v>459.37506037674598</v>
      </c>
    </row>
    <row r="959" spans="1:5" ht="15">
      <c r="A959" s="13">
        <v>70706</v>
      </c>
      <c r="B959" s="4">
        <f>64.1478 * CHOOSE(CONTROL!$C$9, $C$13, 100%, $E$13) + CHOOSE(CONTROL!$C$28, 0.0136, 0)</f>
        <v>64.1614</v>
      </c>
      <c r="C959" s="4">
        <f>63.7845 * CHOOSE(CONTROL!$C$9, $C$13, 100%, $E$13) + CHOOSE(CONTROL!$C$28, 0.0136, 0)</f>
        <v>63.798099999999998</v>
      </c>
      <c r="D959" s="4">
        <f>94.7186 * CHOOSE(CONTROL!$C$9, $C$13, 100%, $E$13) + CHOOSE(CONTROL!$C$28, 0, 0)</f>
        <v>94.718599999999995</v>
      </c>
      <c r="E959" s="4">
        <f>459.228948716321 * CHOOSE(CONTROL!$C$9, $C$13, 100%, $E$13) + CHOOSE(CONTROL!$C$28, 0, 0)</f>
        <v>459.22894871632099</v>
      </c>
    </row>
    <row r="960" spans="1:5" ht="15">
      <c r="A960" s="13">
        <v>70737</v>
      </c>
      <c r="B960" s="4">
        <f>65.6651 * CHOOSE(CONTROL!$C$9, $C$13, 100%, $E$13) + CHOOSE(CONTROL!$C$28, 0.0136, 0)</f>
        <v>65.678699999999992</v>
      </c>
      <c r="C960" s="4">
        <f>65.3018 * CHOOSE(CONTROL!$C$9, $C$13, 100%, $E$13) + CHOOSE(CONTROL!$C$28, 0.0136, 0)</f>
        <v>65.315399999999997</v>
      </c>
      <c r="D960" s="4">
        <f>93.7231 * CHOOSE(CONTROL!$C$9, $C$13, 100%, $E$13) + CHOOSE(CONTROL!$C$28, 0, 0)</f>
        <v>93.723100000000002</v>
      </c>
      <c r="E960" s="4">
        <f>470.223851163315 * CHOOSE(CONTROL!$C$9, $C$13, 100%, $E$13) + CHOOSE(CONTROL!$C$28, 0, 0)</f>
        <v>470.22385116331498</v>
      </c>
    </row>
    <row r="961" spans="1:5" ht="15">
      <c r="A961" s="13">
        <v>70767</v>
      </c>
      <c r="B961" s="4">
        <f>63.0791 * CHOOSE(CONTROL!$C$9, $C$13, 100%, $E$13) + CHOOSE(CONTROL!$C$28, 0.0136, 0)</f>
        <v>63.092699999999994</v>
      </c>
      <c r="C961" s="4">
        <f>62.7158 * CHOOSE(CONTROL!$C$9, $C$13, 100%, $E$13) + CHOOSE(CONTROL!$C$28, 0.0136, 0)</f>
        <v>62.729399999999998</v>
      </c>
      <c r="D961" s="4">
        <f>93.2527 * CHOOSE(CONTROL!$C$9, $C$13, 100%, $E$13) + CHOOSE(CONTROL!$C$28, 0, 0)</f>
        <v>93.252700000000004</v>
      </c>
      <c r="E961" s="4">
        <f>451.485030713787 * CHOOSE(CONTROL!$C$9, $C$13, 100%, $E$13) + CHOOSE(CONTROL!$C$28, 0, 0)</f>
        <v>451.48503071378701</v>
      </c>
    </row>
    <row r="962" spans="1:5" ht="15">
      <c r="A962" s="13">
        <v>70798</v>
      </c>
      <c r="B962" s="4">
        <f>61.009 * CHOOSE(CONTROL!$C$9, $C$13, 100%, $E$13) + CHOOSE(CONTROL!$C$28, 0.0003, 0)</f>
        <v>61.009300000000003</v>
      </c>
      <c r="C962" s="4">
        <f>60.6457 * CHOOSE(CONTROL!$C$9, $C$13, 100%, $E$13) + CHOOSE(CONTROL!$C$28, 0.0003, 0)</f>
        <v>60.646000000000001</v>
      </c>
      <c r="D962" s="4">
        <f>91.9933 * CHOOSE(CONTROL!$C$9, $C$13, 100%, $E$13) + CHOOSE(CONTROL!$C$28, 0, 0)</f>
        <v>91.993300000000005</v>
      </c>
      <c r="E962" s="4">
        <f>436.484233576802 * CHOOSE(CONTROL!$C$9, $C$13, 100%, $E$13) + CHOOSE(CONTROL!$C$28, 0, 0)</f>
        <v>436.48423357680201</v>
      </c>
    </row>
    <row r="963" spans="1:5" ht="15">
      <c r="A963" s="13">
        <v>70828</v>
      </c>
      <c r="B963" s="4">
        <f>59.6757 * CHOOSE(CONTROL!$C$9, $C$13, 100%, $E$13) + CHOOSE(CONTROL!$C$28, 0.0003, 0)</f>
        <v>59.676000000000002</v>
      </c>
      <c r="C963" s="4">
        <f>59.3124 * CHOOSE(CONTROL!$C$9, $C$13, 100%, $E$13) + CHOOSE(CONTROL!$C$28, 0.0003, 0)</f>
        <v>59.3127</v>
      </c>
      <c r="D963" s="4">
        <f>91.5603 * CHOOSE(CONTROL!$C$9, $C$13, 100%, $E$13) + CHOOSE(CONTROL!$C$28, 0, 0)</f>
        <v>91.560299999999998</v>
      </c>
      <c r="E963" s="4">
        <f>426.822600031187 * CHOOSE(CONTROL!$C$9, $C$13, 100%, $E$13) + CHOOSE(CONTROL!$C$28, 0, 0)</f>
        <v>426.82260003118699</v>
      </c>
    </row>
    <row r="964" spans="1:5" ht="15">
      <c r="A964" s="13">
        <v>70859</v>
      </c>
      <c r="B964" s="4">
        <f>58.7532 * CHOOSE(CONTROL!$C$9, $C$13, 100%, $E$13) + CHOOSE(CONTROL!$C$28, 0.0003, 0)</f>
        <v>58.753500000000003</v>
      </c>
      <c r="C964" s="4">
        <f>58.3899 * CHOOSE(CONTROL!$C$9, $C$13, 100%, $E$13) + CHOOSE(CONTROL!$C$28, 0.0003, 0)</f>
        <v>58.3902</v>
      </c>
      <c r="D964" s="4">
        <f>88.3727 * CHOOSE(CONTROL!$C$9, $C$13, 100%, $E$13) + CHOOSE(CONTROL!$C$28, 0, 0)</f>
        <v>88.372699999999995</v>
      </c>
      <c r="E964" s="4">
        <f>420.137991566736 * CHOOSE(CONTROL!$C$9, $C$13, 100%, $E$13) + CHOOSE(CONTROL!$C$28, 0, 0)</f>
        <v>420.13799156673599</v>
      </c>
    </row>
    <row r="965" spans="1:5" ht="15">
      <c r="A965" s="13">
        <v>70890</v>
      </c>
      <c r="B965" s="4">
        <f>56.2293 * CHOOSE(CONTROL!$C$9, $C$13, 100%, $E$13) + CHOOSE(CONTROL!$C$28, 0.0003, 0)</f>
        <v>56.229600000000005</v>
      </c>
      <c r="C965" s="4">
        <f>55.866 * CHOOSE(CONTROL!$C$9, $C$13, 100%, $E$13) + CHOOSE(CONTROL!$C$28, 0.0003, 0)</f>
        <v>55.866300000000003</v>
      </c>
      <c r="D965" s="4">
        <f>84.8612 * CHOOSE(CONTROL!$C$9, $C$13, 100%, $E$13) + CHOOSE(CONTROL!$C$28, 0, 0)</f>
        <v>84.861199999999997</v>
      </c>
      <c r="E965" s="4">
        <f>402.637537025014 * CHOOSE(CONTROL!$C$9, $C$13, 100%, $E$13) + CHOOSE(CONTROL!$C$28, 0, 0)</f>
        <v>402.63753702501401</v>
      </c>
    </row>
    <row r="966" spans="1:5" ht="15">
      <c r="A966" s="13">
        <v>70918</v>
      </c>
      <c r="B966" s="4">
        <f>57.546 * CHOOSE(CONTROL!$C$9, $C$13, 100%, $E$13) + CHOOSE(CONTROL!$C$28, 0.0003, 0)</f>
        <v>57.546300000000002</v>
      </c>
      <c r="C966" s="4">
        <f>57.1827 * CHOOSE(CONTROL!$C$9, $C$13, 100%, $E$13) + CHOOSE(CONTROL!$C$28, 0.0003, 0)</f>
        <v>57.183</v>
      </c>
      <c r="D966" s="4">
        <f>87.7909 * CHOOSE(CONTROL!$C$9, $C$13, 100%, $E$13) + CHOOSE(CONTROL!$C$28, 0, 0)</f>
        <v>87.790899999999993</v>
      </c>
      <c r="E966" s="4">
        <f>412.197738912059 * CHOOSE(CONTROL!$C$9, $C$13, 100%, $E$13) + CHOOSE(CONTROL!$C$28, 0, 0)</f>
        <v>412.19773891205898</v>
      </c>
    </row>
    <row r="967" spans="1:5" ht="15">
      <c r="A967" s="13">
        <v>70949</v>
      </c>
      <c r="B967" s="4">
        <f>61.0038 * CHOOSE(CONTROL!$C$9, $C$13, 100%, $E$13) + CHOOSE(CONTROL!$C$28, 0.0003, 0)</f>
        <v>61.004100000000001</v>
      </c>
      <c r="C967" s="4">
        <f>60.6406 * CHOOSE(CONTROL!$C$9, $C$13, 100%, $E$13) + CHOOSE(CONTROL!$C$28, 0.0003, 0)</f>
        <v>60.640900000000002</v>
      </c>
      <c r="D967" s="4">
        <f>92.3772 * CHOOSE(CONTROL!$C$9, $C$13, 100%, $E$13) + CHOOSE(CONTROL!$C$28, 0, 0)</f>
        <v>92.377200000000002</v>
      </c>
      <c r="E967" s="4">
        <f>437.303337127422 * CHOOSE(CONTROL!$C$9, $C$13, 100%, $E$13) + CHOOSE(CONTROL!$C$28, 0, 0)</f>
        <v>437.30333712742203</v>
      </c>
    </row>
    <row r="968" spans="1:5" ht="15">
      <c r="A968" s="13">
        <v>70979</v>
      </c>
      <c r="B968" s="4">
        <f>63.4607 * CHOOSE(CONTROL!$C$9, $C$13, 100%, $E$13) + CHOOSE(CONTROL!$C$28, 0.0003, 0)</f>
        <v>63.461000000000006</v>
      </c>
      <c r="C968" s="4">
        <f>63.0974 * CHOOSE(CONTROL!$C$9, $C$13, 100%, $E$13) + CHOOSE(CONTROL!$C$28, 0.0003, 0)</f>
        <v>63.097700000000003</v>
      </c>
      <c r="D968" s="4">
        <f>95.019 * CHOOSE(CONTROL!$C$9, $C$13, 100%, $E$13) + CHOOSE(CONTROL!$C$28, 0, 0)</f>
        <v>95.019000000000005</v>
      </c>
      <c r="E968" s="4">
        <f>455.141199235524 * CHOOSE(CONTROL!$C$9, $C$13, 100%, $E$13) + CHOOSE(CONTROL!$C$28, 0, 0)</f>
        <v>455.14119923552403</v>
      </c>
    </row>
    <row r="969" spans="1:5" ht="15">
      <c r="A969" s="13">
        <v>71010</v>
      </c>
      <c r="B969" s="4">
        <f>64.9617 * CHOOSE(CONTROL!$C$9, $C$13, 100%, $E$13) + CHOOSE(CONTROL!$C$28, 0.0136, 0)</f>
        <v>64.97529999999999</v>
      </c>
      <c r="C969" s="4">
        <f>64.5985 * CHOOSE(CONTROL!$C$9, $C$13, 100%, $E$13) + CHOOSE(CONTROL!$C$28, 0.0136, 0)</f>
        <v>64.612099999999998</v>
      </c>
      <c r="D969" s="4">
        <f>93.9751 * CHOOSE(CONTROL!$C$9, $C$13, 100%, $E$13) + CHOOSE(CONTROL!$C$28, 0, 0)</f>
        <v>93.975099999999998</v>
      </c>
      <c r="E969" s="4">
        <f>466.039705469686 * CHOOSE(CONTROL!$C$9, $C$13, 100%, $E$13) + CHOOSE(CONTROL!$C$28, 0, 0)</f>
        <v>466.039705469686</v>
      </c>
    </row>
    <row r="970" spans="1:5" ht="15">
      <c r="A970" s="13">
        <v>71040</v>
      </c>
      <c r="B970" s="4">
        <f>65.1648 * CHOOSE(CONTROL!$C$9, $C$13, 100%, $E$13) + CHOOSE(CONTROL!$C$28, 0.0136, 0)</f>
        <v>65.178399999999996</v>
      </c>
      <c r="C970" s="4">
        <f>64.8016 * CHOOSE(CONTROL!$C$9, $C$13, 100%, $E$13) + CHOOSE(CONTROL!$C$28, 0.0136, 0)</f>
        <v>64.81519999999999</v>
      </c>
      <c r="D970" s="4">
        <f>94.8253 * CHOOSE(CONTROL!$C$9, $C$13, 100%, $E$13) + CHOOSE(CONTROL!$C$28, 0, 0)</f>
        <v>94.825299999999999</v>
      </c>
      <c r="E970" s="4">
        <f>467.514318592898 * CHOOSE(CONTROL!$C$9, $C$13, 100%, $E$13) + CHOOSE(CONTROL!$C$28, 0, 0)</f>
        <v>467.51431859289801</v>
      </c>
    </row>
    <row r="971" spans="1:5" ht="15">
      <c r="A971" s="13">
        <v>71071</v>
      </c>
      <c r="B971" s="4">
        <f>65.1444 * CHOOSE(CONTROL!$C$9, $C$13, 100%, $E$13) + CHOOSE(CONTROL!$C$28, 0.0136, 0)</f>
        <v>65.158000000000001</v>
      </c>
      <c r="C971" s="4">
        <f>64.7811 * CHOOSE(CONTROL!$C$9, $C$13, 100%, $E$13) + CHOOSE(CONTROL!$C$28, 0.0136, 0)</f>
        <v>64.794699999999992</v>
      </c>
      <c r="D971" s="4">
        <f>96.3594 * CHOOSE(CONTROL!$C$9, $C$13, 100%, $E$13) + CHOOSE(CONTROL!$C$28, 0, 0)</f>
        <v>96.359399999999994</v>
      </c>
      <c r="E971" s="4">
        <f>467.365618109885 * CHOOSE(CONTROL!$C$9, $C$13, 100%, $E$13) + CHOOSE(CONTROL!$C$28, 0, 0)</f>
        <v>467.36561810988502</v>
      </c>
    </row>
    <row r="972" spans="1:5" ht="15">
      <c r="A972" s="13">
        <v>71102</v>
      </c>
      <c r="B972" s="4">
        <f>66.6855 * CHOOSE(CONTROL!$C$9, $C$13, 100%, $E$13) + CHOOSE(CONTROL!$C$28, 0.0136, 0)</f>
        <v>66.699100000000001</v>
      </c>
      <c r="C972" s="4">
        <f>66.3222 * CHOOSE(CONTROL!$C$9, $C$13, 100%, $E$13) + CHOOSE(CONTROL!$C$28, 0.0136, 0)</f>
        <v>66.335799999999992</v>
      </c>
      <c r="D972" s="4">
        <f>95.3463 * CHOOSE(CONTROL!$C$9, $C$13, 100%, $E$13) + CHOOSE(CONTROL!$C$28, 0, 0)</f>
        <v>95.346299999999999</v>
      </c>
      <c r="E972" s="4">
        <f>478.555329456614 * CHOOSE(CONTROL!$C$9, $C$13, 100%, $E$13) + CHOOSE(CONTROL!$C$28, 0, 0)</f>
        <v>478.555329456614</v>
      </c>
    </row>
    <row r="973" spans="1:5" ht="15">
      <c r="A973" s="13">
        <v>71132</v>
      </c>
      <c r="B973" s="4">
        <f>64.0589 * CHOOSE(CONTROL!$C$9, $C$13, 100%, $E$13) + CHOOSE(CONTROL!$C$28, 0.0136, 0)</f>
        <v>64.072499999999991</v>
      </c>
      <c r="C973" s="4">
        <f>63.6956 * CHOOSE(CONTROL!$C$9, $C$13, 100%, $E$13) + CHOOSE(CONTROL!$C$28, 0.0136, 0)</f>
        <v>63.709199999999996</v>
      </c>
      <c r="D973" s="4">
        <f>94.8676 * CHOOSE(CONTROL!$C$9, $C$13, 100%, $E$13) + CHOOSE(CONTROL!$C$28, 0, 0)</f>
        <v>94.867599999999996</v>
      </c>
      <c r="E973" s="4">
        <f>459.484492510196 * CHOOSE(CONTROL!$C$9, $C$13, 100%, $E$13) + CHOOSE(CONTROL!$C$28, 0, 0)</f>
        <v>459.48449251019599</v>
      </c>
    </row>
    <row r="974" spans="1:5" ht="15">
      <c r="A974" s="13">
        <v>71163</v>
      </c>
      <c r="B974" s="4">
        <f>61.9562 * CHOOSE(CONTROL!$C$9, $C$13, 100%, $E$13) + CHOOSE(CONTROL!$C$28, 0.0003, 0)</f>
        <v>61.956500000000005</v>
      </c>
      <c r="C974" s="4">
        <f>61.5929 * CHOOSE(CONTROL!$C$9, $C$13, 100%, $E$13) + CHOOSE(CONTROL!$C$28, 0.0003, 0)</f>
        <v>61.593200000000003</v>
      </c>
      <c r="D974" s="4">
        <f>93.586 * CHOOSE(CONTROL!$C$9, $C$13, 100%, $E$13) + CHOOSE(CONTROL!$C$28, 0, 0)</f>
        <v>93.585999999999999</v>
      </c>
      <c r="E974" s="4">
        <f>444.217909587527 * CHOOSE(CONTROL!$C$9, $C$13, 100%, $E$13) + CHOOSE(CONTROL!$C$28, 0, 0)</f>
        <v>444.217909587527</v>
      </c>
    </row>
    <row r="975" spans="1:5" ht="15">
      <c r="A975" s="13">
        <v>71193</v>
      </c>
      <c r="B975" s="4">
        <f>60.6019 * CHOOSE(CONTROL!$C$9, $C$13, 100%, $E$13) + CHOOSE(CONTROL!$C$28, 0.0003, 0)</f>
        <v>60.602200000000003</v>
      </c>
      <c r="C975" s="4">
        <f>60.2386 * CHOOSE(CONTROL!$C$9, $C$13, 100%, $E$13) + CHOOSE(CONTROL!$C$28, 0.0003, 0)</f>
        <v>60.238900000000001</v>
      </c>
      <c r="D975" s="4">
        <f>93.1453 * CHOOSE(CONTROL!$C$9, $C$13, 100%, $E$13) + CHOOSE(CONTROL!$C$28, 0, 0)</f>
        <v>93.145300000000006</v>
      </c>
      <c r="E975" s="4">
        <f>434.385090148292 * CHOOSE(CONTROL!$C$9, $C$13, 100%, $E$13) + CHOOSE(CONTROL!$C$28, 0, 0)</f>
        <v>434.38509014829202</v>
      </c>
    </row>
    <row r="976" spans="1:5" ht="15">
      <c r="A976" s="13">
        <v>71224</v>
      </c>
      <c r="B976" s="4">
        <f>59.6649 * CHOOSE(CONTROL!$C$9, $C$13, 100%, $E$13) + CHOOSE(CONTROL!$C$28, 0.0003, 0)</f>
        <v>59.665200000000006</v>
      </c>
      <c r="C976" s="4">
        <f>59.3016 * CHOOSE(CONTROL!$C$9, $C$13, 100%, $E$13) + CHOOSE(CONTROL!$C$28, 0.0003, 0)</f>
        <v>59.301900000000003</v>
      </c>
      <c r="D976" s="4">
        <f>89.9013 * CHOOSE(CONTROL!$C$9, $C$13, 100%, $E$13) + CHOOSE(CONTROL!$C$28, 0, 0)</f>
        <v>89.901300000000006</v>
      </c>
      <c r="E976" s="4">
        <f>427.582043050446 * CHOOSE(CONTROL!$C$9, $C$13, 100%, $E$13) + CHOOSE(CONTROL!$C$28, 0, 0)</f>
        <v>427.58204305044598</v>
      </c>
    </row>
    <row r="977" spans="1:5" ht="15">
      <c r="A977" s="13">
        <v>71255</v>
      </c>
      <c r="B977" s="4">
        <f>57.1013 * CHOOSE(CONTROL!$C$9, $C$13, 100%, $E$13) + CHOOSE(CONTROL!$C$28, 0.0003, 0)</f>
        <v>57.101600000000005</v>
      </c>
      <c r="C977" s="4">
        <f>56.738 * CHOOSE(CONTROL!$C$9, $C$13, 100%, $E$13) + CHOOSE(CONTROL!$C$28, 0.0003, 0)</f>
        <v>56.738300000000002</v>
      </c>
      <c r="D977" s="4">
        <f>86.3278 * CHOOSE(CONTROL!$C$9, $C$13, 100%, $E$13) + CHOOSE(CONTROL!$C$28, 0, 0)</f>
        <v>86.327799999999996</v>
      </c>
      <c r="E977" s="4">
        <f>409.771513516194 * CHOOSE(CONTROL!$C$9, $C$13, 100%, $E$13) + CHOOSE(CONTROL!$C$28, 0, 0)</f>
        <v>409.77151351619398</v>
      </c>
    </row>
    <row r="978" spans="1:5" ht="15">
      <c r="A978" s="13">
        <v>71283</v>
      </c>
      <c r="B978" s="4">
        <f>58.4388 * CHOOSE(CONTROL!$C$9, $C$13, 100%, $E$13) + CHOOSE(CONTROL!$C$28, 0.0003, 0)</f>
        <v>58.439100000000003</v>
      </c>
      <c r="C978" s="4">
        <f>58.0755 * CHOOSE(CONTROL!$C$9, $C$13, 100%, $E$13) + CHOOSE(CONTROL!$C$28, 0.0003, 0)</f>
        <v>58.075800000000001</v>
      </c>
      <c r="D978" s="4">
        <f>89.3093 * CHOOSE(CONTROL!$C$9, $C$13, 100%, $E$13) + CHOOSE(CONTROL!$C$28, 0, 0)</f>
        <v>89.309299999999993</v>
      </c>
      <c r="E978" s="4">
        <f>419.501104119495 * CHOOSE(CONTROL!$C$9, $C$13, 100%, $E$13) + CHOOSE(CONTROL!$C$28, 0, 0)</f>
        <v>419.50110411949498</v>
      </c>
    </row>
    <row r="979" spans="1:5" ht="15">
      <c r="A979" s="13">
        <v>71314</v>
      </c>
      <c r="B979" s="4">
        <f>61.951 * CHOOSE(CONTROL!$C$9, $C$13, 100%, $E$13) + CHOOSE(CONTROL!$C$28, 0.0003, 0)</f>
        <v>61.951300000000003</v>
      </c>
      <c r="C979" s="4">
        <f>61.5877 * CHOOSE(CONTROL!$C$9, $C$13, 100%, $E$13) + CHOOSE(CONTROL!$C$28, 0.0003, 0)</f>
        <v>61.588000000000001</v>
      </c>
      <c r="D979" s="4">
        <f>93.9766 * CHOOSE(CONTROL!$C$9, $C$13, 100%, $E$13) + CHOOSE(CONTROL!$C$28, 0, 0)</f>
        <v>93.976600000000005</v>
      </c>
      <c r="E979" s="4">
        <f>445.051526105609 * CHOOSE(CONTROL!$C$9, $C$13, 100%, $E$13) + CHOOSE(CONTROL!$C$28, 0, 0)</f>
        <v>445.05152610560901</v>
      </c>
    </row>
    <row r="980" spans="1:5" ht="15">
      <c r="A980" s="13">
        <v>71344</v>
      </c>
      <c r="B980" s="4">
        <f>64.4464 * CHOOSE(CONTROL!$C$9, $C$13, 100%, $E$13) + CHOOSE(CONTROL!$C$28, 0.0003, 0)</f>
        <v>64.446699999999993</v>
      </c>
      <c r="C980" s="4">
        <f>64.0831 * CHOOSE(CONTROL!$C$9, $C$13, 100%, $E$13) + CHOOSE(CONTROL!$C$28, 0.0003, 0)</f>
        <v>64.083399999999997</v>
      </c>
      <c r="D980" s="4">
        <f>96.6651 * CHOOSE(CONTROL!$C$9, $C$13, 100%, $E$13) + CHOOSE(CONTROL!$C$28, 0, 0)</f>
        <v>96.665099999999995</v>
      </c>
      <c r="E980" s="4">
        <f>463.205441430886 * CHOOSE(CONTROL!$C$9, $C$13, 100%, $E$13) + CHOOSE(CONTROL!$C$28, 0, 0)</f>
        <v>463.20544143088603</v>
      </c>
    </row>
    <row r="981" spans="1:5" ht="15">
      <c r="A981" s="13">
        <v>71375</v>
      </c>
      <c r="B981" s="4">
        <f>65.9711 * CHOOSE(CONTROL!$C$9, $C$13, 100%, $E$13) + CHOOSE(CONTROL!$C$28, 0.0136, 0)</f>
        <v>65.984700000000004</v>
      </c>
      <c r="C981" s="4">
        <f>65.6078 * CHOOSE(CONTROL!$C$9, $C$13, 100%, $E$13) + CHOOSE(CONTROL!$C$28, 0.0136, 0)</f>
        <v>65.621399999999994</v>
      </c>
      <c r="D981" s="4">
        <f>95.6028 * CHOOSE(CONTROL!$C$9, $C$13, 100%, $E$13) + CHOOSE(CONTROL!$C$28, 0, 0)</f>
        <v>95.602800000000002</v>
      </c>
      <c r="E981" s="4">
        <f>474.297048606003 * CHOOSE(CONTROL!$C$9, $C$13, 100%, $E$13) + CHOOSE(CONTROL!$C$28, 0, 0)</f>
        <v>474.29704860600299</v>
      </c>
    </row>
    <row r="982" spans="1:5" ht="15">
      <c r="A982" s="13">
        <v>71405</v>
      </c>
      <c r="B982" s="4">
        <f>66.1774 * CHOOSE(CONTROL!$C$9, $C$13, 100%, $E$13) + CHOOSE(CONTROL!$C$28, 0.0136, 0)</f>
        <v>66.191000000000003</v>
      </c>
      <c r="C982" s="4">
        <f>65.8141 * CHOOSE(CONTROL!$C$9, $C$13, 100%, $E$13) + CHOOSE(CONTROL!$C$28, 0.0136, 0)</f>
        <v>65.827699999999993</v>
      </c>
      <c r="D982" s="4">
        <f>96.468 * CHOOSE(CONTROL!$C$9, $C$13, 100%, $E$13) + CHOOSE(CONTROL!$C$28, 0, 0)</f>
        <v>96.468000000000004</v>
      </c>
      <c r="E982" s="4">
        <f>475.797789087912 * CHOOSE(CONTROL!$C$9, $C$13, 100%, $E$13) + CHOOSE(CONTROL!$C$28, 0, 0)</f>
        <v>475.79778908791201</v>
      </c>
    </row>
    <row r="983" spans="1:5" ht="15">
      <c r="A983" s="13">
        <v>71436</v>
      </c>
      <c r="B983" s="4">
        <f>66.1566 * CHOOSE(CONTROL!$C$9, $C$13, 100%, $E$13) + CHOOSE(CONTROL!$C$28, 0.0136, 0)</f>
        <v>66.170199999999994</v>
      </c>
      <c r="C983" s="4">
        <f>65.7933 * CHOOSE(CONTROL!$C$9, $C$13, 100%, $E$13) + CHOOSE(CONTROL!$C$28, 0.0136, 0)</f>
        <v>65.806899999999999</v>
      </c>
      <c r="D983" s="4">
        <f>98.0292 * CHOOSE(CONTROL!$C$9, $C$13, 100%, $E$13) + CHOOSE(CONTROL!$C$28, 0, 0)</f>
        <v>98.029200000000003</v>
      </c>
      <c r="E983" s="4">
        <f>475.646453913266 * CHOOSE(CONTROL!$C$9, $C$13, 100%, $E$13) + CHOOSE(CONTROL!$C$28, 0, 0)</f>
        <v>475.64645391326599</v>
      </c>
    </row>
    <row r="984" spans="1:5" ht="15">
      <c r="A984" s="13">
        <v>71467</v>
      </c>
      <c r="B984" s="4">
        <f>67.722 * CHOOSE(CONTROL!$C$9, $C$13, 100%, $E$13) + CHOOSE(CONTROL!$C$28, 0.0136, 0)</f>
        <v>67.735599999999991</v>
      </c>
      <c r="C984" s="4">
        <f>67.3587 * CHOOSE(CONTROL!$C$9, $C$13, 100%, $E$13) + CHOOSE(CONTROL!$C$28, 0.0136, 0)</f>
        <v>67.372299999999996</v>
      </c>
      <c r="D984" s="4">
        <f>96.9982 * CHOOSE(CONTROL!$C$9, $C$13, 100%, $E$13) + CHOOSE(CONTROL!$C$28, 0, 0)</f>
        <v>96.998199999999997</v>
      </c>
      <c r="E984" s="4">
        <f>487.034425805398 * CHOOSE(CONTROL!$C$9, $C$13, 100%, $E$13) + CHOOSE(CONTROL!$C$28, 0, 0)</f>
        <v>487.03442580539797</v>
      </c>
    </row>
    <row r="985" spans="1:5" ht="15">
      <c r="A985" s="13">
        <v>71497</v>
      </c>
      <c r="B985" s="4">
        <f>65.054 * CHOOSE(CONTROL!$C$9, $C$13, 100%, $E$13) + CHOOSE(CONTROL!$C$28, 0.0136, 0)</f>
        <v>65.067599999999999</v>
      </c>
      <c r="C985" s="4">
        <f>64.6908 * CHOOSE(CONTROL!$C$9, $C$13, 100%, $E$13) + CHOOSE(CONTROL!$C$28, 0.0136, 0)</f>
        <v>64.704399999999993</v>
      </c>
      <c r="D985" s="4">
        <f>96.511 * CHOOSE(CONTROL!$C$9, $C$13, 100%, $E$13) + CHOOSE(CONTROL!$C$28, 0, 0)</f>
        <v>96.510999999999996</v>
      </c>
      <c r="E985" s="4">
        <f>467.625689657013 * CHOOSE(CONTROL!$C$9, $C$13, 100%, $E$13) + CHOOSE(CONTROL!$C$28, 0, 0)</f>
        <v>467.62568965701303</v>
      </c>
    </row>
    <row r="986" spans="1:5" ht="15">
      <c r="A986" s="13">
        <v>71528</v>
      </c>
      <c r="B986" s="4">
        <f>62.9183 * CHOOSE(CONTROL!$C$9, $C$13, 100%, $E$13) + CHOOSE(CONTROL!$C$28, 0.0003, 0)</f>
        <v>62.918600000000005</v>
      </c>
      <c r="C986" s="4">
        <f>62.555 * CHOOSE(CONTROL!$C$9, $C$13, 100%, $E$13) + CHOOSE(CONTROL!$C$28, 0.0003, 0)</f>
        <v>62.555300000000003</v>
      </c>
      <c r="D986" s="4">
        <f>95.2067 * CHOOSE(CONTROL!$C$9, $C$13, 100%, $E$13) + CHOOSE(CONTROL!$C$28, 0, 0)</f>
        <v>95.206699999999998</v>
      </c>
      <c r="E986" s="4">
        <f>452.088611726661 * CHOOSE(CONTROL!$C$9, $C$13, 100%, $E$13) + CHOOSE(CONTROL!$C$28, 0, 0)</f>
        <v>452.08861172666099</v>
      </c>
    </row>
    <row r="987" spans="1:5" ht="15">
      <c r="A987" s="13">
        <v>71558</v>
      </c>
      <c r="B987" s="4">
        <f>61.5427 * CHOOSE(CONTROL!$C$9, $C$13, 100%, $E$13) + CHOOSE(CONTROL!$C$28, 0.0003, 0)</f>
        <v>61.543000000000006</v>
      </c>
      <c r="C987" s="4">
        <f>61.1794 * CHOOSE(CONTROL!$C$9, $C$13, 100%, $E$13) + CHOOSE(CONTROL!$C$28, 0.0003, 0)</f>
        <v>61.179700000000004</v>
      </c>
      <c r="D987" s="4">
        <f>94.7583 * CHOOSE(CONTROL!$C$9, $C$13, 100%, $E$13) + CHOOSE(CONTROL!$C$28, 0, 0)</f>
        <v>94.758300000000006</v>
      </c>
      <c r="E987" s="4">
        <f>442.081573303175 * CHOOSE(CONTROL!$C$9, $C$13, 100%, $E$13) + CHOOSE(CONTROL!$C$28, 0, 0)</f>
        <v>442.08157330317499</v>
      </c>
    </row>
    <row r="988" spans="1:5" ht="15">
      <c r="A988" s="13">
        <v>71589</v>
      </c>
      <c r="B988" s="4">
        <f>60.591 * CHOOSE(CONTROL!$C$9, $C$13, 100%, $E$13) + CHOOSE(CONTROL!$C$28, 0.0003, 0)</f>
        <v>60.591300000000004</v>
      </c>
      <c r="C988" s="4">
        <f>60.2277 * CHOOSE(CONTROL!$C$9, $C$13, 100%, $E$13) + CHOOSE(CONTROL!$C$28, 0.0003, 0)</f>
        <v>60.228000000000002</v>
      </c>
      <c r="D988" s="4">
        <f>91.457 * CHOOSE(CONTROL!$C$9, $C$13, 100%, $E$13) + CHOOSE(CONTROL!$C$28, 0, 0)</f>
        <v>91.456999999999994</v>
      </c>
      <c r="E988" s="4">
        <f>435.157989063108 * CHOOSE(CONTROL!$C$9, $C$13, 100%, $E$13) + CHOOSE(CONTROL!$C$28, 0, 0)</f>
        <v>435.157989063108</v>
      </c>
    </row>
    <row r="989" spans="1:5" ht="15">
      <c r="A989" s="13">
        <v>71620</v>
      </c>
      <c r="B989" s="4">
        <f>57.9871 * CHOOSE(CONTROL!$C$9, $C$13, 100%, $E$13) + CHOOSE(CONTROL!$C$28, 0.0003, 0)</f>
        <v>57.987400000000001</v>
      </c>
      <c r="C989" s="4">
        <f>57.6238 * CHOOSE(CONTROL!$C$9, $C$13, 100%, $E$13) + CHOOSE(CONTROL!$C$28, 0.0003, 0)</f>
        <v>57.624100000000006</v>
      </c>
      <c r="D989" s="4">
        <f>87.8204 * CHOOSE(CONTROL!$C$9, $C$13, 100%, $E$13) + CHOOSE(CONTROL!$C$28, 0, 0)</f>
        <v>87.820400000000006</v>
      </c>
      <c r="E989" s="4">
        <f>417.031890593253 * CHOOSE(CONTROL!$C$9, $C$13, 100%, $E$13) + CHOOSE(CONTROL!$C$28, 0, 0)</f>
        <v>417.03189059325302</v>
      </c>
    </row>
    <row r="990" spans="1:5" ht="15">
      <c r="A990" s="13">
        <v>71649</v>
      </c>
      <c r="B990" s="4">
        <f>59.3455 * CHOOSE(CONTROL!$C$9, $C$13, 100%, $E$13) + CHOOSE(CONTROL!$C$28, 0.0003, 0)</f>
        <v>59.345800000000004</v>
      </c>
      <c r="C990" s="4">
        <f>58.9823 * CHOOSE(CONTROL!$C$9, $C$13, 100%, $E$13) + CHOOSE(CONTROL!$C$28, 0.0003, 0)</f>
        <v>58.982600000000005</v>
      </c>
      <c r="D990" s="4">
        <f>90.8546 * CHOOSE(CONTROL!$C$9, $C$13, 100%, $E$13) + CHOOSE(CONTROL!$C$28, 0, 0)</f>
        <v>90.854600000000005</v>
      </c>
      <c r="E990" s="4">
        <f>426.933871160851 * CHOOSE(CONTROL!$C$9, $C$13, 100%, $E$13) + CHOOSE(CONTROL!$C$28, 0, 0)</f>
        <v>426.93387116085103</v>
      </c>
    </row>
    <row r="991" spans="1:5" ht="15">
      <c r="A991" s="13">
        <v>71680</v>
      </c>
      <c r="B991" s="4">
        <f>62.913 * CHOOSE(CONTROL!$C$9, $C$13, 100%, $E$13) + CHOOSE(CONTROL!$C$28, 0.0003, 0)</f>
        <v>62.9133</v>
      </c>
      <c r="C991" s="4">
        <f>62.5497 * CHOOSE(CONTROL!$C$9, $C$13, 100%, $E$13) + CHOOSE(CONTROL!$C$28, 0.0003, 0)</f>
        <v>62.550000000000004</v>
      </c>
      <c r="D991" s="4">
        <f>95.6043 * CHOOSE(CONTROL!$C$9, $C$13, 100%, $E$13) + CHOOSE(CONTROL!$C$28, 0, 0)</f>
        <v>95.604299999999995</v>
      </c>
      <c r="E991" s="4">
        <f>452.936998354571 * CHOOSE(CONTROL!$C$9, $C$13, 100%, $E$13) + CHOOSE(CONTROL!$C$28, 0, 0)</f>
        <v>452.93699835457102</v>
      </c>
    </row>
    <row r="992" spans="1:5" ht="15">
      <c r="A992" s="13">
        <v>71710</v>
      </c>
      <c r="B992" s="4">
        <f>65.4477 * CHOOSE(CONTROL!$C$9, $C$13, 100%, $E$13) + CHOOSE(CONTROL!$C$28, 0.0003, 0)</f>
        <v>65.447999999999993</v>
      </c>
      <c r="C992" s="4">
        <f>65.0844 * CHOOSE(CONTROL!$C$9, $C$13, 100%, $E$13) + CHOOSE(CONTROL!$C$28, 0.0003, 0)</f>
        <v>65.084699999999998</v>
      </c>
      <c r="D992" s="4">
        <f>98.3403 * CHOOSE(CONTROL!$C$9, $C$13, 100%, $E$13) + CHOOSE(CONTROL!$C$28, 0, 0)</f>
        <v>98.340299999999999</v>
      </c>
      <c r="E992" s="4">
        <f>471.412566762942 * CHOOSE(CONTROL!$C$9, $C$13, 100%, $E$13) + CHOOSE(CONTROL!$C$28, 0, 0)</f>
        <v>471.41256676294199</v>
      </c>
    </row>
    <row r="993" spans="1:5" ht="15">
      <c r="A993" s="13">
        <v>71741</v>
      </c>
      <c r="B993" s="4">
        <f>66.9963 * CHOOSE(CONTROL!$C$9, $C$13, 100%, $E$13) + CHOOSE(CONTROL!$C$28, 0.0136, 0)</f>
        <v>67.009900000000002</v>
      </c>
      <c r="C993" s="4">
        <f>66.633 * CHOOSE(CONTROL!$C$9, $C$13, 100%, $E$13) + CHOOSE(CONTROL!$C$28, 0.0136, 0)</f>
        <v>66.646599999999992</v>
      </c>
      <c r="D993" s="4">
        <f>97.2592 * CHOOSE(CONTROL!$C$9, $C$13, 100%, $E$13) + CHOOSE(CONTROL!$C$28, 0, 0)</f>
        <v>97.259200000000007</v>
      </c>
      <c r="E993" s="4">
        <f>482.700696262881 * CHOOSE(CONTROL!$C$9, $C$13, 100%, $E$13) + CHOOSE(CONTROL!$C$28, 0, 0)</f>
        <v>482.70069626288102</v>
      </c>
    </row>
    <row r="994" spans="1:5" ht="15">
      <c r="A994" s="13">
        <v>71771</v>
      </c>
      <c r="B994" s="4">
        <f>67.2059 * CHOOSE(CONTROL!$C$9, $C$13, 100%, $E$13) + CHOOSE(CONTROL!$C$28, 0.0136, 0)</f>
        <v>67.219499999999996</v>
      </c>
      <c r="C994" s="4">
        <f>66.8426 * CHOOSE(CONTROL!$C$9, $C$13, 100%, $E$13) + CHOOSE(CONTROL!$C$28, 0.0136, 0)</f>
        <v>66.856200000000001</v>
      </c>
      <c r="D994" s="4">
        <f>98.1397 * CHOOSE(CONTROL!$C$9, $C$13, 100%, $E$13) + CHOOSE(CONTROL!$C$28, 0, 0)</f>
        <v>98.139700000000005</v>
      </c>
      <c r="E994" s="4">
        <f>484.228027030922 * CHOOSE(CONTROL!$C$9, $C$13, 100%, $E$13) + CHOOSE(CONTROL!$C$28, 0, 0)</f>
        <v>484.22802703092202</v>
      </c>
    </row>
    <row r="995" spans="1:5" ht="15">
      <c r="A995" s="13">
        <v>71802</v>
      </c>
      <c r="B995" s="4">
        <f>67.1847 * CHOOSE(CONTROL!$C$9, $C$13, 100%, $E$13) + CHOOSE(CONTROL!$C$28, 0.0136, 0)</f>
        <v>67.198300000000003</v>
      </c>
      <c r="C995" s="4">
        <f>66.8214 * CHOOSE(CONTROL!$C$9, $C$13, 100%, $E$13) + CHOOSE(CONTROL!$C$28, 0.0136, 0)</f>
        <v>66.834999999999994</v>
      </c>
      <c r="D995" s="4">
        <f>99.7285 * CHOOSE(CONTROL!$C$9, $C$13, 100%, $E$13) + CHOOSE(CONTROL!$C$28, 0, 0)</f>
        <v>99.728499999999997</v>
      </c>
      <c r="E995" s="4">
        <f>484.074010482884 * CHOOSE(CONTROL!$C$9, $C$13, 100%, $E$13) + CHOOSE(CONTROL!$C$28, 0, 0)</f>
        <v>484.07401048288398</v>
      </c>
    </row>
    <row r="996" spans="1:5" ht="15">
      <c r="A996" s="13">
        <v>71833</v>
      </c>
      <c r="B996" s="4">
        <f>68.7748 * CHOOSE(CONTROL!$C$9, $C$13, 100%, $E$13) + CHOOSE(CONTROL!$C$28, 0.0136, 0)</f>
        <v>68.788399999999996</v>
      </c>
      <c r="C996" s="4">
        <f>68.4115 * CHOOSE(CONTROL!$C$9, $C$13, 100%, $E$13) + CHOOSE(CONTROL!$C$28, 0.0136, 0)</f>
        <v>68.4251</v>
      </c>
      <c r="D996" s="4">
        <f>98.6792 * CHOOSE(CONTROL!$C$9, $C$13, 100%, $E$13) + CHOOSE(CONTROL!$C$28, 0, 0)</f>
        <v>98.679199999999994</v>
      </c>
      <c r="E996" s="4">
        <f>495.663755722731 * CHOOSE(CONTROL!$C$9, $C$13, 100%, $E$13) + CHOOSE(CONTROL!$C$28, 0, 0)</f>
        <v>495.66375572273103</v>
      </c>
    </row>
    <row r="997" spans="1:5" ht="15">
      <c r="A997" s="13">
        <v>71863</v>
      </c>
      <c r="B997" s="4">
        <f>66.0648 * CHOOSE(CONTROL!$C$9, $C$13, 100%, $E$13) + CHOOSE(CONTROL!$C$28, 0.0136, 0)</f>
        <v>66.078400000000002</v>
      </c>
      <c r="C997" s="4">
        <f>65.7016 * CHOOSE(CONTROL!$C$9, $C$13, 100%, $E$13) + CHOOSE(CONTROL!$C$28, 0.0136, 0)</f>
        <v>65.715199999999996</v>
      </c>
      <c r="D997" s="4">
        <f>98.1835 * CHOOSE(CONTROL!$C$9, $C$13, 100%, $E$13) + CHOOSE(CONTROL!$C$28, 0, 0)</f>
        <v>98.183499999999995</v>
      </c>
      <c r="E997" s="4">
        <f>475.91113343688 * CHOOSE(CONTROL!$C$9, $C$13, 100%, $E$13) + CHOOSE(CONTROL!$C$28, 0, 0)</f>
        <v>475.91113343687999</v>
      </c>
    </row>
    <row r="998" spans="1:5" ht="15">
      <c r="A998" s="13">
        <v>71894</v>
      </c>
      <c r="B998" s="4">
        <f>63.8955 * CHOOSE(CONTROL!$C$9, $C$13, 100%, $E$13) + CHOOSE(CONTROL!$C$28, 0.0003, 0)</f>
        <v>63.895800000000001</v>
      </c>
      <c r="C998" s="4">
        <f>63.5322 * CHOOSE(CONTROL!$C$9, $C$13, 100%, $E$13) + CHOOSE(CONTROL!$C$28, 0.0003, 0)</f>
        <v>63.532500000000006</v>
      </c>
      <c r="D998" s="4">
        <f>96.8562 * CHOOSE(CONTROL!$C$9, $C$13, 100%, $E$13) + CHOOSE(CONTROL!$C$28, 0, 0)</f>
        <v>96.856200000000001</v>
      </c>
      <c r="E998" s="4">
        <f>460.09876783833 * CHOOSE(CONTROL!$C$9, $C$13, 100%, $E$13) + CHOOSE(CONTROL!$C$28, 0, 0)</f>
        <v>460.09876783832999</v>
      </c>
    </row>
    <row r="999" spans="1:5" ht="15">
      <c r="A999" s="13">
        <v>71924</v>
      </c>
      <c r="B999" s="4">
        <f>62.4983 * CHOOSE(CONTROL!$C$9, $C$13, 100%, $E$13) + CHOOSE(CONTROL!$C$28, 0.0003, 0)</f>
        <v>62.498600000000003</v>
      </c>
      <c r="C999" s="4">
        <f>62.135 * CHOOSE(CONTROL!$C$9, $C$13, 100%, $E$13) + CHOOSE(CONTROL!$C$28, 0.0003, 0)</f>
        <v>62.135300000000001</v>
      </c>
      <c r="D999" s="4">
        <f>96.3998 * CHOOSE(CONTROL!$C$9, $C$13, 100%, $E$13) + CHOOSE(CONTROL!$C$28, 0, 0)</f>
        <v>96.399799999999999</v>
      </c>
      <c r="E999" s="4">
        <f>449.914423599328 * CHOOSE(CONTROL!$C$9, $C$13, 100%, $E$13) + CHOOSE(CONTROL!$C$28, 0, 0)</f>
        <v>449.91442359932802</v>
      </c>
    </row>
    <row r="1000" spans="1:5" ht="15">
      <c r="A1000" s="13">
        <v>71955</v>
      </c>
      <c r="B1000" s="4">
        <f>61.5316 * CHOOSE(CONTROL!$C$9, $C$13, 100%, $E$13) + CHOOSE(CONTROL!$C$28, 0.0003, 0)</f>
        <v>61.5319</v>
      </c>
      <c r="C1000" s="4">
        <f>61.1683 * CHOOSE(CONTROL!$C$9, $C$13, 100%, $E$13) + CHOOSE(CONTROL!$C$28, 0.0003, 0)</f>
        <v>61.168600000000005</v>
      </c>
      <c r="D1000" s="4">
        <f>93.0402 * CHOOSE(CONTROL!$C$9, $C$13, 100%, $E$13) + CHOOSE(CONTROL!$C$28, 0, 0)</f>
        <v>93.040199999999999</v>
      </c>
      <c r="E1000" s="4">
        <f>442.868166526598 * CHOOSE(CONTROL!$C$9, $C$13, 100%, $E$13) + CHOOSE(CONTROL!$C$28, 0, 0)</f>
        <v>442.86816652659797</v>
      </c>
    </row>
    <row r="1001" spans="1:5" ht="15">
      <c r="A1001" s="13">
        <v>71986</v>
      </c>
      <c r="B1001" s="4">
        <f>58.8867 * CHOOSE(CONTROL!$C$9, $C$13, 100%, $E$13) + CHOOSE(CONTROL!$C$28, 0.0003, 0)</f>
        <v>58.887</v>
      </c>
      <c r="C1001" s="4">
        <f>58.5235 * CHOOSE(CONTROL!$C$9, $C$13, 100%, $E$13) + CHOOSE(CONTROL!$C$28, 0.0003, 0)</f>
        <v>58.523800000000001</v>
      </c>
      <c r="D1001" s="4">
        <f>89.3393 * CHOOSE(CONTROL!$C$9, $C$13, 100%, $E$13) + CHOOSE(CONTROL!$C$28, 0, 0)</f>
        <v>89.339299999999994</v>
      </c>
      <c r="E1001" s="4">
        <f>424.420907835775 * CHOOSE(CONTROL!$C$9, $C$13, 100%, $E$13) + CHOOSE(CONTROL!$C$28, 0, 0)</f>
        <v>424.42090783577498</v>
      </c>
    </row>
    <row r="1002" spans="1:5" ht="15">
      <c r="A1002" s="13">
        <v>72014</v>
      </c>
      <c r="B1002" s="4">
        <f>60.2666 * CHOOSE(CONTROL!$C$9, $C$13, 100%, $E$13) + CHOOSE(CONTROL!$C$28, 0.0003, 0)</f>
        <v>60.2669</v>
      </c>
      <c r="C1002" s="4">
        <f>59.9033 * CHOOSE(CONTROL!$C$9, $C$13, 100%, $E$13) + CHOOSE(CONTROL!$C$28, 0.0003, 0)</f>
        <v>59.903600000000004</v>
      </c>
      <c r="D1002" s="4">
        <f>92.4271 * CHOOSE(CONTROL!$C$9, $C$13, 100%, $E$13) + CHOOSE(CONTROL!$C$28, 0, 0)</f>
        <v>92.427099999999996</v>
      </c>
      <c r="E1002" s="4">
        <f>434.498332792159 * CHOOSE(CONTROL!$C$9, $C$13, 100%, $E$13) + CHOOSE(CONTROL!$C$28, 0, 0)</f>
        <v>434.49833279215898</v>
      </c>
    </row>
    <row r="1003" spans="1:5" ht="15">
      <c r="A1003" s="13">
        <v>72045</v>
      </c>
      <c r="B1003" s="4">
        <f>63.8901 * CHOOSE(CONTROL!$C$9, $C$13, 100%, $E$13) + CHOOSE(CONTROL!$C$28, 0.0003, 0)</f>
        <v>63.8904</v>
      </c>
      <c r="C1003" s="4">
        <f>63.5268 * CHOOSE(CONTROL!$C$9, $C$13, 100%, $E$13) + CHOOSE(CONTROL!$C$28, 0.0003, 0)</f>
        <v>63.527100000000004</v>
      </c>
      <c r="D1003" s="4">
        <f>97.2608 * CHOOSE(CONTROL!$C$9, $C$13, 100%, $E$13) + CHOOSE(CONTROL!$C$28, 0, 0)</f>
        <v>97.260800000000003</v>
      </c>
      <c r="E1003" s="4">
        <f>460.96218627451 * CHOOSE(CONTROL!$C$9, $C$13, 100%, $E$13) + CHOOSE(CONTROL!$C$28, 0, 0)</f>
        <v>460.96218627450997</v>
      </c>
    </row>
    <row r="1004" spans="1:5" ht="15">
      <c r="A1004" s="13">
        <v>72075</v>
      </c>
      <c r="B1004" s="4">
        <f>66.4647 * CHOOSE(CONTROL!$C$9, $C$13, 100%, $E$13) + CHOOSE(CONTROL!$C$28, 0.0003, 0)</f>
        <v>66.464999999999989</v>
      </c>
      <c r="C1004" s="4">
        <f>66.1014 * CHOOSE(CONTROL!$C$9, $C$13, 100%, $E$13) + CHOOSE(CONTROL!$C$28, 0.0003, 0)</f>
        <v>66.101699999999994</v>
      </c>
      <c r="D1004" s="4">
        <f>100.0451 * CHOOSE(CONTROL!$C$9, $C$13, 100%, $E$13) + CHOOSE(CONTROL!$C$28, 0, 0)</f>
        <v>100.04510000000001</v>
      </c>
      <c r="E1004" s="4">
        <f>479.765106850938 * CHOOSE(CONTROL!$C$9, $C$13, 100%, $E$13) + CHOOSE(CONTROL!$C$28, 0, 0)</f>
        <v>479.76510685093803</v>
      </c>
    </row>
    <row r="1005" spans="1:5" ht="15">
      <c r="A1005" s="13">
        <v>72106</v>
      </c>
      <c r="B1005" s="4">
        <f>68.0377 * CHOOSE(CONTROL!$C$9, $C$13, 100%, $E$13) + CHOOSE(CONTROL!$C$28, 0.0136, 0)</f>
        <v>68.051299999999998</v>
      </c>
      <c r="C1005" s="4">
        <f>67.6744 * CHOOSE(CONTROL!$C$9, $C$13, 100%, $E$13) + CHOOSE(CONTROL!$C$28, 0.0136, 0)</f>
        <v>67.688000000000002</v>
      </c>
      <c r="D1005" s="4">
        <f>98.9449 * CHOOSE(CONTROL!$C$9, $C$13, 100%, $E$13) + CHOOSE(CONTROL!$C$28, 0, 0)</f>
        <v>98.944900000000004</v>
      </c>
      <c r="E1005" s="4">
        <f>491.253240680024 * CHOOSE(CONTROL!$C$9, $C$13, 100%, $E$13) + CHOOSE(CONTROL!$C$28, 0, 0)</f>
        <v>491.25324068002402</v>
      </c>
    </row>
    <row r="1006" spans="1:5" ht="15">
      <c r="A1006" s="13">
        <v>72136</v>
      </c>
      <c r="B1006" s="4">
        <f>68.2505 * CHOOSE(CONTROL!$C$9, $C$13, 100%, $E$13) + CHOOSE(CONTROL!$C$28, 0.0136, 0)</f>
        <v>68.264099999999999</v>
      </c>
      <c r="C1006" s="4">
        <f>67.8872 * CHOOSE(CONTROL!$C$9, $C$13, 100%, $E$13) + CHOOSE(CONTROL!$C$28, 0.0136, 0)</f>
        <v>67.900800000000004</v>
      </c>
      <c r="D1006" s="4">
        <f>99.8409 * CHOOSE(CONTROL!$C$9, $C$13, 100%, $E$13) + CHOOSE(CONTROL!$C$28, 0, 0)</f>
        <v>99.840900000000005</v>
      </c>
      <c r="E1006" s="4">
        <f>492.807632863834 * CHOOSE(CONTROL!$C$9, $C$13, 100%, $E$13) + CHOOSE(CONTROL!$C$28, 0, 0)</f>
        <v>492.80763286383399</v>
      </c>
    </row>
    <row r="1007" spans="1:5" ht="15">
      <c r="A1007" s="13">
        <v>72167</v>
      </c>
      <c r="B1007" s="4">
        <f>68.229 * CHOOSE(CONTROL!$C$9, $C$13, 100%, $E$13) + CHOOSE(CONTROL!$C$28, 0.0136, 0)</f>
        <v>68.242599999999996</v>
      </c>
      <c r="C1007" s="4">
        <f>67.8658 * CHOOSE(CONTROL!$C$9, $C$13, 100%, $E$13) + CHOOSE(CONTROL!$C$28, 0.0136, 0)</f>
        <v>67.87939999999999</v>
      </c>
      <c r="D1007" s="4">
        <f>101.4578 * CHOOSE(CONTROL!$C$9, $C$13, 100%, $E$13) + CHOOSE(CONTROL!$C$28, 0, 0)</f>
        <v>101.45780000000001</v>
      </c>
      <c r="E1007" s="4">
        <f>492.650887433534 * CHOOSE(CONTROL!$C$9, $C$13, 100%, $E$13) + CHOOSE(CONTROL!$C$28, 0, 0)</f>
        <v>492.65088743353402</v>
      </c>
    </row>
    <row r="1008" spans="1:5" ht="15">
      <c r="A1008" s="13">
        <v>72198</v>
      </c>
      <c r="B1008" s="4">
        <f>69.8441 * CHOOSE(CONTROL!$C$9, $C$13, 100%, $E$13) + CHOOSE(CONTROL!$C$28, 0.0136, 0)</f>
        <v>69.857699999999994</v>
      </c>
      <c r="C1008" s="4">
        <f>69.4808 * CHOOSE(CONTROL!$C$9, $C$13, 100%, $E$13) + CHOOSE(CONTROL!$C$28, 0.0136, 0)</f>
        <v>69.494399999999999</v>
      </c>
      <c r="D1008" s="4">
        <f>100.39 * CHOOSE(CONTROL!$C$9, $C$13, 100%, $E$13) + CHOOSE(CONTROL!$C$28, 0, 0)</f>
        <v>100.39</v>
      </c>
      <c r="E1008" s="4">
        <f>504.445981063624 * CHOOSE(CONTROL!$C$9, $C$13, 100%, $E$13) + CHOOSE(CONTROL!$C$28, 0, 0)</f>
        <v>504.445981063624</v>
      </c>
    </row>
    <row r="1009" spans="1:5" ht="15">
      <c r="A1009" s="13">
        <v>72228</v>
      </c>
      <c r="B1009" s="4">
        <f>67.0915 * CHOOSE(CONTROL!$C$9, $C$13, 100%, $E$13) + CHOOSE(CONTROL!$C$28, 0.0136, 0)</f>
        <v>67.105099999999993</v>
      </c>
      <c r="C1009" s="4">
        <f>66.7283 * CHOOSE(CONTROL!$C$9, $C$13, 100%, $E$13) + CHOOSE(CONTROL!$C$28, 0.0136, 0)</f>
        <v>66.741900000000001</v>
      </c>
      <c r="D1009" s="4">
        <f>99.8855 * CHOOSE(CONTROL!$C$9, $C$13, 100%, $E$13) + CHOOSE(CONTROL!$C$28, 0, 0)</f>
        <v>99.885499999999993</v>
      </c>
      <c r="E1009" s="4">
        <f>484.343379627623 * CHOOSE(CONTROL!$C$9, $C$13, 100%, $E$13) + CHOOSE(CONTROL!$C$28, 0, 0)</f>
        <v>484.34337962762299</v>
      </c>
    </row>
    <row r="1010" spans="1:5" ht="15">
      <c r="A1010" s="13">
        <v>72259</v>
      </c>
      <c r="B1010" s="4">
        <f>64.8881 * CHOOSE(CONTROL!$C$9, $C$13, 100%, $E$13) + CHOOSE(CONTROL!$C$28, 0.0003, 0)</f>
        <v>64.88839999999999</v>
      </c>
      <c r="C1010" s="4">
        <f>64.5248 * CHOOSE(CONTROL!$C$9, $C$13, 100%, $E$13) + CHOOSE(CONTROL!$C$28, 0.0003, 0)</f>
        <v>64.525099999999995</v>
      </c>
      <c r="D1010" s="4">
        <f>98.5347 * CHOOSE(CONTROL!$C$9, $C$13, 100%, $E$13) + CHOOSE(CONTROL!$C$28, 0, 0)</f>
        <v>98.534700000000001</v>
      </c>
      <c r="E1010" s="4">
        <f>468.250848783469 * CHOOSE(CONTROL!$C$9, $C$13, 100%, $E$13) + CHOOSE(CONTROL!$C$28, 0, 0)</f>
        <v>468.250848783469</v>
      </c>
    </row>
    <row r="1011" spans="1:5" ht="15">
      <c r="A1011" s="13">
        <v>72289</v>
      </c>
      <c r="B1011" s="4">
        <f>63.4689 * CHOOSE(CONTROL!$C$9, $C$13, 100%, $E$13) + CHOOSE(CONTROL!$C$28, 0.0003, 0)</f>
        <v>63.469200000000001</v>
      </c>
      <c r="C1011" s="4">
        <f>63.1056 * CHOOSE(CONTROL!$C$9, $C$13, 100%, $E$13) + CHOOSE(CONTROL!$C$28, 0.0003, 0)</f>
        <v>63.105900000000005</v>
      </c>
      <c r="D1011" s="4">
        <f>98.0703 * CHOOSE(CONTROL!$C$9, $C$13, 100%, $E$13) + CHOOSE(CONTROL!$C$28, 0, 0)</f>
        <v>98.070300000000003</v>
      </c>
      <c r="E1011" s="4">
        <f>457.886057204868 * CHOOSE(CONTROL!$C$9, $C$13, 100%, $E$13) + CHOOSE(CONTROL!$C$28, 0, 0)</f>
        <v>457.886057204868</v>
      </c>
    </row>
    <row r="1012" spans="1:5" ht="15">
      <c r="A1012" s="13">
        <v>72320</v>
      </c>
      <c r="B1012" s="4">
        <f>62.487 * CHOOSE(CONTROL!$C$9, $C$13, 100%, $E$13) + CHOOSE(CONTROL!$C$28, 0.0003, 0)</f>
        <v>62.487300000000005</v>
      </c>
      <c r="C1012" s="4">
        <f>62.1237 * CHOOSE(CONTROL!$C$9, $C$13, 100%, $E$13) + CHOOSE(CONTROL!$C$28, 0.0003, 0)</f>
        <v>62.124000000000002</v>
      </c>
      <c r="D1012" s="4">
        <f>94.6513 * CHOOSE(CONTROL!$C$9, $C$13, 100%, $E$13) + CHOOSE(CONTROL!$C$28, 0, 0)</f>
        <v>94.651300000000006</v>
      </c>
      <c r="E1012" s="4">
        <f>450.714953768634 * CHOOSE(CONTROL!$C$9, $C$13, 100%, $E$13) + CHOOSE(CONTROL!$C$28, 0, 0)</f>
        <v>450.71495376863402</v>
      </c>
    </row>
    <row r="1013" spans="1:5" ht="15">
      <c r="A1013" s="13">
        <v>72351</v>
      </c>
      <c r="B1013" s="4">
        <f>59.8006 * CHOOSE(CONTROL!$C$9, $C$13, 100%, $E$13) + CHOOSE(CONTROL!$C$28, 0.0003, 0)</f>
        <v>59.800900000000006</v>
      </c>
      <c r="C1013" s="4">
        <f>59.4373 * CHOOSE(CONTROL!$C$9, $C$13, 100%, $E$13) + CHOOSE(CONTROL!$C$28, 0.0003, 0)</f>
        <v>59.437600000000003</v>
      </c>
      <c r="D1013" s="4">
        <f>90.8851 * CHOOSE(CONTROL!$C$9, $C$13, 100%, $E$13) + CHOOSE(CONTROL!$C$28, 0, 0)</f>
        <v>90.885099999999994</v>
      </c>
      <c r="E1013" s="4">
        <f>431.940844504466 * CHOOSE(CONTROL!$C$9, $C$13, 100%, $E$13) + CHOOSE(CONTROL!$C$28, 0, 0)</f>
        <v>431.94084450446599</v>
      </c>
    </row>
    <row r="1014" spans="1:5" ht="15">
      <c r="A1014" s="13">
        <v>72379</v>
      </c>
      <c r="B1014" s="4">
        <f>61.2021 * CHOOSE(CONTROL!$C$9, $C$13, 100%, $E$13) + CHOOSE(CONTROL!$C$28, 0.0003, 0)</f>
        <v>61.202400000000004</v>
      </c>
      <c r="C1014" s="4">
        <f>60.8388 * CHOOSE(CONTROL!$C$9, $C$13, 100%, $E$13) + CHOOSE(CONTROL!$C$28, 0.0003, 0)</f>
        <v>60.839100000000002</v>
      </c>
      <c r="D1014" s="4">
        <f>94.0274 * CHOOSE(CONTROL!$C$9, $C$13, 100%, $E$13) + CHOOSE(CONTROL!$C$28, 0, 0)</f>
        <v>94.0274</v>
      </c>
      <c r="E1014" s="4">
        <f>442.196822392754 * CHOOSE(CONTROL!$C$9, $C$13, 100%, $E$13) + CHOOSE(CONTROL!$C$28, 0, 0)</f>
        <v>442.19682239275397</v>
      </c>
    </row>
    <row r="1015" spans="1:5" ht="15">
      <c r="A1015" s="13">
        <v>72410</v>
      </c>
      <c r="B1015" s="4">
        <f>64.8826 * CHOOSE(CONTROL!$C$9, $C$13, 100%, $E$13) + CHOOSE(CONTROL!$C$28, 0.0003, 0)</f>
        <v>64.882899999999992</v>
      </c>
      <c r="C1015" s="4">
        <f>64.5193 * CHOOSE(CONTROL!$C$9, $C$13, 100%, $E$13) + CHOOSE(CONTROL!$C$28, 0.0003, 0)</f>
        <v>64.519599999999997</v>
      </c>
      <c r="D1015" s="4">
        <f>98.9465 * CHOOSE(CONTROL!$C$9, $C$13, 100%, $E$13) + CHOOSE(CONTROL!$C$28, 0, 0)</f>
        <v>98.9465</v>
      </c>
      <c r="E1015" s="4">
        <f>469.129565363164 * CHOOSE(CONTROL!$C$9, $C$13, 100%, $E$13) + CHOOSE(CONTROL!$C$28, 0, 0)</f>
        <v>469.12956536316398</v>
      </c>
    </row>
    <row r="1016" spans="1:5" ht="15">
      <c r="A1016" s="13">
        <v>72440</v>
      </c>
      <c r="B1016" s="4">
        <f>67.4977 * CHOOSE(CONTROL!$C$9, $C$13, 100%, $E$13) + CHOOSE(CONTROL!$C$28, 0.0003, 0)</f>
        <v>67.49799999999999</v>
      </c>
      <c r="C1016" s="4">
        <f>67.1344 * CHOOSE(CONTROL!$C$9, $C$13, 100%, $E$13) + CHOOSE(CONTROL!$C$28, 0.0003, 0)</f>
        <v>67.134699999999995</v>
      </c>
      <c r="D1016" s="4">
        <f>101.78 * CHOOSE(CONTROL!$C$9, $C$13, 100%, $E$13) + CHOOSE(CONTROL!$C$28, 0, 0)</f>
        <v>101.78</v>
      </c>
      <c r="E1016" s="4">
        <f>488.265638169632 * CHOOSE(CONTROL!$C$9, $C$13, 100%, $E$13) + CHOOSE(CONTROL!$C$28, 0, 0)</f>
        <v>488.26563816963198</v>
      </c>
    </row>
    <row r="1017" spans="1:5" ht="15">
      <c r="A1017" s="13">
        <v>72471</v>
      </c>
      <c r="B1017" s="4">
        <f>69.0954 * CHOOSE(CONTROL!$C$9, $C$13, 100%, $E$13) + CHOOSE(CONTROL!$C$28, 0.0136, 0)</f>
        <v>69.108999999999995</v>
      </c>
      <c r="C1017" s="4">
        <f>68.7321 * CHOOSE(CONTROL!$C$9, $C$13, 100%, $E$13) + CHOOSE(CONTROL!$C$28, 0.0136, 0)</f>
        <v>68.745699999999999</v>
      </c>
      <c r="D1017" s="4">
        <f>100.6604 * CHOOSE(CONTROL!$C$9, $C$13, 100%, $E$13) + CHOOSE(CONTROL!$C$28, 0, 0)</f>
        <v>100.6604</v>
      </c>
      <c r="E1017" s="4">
        <f>499.957320026728 * CHOOSE(CONTROL!$C$9, $C$13, 100%, $E$13) + CHOOSE(CONTROL!$C$28, 0, 0)</f>
        <v>499.95732002672798</v>
      </c>
    </row>
    <row r="1018" spans="1:5" ht="15">
      <c r="A1018" s="13">
        <v>72501</v>
      </c>
      <c r="B1018" s="4">
        <f>69.3116 * CHOOSE(CONTROL!$C$9, $C$13, 100%, $E$13) + CHOOSE(CONTROL!$C$28, 0.0136, 0)</f>
        <v>69.325199999999995</v>
      </c>
      <c r="C1018" s="4">
        <f>68.9483 * CHOOSE(CONTROL!$C$9, $C$13, 100%, $E$13) + CHOOSE(CONTROL!$C$28, 0.0136, 0)</f>
        <v>68.9619</v>
      </c>
      <c r="D1018" s="4">
        <f>101.5722 * CHOOSE(CONTROL!$C$9, $C$13, 100%, $E$13) + CHOOSE(CONTROL!$C$28, 0, 0)</f>
        <v>101.5722</v>
      </c>
      <c r="E1018" s="4">
        <f>501.539253103469 * CHOOSE(CONTROL!$C$9, $C$13, 100%, $E$13) + CHOOSE(CONTROL!$C$28, 0, 0)</f>
        <v>501.53925310346898</v>
      </c>
    </row>
    <row r="1019" spans="1:5" ht="15">
      <c r="A1019" s="13">
        <v>72532</v>
      </c>
      <c r="B1019" s="4">
        <f>69.2898 * CHOOSE(CONTROL!$C$9, $C$13, 100%, $E$13) + CHOOSE(CONTROL!$C$28, 0.0136, 0)</f>
        <v>69.303399999999996</v>
      </c>
      <c r="C1019" s="4">
        <f>68.9265 * CHOOSE(CONTROL!$C$9, $C$13, 100%, $E$13) + CHOOSE(CONTROL!$C$28, 0.0136, 0)</f>
        <v>68.940100000000001</v>
      </c>
      <c r="D1019" s="4">
        <f>103.2176 * CHOOSE(CONTROL!$C$9, $C$13, 100%, $E$13) + CHOOSE(CONTROL!$C$28, 0, 0)</f>
        <v>103.2176</v>
      </c>
      <c r="E1019" s="4">
        <f>501.379730440269 * CHOOSE(CONTROL!$C$9, $C$13, 100%, $E$13) + CHOOSE(CONTROL!$C$28, 0, 0)</f>
        <v>501.37973044026899</v>
      </c>
    </row>
    <row r="1020" spans="1:5" ht="15">
      <c r="A1020" s="13">
        <v>72563</v>
      </c>
      <c r="B1020" s="4">
        <f>70.9302 * CHOOSE(CONTROL!$C$9, $C$13, 100%, $E$13) + CHOOSE(CONTROL!$C$28, 0.0136, 0)</f>
        <v>70.943799999999996</v>
      </c>
      <c r="C1020" s="4">
        <f>70.5669 * CHOOSE(CONTROL!$C$9, $C$13, 100%, $E$13) + CHOOSE(CONTROL!$C$28, 0.0136, 0)</f>
        <v>70.580500000000001</v>
      </c>
      <c r="D1020" s="4">
        <f>102.131 * CHOOSE(CONTROL!$C$9, $C$13, 100%, $E$13) + CHOOSE(CONTROL!$C$28, 0, 0)</f>
        <v>102.131</v>
      </c>
      <c r="E1020" s="4">
        <f>513.383810846133 * CHOOSE(CONTROL!$C$9, $C$13, 100%, $E$13) + CHOOSE(CONTROL!$C$28, 0, 0)</f>
        <v>513.38381084613297</v>
      </c>
    </row>
    <row r="1021" spans="1:5" ht="15">
      <c r="A1021" s="13">
        <v>72593</v>
      </c>
      <c r="B1021" s="4">
        <f>68.1344 * CHOOSE(CONTROL!$C$9, $C$13, 100%, $E$13) + CHOOSE(CONTROL!$C$28, 0.0136, 0)</f>
        <v>68.147999999999996</v>
      </c>
      <c r="C1021" s="4">
        <f>67.7711 * CHOOSE(CONTROL!$C$9, $C$13, 100%, $E$13) + CHOOSE(CONTROL!$C$28, 0.0136, 0)</f>
        <v>67.784700000000001</v>
      </c>
      <c r="D1021" s="4">
        <f>101.6176 * CHOOSE(CONTROL!$C$9, $C$13, 100%, $E$13) + CHOOSE(CONTROL!$C$28, 0, 0)</f>
        <v>101.6176</v>
      </c>
      <c r="E1021" s="4">
        <f>492.925029290624 * CHOOSE(CONTROL!$C$9, $C$13, 100%, $E$13) + CHOOSE(CONTROL!$C$28, 0, 0)</f>
        <v>492.92502929062402</v>
      </c>
    </row>
    <row r="1022" spans="1:5" ht="15">
      <c r="A1022" s="13">
        <v>72624</v>
      </c>
      <c r="B1022" s="4">
        <f>65.8963 * CHOOSE(CONTROL!$C$9, $C$13, 100%, $E$13) + CHOOSE(CONTROL!$C$28, 0.0003, 0)</f>
        <v>65.896599999999992</v>
      </c>
      <c r="C1022" s="4">
        <f>65.533 * CHOOSE(CONTROL!$C$9, $C$13, 100%, $E$13) + CHOOSE(CONTROL!$C$28, 0.0003, 0)</f>
        <v>65.533299999999997</v>
      </c>
      <c r="D1022" s="4">
        <f>100.2429 * CHOOSE(CONTROL!$C$9, $C$13, 100%, $E$13) + CHOOSE(CONTROL!$C$28, 0, 0)</f>
        <v>100.24290000000001</v>
      </c>
      <c r="E1022" s="4">
        <f>476.547369202003 * CHOOSE(CONTROL!$C$9, $C$13, 100%, $E$13) + CHOOSE(CONTROL!$C$28, 0, 0)</f>
        <v>476.54736920200298</v>
      </c>
    </row>
    <row r="1023" spans="1:5" ht="15">
      <c r="A1023" s="13">
        <v>72654</v>
      </c>
      <c r="B1023" s="4">
        <f>64.4548 * CHOOSE(CONTROL!$C$9, $C$13, 100%, $E$13) + CHOOSE(CONTROL!$C$28, 0.0003, 0)</f>
        <v>64.455100000000002</v>
      </c>
      <c r="C1023" s="4">
        <f>64.0915 * CHOOSE(CONTROL!$C$9, $C$13, 100%, $E$13) + CHOOSE(CONTROL!$C$28, 0.0003, 0)</f>
        <v>64.091799999999992</v>
      </c>
      <c r="D1023" s="4">
        <f>99.7703 * CHOOSE(CONTROL!$C$9, $C$13, 100%, $E$13) + CHOOSE(CONTROL!$C$28, 0, 0)</f>
        <v>99.770300000000006</v>
      </c>
      <c r="E1023" s="4">
        <f>465.998933097847 * CHOOSE(CONTROL!$C$9, $C$13, 100%, $E$13) + CHOOSE(CONTROL!$C$28, 0, 0)</f>
        <v>465.99893309784699</v>
      </c>
    </row>
    <row r="1024" spans="1:5" ht="15">
      <c r="A1024" s="13">
        <v>72685</v>
      </c>
      <c r="B1024" s="4">
        <f>63.4575 * CHOOSE(CONTROL!$C$9, $C$13, 100%, $E$13) + CHOOSE(CONTROL!$C$28, 0.0003, 0)</f>
        <v>63.457800000000006</v>
      </c>
      <c r="C1024" s="4">
        <f>63.0942 * CHOOSE(CONTROL!$C$9, $C$13, 100%, $E$13) + CHOOSE(CONTROL!$C$28, 0.0003, 0)</f>
        <v>63.094500000000004</v>
      </c>
      <c r="D1024" s="4">
        <f>96.2909 * CHOOSE(CONTROL!$C$9, $C$13, 100%, $E$13) + CHOOSE(CONTROL!$C$28, 0, 0)</f>
        <v>96.290899999999993</v>
      </c>
      <c r="E1024" s="4">
        <f>458.700771256408 * CHOOSE(CONTROL!$C$9, $C$13, 100%, $E$13) + CHOOSE(CONTROL!$C$28, 0, 0)</f>
        <v>458.70077125640802</v>
      </c>
    </row>
    <row r="1025" spans="1:5" ht="15">
      <c r="A1025" s="13">
        <v>72716</v>
      </c>
      <c r="B1025" s="4">
        <f>60.7288 * CHOOSE(CONTROL!$C$9, $C$13, 100%, $E$13) + CHOOSE(CONTROL!$C$28, 0.0003, 0)</f>
        <v>60.729100000000003</v>
      </c>
      <c r="C1025" s="4">
        <f>60.3655 * CHOOSE(CONTROL!$C$9, $C$13, 100%, $E$13) + CHOOSE(CONTROL!$C$28, 0.0003, 0)</f>
        <v>60.3658</v>
      </c>
      <c r="D1025" s="4">
        <f>92.4581 * CHOOSE(CONTROL!$C$9, $C$13, 100%, $E$13) + CHOOSE(CONTROL!$C$28, 0, 0)</f>
        <v>92.458100000000002</v>
      </c>
      <c r="E1025" s="4">
        <f>439.594020244223 * CHOOSE(CONTROL!$C$9, $C$13, 100%, $E$13) + CHOOSE(CONTROL!$C$28, 0, 0)</f>
        <v>439.59402024422297</v>
      </c>
    </row>
    <row r="1026" spans="1:5" ht="15">
      <c r="A1026" s="13">
        <v>72744</v>
      </c>
      <c r="B1026" s="4">
        <f>62.1523 * CHOOSE(CONTROL!$C$9, $C$13, 100%, $E$13) + CHOOSE(CONTROL!$C$28, 0.0003, 0)</f>
        <v>62.1526</v>
      </c>
      <c r="C1026" s="4">
        <f>61.7891 * CHOOSE(CONTROL!$C$9, $C$13, 100%, $E$13) + CHOOSE(CONTROL!$C$28, 0.0003, 0)</f>
        <v>61.789400000000001</v>
      </c>
      <c r="D1026" s="4">
        <f>95.656 * CHOOSE(CONTROL!$C$9, $C$13, 100%, $E$13) + CHOOSE(CONTROL!$C$28, 0, 0)</f>
        <v>95.656000000000006</v>
      </c>
      <c r="E1026" s="4">
        <f>450.031714685045 * CHOOSE(CONTROL!$C$9, $C$13, 100%, $E$13) + CHOOSE(CONTROL!$C$28, 0, 0)</f>
        <v>450.03171468504502</v>
      </c>
    </row>
    <row r="1027" spans="1:5" ht="15">
      <c r="A1027" s="13">
        <v>72775</v>
      </c>
      <c r="B1027" s="4">
        <f>65.8907 * CHOOSE(CONTROL!$C$9, $C$13, 100%, $E$13) + CHOOSE(CONTROL!$C$28, 0.0003, 0)</f>
        <v>65.890999999999991</v>
      </c>
      <c r="C1027" s="4">
        <f>65.5274 * CHOOSE(CONTROL!$C$9, $C$13, 100%, $E$13) + CHOOSE(CONTROL!$C$28, 0.0003, 0)</f>
        <v>65.527699999999996</v>
      </c>
      <c r="D1027" s="4">
        <f>100.662 * CHOOSE(CONTROL!$C$9, $C$13, 100%, $E$13) + CHOOSE(CONTROL!$C$28, 0, 0)</f>
        <v>100.66200000000001</v>
      </c>
      <c r="E1027" s="4">
        <f>477.441654979414 * CHOOSE(CONTROL!$C$9, $C$13, 100%, $E$13) + CHOOSE(CONTROL!$C$28, 0, 0)</f>
        <v>477.44165497941401</v>
      </c>
    </row>
    <row r="1028" spans="1:5" ht="15">
      <c r="A1028" s="13">
        <v>72805</v>
      </c>
      <c r="B1028" s="4">
        <f>68.5469 * CHOOSE(CONTROL!$C$9, $C$13, 100%, $E$13) + CHOOSE(CONTROL!$C$28, 0.0003, 0)</f>
        <v>68.547199999999989</v>
      </c>
      <c r="C1028" s="4">
        <f>68.1836 * CHOOSE(CONTROL!$C$9, $C$13, 100%, $E$13) + CHOOSE(CONTROL!$C$28, 0.0003, 0)</f>
        <v>68.183899999999994</v>
      </c>
      <c r="D1028" s="4">
        <f>103.5456 * CHOOSE(CONTROL!$C$9, $C$13, 100%, $E$13) + CHOOSE(CONTROL!$C$28, 0, 0)</f>
        <v>103.54559999999999</v>
      </c>
      <c r="E1028" s="4">
        <f>496.916782844046 * CHOOSE(CONTROL!$C$9, $C$13, 100%, $E$13) + CHOOSE(CONTROL!$C$28, 0, 0)</f>
        <v>496.916782844046</v>
      </c>
    </row>
    <row r="1029" spans="1:5" ht="15">
      <c r="A1029" s="13">
        <v>72836</v>
      </c>
      <c r="B1029" s="4">
        <f>70.1698 * CHOOSE(CONTROL!$C$9, $C$13, 100%, $E$13) + CHOOSE(CONTROL!$C$28, 0.0136, 0)</f>
        <v>70.183399999999992</v>
      </c>
      <c r="C1029" s="4">
        <f>69.8065 * CHOOSE(CONTROL!$C$9, $C$13, 100%, $E$13) + CHOOSE(CONTROL!$C$28, 0.0136, 0)</f>
        <v>69.820099999999996</v>
      </c>
      <c r="D1029" s="4">
        <f>102.4061 * CHOOSE(CONTROL!$C$9, $C$13, 100%, $E$13) + CHOOSE(CONTROL!$C$28, 0, 0)</f>
        <v>102.4061</v>
      </c>
      <c r="E1029" s="4">
        <f>508.815619215664 * CHOOSE(CONTROL!$C$9, $C$13, 100%, $E$13) + CHOOSE(CONTROL!$C$28, 0, 0)</f>
        <v>508.81561921566401</v>
      </c>
    </row>
    <row r="1030" spans="1:5" ht="15">
      <c r="A1030" s="13">
        <v>72866</v>
      </c>
      <c r="B1030" s="4">
        <f>70.3893 * CHOOSE(CONTROL!$C$9, $C$13, 100%, $E$13) + CHOOSE(CONTROL!$C$28, 0.0136, 0)</f>
        <v>70.402900000000002</v>
      </c>
      <c r="C1030" s="4">
        <f>70.0261 * CHOOSE(CONTROL!$C$9, $C$13, 100%, $E$13) + CHOOSE(CONTROL!$C$28, 0.0136, 0)</f>
        <v>70.039699999999996</v>
      </c>
      <c r="D1030" s="4">
        <f>103.3341 * CHOOSE(CONTROL!$C$9, $C$13, 100%, $E$13) + CHOOSE(CONTROL!$C$28, 0, 0)</f>
        <v>103.33410000000001</v>
      </c>
      <c r="E1030" s="4">
        <f>510.42558115793 * CHOOSE(CONTROL!$C$9, $C$13, 100%, $E$13) + CHOOSE(CONTROL!$C$28, 0, 0)</f>
        <v>510.42558115793003</v>
      </c>
    </row>
    <row r="1031" spans="1:5" ht="15">
      <c r="A1031" s="13">
        <v>72897</v>
      </c>
      <c r="B1031" s="4">
        <f>70.3672 * CHOOSE(CONTROL!$C$9, $C$13, 100%, $E$13) + CHOOSE(CONTROL!$C$28, 0.0136, 0)</f>
        <v>70.380799999999994</v>
      </c>
      <c r="C1031" s="4">
        <f>70.0039 * CHOOSE(CONTROL!$C$9, $C$13, 100%, $E$13) + CHOOSE(CONTROL!$C$28, 0.0136, 0)</f>
        <v>70.017499999999998</v>
      </c>
      <c r="D1031" s="4">
        <f>105.0086 * CHOOSE(CONTROL!$C$9, $C$13, 100%, $E$13) + CHOOSE(CONTROL!$C$28, 0, 0)</f>
        <v>105.0086</v>
      </c>
      <c r="E1031" s="4">
        <f>510.263232054508 * CHOOSE(CONTROL!$C$9, $C$13, 100%, $E$13) + CHOOSE(CONTROL!$C$28, 0, 0)</f>
        <v>510.26323205450802</v>
      </c>
    </row>
    <row r="1032" spans="1:5" ht="15">
      <c r="A1032" s="13">
        <v>72928</v>
      </c>
      <c r="B1032" s="4">
        <f>72.0334 * CHOOSE(CONTROL!$C$9, $C$13, 100%, $E$13) + CHOOSE(CONTROL!$C$28, 0.0136, 0)</f>
        <v>72.046999999999997</v>
      </c>
      <c r="C1032" s="4">
        <f>71.6701 * CHOOSE(CONTROL!$C$9, $C$13, 100%, $E$13) + CHOOSE(CONTROL!$C$28, 0.0136, 0)</f>
        <v>71.683700000000002</v>
      </c>
      <c r="D1032" s="4">
        <f>103.9028 * CHOOSE(CONTROL!$C$9, $C$13, 100%, $E$13) + CHOOSE(CONTROL!$C$28, 0, 0)</f>
        <v>103.9028</v>
      </c>
      <c r="E1032" s="4">
        <f>522.480002086993 * CHOOSE(CONTROL!$C$9, $C$13, 100%, $E$13) + CHOOSE(CONTROL!$C$28, 0, 0)</f>
        <v>522.48000208699295</v>
      </c>
    </row>
    <row r="1033" spans="1:5" ht="15">
      <c r="A1033" s="13">
        <v>72958</v>
      </c>
      <c r="B1033" s="4">
        <f>69.1936 * CHOOSE(CONTROL!$C$9, $C$13, 100%, $E$13) + CHOOSE(CONTROL!$C$28, 0.0136, 0)</f>
        <v>69.2072</v>
      </c>
      <c r="C1033" s="4">
        <f>68.8304 * CHOOSE(CONTROL!$C$9, $C$13, 100%, $E$13) + CHOOSE(CONTROL!$C$28, 0.0136, 0)</f>
        <v>68.843999999999994</v>
      </c>
      <c r="D1033" s="4">
        <f>103.3803 * CHOOSE(CONTROL!$C$9, $C$13, 100%, $E$13) + CHOOSE(CONTROL!$C$28, 0, 0)</f>
        <v>103.38030000000001</v>
      </c>
      <c r="E1033" s="4">
        <f>501.658729573156 * CHOOSE(CONTROL!$C$9, $C$13, 100%, $E$13) + CHOOSE(CONTROL!$C$28, 0, 0)</f>
        <v>501.65872957315599</v>
      </c>
    </row>
    <row r="1034" spans="1:5" ht="15">
      <c r="A1034" s="13">
        <v>72989</v>
      </c>
      <c r="B1034" s="4">
        <f>66.9203 * CHOOSE(CONTROL!$C$9, $C$13, 100%, $E$13) + CHOOSE(CONTROL!$C$28, 0.0003, 0)</f>
        <v>66.920599999999993</v>
      </c>
      <c r="C1034" s="4">
        <f>66.5571 * CHOOSE(CONTROL!$C$9, $C$13, 100%, $E$13) + CHOOSE(CONTROL!$C$28, 0.0003, 0)</f>
        <v>66.557400000000001</v>
      </c>
      <c r="D1034" s="4">
        <f>101.9813 * CHOOSE(CONTROL!$C$9, $C$13, 100%, $E$13) + CHOOSE(CONTROL!$C$28, 0, 0)</f>
        <v>101.9813</v>
      </c>
      <c r="E1034" s="4">
        <f>484.990888288525 * CHOOSE(CONTROL!$C$9, $C$13, 100%, $E$13) + CHOOSE(CONTROL!$C$28, 0, 0)</f>
        <v>484.99088828852501</v>
      </c>
    </row>
    <row r="1035" spans="1:5" ht="15">
      <c r="A1035" s="13">
        <v>73019</v>
      </c>
      <c r="B1035" s="4">
        <f>65.4562 * CHOOSE(CONTROL!$C$9, $C$13, 100%, $E$13) + CHOOSE(CONTROL!$C$28, 0.0003, 0)</f>
        <v>65.456499999999991</v>
      </c>
      <c r="C1035" s="4">
        <f>65.0929 * CHOOSE(CONTROL!$C$9, $C$13, 100%, $E$13) + CHOOSE(CONTROL!$C$28, 0.0003, 0)</f>
        <v>65.093199999999996</v>
      </c>
      <c r="D1035" s="4">
        <f>101.5004 * CHOOSE(CONTROL!$C$9, $C$13, 100%, $E$13) + CHOOSE(CONTROL!$C$28, 0, 0)</f>
        <v>101.5004</v>
      </c>
      <c r="E1035" s="4">
        <f>474.255553824763 * CHOOSE(CONTROL!$C$9, $C$13, 100%, $E$13) + CHOOSE(CONTROL!$C$28, 0, 0)</f>
        <v>474.25555382476301</v>
      </c>
    </row>
    <row r="1036" spans="1:5" ht="15">
      <c r="A1036" s="13">
        <v>73050</v>
      </c>
      <c r="B1036" s="4">
        <f>64.4432 * CHOOSE(CONTROL!$C$9, $C$13, 100%, $E$13) + CHOOSE(CONTROL!$C$28, 0.0003, 0)</f>
        <v>64.4435</v>
      </c>
      <c r="C1036" s="4">
        <f>64.0799 * CHOOSE(CONTROL!$C$9, $C$13, 100%, $E$13) + CHOOSE(CONTROL!$C$28, 0.0003, 0)</f>
        <v>64.080199999999991</v>
      </c>
      <c r="D1036" s="4">
        <f>97.9595 * CHOOSE(CONTROL!$C$9, $C$13, 100%, $E$13) + CHOOSE(CONTROL!$C$28, 0, 0)</f>
        <v>97.959500000000006</v>
      </c>
      <c r="E1036" s="4">
        <f>466.828082343218 * CHOOSE(CONTROL!$C$9, $C$13, 100%, $E$13) + CHOOSE(CONTROL!$C$28, 0, 0)</f>
        <v>466.828082343218</v>
      </c>
    </row>
    <row r="1037" spans="1:5" ht="15">
      <c r="A1037" s="13">
        <v>73081</v>
      </c>
      <c r="B1037" s="4">
        <f>61.6716 * CHOOSE(CONTROL!$C$9, $C$13, 100%, $E$13) + CHOOSE(CONTROL!$C$28, 0.0003, 0)</f>
        <v>61.671900000000001</v>
      </c>
      <c r="C1037" s="4">
        <f>61.3083 * CHOOSE(CONTROL!$C$9, $C$13, 100%, $E$13) + CHOOSE(CONTROL!$C$28, 0.0003, 0)</f>
        <v>61.308600000000006</v>
      </c>
      <c r="D1037" s="4">
        <f>94.059 * CHOOSE(CONTROL!$C$9, $C$13, 100%, $E$13) + CHOOSE(CONTROL!$C$28, 0, 0)</f>
        <v>94.058999999999997</v>
      </c>
      <c r="E1037" s="4">
        <f>447.382795799669 * CHOOSE(CONTROL!$C$9, $C$13, 100%, $E$13) + CHOOSE(CONTROL!$C$28, 0, 0)</f>
        <v>447.382795799669</v>
      </c>
    </row>
    <row r="1038" spans="1:5" ht="15">
      <c r="A1038" s="13">
        <v>73109</v>
      </c>
      <c r="B1038" s="4">
        <f>63.1175 * CHOOSE(CONTROL!$C$9, $C$13, 100%, $E$13) + CHOOSE(CONTROL!$C$28, 0.0003, 0)</f>
        <v>63.117800000000003</v>
      </c>
      <c r="C1038" s="4">
        <f>62.7542 * CHOOSE(CONTROL!$C$9, $C$13, 100%, $E$13) + CHOOSE(CONTROL!$C$28, 0.0003, 0)</f>
        <v>62.7545</v>
      </c>
      <c r="D1038" s="4">
        <f>97.3133 * CHOOSE(CONTROL!$C$9, $C$13, 100%, $E$13) + CHOOSE(CONTROL!$C$28, 0, 0)</f>
        <v>97.313299999999998</v>
      </c>
      <c r="E1038" s="4">
        <f>458.005426467037 * CHOOSE(CONTROL!$C$9, $C$13, 100%, $E$13) + CHOOSE(CONTROL!$C$28, 0, 0)</f>
        <v>458.00542646703701</v>
      </c>
    </row>
    <row r="1039" spans="1:5" ht="15">
      <c r="A1039" s="13">
        <v>73140</v>
      </c>
      <c r="B1039" s="4">
        <f>66.9147 * CHOOSE(CONTROL!$C$9, $C$13, 100%, $E$13) + CHOOSE(CONTROL!$C$28, 0.0003, 0)</f>
        <v>66.914999999999992</v>
      </c>
      <c r="C1039" s="4">
        <f>66.5514 * CHOOSE(CONTROL!$C$9, $C$13, 100%, $E$13) + CHOOSE(CONTROL!$C$28, 0.0003, 0)</f>
        <v>66.551699999999997</v>
      </c>
      <c r="D1039" s="4">
        <f>102.4078 * CHOOSE(CONTROL!$C$9, $C$13, 100%, $E$13) + CHOOSE(CONTROL!$C$28, 0, 0)</f>
        <v>102.40779999999999</v>
      </c>
      <c r="E1039" s="4">
        <f>485.901019120422 * CHOOSE(CONTROL!$C$9, $C$13, 100%, $E$13) + CHOOSE(CONTROL!$C$28, 0, 0)</f>
        <v>485.90101912042201</v>
      </c>
    </row>
    <row r="1040" spans="1:5" ht="15">
      <c r="A1040" s="13">
        <v>73170</v>
      </c>
      <c r="B1040" s="4">
        <f>69.6126 * CHOOSE(CONTROL!$C$9, $C$13, 100%, $E$13) + CHOOSE(CONTROL!$C$28, 0.0003, 0)</f>
        <v>69.612899999999996</v>
      </c>
      <c r="C1040" s="4">
        <f>69.2493 * CHOOSE(CONTROL!$C$9, $C$13, 100%, $E$13) + CHOOSE(CONTROL!$C$28, 0.0003, 0)</f>
        <v>69.249600000000001</v>
      </c>
      <c r="D1040" s="4">
        <f>105.3423 * CHOOSE(CONTROL!$C$9, $C$13, 100%, $E$13) + CHOOSE(CONTROL!$C$28, 0, 0)</f>
        <v>105.34229999999999</v>
      </c>
      <c r="E1040" s="4">
        <f>505.721209458304 * CHOOSE(CONTROL!$C$9, $C$13, 100%, $E$13) + CHOOSE(CONTROL!$C$28, 0, 0)</f>
        <v>505.72120945830397</v>
      </c>
    </row>
    <row r="1041" spans="1:5" ht="15">
      <c r="A1041" s="13">
        <v>73201</v>
      </c>
      <c r="B1041" s="4">
        <f>71.261 * CHOOSE(CONTROL!$C$9, $C$13, 100%, $E$13) + CHOOSE(CONTROL!$C$28, 0.0136, 0)</f>
        <v>71.274599999999992</v>
      </c>
      <c r="C1041" s="4">
        <f>70.8977 * CHOOSE(CONTROL!$C$9, $C$13, 100%, $E$13) + CHOOSE(CONTROL!$C$28, 0.0136, 0)</f>
        <v>70.911299999999997</v>
      </c>
      <c r="D1041" s="4">
        <f>104.1828 * CHOOSE(CONTROL!$C$9, $C$13, 100%, $E$13) + CHOOSE(CONTROL!$C$28, 0, 0)</f>
        <v>104.1828</v>
      </c>
      <c r="E1041" s="4">
        <f>517.830870731084 * CHOOSE(CONTROL!$C$9, $C$13, 100%, $E$13) + CHOOSE(CONTROL!$C$28, 0, 0)</f>
        <v>517.83087073108402</v>
      </c>
    </row>
    <row r="1042" spans="1:5" ht="15">
      <c r="A1042" s="13">
        <v>73231</v>
      </c>
      <c r="B1042" s="4">
        <f>71.484 * CHOOSE(CONTROL!$C$9, $C$13, 100%, $E$13) + CHOOSE(CONTROL!$C$28, 0.0136, 0)</f>
        <v>71.497599999999991</v>
      </c>
      <c r="C1042" s="4">
        <f>71.1208 * CHOOSE(CONTROL!$C$9, $C$13, 100%, $E$13) + CHOOSE(CONTROL!$C$28, 0.0136, 0)</f>
        <v>71.134399999999999</v>
      </c>
      <c r="D1042" s="4">
        <f>105.1272 * CHOOSE(CONTROL!$C$9, $C$13, 100%, $E$13) + CHOOSE(CONTROL!$C$28, 0, 0)</f>
        <v>105.1272</v>
      </c>
      <c r="E1042" s="4">
        <f>519.469358157418 * CHOOSE(CONTROL!$C$9, $C$13, 100%, $E$13) + CHOOSE(CONTROL!$C$28, 0, 0)</f>
        <v>519.46935815741801</v>
      </c>
    </row>
    <row r="1043" spans="1:5" ht="15">
      <c r="A1043" s="13">
        <v>73262</v>
      </c>
      <c r="B1043" s="4">
        <f>71.4615 * CHOOSE(CONTROL!$C$9, $C$13, 100%, $E$13) + CHOOSE(CONTROL!$C$28, 0.0136, 0)</f>
        <v>71.475099999999998</v>
      </c>
      <c r="C1043" s="4">
        <f>71.0983 * CHOOSE(CONTROL!$C$9, $C$13, 100%, $E$13) + CHOOSE(CONTROL!$C$28, 0.0136, 0)</f>
        <v>71.111899999999991</v>
      </c>
      <c r="D1043" s="4">
        <f>106.8312 * CHOOSE(CONTROL!$C$9, $C$13, 100%, $E$13) + CHOOSE(CONTROL!$C$28, 0, 0)</f>
        <v>106.8312</v>
      </c>
      <c r="E1043" s="4">
        <f>519.304132534595 * CHOOSE(CONTROL!$C$9, $C$13, 100%, $E$13) + CHOOSE(CONTROL!$C$28, 0, 0)</f>
        <v>519.30413253459506</v>
      </c>
    </row>
    <row r="1044" spans="1:5" ht="15">
      <c r="A1044" s="13">
        <v>73293</v>
      </c>
      <c r="B1044" s="4">
        <f>73.154 * CHOOSE(CONTROL!$C$9, $C$13, 100%, $E$13) + CHOOSE(CONTROL!$C$28, 0.0136, 0)</f>
        <v>73.167599999999993</v>
      </c>
      <c r="C1044" s="4">
        <f>72.7907 * CHOOSE(CONTROL!$C$9, $C$13, 100%, $E$13) + CHOOSE(CONTROL!$C$28, 0.0136, 0)</f>
        <v>72.804299999999998</v>
      </c>
      <c r="D1044" s="4">
        <f>105.7058 * CHOOSE(CONTROL!$C$9, $C$13, 100%, $E$13) + CHOOSE(CONTROL!$C$28, 0, 0)</f>
        <v>105.7058</v>
      </c>
      <c r="E1044" s="4">
        <f>531.737360652071 * CHOOSE(CONTROL!$C$9, $C$13, 100%, $E$13) + CHOOSE(CONTROL!$C$28, 0, 0)</f>
        <v>531.73736065207095</v>
      </c>
    </row>
    <row r="1045" spans="1:5" ht="15">
      <c r="A1045" s="13">
        <v>73323</v>
      </c>
      <c r="B1045" s="4">
        <f>70.2695 * CHOOSE(CONTROL!$C$9, $C$13, 100%, $E$13) + CHOOSE(CONTROL!$C$28, 0.0136, 0)</f>
        <v>70.28309999999999</v>
      </c>
      <c r="C1045" s="4">
        <f>69.9063 * CHOOSE(CONTROL!$C$9, $C$13, 100%, $E$13) + CHOOSE(CONTROL!$C$28, 0.0136, 0)</f>
        <v>69.919899999999998</v>
      </c>
      <c r="D1045" s="4">
        <f>105.1741 * CHOOSE(CONTROL!$C$9, $C$13, 100%, $E$13) + CHOOSE(CONTROL!$C$28, 0, 0)</f>
        <v>105.1741</v>
      </c>
      <c r="E1045" s="4">
        <f>510.547174524944 * CHOOSE(CONTROL!$C$9, $C$13, 100%, $E$13) + CHOOSE(CONTROL!$C$28, 0, 0)</f>
        <v>510.54717452494401</v>
      </c>
    </row>
    <row r="1046" spans="1:5" ht="15">
      <c r="A1046" s="13">
        <v>73354</v>
      </c>
      <c r="B1046" s="4">
        <f>67.9605 * CHOOSE(CONTROL!$C$9, $C$13, 100%, $E$13) + CHOOSE(CONTROL!$C$28, 0.0003, 0)</f>
        <v>67.960799999999992</v>
      </c>
      <c r="C1046" s="4">
        <f>67.5972 * CHOOSE(CONTROL!$C$9, $C$13, 100%, $E$13) + CHOOSE(CONTROL!$C$28, 0.0003, 0)</f>
        <v>67.597499999999997</v>
      </c>
      <c r="D1046" s="4">
        <f>103.7505 * CHOOSE(CONTROL!$C$9, $C$13, 100%, $E$13) + CHOOSE(CONTROL!$C$28, 0, 0)</f>
        <v>103.7505</v>
      </c>
      <c r="E1046" s="4">
        <f>493.58401058172 * CHOOSE(CONTROL!$C$9, $C$13, 100%, $E$13) + CHOOSE(CONTROL!$C$28, 0, 0)</f>
        <v>493.58401058172001</v>
      </c>
    </row>
    <row r="1047" spans="1:5" ht="15">
      <c r="A1047" s="13">
        <v>73384</v>
      </c>
      <c r="B1047" s="4">
        <f>66.4733 * CHOOSE(CONTROL!$C$9, $C$13, 100%, $E$13) + CHOOSE(CONTROL!$C$28, 0.0003, 0)</f>
        <v>66.47359999999999</v>
      </c>
      <c r="C1047" s="4">
        <f>66.11 * CHOOSE(CONTROL!$C$9, $C$13, 100%, $E$13) + CHOOSE(CONTROL!$C$28, 0.0003, 0)</f>
        <v>66.110299999999995</v>
      </c>
      <c r="D1047" s="4">
        <f>103.261 * CHOOSE(CONTROL!$C$9, $C$13, 100%, $E$13) + CHOOSE(CONTROL!$C$28, 0, 0)</f>
        <v>103.261</v>
      </c>
      <c r="E1047" s="4">
        <f>482.658466272509 * CHOOSE(CONTROL!$C$9, $C$13, 100%, $E$13) + CHOOSE(CONTROL!$C$28, 0, 0)</f>
        <v>482.65846627250897</v>
      </c>
    </row>
    <row r="1048" spans="1:5" ht="15">
      <c r="A1048" s="13">
        <v>73415</v>
      </c>
      <c r="B1048" s="4">
        <f>65.4444 * CHOOSE(CONTROL!$C$9, $C$13, 100%, $E$13) + CHOOSE(CONTROL!$C$28, 0.0003, 0)</f>
        <v>65.444699999999997</v>
      </c>
      <c r="C1048" s="4">
        <f>65.0811 * CHOOSE(CONTROL!$C$9, $C$13, 100%, $E$13) + CHOOSE(CONTROL!$C$28, 0.0003, 0)</f>
        <v>65.081400000000002</v>
      </c>
      <c r="D1048" s="4">
        <f>99.6576 * CHOOSE(CONTROL!$C$9, $C$13, 100%, $E$13) + CHOOSE(CONTROL!$C$28, 0, 0)</f>
        <v>99.657600000000002</v>
      </c>
      <c r="E1048" s="4">
        <f>475.099394028329 * CHOOSE(CONTROL!$C$9, $C$13, 100%, $E$13) + CHOOSE(CONTROL!$C$28, 0, 0)</f>
        <v>475.09939402832902</v>
      </c>
    </row>
    <row r="1049" spans="1:5" ht="15">
      <c r="A1049" s="10"/>
      <c r="B1049" s="4"/>
      <c r="C1049" s="4"/>
      <c r="D1049" s="4"/>
      <c r="E1049" s="4"/>
    </row>
    <row r="1050" spans="1:5" ht="15">
      <c r="A1050" s="3">
        <v>2015</v>
      </c>
      <c r="B1050" s="4">
        <f>AVERAGE(B17:B28)</f>
        <v>9.4639166666666661</v>
      </c>
      <c r="C1050" s="4">
        <f>AVERAGE(C17:C28)</f>
        <v>9.1006249999999991</v>
      </c>
      <c r="D1050" s="4">
        <f>AVERAGE(D17:D28)</f>
        <v>15.791091666666665</v>
      </c>
      <c r="E1050" s="4">
        <f>AVERAGE(E17:E28)</f>
        <v>56.300833333333323</v>
      </c>
    </row>
    <row r="1051" spans="1:5" ht="15">
      <c r="A1051" s="3">
        <v>2016</v>
      </c>
      <c r="B1051" s="4">
        <f>AVERAGE(B29:B40)</f>
        <v>10.398416666666668</v>
      </c>
      <c r="C1051" s="4">
        <f>AVERAGE(C29:C40)</f>
        <v>10.03515</v>
      </c>
      <c r="D1051" s="4">
        <f>AVERAGE(D29:D40)</f>
        <v>16.352958333333337</v>
      </c>
      <c r="E1051" s="4">
        <f>AVERAGE(E29:E40)</f>
        <v>62.15</v>
      </c>
    </row>
    <row r="1052" spans="1:5" ht="15">
      <c r="A1052" s="3">
        <v>2017</v>
      </c>
      <c r="B1052" s="4">
        <f>AVERAGE(B41:B52)</f>
        <v>10.620166666666668</v>
      </c>
      <c r="C1052" s="4">
        <f>AVERAGE(C41:C52)</f>
        <v>10.256883333333333</v>
      </c>
      <c r="D1052" s="4">
        <f>AVERAGE(D41:D52)</f>
        <v>16.778941666666665</v>
      </c>
      <c r="E1052" s="4">
        <f>AVERAGE(E41:E52)</f>
        <v>63.569166666666668</v>
      </c>
    </row>
    <row r="1053" spans="1:5" ht="15">
      <c r="A1053" s="3">
        <v>2018</v>
      </c>
      <c r="B1053" s="4">
        <f>AVERAGE(B53:B64)</f>
        <v>11.833583333333335</v>
      </c>
      <c r="C1053" s="4">
        <f>AVERAGE(C53:C64)</f>
        <v>11.470283333333334</v>
      </c>
      <c r="D1053" s="4">
        <f>AVERAGE(D53:D64)</f>
        <v>18.123674999999999</v>
      </c>
      <c r="E1053" s="4">
        <f>AVERAGE(E53:E64)</f>
        <v>73.196250000000006</v>
      </c>
    </row>
    <row r="1054" spans="1:5" ht="15">
      <c r="A1054" s="3">
        <v>2019</v>
      </c>
      <c r="B1054" s="4">
        <f>AVERAGE(B65:B76)</f>
        <v>12.237283333333336</v>
      </c>
      <c r="C1054" s="4">
        <f>AVERAGE(C65:C76)</f>
        <v>11.874008333333331</v>
      </c>
      <c r="D1054" s="4">
        <f>AVERAGE(D65:D76)</f>
        <v>18.734691666666667</v>
      </c>
      <c r="E1054" s="4">
        <f>AVERAGE(E65:E76)</f>
        <v>76.170834248860658</v>
      </c>
    </row>
    <row r="1055" spans="1:5" ht="15">
      <c r="A1055" s="3">
        <v>2020</v>
      </c>
      <c r="B1055" s="4">
        <f>AVERAGE(B77:B88)</f>
        <v>14.111175000000001</v>
      </c>
      <c r="C1055" s="4">
        <f>AVERAGE(C77:C88)</f>
        <v>13.7479</v>
      </c>
      <c r="D1055" s="4">
        <f>AVERAGE(D77:D88)</f>
        <v>20.875616666666666</v>
      </c>
      <c r="E1055" s="4">
        <f>AVERAGE(E77:E88)</f>
        <v>90.846992492675781</v>
      </c>
    </row>
    <row r="1056" spans="1:5" ht="15">
      <c r="A1056" s="3">
        <v>2021</v>
      </c>
      <c r="B1056" s="4">
        <f>AVERAGE(B89:B100)</f>
        <v>14.751158333333334</v>
      </c>
      <c r="C1056" s="4">
        <f>AVERAGE(C89:C100)</f>
        <v>14.387883333333335</v>
      </c>
      <c r="D1056" s="4">
        <f>AVERAGE(D89:D100)</f>
        <v>21.724774999999998</v>
      </c>
      <c r="E1056" s="4">
        <f>AVERAGE(E89:E100)</f>
        <v>94.618591308593793</v>
      </c>
    </row>
    <row r="1057" spans="1:5" ht="15">
      <c r="A1057" s="3">
        <v>2022</v>
      </c>
      <c r="B1057" s="4">
        <f>AVERAGE(B101:B112)</f>
        <v>15.504649999999998</v>
      </c>
      <c r="C1057" s="4">
        <f>AVERAGE(C101:C112)</f>
        <v>15.141391666666665</v>
      </c>
      <c r="D1057" s="4">
        <f>AVERAGE(D101:D112)</f>
        <v>22.795791666666663</v>
      </c>
      <c r="E1057" s="4">
        <f>AVERAGE(E101:E112)</f>
        <v>99.389778137206847</v>
      </c>
    </row>
    <row r="1058" spans="1:5" ht="15">
      <c r="A1058" s="3">
        <v>2023</v>
      </c>
      <c r="B1058" s="4">
        <f>AVERAGE(B113:B124)</f>
        <v>16.309233333333335</v>
      </c>
      <c r="C1058" s="4">
        <f>AVERAGE(C113:C124)</f>
        <v>15.945958333333332</v>
      </c>
      <c r="D1058" s="4">
        <f>AVERAGE(D113:D124)</f>
        <v>23.840041666666664</v>
      </c>
      <c r="E1058" s="4">
        <f>AVERAGE(E113:E124)</f>
        <v>104.16054534912108</v>
      </c>
    </row>
    <row r="1059" spans="1:5" ht="15">
      <c r="A1059" s="3">
        <v>2024</v>
      </c>
      <c r="B1059" s="4">
        <f>AVERAGE(B125:B136)</f>
        <v>17.142958333333333</v>
      </c>
      <c r="C1059" s="4">
        <f>AVERAGE(C125:C136)</f>
        <v>16.779666666666667</v>
      </c>
      <c r="D1059" s="4">
        <f>AVERAGE(D125:D136)</f>
        <v>25.213208333333331</v>
      </c>
      <c r="E1059" s="4">
        <f>AVERAGE(E125:E136)</f>
        <v>108.93090057373041</v>
      </c>
    </row>
    <row r="1060" spans="1:5" ht="15">
      <c r="A1060" s="3">
        <v>2025</v>
      </c>
      <c r="B1060" s="4">
        <f>AVERAGE(B137:B148)</f>
        <v>18.504283333333333</v>
      </c>
      <c r="C1060" s="4">
        <f>AVERAGE(C137:C148)</f>
        <v>18.140999999999998</v>
      </c>
      <c r="D1060" s="4">
        <f>AVERAGE(D137:D148)</f>
        <v>26.551458333333333</v>
      </c>
      <c r="E1060" s="4">
        <f>AVERAGE(E137:E148)</f>
        <v>114.7008361816405</v>
      </c>
    </row>
    <row r="1061" spans="1:5" ht="15">
      <c r="A1061" s="3">
        <v>2026</v>
      </c>
      <c r="B1061" s="4">
        <f>AVERAGE(B149:B160)</f>
        <v>19.083966666666665</v>
      </c>
      <c r="C1061" s="4">
        <f>AVERAGE(C149:C160)</f>
        <v>18.72068333333333</v>
      </c>
      <c r="D1061" s="4">
        <f>AVERAGE(D149:D160)</f>
        <v>27.302383333333339</v>
      </c>
      <c r="E1061" s="4">
        <f>AVERAGE(E149:E160)</f>
        <v>118.55784606933582</v>
      </c>
    </row>
    <row r="1062" spans="1:5" ht="15">
      <c r="A1062" s="3">
        <v>2027</v>
      </c>
      <c r="B1062" s="4">
        <f>AVERAGE(B161:B172)</f>
        <v>19.677716666666665</v>
      </c>
      <c r="C1062" s="4">
        <f>AVERAGE(C161:C172)</f>
        <v>19.314441666666664</v>
      </c>
      <c r="D1062" s="4">
        <f>AVERAGE(D161:D172)</f>
        <v>28.050908333333329</v>
      </c>
      <c r="E1062" s="4">
        <f>AVERAGE(E161:E172)</f>
        <v>122.41442108154308</v>
      </c>
    </row>
    <row r="1063" spans="1:5" ht="15">
      <c r="A1063" s="3">
        <v>2028</v>
      </c>
      <c r="B1063" s="4">
        <f>AVERAGE(B173:B184)</f>
        <v>20.232400000000002</v>
      </c>
      <c r="C1063" s="4">
        <f>AVERAGE(C173:C184)</f>
        <v>19.869125</v>
      </c>
      <c r="D1063" s="4">
        <f>AVERAGE(D173:D184)</f>
        <v>28.740366666666663</v>
      </c>
      <c r="E1063" s="4">
        <f>AVERAGE(E173:E184)</f>
        <v>126.27056884765624</v>
      </c>
    </row>
    <row r="1064" spans="1:5" ht="15">
      <c r="A1064" s="3">
        <v>2029</v>
      </c>
      <c r="B1064" s="4">
        <f>AVERAGE(B185:B196)</f>
        <v>20.833966666666669</v>
      </c>
      <c r="C1064" s="4">
        <f>AVERAGE(C185:C196)</f>
        <v>20.470674999999996</v>
      </c>
      <c r="D1064" s="4">
        <f>AVERAGE(D185:D196)</f>
        <v>29.379350000000002</v>
      </c>
      <c r="E1064" s="4">
        <f>AVERAGE(E185:E196)</f>
        <v>130.12626647949216</v>
      </c>
    </row>
    <row r="1065" spans="1:5" ht="15">
      <c r="A1065" s="3">
        <v>2030</v>
      </c>
      <c r="B1065" s="4">
        <f>AVERAGE(B197:B208)</f>
        <v>21.435524999999998</v>
      </c>
      <c r="C1065" s="4">
        <f>AVERAGE(C197:C208)</f>
        <v>21.072233333333333</v>
      </c>
      <c r="D1065" s="4">
        <f>AVERAGE(D197:D208)</f>
        <v>30.026058333333335</v>
      </c>
      <c r="E1065" s="4">
        <f>AVERAGE(E197:E208)</f>
        <v>133.98153686523432</v>
      </c>
    </row>
    <row r="1066" spans="1:5" ht="15">
      <c r="A1066" s="3">
        <v>2031</v>
      </c>
      <c r="B1066" s="4">
        <f>AVERAGE(B209:B220)</f>
        <v>22.185524999999998</v>
      </c>
      <c r="C1066" s="4">
        <f>AVERAGE(C209:C220)</f>
        <v>21.82225</v>
      </c>
      <c r="D1066" s="4">
        <f>AVERAGE(D209:D220)</f>
        <v>30.848808333333334</v>
      </c>
      <c r="E1066" s="4">
        <f>AVERAGE(E209:E220)</f>
        <v>138.83634948730472</v>
      </c>
    </row>
    <row r="1067" spans="1:5" ht="15">
      <c r="A1067" s="3">
        <v>2032</v>
      </c>
      <c r="B1067" s="4">
        <f>AVERAGE(B221:B232)</f>
        <v>22.951166666666666</v>
      </c>
      <c r="C1067" s="4">
        <f>AVERAGE(C221:C232)</f>
        <v>22.587874999999997</v>
      </c>
      <c r="D1067" s="4">
        <f>AVERAGE(D221:D232)</f>
        <v>31.671558333333337</v>
      </c>
      <c r="E1067" s="4">
        <f>AVERAGE(E221:E232)</f>
        <v>143.69071960449216</v>
      </c>
    </row>
    <row r="1068" spans="1:5" ht="15">
      <c r="A1068" s="3">
        <v>2033</v>
      </c>
      <c r="B1068" s="4">
        <f>AVERAGE(B233:B244)</f>
        <v>23.716791666666666</v>
      </c>
      <c r="C1068" s="4">
        <f>AVERAGE(C233:C244)</f>
        <v>23.353491666666667</v>
      </c>
      <c r="D1068" s="4">
        <f>AVERAGE(D233:D244)</f>
        <v>32.494324999999996</v>
      </c>
      <c r="E1068" s="4">
        <f>AVERAGE(E233:E244)</f>
        <v>148.54461669921872</v>
      </c>
    </row>
    <row r="1069" spans="1:5" ht="15">
      <c r="A1069" s="3">
        <v>2034</v>
      </c>
      <c r="B1069" s="4">
        <f>AVERAGE(B245:B256)</f>
        <v>24.482399999999998</v>
      </c>
      <c r="C1069" s="4">
        <f>AVERAGE(C245:C256)</f>
        <v>24.119116666666667</v>
      </c>
      <c r="D1069" s="4">
        <f>AVERAGE(D245:D256)</f>
        <v>33.317074999999996</v>
      </c>
      <c r="E1069" s="4">
        <f>AVERAGE(E245:E256)</f>
        <v>153.39807128906259</v>
      </c>
    </row>
    <row r="1070" spans="1:5" ht="15">
      <c r="A1070" s="3">
        <v>2035</v>
      </c>
      <c r="B1070" s="4">
        <f>AVERAGE(B257:B268)</f>
        <v>25.248041666666669</v>
      </c>
      <c r="C1070" s="4">
        <f>AVERAGE(C257:C268)</f>
        <v>24.884741666666667</v>
      </c>
      <c r="D1070" s="4">
        <f>AVERAGE(D257:D268)</f>
        <v>34.167283333333337</v>
      </c>
      <c r="E1070" s="4">
        <f>AVERAGE(E257:E268)</f>
        <v>158.2510528564454</v>
      </c>
    </row>
    <row r="1071" spans="1:5" ht="15">
      <c r="A1071" s="3">
        <v>2036</v>
      </c>
      <c r="B1071" s="4">
        <f>AVERAGE(B269:B280)</f>
        <v>25.6328</v>
      </c>
      <c r="C1071" s="4">
        <f>AVERAGE(C269:C280)</f>
        <v>25.269508333333334</v>
      </c>
      <c r="D1071" s="4">
        <f>AVERAGE(D269:D280)</f>
        <v>34.738233333333334</v>
      </c>
      <c r="E1071" s="4">
        <f>AVERAGE(E269:E280)</f>
        <v>161.05496254435951</v>
      </c>
    </row>
    <row r="1072" spans="1:5" ht="15">
      <c r="A1072" s="3">
        <v>2037</v>
      </c>
      <c r="B1072" s="4">
        <f>AVERAGE(B281:B292)</f>
        <v>26.023624999999999</v>
      </c>
      <c r="C1072" s="4">
        <f>AVERAGE(C281:C292)</f>
        <v>25.660333333333341</v>
      </c>
      <c r="D1072" s="4">
        <f>AVERAGE(D281:D292)</f>
        <v>35.319291666666672</v>
      </c>
      <c r="E1072" s="4">
        <f>AVERAGE(E281:E292)</f>
        <v>163.90855221478301</v>
      </c>
    </row>
    <row r="1073" spans="1:5" ht="15">
      <c r="A1073" s="3">
        <f t="shared" ref="A1073:A1104" si="0">A1072+1</f>
        <v>2038</v>
      </c>
      <c r="B1073" s="4">
        <f>AVERAGE(B293:B304)</f>
        <v>26.42058333333333</v>
      </c>
      <c r="C1073" s="4">
        <f>AVERAGE(C293:C304)</f>
        <v>26.057291666666671</v>
      </c>
      <c r="D1073" s="4">
        <f>AVERAGE(D293:D304)</f>
        <v>35.910591666666669</v>
      </c>
      <c r="E1073" s="4">
        <f>AVERAGE(E293:E304)</f>
        <v>166.81270210315</v>
      </c>
    </row>
    <row r="1074" spans="1:5" ht="15">
      <c r="A1074" s="3">
        <f t="shared" si="0"/>
        <v>2039</v>
      </c>
      <c r="B1074" s="4">
        <f>AVERAGE(B305:B316)</f>
        <v>26.823783333333335</v>
      </c>
      <c r="C1074" s="4">
        <f>AVERAGE(C305:C316)</f>
        <v>26.460508333333333</v>
      </c>
      <c r="D1074" s="4">
        <f>AVERAGE(D305:D316)</f>
        <v>36.512349999999998</v>
      </c>
      <c r="E1074" s="4">
        <f>AVERAGE(E305:E316)</f>
        <v>169.76830804100425</v>
      </c>
    </row>
    <row r="1075" spans="1:5" ht="15">
      <c r="A1075" s="3">
        <f t="shared" si="0"/>
        <v>2040</v>
      </c>
      <c r="B1075" s="4">
        <f>AVERAGE(B317:B328)</f>
        <v>27.233333333333334</v>
      </c>
      <c r="C1075" s="4">
        <f>AVERAGE(C317:C328)</f>
        <v>26.870058333333333</v>
      </c>
      <c r="D1075" s="4">
        <f>AVERAGE(D317:D328)</f>
        <v>37.124758333333332</v>
      </c>
      <c r="E1075" s="4">
        <f>AVERAGE(E317:E328)</f>
        <v>172.77628173233109</v>
      </c>
    </row>
    <row r="1076" spans="1:5" ht="15">
      <c r="A1076" s="3">
        <f t="shared" si="0"/>
        <v>2041</v>
      </c>
      <c r="B1076" s="4">
        <f>AVERAGE(B329:B340)</f>
        <v>27.649333333333335</v>
      </c>
      <c r="C1076" s="4">
        <f>AVERAGE(C329:C340)</f>
        <v>27.286050000000003</v>
      </c>
      <c r="D1076" s="4">
        <f>AVERAGE(D329:D340)</f>
        <v>37.747958333333322</v>
      </c>
      <c r="E1076" s="4">
        <f>AVERAGE(E329:E340)</f>
        <v>175.83755103478907</v>
      </c>
    </row>
    <row r="1077" spans="1:5" ht="15">
      <c r="A1077" s="3">
        <f t="shared" si="0"/>
        <v>2042</v>
      </c>
      <c r="B1077" s="4">
        <f>AVERAGE(B341:B352)</f>
        <v>28.071858333333338</v>
      </c>
      <c r="C1077" s="4">
        <f>AVERAGE(C341:C352)</f>
        <v>27.708574999999996</v>
      </c>
      <c r="D1077" s="4">
        <f>AVERAGE(D341:D352)</f>
        <v>38.382174999999997</v>
      </c>
      <c r="E1077" s="4">
        <f>AVERAGE(E341:E352)</f>
        <v>178.9530602459208</v>
      </c>
    </row>
    <row r="1078" spans="1:5" ht="15">
      <c r="A1078" s="3">
        <f t="shared" si="0"/>
        <v>2043</v>
      </c>
      <c r="B1078" s="4">
        <f>AVERAGE(B353:B364)</f>
        <v>28.501033333333336</v>
      </c>
      <c r="C1078" s="4">
        <f>AVERAGE(C353:C364)</f>
        <v>28.137758333333334</v>
      </c>
      <c r="D1078" s="4">
        <f>AVERAGE(D353:D364)</f>
        <v>39.027616666666667</v>
      </c>
      <c r="E1078" s="4">
        <f>AVERAGE(E353:E364)</f>
        <v>182.12377039443774</v>
      </c>
    </row>
    <row r="1079" spans="1:5" ht="15">
      <c r="A1079" s="3">
        <f t="shared" si="0"/>
        <v>2044</v>
      </c>
      <c r="B1079" s="4">
        <f>AVERAGE(B365:B376)</f>
        <v>28.936975000000004</v>
      </c>
      <c r="C1079" s="4">
        <f>AVERAGE(C365:C376)</f>
        <v>28.573691666666662</v>
      </c>
      <c r="D1079" s="4">
        <f>AVERAGE(D365:D376)</f>
        <v>39.684449999999991</v>
      </c>
      <c r="E1079" s="4">
        <f>AVERAGE(E365:E376)</f>
        <v>185.35065953666444</v>
      </c>
    </row>
    <row r="1080" spans="1:5" ht="15">
      <c r="A1080" s="3">
        <f t="shared" si="0"/>
        <v>2045</v>
      </c>
      <c r="B1080" s="4">
        <f>AVERAGE(B377:B388)</f>
        <v>29.379750000000001</v>
      </c>
      <c r="C1080" s="4">
        <f>AVERAGE(C377:C388)</f>
        <v>29.016458333333333</v>
      </c>
      <c r="D1080" s="4">
        <f>AVERAGE(D377:D388)</f>
        <v>40.352883333333331</v>
      </c>
      <c r="E1080" s="4">
        <f>AVERAGE(E377:E388)</f>
        <v>188.63472305823606</v>
      </c>
    </row>
    <row r="1081" spans="1:5" ht="15">
      <c r="A1081" s="3">
        <f t="shared" si="0"/>
        <v>2046</v>
      </c>
      <c r="B1081" s="4">
        <f>AVERAGE(B389:B400)</f>
        <v>29.829466666666665</v>
      </c>
      <c r="C1081" s="4">
        <f>AVERAGE(C389:C400)</f>
        <v>29.466200000000004</v>
      </c>
      <c r="D1081" s="4">
        <f>AVERAGE(D389:D400)</f>
        <v>41.033133333333332</v>
      </c>
      <c r="E1081" s="4">
        <f>AVERAGE(E389:E400)</f>
        <v>191.97697398114028</v>
      </c>
    </row>
    <row r="1082" spans="1:5" ht="15">
      <c r="A1082" s="3">
        <f t="shared" si="0"/>
        <v>2047</v>
      </c>
      <c r="B1082" s="4">
        <f>AVERAGE(B401:B412)</f>
        <v>30.286283333333333</v>
      </c>
      <c r="C1082" s="4">
        <f>AVERAGE(C401:C412)</f>
        <v>29.922991666666665</v>
      </c>
      <c r="D1082" s="4">
        <f>AVERAGE(D401:D412)</f>
        <v>41.7254</v>
      </c>
      <c r="E1082" s="4">
        <f>AVERAGE(E401:E412)</f>
        <v>195.37844327620061</v>
      </c>
    </row>
    <row r="1083" spans="1:5" ht="15">
      <c r="A1083" s="3">
        <f t="shared" si="0"/>
        <v>2048</v>
      </c>
      <c r="B1083" s="4">
        <f>AVERAGE(B413:B424)</f>
        <v>30.750274999999998</v>
      </c>
      <c r="C1083" s="4">
        <f>AVERAGE(C413:C424)</f>
        <v>30.386991666666663</v>
      </c>
      <c r="D1083" s="4">
        <f>AVERAGE(D413:D424)</f>
        <v>42.429891666666663</v>
      </c>
      <c r="E1083" s="4">
        <f>AVERAGE(E413:E424)</f>
        <v>198.84018018109614</v>
      </c>
    </row>
    <row r="1084" spans="1:5" ht="15">
      <c r="A1084" s="3">
        <f t="shared" si="0"/>
        <v>2049</v>
      </c>
      <c r="B1084" s="4">
        <f>AVERAGE(B425:B436)</f>
        <v>31.221566666666664</v>
      </c>
      <c r="C1084" s="4">
        <f>AVERAGE(C425:C436)</f>
        <v>30.8583</v>
      </c>
      <c r="D1084" s="4">
        <f>AVERAGE(D425:D436)</f>
        <v>43.146850000000001</v>
      </c>
      <c r="E1084" s="4">
        <f>AVERAGE(E425:E436)</f>
        <v>202.36325252401534</v>
      </c>
    </row>
    <row r="1085" spans="1:5" ht="15">
      <c r="A1085" s="3">
        <f t="shared" si="0"/>
        <v>2050</v>
      </c>
      <c r="B1085" s="4">
        <f>AVERAGE(B437:B448)</f>
        <v>31.700266666666664</v>
      </c>
      <c r="C1085" s="4">
        <f>AVERAGE(C437:C448)</f>
        <v>31.337</v>
      </c>
      <c r="D1085" s="4">
        <f>AVERAGE(D437:D448)</f>
        <v>43.876458333333339</v>
      </c>
      <c r="E1085" s="4">
        <f>AVERAGE(E437:E448)</f>
        <v>205.9487470530446</v>
      </c>
    </row>
    <row r="1086" spans="1:5" ht="15">
      <c r="A1086" s="3">
        <f t="shared" si="0"/>
        <v>2051</v>
      </c>
      <c r="B1086" s="4">
        <f>AVERAGE(B449:B460)</f>
        <v>32.186499999999995</v>
      </c>
      <c r="C1086" s="4">
        <f>AVERAGE(C449:C460)</f>
        <v>31.823216666666667</v>
      </c>
      <c r="D1086" s="4">
        <f>AVERAGE(D449:D460)</f>
        <v>44.618950000000005</v>
      </c>
      <c r="E1086" s="4">
        <f>AVERAGE(E449:E460)</f>
        <v>209.59776977139384</v>
      </c>
    </row>
    <row r="1087" spans="1:5" ht="15">
      <c r="A1087" s="3">
        <f t="shared" si="0"/>
        <v>2052</v>
      </c>
      <c r="B1087" s="4">
        <f>AVERAGE(B461:B472)</f>
        <v>32.680374999999998</v>
      </c>
      <c r="C1087" s="4">
        <f>AVERAGE(C461:C472)</f>
        <v>32.317091666666663</v>
      </c>
      <c r="D1087" s="4">
        <f>AVERAGE(D461:D472)</f>
        <v>45.374566666666659</v>
      </c>
      <c r="E1087" s="4">
        <f>AVERAGE(E461:E472)</f>
        <v>213.31144627855932</v>
      </c>
    </row>
    <row r="1088" spans="1:5" ht="15">
      <c r="A1088" s="3">
        <f t="shared" si="0"/>
        <v>2053</v>
      </c>
      <c r="B1088" s="4">
        <f>AVERAGE(B473:B484)</f>
        <v>33.181999999999995</v>
      </c>
      <c r="C1088" s="4">
        <f>AVERAGE(C473:C484)</f>
        <v>32.818741666666661</v>
      </c>
      <c r="D1088" s="4">
        <f>AVERAGE(D473:D484)</f>
        <v>46.143558333333338</v>
      </c>
      <c r="E1088" s="4">
        <f>AVERAGE(E473:E484)</f>
        <v>217.09092211753554</v>
      </c>
    </row>
    <row r="1089" spans="1:5" ht="15">
      <c r="A1089" s="3">
        <f t="shared" si="0"/>
        <v>2054</v>
      </c>
      <c r="B1089" s="4">
        <f>AVERAGE(B485:B496)</f>
        <v>33.691558333333333</v>
      </c>
      <c r="C1089" s="4">
        <f>AVERAGE(C485:C496)</f>
        <v>33.328266666666664</v>
      </c>
      <c r="D1089" s="4">
        <f>AVERAGE(D485:D496)</f>
        <v>46.926116666666665</v>
      </c>
      <c r="E1089" s="4">
        <f>AVERAGE(E485:E496)</f>
        <v>220.93736312817293</v>
      </c>
    </row>
    <row r="1090" spans="1:5" ht="15">
      <c r="A1090" s="3">
        <f t="shared" si="0"/>
        <v>2055</v>
      </c>
      <c r="B1090" s="4">
        <f>AVERAGE(B497:B508)</f>
        <v>34.209091666666666</v>
      </c>
      <c r="C1090" s="4">
        <f>AVERAGE(C497:C508)</f>
        <v>33.845816666666671</v>
      </c>
      <c r="D1090" s="4">
        <f>AVERAGE(D497:D508)</f>
        <v>47.722508333333337</v>
      </c>
      <c r="E1090" s="4">
        <f>AVERAGE(E497:E508)</f>
        <v>224.85195580680258</v>
      </c>
    </row>
    <row r="1091" spans="1:5" ht="15">
      <c r="A1091" s="3">
        <f t="shared" si="0"/>
        <v>2056</v>
      </c>
      <c r="B1091" s="4">
        <f>AVERAGE(B509:B520)</f>
        <v>34.73478333333334</v>
      </c>
      <c r="C1091" s="4">
        <f>AVERAGE(C509:C520)</f>
        <v>34.371499999999997</v>
      </c>
      <c r="D1091" s="4">
        <f>AVERAGE(D509:D520)</f>
        <v>48.53295</v>
      </c>
      <c r="E1091" s="4">
        <f>AVERAGE(E509:E520)</f>
        <v>228.83590767222924</v>
      </c>
    </row>
    <row r="1092" spans="1:5" ht="15">
      <c r="A1092" s="3">
        <f t="shared" si="0"/>
        <v>2057</v>
      </c>
      <c r="B1092" s="4">
        <f>AVERAGE(B521:B532)</f>
        <v>35.268716666666663</v>
      </c>
      <c r="C1092" s="4">
        <f>AVERAGE(C521:C532)</f>
        <v>34.905441666666675</v>
      </c>
      <c r="D1092" s="4">
        <f>AVERAGE(D521:D532)</f>
        <v>49.357724999999995</v>
      </c>
      <c r="E1092" s="4">
        <f>AVERAGE(E521:E532)</f>
        <v>232.89044763820894</v>
      </c>
    </row>
    <row r="1093" spans="1:5" ht="15">
      <c r="A1093" s="3">
        <f t="shared" si="0"/>
        <v>2058</v>
      </c>
      <c r="B1093" s="4">
        <f>AVERAGE(B533:B544)</f>
        <v>35.811066666666662</v>
      </c>
      <c r="C1093" s="4">
        <f>AVERAGE(C533:C544)</f>
        <v>35.447775</v>
      </c>
      <c r="D1093" s="4">
        <f>AVERAGE(D533:D544)</f>
        <v>50.197099999999999</v>
      </c>
      <c r="E1093" s="4">
        <f>AVERAGE(E533:E544)</f>
        <v>237.01682639252795</v>
      </c>
    </row>
    <row r="1094" spans="1:5" ht="15">
      <c r="A1094" s="3">
        <f t="shared" si="0"/>
        <v>2059</v>
      </c>
      <c r="B1094" s="4">
        <f>AVERAGE(B545:B556)</f>
        <v>36.361941666666674</v>
      </c>
      <c r="C1094" s="4">
        <f>AVERAGE(C545:C556)</f>
        <v>35.998641666666664</v>
      </c>
      <c r="D1094" s="4">
        <f>AVERAGE(D545:D556)</f>
        <v>51.05125833333333</v>
      </c>
      <c r="E1094" s="4">
        <f>AVERAGE(E545:E556)</f>
        <v>241.21631678279758</v>
      </c>
    </row>
    <row r="1095" spans="1:5" ht="15">
      <c r="A1095" s="3">
        <f t="shared" si="0"/>
        <v>2060</v>
      </c>
      <c r="B1095" s="4">
        <f>AVERAGE(B557:B568)</f>
        <v>36.921483333333335</v>
      </c>
      <c r="C1095" s="4">
        <f>AVERAGE(C557:C568)</f>
        <v>36.558183333333339</v>
      </c>
      <c r="D1095" s="4">
        <f>AVERAGE(D557:D568)</f>
        <v>51.920533333333339</v>
      </c>
      <c r="E1095" s="4">
        <f>AVERAGE(E557:E568)</f>
        <v>245.49021420908386</v>
      </c>
    </row>
    <row r="1096" spans="1:5" ht="15">
      <c r="A1096" s="3">
        <f t="shared" si="0"/>
        <v>2061</v>
      </c>
      <c r="B1096" s="4">
        <f>AVERAGE(B569:B580)</f>
        <v>37.489808333333336</v>
      </c>
      <c r="C1096" s="4">
        <f>AVERAGE(C569:C580)</f>
        <v>37.126525000000001</v>
      </c>
      <c r="D1096" s="4">
        <f>AVERAGE(D569:D580)</f>
        <v>52.805158333333331</v>
      </c>
      <c r="E1096" s="4">
        <f>AVERAGE(E569:E580)</f>
        <v>249.83983702349511</v>
      </c>
    </row>
    <row r="1097" spans="1:5" ht="15">
      <c r="A1097" s="3">
        <f t="shared" si="0"/>
        <v>2062</v>
      </c>
      <c r="B1097" s="4">
        <f t="shared" ref="B1097:E1116" ca="1" si="1">AVERAGE(OFFSET(B$581,($A1097-$A$1097)*12,0,12,1))</f>
        <v>38.067100000000003</v>
      </c>
      <c r="C1097" s="4">
        <f t="shared" ca="1" si="1"/>
        <v>37.703808333333335</v>
      </c>
      <c r="D1097" s="4">
        <f t="shared" ca="1" si="1"/>
        <v>53.705408333333338</v>
      </c>
      <c r="E1097" s="4">
        <f t="shared" ca="1" si="1"/>
        <v>254.26652693684795</v>
      </c>
    </row>
    <row r="1098" spans="1:5" ht="15">
      <c r="A1098" s="3">
        <f t="shared" si="0"/>
        <v>2063</v>
      </c>
      <c r="B1098" s="4">
        <f t="shared" ca="1" si="1"/>
        <v>38.653425000000006</v>
      </c>
      <c r="C1098" s="4">
        <f t="shared" ca="1" si="1"/>
        <v>38.290141666666663</v>
      </c>
      <c r="D1098" s="4">
        <f t="shared" ca="1" si="1"/>
        <v>54.621575000000007</v>
      </c>
      <c r="E1098" s="4">
        <f t="shared" ca="1" si="1"/>
        <v>258.7716494325399</v>
      </c>
    </row>
    <row r="1099" spans="1:5" ht="15">
      <c r="A1099" s="3">
        <f t="shared" si="0"/>
        <v>2064</v>
      </c>
      <c r="B1099" s="4">
        <f t="shared" ca="1" si="1"/>
        <v>39.248983333333335</v>
      </c>
      <c r="C1099" s="4">
        <f t="shared" ca="1" si="1"/>
        <v>38.885716666666674</v>
      </c>
      <c r="D1099" s="4">
        <f t="shared" ca="1" si="1"/>
        <v>55.553941666666667</v>
      </c>
      <c r="E1099" s="4">
        <f t="shared" ca="1" si="1"/>
        <v>263.35659418775504</v>
      </c>
    </row>
    <row r="1100" spans="1:5" ht="15">
      <c r="A1100" s="3">
        <f t="shared" si="0"/>
        <v>2065</v>
      </c>
      <c r="B1100" s="4">
        <f t="shared" ca="1" si="1"/>
        <v>39.853933333333337</v>
      </c>
      <c r="C1100" s="4">
        <f t="shared" ca="1" si="1"/>
        <v>39.490650000000002</v>
      </c>
      <c r="D1100" s="4">
        <f t="shared" ca="1" si="1"/>
        <v>56.502758333333333</v>
      </c>
      <c r="E1100" s="4">
        <f t="shared" ca="1" si="1"/>
        <v>268.02277550213159</v>
      </c>
    </row>
    <row r="1101" spans="1:5" ht="15">
      <c r="A1101" s="3">
        <f t="shared" si="0"/>
        <v>2066</v>
      </c>
      <c r="B1101" s="4">
        <f t="shared" ca="1" si="1"/>
        <v>40.468375000000002</v>
      </c>
      <c r="C1101" s="4">
        <f t="shared" ca="1" si="1"/>
        <v>40.105091666666667</v>
      </c>
      <c r="D1101" s="4">
        <f t="shared" ca="1" si="1"/>
        <v>57.468341666666667</v>
      </c>
      <c r="E1101" s="4">
        <f t="shared" ca="1" si="1"/>
        <v>272.77163273402499</v>
      </c>
    </row>
    <row r="1102" spans="1:5" ht="15">
      <c r="A1102" s="3">
        <f t="shared" si="0"/>
        <v>2067</v>
      </c>
      <c r="B1102" s="4">
        <f t="shared" ca="1" si="1"/>
        <v>41.092483333333341</v>
      </c>
      <c r="C1102" s="4">
        <f t="shared" ca="1" si="1"/>
        <v>40.729208333333332</v>
      </c>
      <c r="D1102" s="4">
        <f t="shared" ca="1" si="1"/>
        <v>58.451008333333334</v>
      </c>
      <c r="E1102" s="4">
        <f t="shared" ca="1" si="1"/>
        <v>277.604630744502</v>
      </c>
    </row>
    <row r="1103" spans="1:5" ht="15">
      <c r="A1103" s="3">
        <f t="shared" si="0"/>
        <v>2068</v>
      </c>
      <c r="B1103" s="4">
        <f t="shared" ca="1" si="1"/>
        <v>41.726391666666665</v>
      </c>
      <c r="C1103" s="4">
        <f t="shared" ca="1" si="1"/>
        <v>41.363116666666663</v>
      </c>
      <c r="D1103" s="4">
        <f t="shared" ca="1" si="1"/>
        <v>59.451008333333341</v>
      </c>
      <c r="E1103" s="4">
        <f t="shared" ca="1" si="1"/>
        <v>282.52326034920014</v>
      </c>
    </row>
    <row r="1104" spans="1:5" ht="15">
      <c r="A1104" s="3">
        <f t="shared" si="0"/>
        <v>2069</v>
      </c>
      <c r="B1104" s="4">
        <f t="shared" ca="1" si="1"/>
        <v>42.370291666666667</v>
      </c>
      <c r="C1104" s="4">
        <f t="shared" ca="1" si="1"/>
        <v>42.006999999999998</v>
      </c>
      <c r="D1104" s="4">
        <f t="shared" ca="1" si="1"/>
        <v>60.468674999999998</v>
      </c>
      <c r="E1104" s="4">
        <f t="shared" ca="1" si="1"/>
        <v>287.52903877819324</v>
      </c>
    </row>
    <row r="1105" spans="1:5" ht="15">
      <c r="A1105" s="3">
        <f t="shared" ref="A1105:A1135" si="2">A1104+1</f>
        <v>2070</v>
      </c>
      <c r="B1105" s="4">
        <f t="shared" ca="1" si="1"/>
        <v>43.024300000000004</v>
      </c>
      <c r="C1105" s="4">
        <f t="shared" ca="1" si="1"/>
        <v>42.661025000000002</v>
      </c>
      <c r="D1105" s="4">
        <f t="shared" ca="1" si="1"/>
        <v>61.504341666666654</v>
      </c>
      <c r="E1105" s="4">
        <f t="shared" ca="1" si="1"/>
        <v>292.62351014400559</v>
      </c>
    </row>
    <row r="1106" spans="1:5" ht="15">
      <c r="A1106" s="3">
        <f t="shared" si="2"/>
        <v>2071</v>
      </c>
      <c r="B1106" s="4">
        <f t="shared" ca="1" si="1"/>
        <v>43.688600000000001</v>
      </c>
      <c r="C1106" s="4">
        <f t="shared" ca="1" si="1"/>
        <v>43.325324999999999</v>
      </c>
      <c r="D1106" s="4">
        <f t="shared" ca="1" si="1"/>
        <v>62.558316666666663</v>
      </c>
      <c r="E1106" s="4">
        <f t="shared" ca="1" si="1"/>
        <v>297.80824591791895</v>
      </c>
    </row>
    <row r="1107" spans="1:5" ht="15">
      <c r="A1107" s="3">
        <f t="shared" si="2"/>
        <v>2072</v>
      </c>
      <c r="B1107" s="4">
        <f t="shared" ca="1" si="1"/>
        <v>44.363358333333331</v>
      </c>
      <c r="C1107" s="4">
        <f t="shared" ca="1" si="1"/>
        <v>44.000058333333335</v>
      </c>
      <c r="D1107" s="4">
        <f t="shared" ca="1" si="1"/>
        <v>63.630891666666678</v>
      </c>
      <c r="E1107" s="4">
        <f t="shared" ca="1" si="1"/>
        <v>303.08484541471637</v>
      </c>
    </row>
    <row r="1108" spans="1:5" ht="15">
      <c r="A1108" s="3">
        <f t="shared" si="2"/>
        <v>2073</v>
      </c>
      <c r="B1108" s="4">
        <f t="shared" ca="1" si="1"/>
        <v>45.048716666666671</v>
      </c>
      <c r="C1108" s="4">
        <f t="shared" ca="1" si="1"/>
        <v>44.685425000000002</v>
      </c>
      <c r="D1108" s="4">
        <f t="shared" ca="1" si="1"/>
        <v>64.72240833333332</v>
      </c>
      <c r="E1108" s="4">
        <f t="shared" ca="1" si="1"/>
        <v>308.45493628601827</v>
      </c>
    </row>
    <row r="1109" spans="1:5" ht="15">
      <c r="A1109" s="3">
        <f t="shared" si="2"/>
        <v>2074</v>
      </c>
      <c r="B1109" s="4">
        <f t="shared" ca="1" si="1"/>
        <v>45.744841666666666</v>
      </c>
      <c r="C1109" s="4">
        <f t="shared" ca="1" si="1"/>
        <v>45.381566666666664</v>
      </c>
      <c r="D1109" s="4">
        <f t="shared" ca="1" si="1"/>
        <v>65.833224999999985</v>
      </c>
      <c r="E1109" s="4">
        <f t="shared" ca="1" si="1"/>
        <v>313.92017502235626</v>
      </c>
    </row>
    <row r="1110" spans="1:5" ht="15">
      <c r="A1110" s="3">
        <f t="shared" si="2"/>
        <v>2075</v>
      </c>
      <c r="B1110" s="4">
        <f t="shared" ca="1" si="1"/>
        <v>46.451924999999996</v>
      </c>
      <c r="C1110" s="4">
        <f t="shared" ca="1" si="1"/>
        <v>46.088641666666668</v>
      </c>
      <c r="D1110" s="4">
        <f t="shared" ca="1" si="1"/>
        <v>66.963666666666668</v>
      </c>
      <c r="E1110" s="4">
        <f t="shared" ca="1" si="1"/>
        <v>319.48224746414513</v>
      </c>
    </row>
    <row r="1111" spans="1:5" ht="15">
      <c r="A1111" s="3">
        <f t="shared" si="2"/>
        <v>2076</v>
      </c>
      <c r="B1111" s="4">
        <f t="shared" ca="1" si="1"/>
        <v>47.170133333333332</v>
      </c>
      <c r="C1111" s="4">
        <f t="shared" ca="1" si="1"/>
        <v>46.806841666666664</v>
      </c>
      <c r="D1111" s="4">
        <f t="shared" ca="1" si="1"/>
        <v>68.114100000000008</v>
      </c>
      <c r="E1111" s="4">
        <f t="shared" ca="1" si="1"/>
        <v>325.14286932170648</v>
      </c>
    </row>
    <row r="1112" spans="1:5" ht="15">
      <c r="A1112" s="3">
        <f t="shared" si="2"/>
        <v>2077</v>
      </c>
      <c r="B1112" s="4">
        <f t="shared" ca="1" si="1"/>
        <v>47.899625000000007</v>
      </c>
      <c r="C1112" s="4">
        <f t="shared" ca="1" si="1"/>
        <v>47.536333333333339</v>
      </c>
      <c r="D1112" s="4">
        <f t="shared" ca="1" si="1"/>
        <v>69.284816666666657</v>
      </c>
      <c r="E1112" s="4">
        <f t="shared" ca="1" si="1"/>
        <v>330.90378670450815</v>
      </c>
    </row>
    <row r="1113" spans="1:5" ht="15">
      <c r="A1113" s="3">
        <f t="shared" si="2"/>
        <v>2078</v>
      </c>
      <c r="B1113" s="4">
        <f t="shared" ca="1" si="1"/>
        <v>48.640583333333332</v>
      </c>
      <c r="C1113" s="4">
        <f t="shared" ca="1" si="1"/>
        <v>48.277291666666677</v>
      </c>
      <c r="D1113" s="4">
        <f t="shared" ca="1" si="1"/>
        <v>70.476258333333334</v>
      </c>
      <c r="E1113" s="4">
        <f t="shared" ca="1" si="1"/>
        <v>336.76677665977854</v>
      </c>
    </row>
    <row r="1114" spans="1:5" ht="15">
      <c r="A1114" s="3">
        <f t="shared" si="2"/>
        <v>2079</v>
      </c>
      <c r="B1114" s="4">
        <f t="shared" ca="1" si="1"/>
        <v>49.3932</v>
      </c>
      <c r="C1114" s="4">
        <f t="shared" ca="1" si="1"/>
        <v>49.029924999999999</v>
      </c>
      <c r="D1114" s="4">
        <f t="shared" ca="1" si="1"/>
        <v>71.688725000000019</v>
      </c>
      <c r="E1114" s="4">
        <f t="shared" ca="1" si="1"/>
        <v>342.73364772066526</v>
      </c>
    </row>
    <row r="1115" spans="1:5" ht="15">
      <c r="A1115" s="3">
        <f t="shared" si="2"/>
        <v>2080</v>
      </c>
      <c r="B1115" s="4">
        <f t="shared" ca="1" si="1"/>
        <v>50.157641666666656</v>
      </c>
      <c r="C1115" s="4">
        <f t="shared" ca="1" si="1"/>
        <v>49.794358333333342</v>
      </c>
      <c r="D1115" s="4">
        <f t="shared" ca="1" si="1"/>
        <v>72.922624999999996</v>
      </c>
      <c r="E1115" s="4">
        <f t="shared" ca="1" si="1"/>
        <v>348.80624046410753</v>
      </c>
    </row>
    <row r="1116" spans="1:5" ht="15">
      <c r="A1116" s="3">
        <f t="shared" si="2"/>
        <v>2081</v>
      </c>
      <c r="B1116" s="4">
        <f t="shared" ca="1" si="1"/>
        <v>50.934125000000002</v>
      </c>
      <c r="C1116" s="4">
        <f t="shared" ca="1" si="1"/>
        <v>50.570833333333333</v>
      </c>
      <c r="D1116" s="4">
        <f t="shared" ca="1" si="1"/>
        <v>74.178341666666668</v>
      </c>
      <c r="E1116" s="4">
        <f t="shared" ca="1" si="1"/>
        <v>354.98642807859028</v>
      </c>
    </row>
    <row r="1117" spans="1:5" ht="15">
      <c r="A1117" s="3">
        <f t="shared" si="2"/>
        <v>2082</v>
      </c>
      <c r="B1117" s="4">
        <f t="shared" ref="B1117:E1135" ca="1" si="3">AVERAGE(OFFSET(B$581,($A1117-$A$1097)*12,0,12,1))</f>
        <v>51.722791666666666</v>
      </c>
      <c r="C1117" s="4">
        <f t="shared" ca="1" si="3"/>
        <v>51.359516666666671</v>
      </c>
      <c r="D1117" s="4">
        <f t="shared" ca="1" si="3"/>
        <v>75.456225000000003</v>
      </c>
      <c r="E1117" s="4">
        <f t="shared" ca="1" si="3"/>
        <v>361.2761169419594</v>
      </c>
    </row>
    <row r="1118" spans="1:5" ht="15">
      <c r="A1118" s="3">
        <f t="shared" si="2"/>
        <v>2083</v>
      </c>
      <c r="B1118" s="4">
        <f t="shared" ca="1" si="3"/>
        <v>52.523883333333337</v>
      </c>
      <c r="C1118" s="4">
        <f t="shared" ca="1" si="3"/>
        <v>52.160608333333336</v>
      </c>
      <c r="D1118" s="4">
        <f t="shared" ca="1" si="3"/>
        <v>76.756683333333356</v>
      </c>
      <c r="E1118" s="4">
        <f t="shared" ca="1" si="3"/>
        <v>367.6772472094749</v>
      </c>
    </row>
    <row r="1119" spans="1:5" ht="15">
      <c r="A1119" s="3">
        <f t="shared" si="2"/>
        <v>2084</v>
      </c>
      <c r="B1119" s="4">
        <f t="shared" ca="1" si="3"/>
        <v>53.337574999999994</v>
      </c>
      <c r="C1119" s="4">
        <f t="shared" ca="1" si="3"/>
        <v>52.974275000000006</v>
      </c>
      <c r="D1119" s="4">
        <f t="shared" ca="1" si="3"/>
        <v>78.080100000000002</v>
      </c>
      <c r="E1119" s="4">
        <f t="shared" ca="1" si="3"/>
        <v>374.19179341228238</v>
      </c>
    </row>
    <row r="1120" spans="1:5" ht="15">
      <c r="A1120" s="3">
        <f t="shared" si="2"/>
        <v>2085</v>
      </c>
      <c r="B1120" s="4">
        <f t="shared" ca="1" si="3"/>
        <v>54.164049999999996</v>
      </c>
      <c r="C1120" s="4">
        <f t="shared" ca="1" si="3"/>
        <v>53.800758333333334</v>
      </c>
      <c r="D1120" s="4">
        <f t="shared" ca="1" si="3"/>
        <v>79.426958333333332</v>
      </c>
      <c r="E1120" s="4">
        <f t="shared" ca="1" si="3"/>
        <v>380.82176506648966</v>
      </c>
    </row>
    <row r="1121" spans="1:5" ht="15">
      <c r="A1121" s="3">
        <f t="shared" si="2"/>
        <v>2086</v>
      </c>
      <c r="B1121" s="4">
        <f t="shared" ca="1" si="3"/>
        <v>55.003499999999995</v>
      </c>
      <c r="C1121" s="4">
        <f t="shared" ca="1" si="3"/>
        <v>54.640225000000008</v>
      </c>
      <c r="D1121" s="4">
        <f t="shared" ca="1" si="3"/>
        <v>80.797558333333342</v>
      </c>
      <c r="E1121" s="4">
        <f t="shared" ca="1" si="3"/>
        <v>387.56920729303323</v>
      </c>
    </row>
    <row r="1122" spans="1:5" ht="15">
      <c r="A1122" s="3">
        <f t="shared" si="2"/>
        <v>2087</v>
      </c>
      <c r="B1122" s="4">
        <f t="shared" ca="1" si="3"/>
        <v>55.856158333333333</v>
      </c>
      <c r="C1122" s="4">
        <f t="shared" ca="1" si="3"/>
        <v>55.492900000000013</v>
      </c>
      <c r="D1122" s="4">
        <f t="shared" ca="1" si="3"/>
        <v>82.192391666666666</v>
      </c>
      <c r="E1122" s="4">
        <f t="shared" ca="1" si="3"/>
        <v>394.43620144852849</v>
      </c>
    </row>
    <row r="1123" spans="1:5" ht="15">
      <c r="A1123" s="3">
        <f t="shared" si="2"/>
        <v>2088</v>
      </c>
      <c r="B1123" s="4">
        <f t="shared" ca="1" si="3"/>
        <v>56.722258333333322</v>
      </c>
      <c r="C1123" s="4">
        <f t="shared" ca="1" si="3"/>
        <v>56.358974999999994</v>
      </c>
      <c r="D1123" s="4">
        <f t="shared" ca="1" si="3"/>
        <v>83.611883333333338</v>
      </c>
      <c r="E1123" s="4">
        <f t="shared" ca="1" si="3"/>
        <v>401.42486576729817</v>
      </c>
    </row>
    <row r="1124" spans="1:5" ht="15">
      <c r="A1124" s="3">
        <f t="shared" si="2"/>
        <v>2089</v>
      </c>
      <c r="B1124" s="4">
        <f t="shared" ca="1" si="3"/>
        <v>57.601966666666669</v>
      </c>
      <c r="C1124" s="4">
        <f t="shared" ca="1" si="3"/>
        <v>57.238675000000008</v>
      </c>
      <c r="D1124" s="4">
        <f t="shared" ca="1" si="3"/>
        <v>85.056449999999998</v>
      </c>
      <c r="E1124" s="4">
        <f t="shared" ca="1" si="3"/>
        <v>408.53735601477615</v>
      </c>
    </row>
    <row r="1125" spans="1:5" ht="15">
      <c r="A1125" s="3">
        <f t="shared" si="2"/>
        <v>2090</v>
      </c>
      <c r="B1125" s="4">
        <f t="shared" ca="1" si="3"/>
        <v>58.495474999999999</v>
      </c>
      <c r="C1125" s="4">
        <f t="shared" ca="1" si="3"/>
        <v>58.132208333333331</v>
      </c>
      <c r="D1125" s="4">
        <f t="shared" ca="1" si="3"/>
        <v>86.526516666666666</v>
      </c>
      <c r="E1125" s="4">
        <f t="shared" ca="1" si="3"/>
        <v>415.77586615248651</v>
      </c>
    </row>
    <row r="1126" spans="1:5" ht="15">
      <c r="A1126" s="3">
        <f t="shared" si="2"/>
        <v>2091</v>
      </c>
      <c r="B1126" s="4">
        <f t="shared" ca="1" si="3"/>
        <v>59.403075000000001</v>
      </c>
      <c r="C1126" s="4">
        <f t="shared" ca="1" si="3"/>
        <v>59.039791666666666</v>
      </c>
      <c r="D1126" s="4">
        <f t="shared" ca="1" si="3"/>
        <v>88.022575000000003</v>
      </c>
      <c r="E1126" s="4">
        <f t="shared" ca="1" si="3"/>
        <v>423.14262901480635</v>
      </c>
    </row>
    <row r="1127" spans="1:5" ht="15">
      <c r="A1127" s="3">
        <f t="shared" si="2"/>
        <v>2092</v>
      </c>
      <c r="B1127" s="4">
        <f t="shared" ca="1" si="3"/>
        <v>60.324941666666668</v>
      </c>
      <c r="C1127" s="4">
        <f t="shared" ca="1" si="3"/>
        <v>59.961649999999999</v>
      </c>
      <c r="D1127" s="4">
        <f t="shared" ca="1" si="3"/>
        <v>89.545066666666671</v>
      </c>
      <c r="E1127" s="4">
        <f t="shared" ca="1" si="3"/>
        <v>430.63991699772032</v>
      </c>
    </row>
    <row r="1128" spans="1:5" ht="15">
      <c r="A1128" s="3">
        <f t="shared" si="2"/>
        <v>2093</v>
      </c>
      <c r="B1128" s="4">
        <f t="shared" ca="1" si="3"/>
        <v>61.261283333333346</v>
      </c>
      <c r="C1128" s="4">
        <f t="shared" ca="1" si="3"/>
        <v>60.897983333333322</v>
      </c>
      <c r="D1128" s="4">
        <f t="shared" ca="1" si="3"/>
        <v>91.094449999999995</v>
      </c>
      <c r="E1128" s="4">
        <f t="shared" ca="1" si="3"/>
        <v>438.27004275977629</v>
      </c>
    </row>
    <row r="1129" spans="1:5" ht="15">
      <c r="A1129" s="3">
        <f t="shared" si="2"/>
        <v>2094</v>
      </c>
      <c r="B1129" s="4">
        <f t="shared" ca="1" si="3"/>
        <v>62.212350000000008</v>
      </c>
      <c r="C1129" s="4">
        <f t="shared" ca="1" si="3"/>
        <v>61.849074999999999</v>
      </c>
      <c r="D1129" s="4">
        <f t="shared" ca="1" si="3"/>
        <v>92.67121666666668</v>
      </c>
      <c r="E1129" s="4">
        <f t="shared" ca="1" si="3"/>
        <v>446.03535993546365</v>
      </c>
    </row>
    <row r="1130" spans="1:5" ht="15">
      <c r="A1130" s="3">
        <f t="shared" si="2"/>
        <v>2095</v>
      </c>
      <c r="B1130" s="4">
        <f t="shared" ca="1" si="3"/>
        <v>63.17839166666667</v>
      </c>
      <c r="C1130" s="4">
        <f t="shared" ca="1" si="3"/>
        <v>62.815099999999994</v>
      </c>
      <c r="D1130" s="4">
        <f t="shared" ca="1" si="3"/>
        <v>94.275833333333324</v>
      </c>
      <c r="E1130" s="4">
        <f t="shared" ca="1" si="3"/>
        <v>453.93826386122669</v>
      </c>
    </row>
    <row r="1131" spans="1:5" ht="15">
      <c r="A1131" s="3">
        <f t="shared" si="2"/>
        <v>2096</v>
      </c>
      <c r="B1131" s="4">
        <f t="shared" ca="1" si="3"/>
        <v>64.159608333333338</v>
      </c>
      <c r="C1131" s="4">
        <f t="shared" ca="1" si="3"/>
        <v>63.796325000000003</v>
      </c>
      <c r="D1131" s="4">
        <f t="shared" ca="1" si="3"/>
        <v>95.908824999999993</v>
      </c>
      <c r="E1131" s="4">
        <f t="shared" ca="1" si="3"/>
        <v>461.98119231434754</v>
      </c>
    </row>
    <row r="1132" spans="1:5" ht="15">
      <c r="A1132" s="3">
        <f t="shared" si="2"/>
        <v>2097</v>
      </c>
      <c r="B1132" s="4">
        <f t="shared" ca="1" si="3"/>
        <v>65.15625</v>
      </c>
      <c r="C1132" s="4">
        <f t="shared" ca="1" si="3"/>
        <v>64.792974999999998</v>
      </c>
      <c r="D1132" s="4">
        <f t="shared" ca="1" si="3"/>
        <v>97.570641666666674</v>
      </c>
      <c r="E1132" s="4">
        <f t="shared" ca="1" si="3"/>
        <v>470.16662626491598</v>
      </c>
    </row>
    <row r="1133" spans="1:5" ht="15">
      <c r="A1133" s="3">
        <f t="shared" si="2"/>
        <v>2098</v>
      </c>
      <c r="B1133" s="4">
        <f t="shared" ca="1" si="3"/>
        <v>66.168591666666671</v>
      </c>
      <c r="C1133" s="4">
        <f t="shared" ca="1" si="3"/>
        <v>65.805291666666676</v>
      </c>
      <c r="D1133" s="4">
        <f t="shared" ca="1" si="3"/>
        <v>99.261824999999988</v>
      </c>
      <c r="E1133" s="4">
        <f t="shared" ca="1" si="3"/>
        <v>478.49709064112477</v>
      </c>
    </row>
    <row r="1134" spans="1:5" ht="15">
      <c r="A1134" s="3">
        <f t="shared" si="2"/>
        <v>2099</v>
      </c>
      <c r="B1134" s="4">
        <f t="shared" ca="1" si="3"/>
        <v>67.196816666666663</v>
      </c>
      <c r="C1134" s="4">
        <f t="shared" ca="1" si="3"/>
        <v>66.833550000000002</v>
      </c>
      <c r="D1134" s="4">
        <f t="shared" ca="1" si="3"/>
        <v>100.98289999999999</v>
      </c>
      <c r="E1134" s="4">
        <f t="shared" ca="1" si="3"/>
        <v>486.97515510812372</v>
      </c>
    </row>
    <row r="1135" spans="1:5" ht="15">
      <c r="A1135" s="3">
        <f t="shared" si="2"/>
        <v>2100</v>
      </c>
      <c r="B1135" s="4">
        <f t="shared" ca="1" si="3"/>
        <v>68.241224999999986</v>
      </c>
      <c r="C1135" s="4">
        <f t="shared" ca="1" si="3"/>
        <v>67.877949999999998</v>
      </c>
      <c r="D1135" s="4">
        <f t="shared" ca="1" si="3"/>
        <v>102.73438333333331</v>
      </c>
      <c r="E1135" s="4">
        <f t="shared" ca="1" si="3"/>
        <v>495.60343486067512</v>
      </c>
    </row>
    <row r="1136" spans="1:5">
      <c r="A1136" s="32"/>
    </row>
    <row r="1137" spans="1:1">
      <c r="A1137" s="32"/>
    </row>
    <row r="1138" spans="1:1">
      <c r="A1138" s="32"/>
    </row>
    <row r="1139" spans="1:1">
      <c r="A1139" s="32"/>
    </row>
    <row r="1140" spans="1:1">
      <c r="A1140" s="32"/>
    </row>
    <row r="1141" spans="1:1">
      <c r="A1141" s="32"/>
    </row>
    <row r="1142" spans="1:1">
      <c r="A1142" s="32"/>
    </row>
    <row r="1143" spans="1:1">
      <c r="A1143" s="32"/>
    </row>
    <row r="1144" spans="1:1">
      <c r="A1144" s="32"/>
    </row>
    <row r="1145" spans="1:1">
      <c r="A1145" s="32"/>
    </row>
    <row r="1146" spans="1:1">
      <c r="A1146" s="32"/>
    </row>
    <row r="1147" spans="1:1">
      <c r="A1147" s="32"/>
    </row>
    <row r="1148" spans="1:1">
      <c r="A1148" s="32"/>
    </row>
    <row r="1149" spans="1:1">
      <c r="A1149" s="32"/>
    </row>
    <row r="1150" spans="1:1">
      <c r="A1150" s="32"/>
    </row>
    <row r="1151" spans="1:1">
      <c r="A1151" s="32"/>
    </row>
    <row r="1152" spans="1:1">
      <c r="A1152" s="32"/>
    </row>
    <row r="1153" spans="1:1">
      <c r="A1153" s="32"/>
    </row>
    <row r="1154" spans="1:1">
      <c r="A1154" s="32"/>
    </row>
    <row r="1155" spans="1:1">
      <c r="A1155" s="32"/>
    </row>
  </sheetData>
  <mergeCells count="1">
    <mergeCell ref="B14:C14"/>
  </mergeCells>
  <pageMargins left="0.25" right="0.25" top="0.5" bottom="0.5" header="0.25" footer="0.25"/>
  <pageSetup orientation="portrait" horizontalDpi="1200" verticalDpi="1200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133350</xdr:colOff>
                    <xdr:row>9</xdr:row>
                    <xdr:rowOff>171450</xdr:rowOff>
                  </from>
                  <to>
                    <xdr:col>2</xdr:col>
                    <xdr:colOff>666750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3</xdr:col>
                    <xdr:colOff>19050</xdr:colOff>
                    <xdr:row>9</xdr:row>
                    <xdr:rowOff>171450</xdr:rowOff>
                  </from>
                  <to>
                    <xdr:col>4</xdr:col>
                    <xdr:colOff>371475</xdr:colOff>
                    <xdr:row>11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O1130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2.75"/>
  <cols>
    <col min="1" max="1" width="14.5546875" style="32" customWidth="1"/>
    <col min="2" max="2" width="19" style="32" customWidth="1"/>
    <col min="3" max="3" width="16.109375" style="32" customWidth="1"/>
    <col min="4" max="4" width="20.21875" style="32" customWidth="1"/>
    <col min="5" max="5" width="20.6640625" style="32" customWidth="1"/>
    <col min="6" max="6" width="16.109375" style="32" customWidth="1"/>
    <col min="7" max="9" width="20" style="32" customWidth="1"/>
    <col min="10" max="11" width="19.109375" style="32" customWidth="1"/>
    <col min="12" max="12" width="16.109375" style="32" customWidth="1"/>
    <col min="13" max="15" width="17.6640625" style="32" customWidth="1"/>
    <col min="16" max="16384" width="7.109375" style="32"/>
  </cols>
  <sheetData>
    <row r="1" spans="1:15" ht="15.75">
      <c r="A1" s="85" t="s">
        <v>64</v>
      </c>
    </row>
    <row r="2" spans="1:15" ht="15.75">
      <c r="A2" s="85" t="s">
        <v>65</v>
      </c>
    </row>
    <row r="3" spans="1:15" ht="15.75">
      <c r="A3" s="85" t="s">
        <v>66</v>
      </c>
    </row>
    <row r="4" spans="1:15" ht="15.75">
      <c r="A4" s="85" t="s">
        <v>67</v>
      </c>
    </row>
    <row r="5" spans="1:15" ht="15.75">
      <c r="A5" s="85" t="s">
        <v>69</v>
      </c>
    </row>
    <row r="6" spans="1:15" ht="15.75">
      <c r="A6" s="85" t="s">
        <v>71</v>
      </c>
    </row>
    <row r="9" spans="1:15" ht="15" customHeight="1">
      <c r="A9" s="75" t="s">
        <v>25</v>
      </c>
    </row>
    <row r="10" spans="1:15" ht="15" customHeight="1">
      <c r="A10" s="76"/>
    </row>
    <row r="11" spans="1:15" ht="15" customHeight="1">
      <c r="A11" s="76"/>
    </row>
    <row r="12" spans="1:15" ht="15" customHeight="1">
      <c r="B12" s="75"/>
      <c r="H12" s="72" t="s">
        <v>51</v>
      </c>
    </row>
    <row r="13" spans="1:15" ht="15" customHeight="1">
      <c r="A13" s="75"/>
      <c r="B13" s="74" t="s">
        <v>24</v>
      </c>
      <c r="C13" s="73">
        <f>1-0.141</f>
        <v>0.85899999999999999</v>
      </c>
      <c r="D13" s="74" t="s">
        <v>23</v>
      </c>
      <c r="E13" s="73">
        <f>1+0.141</f>
        <v>1.141</v>
      </c>
      <c r="H13" s="72"/>
      <c r="L13" s="89"/>
      <c r="M13" s="89"/>
      <c r="N13" s="89"/>
      <c r="O13" s="89"/>
    </row>
    <row r="14" spans="1:15" ht="15" customHeight="1">
      <c r="B14" s="90" t="s">
        <v>50</v>
      </c>
      <c r="C14" s="90"/>
      <c r="D14" s="90"/>
      <c r="E14" s="91" t="s">
        <v>49</v>
      </c>
      <c r="F14" s="91"/>
      <c r="G14" s="92"/>
      <c r="H14" s="93" t="s">
        <v>48</v>
      </c>
      <c r="I14" s="93"/>
      <c r="J14" s="92" t="s">
        <v>47</v>
      </c>
      <c r="K14" s="92"/>
      <c r="L14" s="89"/>
      <c r="M14" s="89"/>
      <c r="N14" s="89"/>
      <c r="O14" s="89"/>
    </row>
    <row r="15" spans="1:15" ht="63">
      <c r="B15" s="70" t="s">
        <v>46</v>
      </c>
      <c r="C15" s="69" t="s">
        <v>45</v>
      </c>
      <c r="D15" s="68" t="s">
        <v>44</v>
      </c>
      <c r="E15" s="70" t="s">
        <v>46</v>
      </c>
      <c r="F15" s="69" t="s">
        <v>45</v>
      </c>
      <c r="G15" s="68" t="s">
        <v>44</v>
      </c>
      <c r="H15" s="69" t="s">
        <v>45</v>
      </c>
      <c r="I15" s="68" t="s">
        <v>44</v>
      </c>
      <c r="J15" s="69" t="s">
        <v>45</v>
      </c>
      <c r="K15" s="68" t="s">
        <v>44</v>
      </c>
      <c r="L15" s="60"/>
      <c r="M15" s="67"/>
      <c r="N15" s="67"/>
      <c r="O15" s="67"/>
    </row>
    <row r="16" spans="1:15" ht="20.25">
      <c r="A16" s="71" t="s">
        <v>2</v>
      </c>
      <c r="B16" s="66" t="s">
        <v>1</v>
      </c>
      <c r="C16" s="66" t="s">
        <v>1</v>
      </c>
      <c r="D16" s="66" t="s">
        <v>1</v>
      </c>
      <c r="E16" s="66" t="s">
        <v>1</v>
      </c>
      <c r="F16" s="66" t="s">
        <v>1</v>
      </c>
      <c r="G16" s="66" t="s">
        <v>1</v>
      </c>
      <c r="H16" s="66" t="s">
        <v>1</v>
      </c>
      <c r="I16" s="66" t="s">
        <v>1</v>
      </c>
      <c r="J16" s="66" t="s">
        <v>1</v>
      </c>
      <c r="K16" s="66" t="s">
        <v>1</v>
      </c>
      <c r="L16" s="65"/>
      <c r="M16" s="65"/>
      <c r="N16" s="65"/>
      <c r="O16" s="65"/>
    </row>
    <row r="17" spans="1:14" ht="15">
      <c r="A17" s="13">
        <v>42156</v>
      </c>
      <c r="B17" s="63">
        <v>2.2098732774287773</v>
      </c>
      <c r="C17" s="63">
        <v>2.2098732774287773</v>
      </c>
      <c r="D17" s="63">
        <v>2.2270369974287774</v>
      </c>
      <c r="E17" s="64">
        <v>3.126813737778892</v>
      </c>
      <c r="F17" s="64">
        <v>4.0599999999999996</v>
      </c>
      <c r="G17" s="64">
        <v>4.0611517999999993</v>
      </c>
      <c r="H17" s="64">
        <v>5.6481543866916262</v>
      </c>
      <c r="I17" s="64">
        <v>5.6493061866916259</v>
      </c>
      <c r="J17" s="64">
        <v>3.126813737778892</v>
      </c>
      <c r="K17" s="64">
        <v>3.1279655377788922</v>
      </c>
      <c r="L17" s="4"/>
      <c r="M17" s="64"/>
      <c r="N17" s="64"/>
    </row>
    <row r="18" spans="1:14" ht="15">
      <c r="A18" s="13">
        <v>42186</v>
      </c>
      <c r="B18" s="63">
        <v>2.2225221149512233</v>
      </c>
      <c r="C18" s="63">
        <v>2.2225221149512233</v>
      </c>
      <c r="D18" s="63">
        <v>2.2396858349512234</v>
      </c>
      <c r="E18" s="64">
        <v>3.2309276100400144</v>
      </c>
      <c r="F18" s="64">
        <v>4.0599999999999996</v>
      </c>
      <c r="G18" s="64">
        <v>4.0611517999999993</v>
      </c>
      <c r="H18" s="64">
        <v>5.6599213749972339</v>
      </c>
      <c r="I18" s="64">
        <v>5.6610731749972336</v>
      </c>
      <c r="J18" s="64">
        <v>3.2309276100400144</v>
      </c>
      <c r="K18" s="64">
        <v>3.2320794100400145</v>
      </c>
      <c r="L18" s="4"/>
      <c r="M18" s="64"/>
      <c r="N18" s="64"/>
    </row>
    <row r="19" spans="1:14" ht="15">
      <c r="A19" s="13">
        <v>42217</v>
      </c>
      <c r="B19" s="63">
        <v>2.2352780562933083</v>
      </c>
      <c r="C19" s="63">
        <v>2.2352780562933083</v>
      </c>
      <c r="D19" s="63">
        <v>2.2524417762933084</v>
      </c>
      <c r="E19" s="64">
        <v>3.4537577300836668</v>
      </c>
      <c r="F19" s="64">
        <v>4.0599999999999996</v>
      </c>
      <c r="G19" s="64">
        <v>4.0611517999999993</v>
      </c>
      <c r="H19" s="64">
        <v>5.671712877861812</v>
      </c>
      <c r="I19" s="64">
        <v>5.6728646778618117</v>
      </c>
      <c r="J19" s="64">
        <v>3.4537577300836668</v>
      </c>
      <c r="K19" s="64">
        <v>3.454909530083667</v>
      </c>
      <c r="L19" s="4"/>
      <c r="M19" s="64"/>
      <c r="N19" s="64"/>
    </row>
    <row r="20" spans="1:14" ht="15">
      <c r="A20" s="13">
        <v>42248</v>
      </c>
      <c r="B20" s="63">
        <v>2.2292100001021868</v>
      </c>
      <c r="C20" s="63">
        <v>2.2292100001021868</v>
      </c>
      <c r="D20" s="63">
        <v>2.2463737201021869</v>
      </c>
      <c r="E20" s="64">
        <v>3.3063721552878178</v>
      </c>
      <c r="F20" s="64">
        <v>4.0599999999999996</v>
      </c>
      <c r="G20" s="64">
        <v>4.0611517999999993</v>
      </c>
      <c r="H20" s="64">
        <v>5.6835289463573577</v>
      </c>
      <c r="I20" s="64">
        <v>5.6846807463573574</v>
      </c>
      <c r="J20" s="64">
        <v>3.3063721552878178</v>
      </c>
      <c r="K20" s="64">
        <v>3.307523955287818</v>
      </c>
      <c r="L20" s="4"/>
      <c r="M20" s="64"/>
      <c r="N20" s="64"/>
    </row>
    <row r="21" spans="1:14" ht="15">
      <c r="A21" s="13">
        <v>42278</v>
      </c>
      <c r="B21" s="63">
        <v>2.2231162650434215</v>
      </c>
      <c r="C21" s="63">
        <v>2.2231162650434215</v>
      </c>
      <c r="D21" s="63">
        <v>2.2316999850434214</v>
      </c>
      <c r="E21" s="64">
        <v>3.4537577300836668</v>
      </c>
      <c r="F21" s="64">
        <v>4.0599999999999996</v>
      </c>
      <c r="G21" s="64">
        <v>4.0601767999999998</v>
      </c>
      <c r="H21" s="64">
        <v>5.6953696316622695</v>
      </c>
      <c r="I21" s="64">
        <v>5.6955464316622697</v>
      </c>
      <c r="J21" s="64">
        <v>3.4537577300836668</v>
      </c>
      <c r="K21" s="64">
        <v>3.453934530083667</v>
      </c>
      <c r="L21" s="4"/>
      <c r="M21" s="64"/>
      <c r="N21" s="64"/>
    </row>
    <row r="22" spans="1:14" ht="15">
      <c r="A22" s="13">
        <v>42309</v>
      </c>
      <c r="B22" s="63">
        <v>2.241986308697824</v>
      </c>
      <c r="C22" s="63">
        <v>2.241986308697824</v>
      </c>
      <c r="D22" s="63">
        <v>2.2505700286978239</v>
      </c>
      <c r="E22" s="64">
        <v>3.3432448162968353</v>
      </c>
      <c r="F22" s="64">
        <v>4.0599999999999996</v>
      </c>
      <c r="G22" s="64">
        <v>4.0601767999999998</v>
      </c>
      <c r="H22" s="64">
        <v>5.7072349850615662</v>
      </c>
      <c r="I22" s="64">
        <v>5.7074117850615664</v>
      </c>
      <c r="J22" s="64">
        <v>3.3432448162968353</v>
      </c>
      <c r="K22" s="64">
        <v>3.3434216162968355</v>
      </c>
      <c r="L22" s="4"/>
      <c r="M22" s="64"/>
      <c r="N22" s="64"/>
    </row>
    <row r="23" spans="1:14" ht="15">
      <c r="A23" s="13">
        <v>42339</v>
      </c>
      <c r="B23" s="63">
        <v>2.2723840359705512</v>
      </c>
      <c r="C23" s="63">
        <v>2.2723840359705512</v>
      </c>
      <c r="D23" s="63">
        <v>2.280967755970551</v>
      </c>
      <c r="E23" s="64">
        <v>3.305423599158539</v>
      </c>
      <c r="F23" s="64">
        <v>4.0599999999999996</v>
      </c>
      <c r="G23" s="64">
        <v>4.0601767999999998</v>
      </c>
      <c r="H23" s="64">
        <v>5.719125057947112</v>
      </c>
      <c r="I23" s="64">
        <v>5.7193018579471122</v>
      </c>
      <c r="J23" s="64">
        <v>3.305423599158539</v>
      </c>
      <c r="K23" s="64">
        <v>3.3056003991585392</v>
      </c>
      <c r="L23" s="4"/>
      <c r="M23" s="64"/>
      <c r="N23" s="64"/>
    </row>
    <row r="24" spans="1:14" ht="15">
      <c r="A24" s="13">
        <v>42370</v>
      </c>
      <c r="B24" s="63">
        <v>2.6077986358078507</v>
      </c>
      <c r="C24" s="63">
        <v>2.6077986358078507</v>
      </c>
      <c r="D24" s="63">
        <v>2.6163823558078505</v>
      </c>
      <c r="E24" s="64">
        <v>3.3830216063879757</v>
      </c>
      <c r="F24" s="64">
        <v>4.0170000000000003</v>
      </c>
      <c r="G24" s="64">
        <v>4.0171768000000005</v>
      </c>
      <c r="H24" s="64">
        <v>5.7310399018178355</v>
      </c>
      <c r="I24" s="64">
        <v>5.7312167018178357</v>
      </c>
      <c r="J24" s="64">
        <v>3.3830216063879757</v>
      </c>
      <c r="K24" s="64">
        <v>3.3831984063879759</v>
      </c>
      <c r="L24" s="4"/>
      <c r="M24" s="64"/>
      <c r="N24" s="64"/>
    </row>
    <row r="25" spans="1:14" ht="15">
      <c r="A25" s="13">
        <v>42401</v>
      </c>
      <c r="B25" s="63">
        <v>2.6017190903533054</v>
      </c>
      <c r="C25" s="63">
        <v>2.6017190903533054</v>
      </c>
      <c r="D25" s="63">
        <v>2.6103028103533052</v>
      </c>
      <c r="E25" s="64">
        <v>3.3426872100728962</v>
      </c>
      <c r="F25" s="64">
        <v>4.0350000000000001</v>
      </c>
      <c r="G25" s="64">
        <v>4.0351768000000003</v>
      </c>
      <c r="H25" s="64">
        <v>5.7429795682799565</v>
      </c>
      <c r="I25" s="64">
        <v>5.7431563682799567</v>
      </c>
      <c r="J25" s="64">
        <v>3.3426872100728962</v>
      </c>
      <c r="K25" s="64">
        <v>3.3428640100728964</v>
      </c>
      <c r="L25" s="4"/>
      <c r="M25" s="64"/>
      <c r="N25" s="64"/>
    </row>
    <row r="26" spans="1:14" ht="15">
      <c r="A26" s="13">
        <v>42430</v>
      </c>
      <c r="B26" s="63">
        <v>2.5956395448987601</v>
      </c>
      <c r="C26" s="63">
        <v>2.5956395448987601</v>
      </c>
      <c r="D26" s="63">
        <v>2.60422326489876</v>
      </c>
      <c r="E26" s="64">
        <v>3.5818754141815772</v>
      </c>
      <c r="F26" s="64">
        <v>4.01</v>
      </c>
      <c r="G26" s="64">
        <v>4.0101768</v>
      </c>
      <c r="H26" s="64">
        <v>5.7549441090472069</v>
      </c>
      <c r="I26" s="64">
        <v>5.7551209090472071</v>
      </c>
      <c r="J26" s="64">
        <v>3.5818754141815772</v>
      </c>
      <c r="K26" s="64">
        <v>3.5820522141815774</v>
      </c>
      <c r="L26" s="4"/>
      <c r="M26" s="64"/>
      <c r="N26" s="64"/>
    </row>
    <row r="27" spans="1:14" ht="15">
      <c r="A27" s="13">
        <v>42461</v>
      </c>
      <c r="B27" s="63">
        <v>2.6042047688281</v>
      </c>
      <c r="C27" s="63">
        <v>2.6042047688281</v>
      </c>
      <c r="D27" s="63">
        <v>2.6127884888280999</v>
      </c>
      <c r="E27" s="64">
        <v>3.3426872100728962</v>
      </c>
      <c r="F27" s="64">
        <v>4.0350000000000001</v>
      </c>
      <c r="G27" s="64">
        <v>4.0351768000000003</v>
      </c>
      <c r="H27" s="64">
        <v>5.7669335759410556</v>
      </c>
      <c r="I27" s="64">
        <v>5.7671103759410558</v>
      </c>
      <c r="J27" s="64">
        <v>3.3426872100728962</v>
      </c>
      <c r="K27" s="64">
        <v>3.3428640100728964</v>
      </c>
      <c r="L27" s="4"/>
      <c r="M27" s="64"/>
      <c r="N27" s="64"/>
    </row>
    <row r="28" spans="1:14" ht="15">
      <c r="A28" s="13">
        <v>42491</v>
      </c>
      <c r="B28" s="63">
        <v>2.6102843142826457</v>
      </c>
      <c r="C28" s="63">
        <v>2.6102843142826457</v>
      </c>
      <c r="D28" s="63">
        <v>2.6274480342826458</v>
      </c>
      <c r="E28" s="64">
        <v>3.3394597643519681</v>
      </c>
      <c r="F28" s="64">
        <v>4.0049999999999999</v>
      </c>
      <c r="G28" s="64">
        <v>4.0061517999999996</v>
      </c>
      <c r="H28" s="64">
        <v>5.7789480208909332</v>
      </c>
      <c r="I28" s="64">
        <v>5.7800998208909329</v>
      </c>
      <c r="J28" s="64">
        <v>3.3394597643519681</v>
      </c>
      <c r="K28" s="64">
        <v>3.3406115643519683</v>
      </c>
      <c r="L28" s="4"/>
      <c r="M28" s="64"/>
      <c r="N28" s="64"/>
    </row>
    <row r="29" spans="1:14" ht="15">
      <c r="A29" s="13">
        <v>42522</v>
      </c>
      <c r="B29" s="63">
        <v>2.616363859737191</v>
      </c>
      <c r="C29" s="63">
        <v>2.616363859737191</v>
      </c>
      <c r="D29" s="63">
        <v>2.6335275797371911</v>
      </c>
      <c r="E29" s="64">
        <v>3.155932063173728</v>
      </c>
      <c r="F29" s="64">
        <v>4.0170000000000003</v>
      </c>
      <c r="G29" s="64">
        <v>4.0181518000000001</v>
      </c>
      <c r="H29" s="64">
        <v>5.7909874959344565</v>
      </c>
      <c r="I29" s="64">
        <v>5.7921392959344562</v>
      </c>
      <c r="J29" s="64">
        <v>3.155932063173728</v>
      </c>
      <c r="K29" s="64">
        <v>3.1570838631737281</v>
      </c>
      <c r="L29" s="4"/>
      <c r="M29" s="64"/>
      <c r="N29" s="64"/>
    </row>
    <row r="30" spans="1:14" ht="15">
      <c r="A30" s="13">
        <v>42552</v>
      </c>
      <c r="B30" s="63">
        <v>2.6505690919784284</v>
      </c>
      <c r="C30" s="63">
        <v>2.6505690919784284</v>
      </c>
      <c r="D30" s="63">
        <v>2.6677328119784285</v>
      </c>
      <c r="E30" s="64">
        <v>3.2731804292469993</v>
      </c>
      <c r="F30" s="64">
        <v>4.0170000000000003</v>
      </c>
      <c r="G30" s="64">
        <v>4.0181518000000001</v>
      </c>
      <c r="H30" s="64">
        <v>5.8030520532176535</v>
      </c>
      <c r="I30" s="64">
        <v>5.8042038532176532</v>
      </c>
      <c r="J30" s="64">
        <v>3.2731804292469993</v>
      </c>
      <c r="K30" s="64">
        <v>3.2743322292469994</v>
      </c>
      <c r="L30" s="4"/>
      <c r="M30" s="4"/>
      <c r="N30" s="4"/>
    </row>
    <row r="31" spans="1:14" ht="15">
      <c r="A31" s="13">
        <v>42583</v>
      </c>
      <c r="B31" s="63">
        <v>2.665767955614792</v>
      </c>
      <c r="C31" s="63">
        <v>2.665767955614792</v>
      </c>
      <c r="D31" s="63">
        <v>2.6829316756147921</v>
      </c>
      <c r="E31" s="64">
        <v>3.3830216063879757</v>
      </c>
      <c r="F31" s="64">
        <v>4.0170000000000003</v>
      </c>
      <c r="G31" s="64">
        <v>4.0181518000000001</v>
      </c>
      <c r="H31" s="64">
        <v>5.8151417449951905</v>
      </c>
      <c r="I31" s="64">
        <v>5.8162935449951902</v>
      </c>
      <c r="J31" s="64">
        <v>3.3830216063879757</v>
      </c>
      <c r="K31" s="64">
        <v>3.3841734063879758</v>
      </c>
      <c r="L31" s="4"/>
      <c r="M31" s="4"/>
      <c r="N31" s="4"/>
    </row>
    <row r="32" spans="1:14" ht="15">
      <c r="A32" s="13">
        <v>42614</v>
      </c>
      <c r="B32" s="63">
        <v>2.6596884101602472</v>
      </c>
      <c r="C32" s="63">
        <v>2.6596884101602472</v>
      </c>
      <c r="D32" s="63">
        <v>2.6768521301602473</v>
      </c>
      <c r="E32" s="64">
        <v>3.2731804292469993</v>
      </c>
      <c r="F32" s="64">
        <v>4.0170000000000003</v>
      </c>
      <c r="G32" s="64">
        <v>4.0181518000000001</v>
      </c>
      <c r="H32" s="64">
        <v>5.827256623630598</v>
      </c>
      <c r="I32" s="64">
        <v>5.8284084236305977</v>
      </c>
      <c r="J32" s="64">
        <v>3.2731804292469993</v>
      </c>
      <c r="K32" s="64">
        <v>3.2743322292469994</v>
      </c>
      <c r="L32" s="4"/>
      <c r="M32" s="4"/>
      <c r="N32" s="4"/>
    </row>
    <row r="33" spans="1:14" ht="15">
      <c r="A33" s="13">
        <v>42644</v>
      </c>
      <c r="B33" s="63">
        <v>2.6897941474534917</v>
      </c>
      <c r="C33" s="63">
        <v>2.6897941474534917</v>
      </c>
      <c r="D33" s="63">
        <v>2.6983778674534915</v>
      </c>
      <c r="E33" s="64">
        <v>3.3426872100728962</v>
      </c>
      <c r="F33" s="64">
        <v>4.0350000000000001</v>
      </c>
      <c r="G33" s="64">
        <v>4.0351768000000003</v>
      </c>
      <c r="H33" s="64">
        <v>5.839396741596496</v>
      </c>
      <c r="I33" s="64">
        <v>5.8395735415964962</v>
      </c>
      <c r="J33" s="64">
        <v>3.3426872100728962</v>
      </c>
      <c r="K33" s="64">
        <v>3.3428640100728964</v>
      </c>
      <c r="L33" s="4"/>
      <c r="M33" s="4"/>
      <c r="N33" s="4"/>
    </row>
    <row r="34" spans="1:14" ht="15">
      <c r="A34" s="13">
        <v>42675</v>
      </c>
      <c r="B34" s="63">
        <v>2.6928339201807647</v>
      </c>
      <c r="C34" s="63">
        <v>2.6928339201807647</v>
      </c>
      <c r="D34" s="63">
        <v>2.7014176401807646</v>
      </c>
      <c r="E34" s="64">
        <v>3.3426872100728962</v>
      </c>
      <c r="F34" s="64">
        <v>4.0350000000000001</v>
      </c>
      <c r="G34" s="64">
        <v>4.0351768000000003</v>
      </c>
      <c r="H34" s="64">
        <v>5.8515621514748224</v>
      </c>
      <c r="I34" s="64">
        <v>5.8517389514748226</v>
      </c>
      <c r="J34" s="64">
        <v>3.3426872100728962</v>
      </c>
      <c r="K34" s="64">
        <v>3.3428640100728964</v>
      </c>
      <c r="L34" s="4"/>
      <c r="M34" s="4"/>
      <c r="N34" s="4"/>
    </row>
    <row r="35" spans="1:14" ht="15">
      <c r="A35" s="13">
        <v>42705</v>
      </c>
      <c r="B35" s="63">
        <v>2.6958736929080374</v>
      </c>
      <c r="C35" s="63">
        <v>2.6958736929080374</v>
      </c>
      <c r="D35" s="63">
        <v>2.7044574129080372</v>
      </c>
      <c r="E35" s="64">
        <v>3.5831232604373762</v>
      </c>
      <c r="F35" s="64">
        <v>4.0170000000000003</v>
      </c>
      <c r="G35" s="64">
        <v>4.0171768000000005</v>
      </c>
      <c r="H35" s="64">
        <v>5.8637529059570621</v>
      </c>
      <c r="I35" s="64">
        <v>5.8639297059570623</v>
      </c>
      <c r="J35" s="64">
        <v>3.5831232604373762</v>
      </c>
      <c r="K35" s="64">
        <v>3.5833000604373764</v>
      </c>
      <c r="L35" s="4"/>
      <c r="M35" s="4"/>
      <c r="N35" s="4"/>
    </row>
    <row r="36" spans="1:14" ht="15">
      <c r="A36" s="13">
        <v>42736</v>
      </c>
      <c r="B36" s="63">
        <v>2.7014946027638391</v>
      </c>
      <c r="C36" s="63">
        <v>2.7014946027638391</v>
      </c>
      <c r="D36" s="63">
        <v>2.710078322763839</v>
      </c>
      <c r="E36" s="64">
        <v>3.4855999999999998</v>
      </c>
      <c r="F36" s="64">
        <v>3.4855999999999998</v>
      </c>
      <c r="G36" s="64">
        <v>3.4857768</v>
      </c>
      <c r="H36" s="64">
        <v>5.8759690578444737</v>
      </c>
      <c r="I36" s="64">
        <v>5.8761458578444739</v>
      </c>
      <c r="J36" s="64">
        <v>3.4855999999999998</v>
      </c>
      <c r="K36" s="64">
        <v>3.4857768</v>
      </c>
      <c r="L36" s="4"/>
      <c r="M36" s="4"/>
      <c r="N36" s="4"/>
    </row>
    <row r="37" spans="1:14" ht="15">
      <c r="A37" s="13">
        <v>42767</v>
      </c>
      <c r="B37" s="63">
        <v>2.6954150573092939</v>
      </c>
      <c r="C37" s="63">
        <v>2.6954150573092939</v>
      </c>
      <c r="D37" s="63">
        <v>2.7039987773092937</v>
      </c>
      <c r="E37" s="64">
        <v>3.3873333333333333</v>
      </c>
      <c r="F37" s="64">
        <v>3.3873333333333333</v>
      </c>
      <c r="G37" s="64">
        <v>3.3875101333333335</v>
      </c>
      <c r="H37" s="64">
        <v>5.8882106600483173</v>
      </c>
      <c r="I37" s="64">
        <v>5.8883874600483175</v>
      </c>
      <c r="J37" s="64">
        <v>3.3873333333333333</v>
      </c>
      <c r="K37" s="64">
        <v>3.3875101333333335</v>
      </c>
      <c r="L37" s="4"/>
      <c r="M37" s="4"/>
      <c r="N37" s="4"/>
    </row>
    <row r="38" spans="1:14" ht="15">
      <c r="A38" s="13">
        <v>42795</v>
      </c>
      <c r="B38" s="63">
        <v>2.6923752845820208</v>
      </c>
      <c r="C38" s="63">
        <v>2.6923752845820208</v>
      </c>
      <c r="D38" s="63">
        <v>2.7009590045820207</v>
      </c>
      <c r="E38" s="64">
        <v>3.44875</v>
      </c>
      <c r="F38" s="64">
        <v>3.44875</v>
      </c>
      <c r="G38" s="64">
        <v>3.4489268000000002</v>
      </c>
      <c r="H38" s="64">
        <v>5.9004777655900851</v>
      </c>
      <c r="I38" s="64">
        <v>5.9006545655900853</v>
      </c>
      <c r="J38" s="64">
        <v>3.44875</v>
      </c>
      <c r="K38" s="64">
        <v>3.4489268000000002</v>
      </c>
      <c r="L38" s="4"/>
      <c r="M38" s="4"/>
      <c r="N38" s="4"/>
    </row>
    <row r="39" spans="1:14" ht="15">
      <c r="A39" s="13">
        <v>42826</v>
      </c>
      <c r="B39" s="63">
        <v>2.7146956898265118</v>
      </c>
      <c r="C39" s="63">
        <v>2.7146956898265118</v>
      </c>
      <c r="D39" s="63">
        <v>2.7232794098265116</v>
      </c>
      <c r="E39" s="64">
        <v>3.3873333333333333</v>
      </c>
      <c r="F39" s="64">
        <v>3.3873333333333333</v>
      </c>
      <c r="G39" s="64">
        <v>3.3875101333333335</v>
      </c>
      <c r="H39" s="64">
        <v>5.9127704276017319</v>
      </c>
      <c r="I39" s="64">
        <v>5.9129472276017321</v>
      </c>
      <c r="J39" s="64">
        <v>3.3873333333333333</v>
      </c>
      <c r="K39" s="64">
        <v>3.3875101333333335</v>
      </c>
      <c r="L39" s="4"/>
      <c r="M39" s="4"/>
      <c r="N39" s="4"/>
    </row>
    <row r="40" spans="1:14" ht="15">
      <c r="A40" s="13">
        <v>42856</v>
      </c>
      <c r="B40" s="63">
        <v>2.7116559170992391</v>
      </c>
      <c r="C40" s="63">
        <v>2.7116559170992391</v>
      </c>
      <c r="D40" s="63">
        <v>2.7288196370992392</v>
      </c>
      <c r="E40" s="64">
        <v>3.3873333333333333</v>
      </c>
      <c r="F40" s="64">
        <v>3.3873333333333333</v>
      </c>
      <c r="G40" s="64">
        <v>3.3884851333333335</v>
      </c>
      <c r="H40" s="64">
        <v>5.9250886993259027</v>
      </c>
      <c r="I40" s="64">
        <v>5.9262404993259024</v>
      </c>
      <c r="J40" s="64">
        <v>3.3873333333333333</v>
      </c>
      <c r="K40" s="64">
        <v>3.3884851333333335</v>
      </c>
      <c r="L40" s="4"/>
      <c r="M40" s="4"/>
      <c r="N40" s="4"/>
    </row>
    <row r="41" spans="1:14" ht="15">
      <c r="A41" s="13">
        <v>42887</v>
      </c>
      <c r="B41" s="63">
        <v>2.7177354625537844</v>
      </c>
      <c r="C41" s="63">
        <v>2.7177354625537844</v>
      </c>
      <c r="D41" s="63">
        <v>2.7348991825537845</v>
      </c>
      <c r="E41" s="64">
        <v>3.2645</v>
      </c>
      <c r="F41" s="64">
        <v>3.2645</v>
      </c>
      <c r="G41" s="64">
        <v>3.2656518000000001</v>
      </c>
      <c r="H41" s="64">
        <v>5.9374326341161652</v>
      </c>
      <c r="I41" s="64">
        <v>5.9385844341161649</v>
      </c>
      <c r="J41" s="64">
        <v>3.2645</v>
      </c>
      <c r="K41" s="64">
        <v>3.2656518000000001</v>
      </c>
      <c r="L41" s="4"/>
      <c r="M41" s="4"/>
      <c r="N41" s="4"/>
    </row>
    <row r="42" spans="1:14" ht="15">
      <c r="A42" s="13">
        <v>42917</v>
      </c>
      <c r="B42" s="63">
        <v>2.741441686975405</v>
      </c>
      <c r="C42" s="63">
        <v>2.741441686975405</v>
      </c>
      <c r="D42" s="63">
        <v>2.7586054069754051</v>
      </c>
      <c r="E42" s="64">
        <v>3.633</v>
      </c>
      <c r="F42" s="64">
        <v>3.633</v>
      </c>
      <c r="G42" s="64">
        <v>3.6341518000000002</v>
      </c>
      <c r="H42" s="64">
        <v>5.949802285437241</v>
      </c>
      <c r="I42" s="64">
        <v>5.9509540854372407</v>
      </c>
      <c r="J42" s="64">
        <v>3.633</v>
      </c>
      <c r="K42" s="64">
        <v>3.6341518000000002</v>
      </c>
      <c r="L42" s="4"/>
      <c r="M42" s="4"/>
      <c r="N42" s="4"/>
    </row>
    <row r="43" spans="1:14" ht="15">
      <c r="A43" s="13">
        <v>42948</v>
      </c>
      <c r="B43" s="63">
        <v>2.7566405506117682</v>
      </c>
      <c r="C43" s="63">
        <v>2.7566405506117682</v>
      </c>
      <c r="D43" s="63">
        <v>2.7738042706117683</v>
      </c>
      <c r="E43" s="64">
        <v>3.633</v>
      </c>
      <c r="F43" s="64">
        <v>3.633</v>
      </c>
      <c r="G43" s="64">
        <v>3.6341518000000002</v>
      </c>
      <c r="H43" s="64">
        <v>5.9621977068652354</v>
      </c>
      <c r="I43" s="64">
        <v>5.9633495068652351</v>
      </c>
      <c r="J43" s="64">
        <v>3.633</v>
      </c>
      <c r="K43" s="64">
        <v>3.6341518000000002</v>
      </c>
      <c r="L43" s="4"/>
      <c r="M43" s="4"/>
      <c r="N43" s="4"/>
    </row>
    <row r="44" spans="1:14" ht="15">
      <c r="A44" s="13">
        <v>42979</v>
      </c>
      <c r="B44" s="63">
        <v>2.7505610051572233</v>
      </c>
      <c r="C44" s="63">
        <v>2.7505610051572233</v>
      </c>
      <c r="D44" s="63">
        <v>2.7677247251572235</v>
      </c>
      <c r="E44" s="64">
        <v>3.633</v>
      </c>
      <c r="F44" s="64">
        <v>3.633</v>
      </c>
      <c r="G44" s="64">
        <v>3.6341518000000002</v>
      </c>
      <c r="H44" s="64">
        <v>5.9746189520878721</v>
      </c>
      <c r="I44" s="64">
        <v>5.9757707520878718</v>
      </c>
      <c r="J44" s="64">
        <v>3.633</v>
      </c>
      <c r="K44" s="64">
        <v>3.6341518000000002</v>
      </c>
      <c r="L44" s="4"/>
      <c r="M44" s="4"/>
      <c r="N44" s="4"/>
    </row>
    <row r="45" spans="1:14" ht="15">
      <c r="A45" s="13">
        <v>43009</v>
      </c>
      <c r="B45" s="63">
        <v>2.7682162907224193</v>
      </c>
      <c r="C45" s="63">
        <v>2.7682162907224193</v>
      </c>
      <c r="D45" s="63">
        <v>2.7768000107224191</v>
      </c>
      <c r="E45" s="64">
        <v>3.633</v>
      </c>
      <c r="F45" s="64">
        <v>3.633</v>
      </c>
      <c r="G45" s="64">
        <v>3.6331768000000002</v>
      </c>
      <c r="H45" s="64">
        <v>5.9870660749047229</v>
      </c>
      <c r="I45" s="64">
        <v>5.9872428749047231</v>
      </c>
      <c r="J45" s="64">
        <v>3.633</v>
      </c>
      <c r="K45" s="64">
        <v>3.6331768000000002</v>
      </c>
      <c r="L45" s="4"/>
      <c r="M45" s="4"/>
      <c r="N45" s="4"/>
    </row>
    <row r="46" spans="1:14" ht="15">
      <c r="A46" s="13">
        <v>43040</v>
      </c>
      <c r="B46" s="63">
        <v>2.7712560634496919</v>
      </c>
      <c r="C46" s="63">
        <v>2.7712560634496919</v>
      </c>
      <c r="D46" s="63">
        <v>2.7798397834496917</v>
      </c>
      <c r="E46" s="64">
        <v>3.633</v>
      </c>
      <c r="F46" s="64">
        <v>3.633</v>
      </c>
      <c r="G46" s="64">
        <v>3.6331768000000002</v>
      </c>
      <c r="H46" s="64">
        <v>5.9995391292274416</v>
      </c>
      <c r="I46" s="64">
        <v>5.9997159292274418</v>
      </c>
      <c r="J46" s="64">
        <v>3.633</v>
      </c>
      <c r="K46" s="64">
        <v>3.6331768000000002</v>
      </c>
      <c r="L46" s="4"/>
      <c r="M46" s="4"/>
      <c r="N46" s="4"/>
    </row>
    <row r="47" spans="1:14" ht="15">
      <c r="A47" s="13">
        <v>43070</v>
      </c>
      <c r="B47" s="63">
        <v>2.774295836176965</v>
      </c>
      <c r="C47" s="63">
        <v>2.774295836176965</v>
      </c>
      <c r="D47" s="63">
        <v>2.7828795561769648</v>
      </c>
      <c r="E47" s="64">
        <v>3.633</v>
      </c>
      <c r="F47" s="64">
        <v>3.633</v>
      </c>
      <c r="G47" s="64">
        <v>3.6331768000000002</v>
      </c>
      <c r="H47" s="64">
        <v>6.0120381690799993</v>
      </c>
      <c r="I47" s="64">
        <v>6.0122149690799995</v>
      </c>
      <c r="J47" s="64">
        <v>3.633</v>
      </c>
      <c r="K47" s="64">
        <v>3.6331768000000002</v>
      </c>
      <c r="L47" s="4"/>
      <c r="M47" s="4"/>
      <c r="N47" s="4"/>
    </row>
    <row r="48" spans="1:14" ht="15">
      <c r="A48" s="13">
        <v>43101</v>
      </c>
      <c r="B48" s="63">
        <v>2.8174059591191054</v>
      </c>
      <c r="C48" s="63">
        <v>2.8174059591191054</v>
      </c>
      <c r="D48" s="63">
        <v>2.8259896791191053</v>
      </c>
      <c r="E48" s="64">
        <v>3.2608715394085319</v>
      </c>
      <c r="F48" s="64">
        <v>3.2608715394085319</v>
      </c>
      <c r="G48" s="64">
        <v>3.2610483394085321</v>
      </c>
      <c r="H48" s="64">
        <v>6.0245632485989162</v>
      </c>
      <c r="I48" s="64">
        <v>6.0247400485989164</v>
      </c>
      <c r="J48" s="64">
        <v>3.2608715394085319</v>
      </c>
      <c r="K48" s="64">
        <v>3.2610483394085321</v>
      </c>
      <c r="L48" s="4"/>
      <c r="M48" s="4"/>
      <c r="N48" s="4"/>
    </row>
    <row r="49" spans="1:14" ht="15">
      <c r="A49" s="13">
        <v>43132</v>
      </c>
      <c r="B49" s="63">
        <v>2.8143661863918323</v>
      </c>
      <c r="C49" s="63">
        <v>2.8143661863918323</v>
      </c>
      <c r="D49" s="63">
        <v>2.8229499063918322</v>
      </c>
      <c r="E49" s="64">
        <v>3.2349265462690564</v>
      </c>
      <c r="F49" s="64">
        <v>3.2349265462690564</v>
      </c>
      <c r="G49" s="64">
        <v>3.2351033462690566</v>
      </c>
      <c r="H49" s="64">
        <v>6.0371144220334978</v>
      </c>
      <c r="I49" s="64">
        <v>6.037291222033498</v>
      </c>
      <c r="J49" s="64">
        <v>3.2349265462690564</v>
      </c>
      <c r="K49" s="64">
        <v>3.2351033462690566</v>
      </c>
      <c r="L49" s="4"/>
      <c r="M49" s="4"/>
      <c r="N49" s="4"/>
    </row>
    <row r="50" spans="1:14" ht="15">
      <c r="A50" s="13">
        <v>43160</v>
      </c>
      <c r="B50" s="63">
        <v>2.8113264136645597</v>
      </c>
      <c r="C50" s="63">
        <v>2.8113264136645597</v>
      </c>
      <c r="D50" s="63">
        <v>2.8199101336645596</v>
      </c>
      <c r="E50" s="64">
        <v>3.2515911547495828</v>
      </c>
      <c r="F50" s="64">
        <v>3.2515911547495828</v>
      </c>
      <c r="G50" s="64">
        <v>3.251767954749583</v>
      </c>
      <c r="H50" s="64">
        <v>6.0496917437460684</v>
      </c>
      <c r="I50" s="64">
        <v>6.0498685437460686</v>
      </c>
      <c r="J50" s="64">
        <v>3.2515911547495828</v>
      </c>
      <c r="K50" s="64">
        <v>3.251767954749583</v>
      </c>
      <c r="L50" s="4"/>
      <c r="M50" s="4"/>
      <c r="N50" s="4"/>
    </row>
    <row r="51" spans="1:14" ht="15">
      <c r="A51" s="13">
        <v>43191</v>
      </c>
      <c r="B51" s="63">
        <v>2.8078463963277516</v>
      </c>
      <c r="C51" s="63">
        <v>2.8078463963277516</v>
      </c>
      <c r="D51" s="63">
        <v>2.8164301163277514</v>
      </c>
      <c r="E51" s="64">
        <v>3.2675262527074125</v>
      </c>
      <c r="F51" s="64">
        <v>3.2675262527074125</v>
      </c>
      <c r="G51" s="64">
        <v>3.2677030527074127</v>
      </c>
      <c r="H51" s="64">
        <v>6.0622952682122069</v>
      </c>
      <c r="I51" s="64">
        <v>6.0624720682122071</v>
      </c>
      <c r="J51" s="64">
        <v>3.2675262527074125</v>
      </c>
      <c r="K51" s="64">
        <v>3.2677030527074127</v>
      </c>
      <c r="L51" s="4"/>
      <c r="M51" s="4"/>
      <c r="N51" s="4"/>
    </row>
    <row r="52" spans="1:14" ht="15">
      <c r="A52" s="13">
        <v>43221</v>
      </c>
      <c r="B52" s="63">
        <v>2.8078463963277516</v>
      </c>
      <c r="C52" s="63">
        <v>2.8078463963277516</v>
      </c>
      <c r="D52" s="63">
        <v>2.8250101163277517</v>
      </c>
      <c r="E52" s="64">
        <v>3.2750908974924458</v>
      </c>
      <c r="F52" s="64">
        <v>3.2750908974924458</v>
      </c>
      <c r="G52" s="64">
        <v>3.2762426974924459</v>
      </c>
      <c r="H52" s="64">
        <v>6.0749250500209833</v>
      </c>
      <c r="I52" s="64">
        <v>6.076076850020983</v>
      </c>
      <c r="J52" s="64">
        <v>3.2750908974924458</v>
      </c>
      <c r="K52" s="64">
        <v>3.2762426974924459</v>
      </c>
      <c r="L52" s="4"/>
      <c r="M52" s="4"/>
      <c r="N52" s="4"/>
    </row>
    <row r="53" spans="1:14" ht="15">
      <c r="A53" s="13">
        <v>43252</v>
      </c>
      <c r="B53" s="63">
        <v>2.8139259417822973</v>
      </c>
      <c r="C53" s="63">
        <v>2.8139259417822973</v>
      </c>
      <c r="D53" s="63">
        <v>2.8310896617822974</v>
      </c>
      <c r="E53" s="64">
        <v>3.2717635408430055</v>
      </c>
      <c r="F53" s="64">
        <v>3.2717635408430055</v>
      </c>
      <c r="G53" s="64">
        <v>3.2729153408430056</v>
      </c>
      <c r="H53" s="64">
        <v>6.0875811438751946</v>
      </c>
      <c r="I53" s="64">
        <v>6.0887329438751943</v>
      </c>
      <c r="J53" s="64">
        <v>3.2717635408430055</v>
      </c>
      <c r="K53" s="64">
        <v>3.2729153408430056</v>
      </c>
      <c r="L53" s="4"/>
      <c r="M53" s="4"/>
      <c r="N53" s="4"/>
    </row>
    <row r="54" spans="1:14" ht="15">
      <c r="A54" s="13">
        <v>43282</v>
      </c>
      <c r="B54" s="63">
        <v>2.8973610179525568</v>
      </c>
      <c r="C54" s="63">
        <v>2.8973610179525568</v>
      </c>
      <c r="D54" s="63">
        <v>2.914524737952557</v>
      </c>
      <c r="E54" s="64">
        <v>3.4589692293358332</v>
      </c>
      <c r="F54" s="64">
        <v>3.4589692293358332</v>
      </c>
      <c r="G54" s="64">
        <v>3.4601210293358333</v>
      </c>
      <c r="H54" s="64">
        <v>6.1002636045916017</v>
      </c>
      <c r="I54" s="64">
        <v>6.1014154045916014</v>
      </c>
      <c r="J54" s="64">
        <v>3.4589692293358332</v>
      </c>
      <c r="K54" s="64">
        <v>3.4601210293358333</v>
      </c>
      <c r="L54" s="4"/>
      <c r="M54" s="4"/>
      <c r="N54" s="4"/>
    </row>
    <row r="55" spans="1:14" ht="15">
      <c r="A55" s="13">
        <v>43313</v>
      </c>
      <c r="B55" s="63">
        <v>2.9040485179525568</v>
      </c>
      <c r="C55" s="63">
        <v>2.9040485179525568</v>
      </c>
      <c r="D55" s="63">
        <v>2.9212122379525569</v>
      </c>
      <c r="E55" s="64">
        <v>3.4409363119298848</v>
      </c>
      <c r="F55" s="64">
        <v>3.4409363119298852</v>
      </c>
      <c r="G55" s="64">
        <v>3.4420881119298854</v>
      </c>
      <c r="H55" s="64">
        <v>6.1129724871011684</v>
      </c>
      <c r="I55" s="64">
        <v>6.1141242871011681</v>
      </c>
      <c r="J55" s="64">
        <v>3.4409363119298848</v>
      </c>
      <c r="K55" s="64">
        <v>3.442088111929885</v>
      </c>
      <c r="L55" s="4"/>
      <c r="M55" s="4"/>
      <c r="N55" s="4"/>
    </row>
    <row r="56" spans="1:14" ht="15">
      <c r="A56" s="13">
        <v>43344</v>
      </c>
      <c r="B56" s="63">
        <v>2.9010087452252837</v>
      </c>
      <c r="C56" s="63">
        <v>2.9010087452252837</v>
      </c>
      <c r="D56" s="63">
        <v>2.9181724652252838</v>
      </c>
      <c r="E56" s="64">
        <v>3.4362961196004109</v>
      </c>
      <c r="F56" s="64">
        <v>3.4362961196004114</v>
      </c>
      <c r="G56" s="64">
        <v>3.4374479196004115</v>
      </c>
      <c r="H56" s="64">
        <v>6.1257078464492967</v>
      </c>
      <c r="I56" s="64">
        <v>6.1268596464492964</v>
      </c>
      <c r="J56" s="64">
        <v>3.4362961196004109</v>
      </c>
      <c r="K56" s="64">
        <v>3.4374479196004111</v>
      </c>
      <c r="L56" s="4"/>
      <c r="M56" s="4"/>
      <c r="N56" s="4"/>
    </row>
    <row r="57" spans="1:14" ht="15">
      <c r="A57" s="13">
        <v>43374</v>
      </c>
      <c r="B57" s="63">
        <v>2.8920877447630282</v>
      </c>
      <c r="C57" s="63">
        <v>2.8920877447630282</v>
      </c>
      <c r="D57" s="63">
        <v>2.9006714647630281</v>
      </c>
      <c r="E57" s="64">
        <v>3.4329642335510773</v>
      </c>
      <c r="F57" s="64">
        <v>3.4329642335510773</v>
      </c>
      <c r="G57" s="64">
        <v>3.4331410335510775</v>
      </c>
      <c r="H57" s="64">
        <v>6.1384697377960666</v>
      </c>
      <c r="I57" s="64">
        <v>6.1386465377960668</v>
      </c>
      <c r="J57" s="64">
        <v>3.4329642335510773</v>
      </c>
      <c r="K57" s="64">
        <v>3.4331410335510775</v>
      </c>
      <c r="L57" s="4"/>
      <c r="M57" s="4"/>
      <c r="N57" s="4"/>
    </row>
    <row r="58" spans="1:14" ht="15">
      <c r="A58" s="13">
        <v>43405</v>
      </c>
      <c r="B58" s="63">
        <v>2.8951275174903008</v>
      </c>
      <c r="C58" s="63">
        <v>2.8951275174903008</v>
      </c>
      <c r="D58" s="63">
        <v>2.9037112374903007</v>
      </c>
      <c r="E58" s="64">
        <v>3.4401259741422296</v>
      </c>
      <c r="F58" s="64">
        <v>3.4401259741422296</v>
      </c>
      <c r="G58" s="64">
        <v>3.4403027741422298</v>
      </c>
      <c r="H58" s="64">
        <v>6.1512582164164762</v>
      </c>
      <c r="I58" s="64">
        <v>6.1514350164164764</v>
      </c>
      <c r="J58" s="64">
        <v>3.4401259741422296</v>
      </c>
      <c r="K58" s="64">
        <v>3.4403027741422298</v>
      </c>
      <c r="L58" s="4"/>
      <c r="M58" s="4"/>
      <c r="N58" s="4"/>
    </row>
    <row r="59" spans="1:14" ht="15">
      <c r="A59" s="13">
        <v>43435</v>
      </c>
      <c r="B59" s="63">
        <v>2.8951275174903008</v>
      </c>
      <c r="C59" s="63">
        <v>2.8951275174903008</v>
      </c>
      <c r="D59" s="63">
        <v>2.9037112374903007</v>
      </c>
      <c r="E59" s="64">
        <v>3.4275182328338407</v>
      </c>
      <c r="F59" s="64">
        <v>3.4275182328338407</v>
      </c>
      <c r="G59" s="64">
        <v>3.4276950328338409</v>
      </c>
      <c r="H59" s="64">
        <v>6.1640733377006782</v>
      </c>
      <c r="I59" s="64">
        <v>6.1642501377006784</v>
      </c>
      <c r="J59" s="64">
        <v>3.4275182328338407</v>
      </c>
      <c r="K59" s="64">
        <v>3.4276950328338409</v>
      </c>
      <c r="L59" s="4"/>
      <c r="M59" s="4"/>
      <c r="N59" s="4"/>
    </row>
    <row r="60" spans="1:14" ht="15">
      <c r="A60" s="13">
        <v>43466</v>
      </c>
      <c r="B60" s="63">
        <v>2.9246285105410954</v>
      </c>
      <c r="C60" s="63">
        <v>2.9246285105410954</v>
      </c>
      <c r="D60" s="63">
        <v>2.9332122305410953</v>
      </c>
      <c r="E60" s="64">
        <v>3.4699364030310007</v>
      </c>
      <c r="F60" s="64">
        <v>3.4699364030310007</v>
      </c>
      <c r="G60" s="64">
        <v>3.4701132030310009</v>
      </c>
      <c r="H60" s="64">
        <v>6.1769151571542222</v>
      </c>
      <c r="I60" s="64">
        <v>6.1770919571542224</v>
      </c>
      <c r="J60" s="64">
        <v>3.4699364030310007</v>
      </c>
      <c r="K60" s="64">
        <v>3.4701132030310009</v>
      </c>
      <c r="L60" s="4"/>
      <c r="M60" s="4"/>
      <c r="N60" s="4"/>
    </row>
    <row r="61" spans="1:14" ht="15">
      <c r="A61" s="13">
        <v>43497</v>
      </c>
      <c r="B61" s="63">
        <v>2.9215887378138228</v>
      </c>
      <c r="C61" s="63">
        <v>2.9215887378138228</v>
      </c>
      <c r="D61" s="63">
        <v>2.9301724578138226</v>
      </c>
      <c r="E61" s="64">
        <v>3.4391809812646486</v>
      </c>
      <c r="F61" s="64">
        <v>3.4391809812646481</v>
      </c>
      <c r="G61" s="64">
        <v>3.4393577812646483</v>
      </c>
      <c r="H61" s="64">
        <v>6.1897837303982941</v>
      </c>
      <c r="I61" s="64">
        <v>6.1899605303982943</v>
      </c>
      <c r="J61" s="64">
        <v>3.4391809812646486</v>
      </c>
      <c r="K61" s="64">
        <v>3.4393577812646488</v>
      </c>
      <c r="L61" s="4"/>
      <c r="M61" s="4"/>
      <c r="N61" s="4"/>
    </row>
    <row r="62" spans="1:14" ht="15">
      <c r="A62" s="13">
        <v>43525</v>
      </c>
      <c r="B62" s="63">
        <v>2.9185489650865502</v>
      </c>
      <c r="C62" s="63">
        <v>2.9185489650865502</v>
      </c>
      <c r="D62" s="63">
        <v>2.92713268508655</v>
      </c>
      <c r="E62" s="64">
        <v>3.4596378407313622</v>
      </c>
      <c r="F62" s="64">
        <v>3.4596378407313622</v>
      </c>
      <c r="G62" s="64">
        <v>3.4598146407313624</v>
      </c>
      <c r="H62" s="64">
        <v>6.2026791131699577</v>
      </c>
      <c r="I62" s="64">
        <v>6.2028559131699579</v>
      </c>
      <c r="J62" s="64">
        <v>3.4596378407313622</v>
      </c>
      <c r="K62" s="64">
        <v>3.4598146407313624</v>
      </c>
      <c r="L62" s="4"/>
      <c r="M62" s="4"/>
      <c r="N62" s="4"/>
    </row>
    <row r="63" spans="1:14" ht="15">
      <c r="A63" s="13">
        <v>43556</v>
      </c>
      <c r="B63" s="63">
        <v>2.9151857422731169</v>
      </c>
      <c r="C63" s="63">
        <v>2.9151857422731169</v>
      </c>
      <c r="D63" s="63">
        <v>2.9237694622731167</v>
      </c>
      <c r="E63" s="64">
        <v>3.4796456492519519</v>
      </c>
      <c r="F63" s="64">
        <v>3.4796456492519519</v>
      </c>
      <c r="G63" s="64">
        <v>3.4798224492519521</v>
      </c>
      <c r="H63" s="64">
        <v>6.2156013613223955</v>
      </c>
      <c r="I63" s="64">
        <v>6.2157781613223957</v>
      </c>
      <c r="J63" s="64">
        <v>3.4796456492519519</v>
      </c>
      <c r="K63" s="64">
        <v>3.4798224492519521</v>
      </c>
      <c r="L63" s="4"/>
      <c r="M63" s="4"/>
      <c r="N63" s="4"/>
    </row>
    <row r="64" spans="1:14" ht="15">
      <c r="A64" s="13">
        <v>43586</v>
      </c>
      <c r="B64" s="63">
        <v>2.9151857422731169</v>
      </c>
      <c r="C64" s="63">
        <v>2.9151857422731169</v>
      </c>
      <c r="D64" s="63">
        <v>2.932349462273117</v>
      </c>
      <c r="E64" s="64">
        <v>3.48873756049802</v>
      </c>
      <c r="F64" s="64">
        <v>3.48873756049802</v>
      </c>
      <c r="G64" s="64">
        <v>3.4898893604980201</v>
      </c>
      <c r="H64" s="64">
        <v>6.2285505308251512</v>
      </c>
      <c r="I64" s="64">
        <v>6.2297023308251509</v>
      </c>
      <c r="J64" s="64">
        <v>3.48873756049802</v>
      </c>
      <c r="K64" s="64">
        <v>3.4898893604980201</v>
      </c>
      <c r="L64" s="4"/>
      <c r="M64" s="4"/>
      <c r="N64" s="4"/>
    </row>
    <row r="65" spans="1:14" ht="15">
      <c r="A65" s="13">
        <v>43617</v>
      </c>
      <c r="B65" s="63">
        <v>2.9212652877276626</v>
      </c>
      <c r="C65" s="63">
        <v>2.9212652877276626</v>
      </c>
      <c r="D65" s="63">
        <v>2.9384290077276627</v>
      </c>
      <c r="E65" s="64">
        <v>3.4838829373875448</v>
      </c>
      <c r="F65" s="64">
        <v>3.4838829373875448</v>
      </c>
      <c r="G65" s="64">
        <v>3.485034737387545</v>
      </c>
      <c r="H65" s="64">
        <v>6.2415266777643712</v>
      </c>
      <c r="I65" s="64">
        <v>6.2426784777643709</v>
      </c>
      <c r="J65" s="64">
        <v>3.4838829373875448</v>
      </c>
      <c r="K65" s="64">
        <v>3.485034737387545</v>
      </c>
      <c r="L65" s="4"/>
      <c r="M65" s="4"/>
      <c r="N65" s="4"/>
    </row>
    <row r="66" spans="1:14" ht="15">
      <c r="A66" s="13">
        <v>43647</v>
      </c>
      <c r="B66" s="63">
        <v>2.9781288410200353</v>
      </c>
      <c r="C66" s="63">
        <v>2.9781288410200353</v>
      </c>
      <c r="D66" s="63">
        <v>2.9952925610200354</v>
      </c>
      <c r="E66" s="64">
        <v>3.4566055029754672</v>
      </c>
      <c r="F66" s="64">
        <v>3.4566055029754672</v>
      </c>
      <c r="G66" s="64">
        <v>3.4577573029754674</v>
      </c>
      <c r="H66" s="64">
        <v>6.254529858343048</v>
      </c>
      <c r="I66" s="64">
        <v>6.2556816583430477</v>
      </c>
      <c r="J66" s="64">
        <v>3.4566055029754672</v>
      </c>
      <c r="K66" s="64">
        <v>3.4577573029754674</v>
      </c>
      <c r="L66" s="4"/>
      <c r="M66" s="4"/>
      <c r="N66" s="4"/>
    </row>
    <row r="67" spans="1:14" ht="15">
      <c r="A67" s="13">
        <v>43678</v>
      </c>
      <c r="B67" s="63">
        <v>2.9848163410200352</v>
      </c>
      <c r="C67" s="63">
        <v>2.9848163410200352</v>
      </c>
      <c r="D67" s="63">
        <v>3.0019800610200353</v>
      </c>
      <c r="E67" s="64">
        <v>3.4339907861864147</v>
      </c>
      <c r="F67" s="64">
        <v>3.4339907861864147</v>
      </c>
      <c r="G67" s="64">
        <v>3.4351425861864149</v>
      </c>
      <c r="H67" s="64">
        <v>6.2675601288812635</v>
      </c>
      <c r="I67" s="64">
        <v>6.2687119288812632</v>
      </c>
      <c r="J67" s="64">
        <v>3.4339907861864147</v>
      </c>
      <c r="K67" s="64">
        <v>3.4351425861864149</v>
      </c>
      <c r="L67" s="4"/>
      <c r="M67" s="4"/>
      <c r="N67" s="4"/>
    </row>
    <row r="68" spans="1:14" ht="15">
      <c r="A68" s="13">
        <v>43709</v>
      </c>
      <c r="B68" s="63">
        <v>2.9817765682927617</v>
      </c>
      <c r="C68" s="63">
        <v>2.9817765682927617</v>
      </c>
      <c r="D68" s="63">
        <v>2.9989402882927618</v>
      </c>
      <c r="E68" s="64">
        <v>3.4288415050365959</v>
      </c>
      <c r="F68" s="64">
        <v>3.4288415050365959</v>
      </c>
      <c r="G68" s="64">
        <v>3.4299933050365961</v>
      </c>
      <c r="H68" s="64">
        <v>6.2806175458164333</v>
      </c>
      <c r="I68" s="64">
        <v>6.281769345816433</v>
      </c>
      <c r="J68" s="64">
        <v>3.4288415050365959</v>
      </c>
      <c r="K68" s="64">
        <v>3.4299933050365961</v>
      </c>
      <c r="L68" s="4"/>
      <c r="M68" s="4"/>
      <c r="N68" s="4"/>
    </row>
    <row r="69" spans="1:14" ht="15">
      <c r="A69" s="13">
        <v>43739</v>
      </c>
      <c r="B69" s="63">
        <v>2.9731466264456334</v>
      </c>
      <c r="C69" s="63">
        <v>2.9731466264456334</v>
      </c>
      <c r="D69" s="63">
        <v>2.9817303464456333</v>
      </c>
      <c r="E69" s="64">
        <v>3.427545974268642</v>
      </c>
      <c r="F69" s="64">
        <v>3.427545974268642</v>
      </c>
      <c r="G69" s="64">
        <v>3.4277227742686422</v>
      </c>
      <c r="H69" s="64">
        <v>6.2937021657035519</v>
      </c>
      <c r="I69" s="64">
        <v>6.2938789657035521</v>
      </c>
      <c r="J69" s="64">
        <v>3.427545974268642</v>
      </c>
      <c r="K69" s="64">
        <v>3.4277227742686422</v>
      </c>
      <c r="L69" s="4"/>
      <c r="M69" s="4"/>
      <c r="N69" s="4"/>
    </row>
    <row r="70" spans="1:14" ht="15">
      <c r="A70" s="13">
        <v>43770</v>
      </c>
      <c r="B70" s="63">
        <v>2.9761863991729061</v>
      </c>
      <c r="C70" s="63">
        <v>2.9761863991729061</v>
      </c>
      <c r="D70" s="63">
        <v>2.9847701191729059</v>
      </c>
      <c r="E70" s="64">
        <v>3.4357258925004839</v>
      </c>
      <c r="F70" s="64">
        <v>3.4357258925004839</v>
      </c>
      <c r="G70" s="64">
        <v>3.4359026925004841</v>
      </c>
      <c r="H70" s="64">
        <v>6.3068140452154351</v>
      </c>
      <c r="I70" s="64">
        <v>6.3069908452154353</v>
      </c>
      <c r="J70" s="64">
        <v>3.4357258925004839</v>
      </c>
      <c r="K70" s="64">
        <v>3.4359026925004841</v>
      </c>
      <c r="L70" s="4"/>
      <c r="M70" s="4"/>
      <c r="N70" s="4"/>
    </row>
    <row r="71" spans="1:14" ht="15">
      <c r="A71" s="13">
        <v>43800</v>
      </c>
      <c r="B71" s="63">
        <v>2.9761863991729061</v>
      </c>
      <c r="C71" s="63">
        <v>2.9761863991729061</v>
      </c>
      <c r="D71" s="63">
        <v>2.9847701191729059</v>
      </c>
      <c r="E71" s="64">
        <v>3.4205727070903698</v>
      </c>
      <c r="F71" s="64">
        <v>3.4205727070903698</v>
      </c>
      <c r="G71" s="64">
        <v>3.42074950709037</v>
      </c>
      <c r="H71" s="64">
        <v>6.3199532411429677</v>
      </c>
      <c r="I71" s="64">
        <v>6.3201300411429679</v>
      </c>
      <c r="J71" s="64">
        <v>3.4205727070903698</v>
      </c>
      <c r="K71" s="64">
        <v>3.42074950709037</v>
      </c>
      <c r="L71" s="4"/>
      <c r="M71" s="4"/>
      <c r="N71" s="4"/>
    </row>
    <row r="72" spans="1:14" ht="15">
      <c r="A72" s="13">
        <v>43831</v>
      </c>
      <c r="B72" s="63">
        <v>3.0033692856333358</v>
      </c>
      <c r="C72" s="63">
        <v>3.0033692856333358</v>
      </c>
      <c r="D72" s="63">
        <v>3.0119530056333357</v>
      </c>
      <c r="E72" s="64">
        <v>3.5343360938544599</v>
      </c>
      <c r="F72" s="64">
        <v>3.5343360938544599</v>
      </c>
      <c r="G72" s="64">
        <v>3.5345128938544601</v>
      </c>
      <c r="H72" s="64">
        <v>6.3331198103953499</v>
      </c>
      <c r="I72" s="64">
        <v>6.3332966103953501</v>
      </c>
      <c r="J72" s="64">
        <v>3.5343360938544599</v>
      </c>
      <c r="K72" s="64">
        <v>3.5345128938544601</v>
      </c>
      <c r="L72" s="4"/>
      <c r="M72" s="4"/>
      <c r="N72" s="4"/>
    </row>
    <row r="73" spans="1:14" ht="15">
      <c r="A73" s="13">
        <v>43862</v>
      </c>
      <c r="B73" s="63">
        <v>3.0003295129060632</v>
      </c>
      <c r="C73" s="63">
        <v>3.0003295129060632</v>
      </c>
      <c r="D73" s="63">
        <v>3.0089132329060631</v>
      </c>
      <c r="E73" s="64">
        <v>3.4967259014378196</v>
      </c>
      <c r="F73" s="64">
        <v>3.4967259014378196</v>
      </c>
      <c r="G73" s="64">
        <v>3.4969027014378198</v>
      </c>
      <c r="H73" s="64">
        <v>6.3463138100003409</v>
      </c>
      <c r="I73" s="64">
        <v>6.3464906100003411</v>
      </c>
      <c r="J73" s="64">
        <v>3.4967259014378196</v>
      </c>
      <c r="K73" s="64">
        <v>3.4969027014378198</v>
      </c>
      <c r="L73" s="4"/>
      <c r="M73" s="4"/>
      <c r="N73" s="4"/>
    </row>
    <row r="74" spans="1:14" ht="15">
      <c r="A74" s="13">
        <v>43891</v>
      </c>
      <c r="B74" s="63">
        <v>2.9972897401787901</v>
      </c>
      <c r="C74" s="63">
        <v>2.9972897401787901</v>
      </c>
      <c r="D74" s="63">
        <v>3.00587346017879</v>
      </c>
      <c r="E74" s="64">
        <v>3.522586647496551</v>
      </c>
      <c r="F74" s="64">
        <v>3.5225866474965515</v>
      </c>
      <c r="G74" s="64">
        <v>3.5227634474965517</v>
      </c>
      <c r="H74" s="64">
        <v>6.3595352971045092</v>
      </c>
      <c r="I74" s="64">
        <v>6.3597120971045094</v>
      </c>
      <c r="J74" s="64">
        <v>3.522586647496551</v>
      </c>
      <c r="K74" s="64">
        <v>3.5227634474965512</v>
      </c>
      <c r="L74" s="4"/>
      <c r="M74" s="4"/>
      <c r="N74" s="4"/>
    </row>
    <row r="75" spans="1:14" ht="15">
      <c r="A75" s="13">
        <v>43922</v>
      </c>
      <c r="B75" s="63">
        <v>2.9940027296668497</v>
      </c>
      <c r="C75" s="63">
        <v>2.9940027296668497</v>
      </c>
      <c r="D75" s="63">
        <v>3.0025864496668495</v>
      </c>
      <c r="E75" s="64">
        <v>3.5483979922502198</v>
      </c>
      <c r="F75" s="64">
        <v>3.5483979922502198</v>
      </c>
      <c r="G75" s="64">
        <v>3.54857479225022</v>
      </c>
      <c r="H75" s="64">
        <v>6.3727843289734771</v>
      </c>
      <c r="I75" s="64">
        <v>6.3729611289734773</v>
      </c>
      <c r="J75" s="64">
        <v>3.5483979922502198</v>
      </c>
      <c r="K75" s="64">
        <v>3.54857479225022</v>
      </c>
      <c r="L75" s="4"/>
      <c r="M75" s="4"/>
      <c r="N75" s="4"/>
    </row>
    <row r="76" spans="1:14" ht="15">
      <c r="A76" s="13">
        <v>43952</v>
      </c>
      <c r="B76" s="63">
        <v>2.9940027296668497</v>
      </c>
      <c r="C76" s="63">
        <v>2.9940027296668497</v>
      </c>
      <c r="D76" s="63">
        <v>3.0111664496668498</v>
      </c>
      <c r="E76" s="64">
        <v>3.5596662295836925</v>
      </c>
      <c r="F76" s="64">
        <v>3.5596662295836925</v>
      </c>
      <c r="G76" s="64">
        <v>3.5608180295836926</v>
      </c>
      <c r="H76" s="64">
        <v>6.3860609629921727</v>
      </c>
      <c r="I76" s="64">
        <v>6.3872127629921724</v>
      </c>
      <c r="J76" s="64">
        <v>3.5596662295836925</v>
      </c>
      <c r="K76" s="64">
        <v>3.5608180295836926</v>
      </c>
      <c r="L76" s="4"/>
      <c r="M76" s="4"/>
      <c r="N76" s="4"/>
    </row>
    <row r="77" spans="1:14" ht="15">
      <c r="A77" s="13">
        <v>43983</v>
      </c>
      <c r="B77" s="63">
        <v>3.0000822751213945</v>
      </c>
      <c r="C77" s="63">
        <v>3.0000822751213945</v>
      </c>
      <c r="D77" s="63">
        <v>3.0172459951213946</v>
      </c>
      <c r="E77" s="64">
        <v>3.5526352803858128</v>
      </c>
      <c r="F77" s="64">
        <v>3.5526352803858128</v>
      </c>
      <c r="G77" s="64">
        <v>3.5537870803858129</v>
      </c>
      <c r="H77" s="64">
        <v>6.3993652566650736</v>
      </c>
      <c r="I77" s="64">
        <v>6.4005170566650733</v>
      </c>
      <c r="J77" s="64">
        <v>3.5526352803858128</v>
      </c>
      <c r="K77" s="64">
        <v>3.5537870803858129</v>
      </c>
      <c r="L77" s="4"/>
      <c r="M77" s="4"/>
      <c r="N77" s="4"/>
    </row>
    <row r="78" spans="1:14" ht="15">
      <c r="A78" s="13">
        <v>44013</v>
      </c>
      <c r="B78" s="63">
        <v>3.0508982912603879</v>
      </c>
      <c r="C78" s="63">
        <v>3.0508982912603879</v>
      </c>
      <c r="D78" s="63">
        <v>3.068062011260388</v>
      </c>
      <c r="E78" s="64">
        <v>3.6456363510731906</v>
      </c>
      <c r="F78" s="64">
        <v>3.6456363510731906</v>
      </c>
      <c r="G78" s="64">
        <v>3.6467881510731908</v>
      </c>
      <c r="H78" s="64">
        <v>6.4126972676164602</v>
      </c>
      <c r="I78" s="64">
        <v>6.4138490676164599</v>
      </c>
      <c r="J78" s="64">
        <v>3.6456363510731906</v>
      </c>
      <c r="K78" s="64">
        <v>3.6467881510731908</v>
      </c>
      <c r="L78" s="4"/>
      <c r="M78" s="4"/>
      <c r="N78" s="4"/>
    </row>
    <row r="79" spans="1:14" ht="15">
      <c r="A79" s="13">
        <v>44044</v>
      </c>
      <c r="B79" s="63">
        <v>3.0575857912603879</v>
      </c>
      <c r="C79" s="63">
        <v>3.0575857912603879</v>
      </c>
      <c r="D79" s="63">
        <v>3.074749511260388</v>
      </c>
      <c r="E79" s="64">
        <v>3.6164926560219244</v>
      </c>
      <c r="F79" s="64">
        <v>3.6164926560219244</v>
      </c>
      <c r="G79" s="64">
        <v>3.6176444560219245</v>
      </c>
      <c r="H79" s="64">
        <v>6.4260570535906618</v>
      </c>
      <c r="I79" s="64">
        <v>6.4272088535906615</v>
      </c>
      <c r="J79" s="64">
        <v>3.6164926560219244</v>
      </c>
      <c r="K79" s="64">
        <v>3.6176444560219245</v>
      </c>
      <c r="L79" s="4"/>
      <c r="M79" s="4"/>
      <c r="N79" s="4"/>
    </row>
    <row r="80" spans="1:14" ht="15">
      <c r="A80" s="13">
        <v>44075</v>
      </c>
      <c r="B80" s="63">
        <v>3.0545460185331148</v>
      </c>
      <c r="C80" s="63">
        <v>3.0545460185331148</v>
      </c>
      <c r="D80" s="63">
        <v>3.0717097385331149</v>
      </c>
      <c r="E80" s="64">
        <v>3.6106179328429704</v>
      </c>
      <c r="F80" s="64">
        <v>3.6106179328429704</v>
      </c>
      <c r="G80" s="64">
        <v>3.6117697328429705</v>
      </c>
      <c r="H80" s="64">
        <v>6.4394446724523098</v>
      </c>
      <c r="I80" s="64">
        <v>6.4405964724523095</v>
      </c>
      <c r="J80" s="64">
        <v>3.6106179328429704</v>
      </c>
      <c r="K80" s="64">
        <v>3.6117697328429705</v>
      </c>
      <c r="L80" s="4"/>
      <c r="M80" s="4"/>
      <c r="N80" s="4"/>
    </row>
    <row r="81" spans="1:14" ht="15">
      <c r="A81" s="13">
        <v>44105</v>
      </c>
      <c r="B81" s="63">
        <v>3.0462116863414206</v>
      </c>
      <c r="C81" s="63">
        <v>3.0462116863414206</v>
      </c>
      <c r="D81" s="63">
        <v>3.0547954063414204</v>
      </c>
      <c r="E81" s="64">
        <v>3.6122241701915558</v>
      </c>
      <c r="F81" s="64">
        <v>3.6122241701915554</v>
      </c>
      <c r="G81" s="64">
        <v>3.6124009701915556</v>
      </c>
      <c r="H81" s="64">
        <v>6.4528601821865861</v>
      </c>
      <c r="I81" s="64">
        <v>6.4530369821865863</v>
      </c>
      <c r="J81" s="64">
        <v>3.6122241701915558</v>
      </c>
      <c r="K81" s="64">
        <v>3.612400970191556</v>
      </c>
      <c r="L81" s="4"/>
      <c r="M81" s="4"/>
      <c r="N81" s="4"/>
    </row>
    <row r="82" spans="1:14" ht="15">
      <c r="A82" s="13">
        <v>44136</v>
      </c>
      <c r="B82" s="63">
        <v>3.0492514590686928</v>
      </c>
      <c r="C82" s="63">
        <v>3.0492514590686928</v>
      </c>
      <c r="D82" s="63">
        <v>3.0578351790686926</v>
      </c>
      <c r="E82" s="64">
        <v>3.6218549724816684</v>
      </c>
      <c r="F82" s="64">
        <v>3.6218549724816684</v>
      </c>
      <c r="G82" s="64">
        <v>3.6220317724816686</v>
      </c>
      <c r="H82" s="64">
        <v>6.4663036408994756</v>
      </c>
      <c r="I82" s="64">
        <v>6.4664804408994758</v>
      </c>
      <c r="J82" s="64">
        <v>3.6218549724816684</v>
      </c>
      <c r="K82" s="64">
        <v>3.6220317724816686</v>
      </c>
      <c r="L82" s="4"/>
      <c r="M82" s="4"/>
      <c r="N82" s="4"/>
    </row>
    <row r="83" spans="1:14" ht="15">
      <c r="A83" s="13">
        <v>44166</v>
      </c>
      <c r="B83" s="63">
        <v>3.0492514590686928</v>
      </c>
      <c r="C83" s="63">
        <v>3.0492514590686928</v>
      </c>
      <c r="D83" s="63">
        <v>3.0578351790686926</v>
      </c>
      <c r="E83" s="64">
        <v>3.6030745769258798</v>
      </c>
      <c r="F83" s="64">
        <v>3.6030745769258798</v>
      </c>
      <c r="G83" s="64">
        <v>3.60325137692588</v>
      </c>
      <c r="H83" s="64">
        <v>6.4797751068180167</v>
      </c>
      <c r="I83" s="64">
        <v>6.4799519068180169</v>
      </c>
      <c r="J83" s="64">
        <v>3.6030745769258798</v>
      </c>
      <c r="K83" s="64">
        <v>3.60325137692588</v>
      </c>
      <c r="L83" s="4"/>
      <c r="M83" s="4"/>
      <c r="N83" s="4"/>
    </row>
    <row r="84" spans="1:14" ht="15">
      <c r="A84" s="13">
        <v>44197</v>
      </c>
      <c r="B84" s="63">
        <v>3.0805097707341207</v>
      </c>
      <c r="C84" s="63">
        <v>3.0805097707341207</v>
      </c>
      <c r="D84" s="63">
        <v>3.0890934907341205</v>
      </c>
      <c r="E84" s="64">
        <v>3.6490463130157118</v>
      </c>
      <c r="F84" s="64">
        <v>3.6490463130157114</v>
      </c>
      <c r="G84" s="64">
        <v>3.6492231130157116</v>
      </c>
      <c r="H84" s="64">
        <v>6.4932746382905551</v>
      </c>
      <c r="I84" s="64">
        <v>6.4934514382905553</v>
      </c>
      <c r="J84" s="64">
        <v>3.6490463130157118</v>
      </c>
      <c r="K84" s="64">
        <v>3.649223113015712</v>
      </c>
      <c r="L84" s="4"/>
      <c r="M84" s="4"/>
      <c r="N84" s="4"/>
    </row>
    <row r="85" spans="1:14" ht="15">
      <c r="A85" s="13">
        <v>44228</v>
      </c>
      <c r="B85" s="63">
        <v>3.0774699980068472</v>
      </c>
      <c r="C85" s="63">
        <v>3.0774699980068472</v>
      </c>
      <c r="D85" s="63">
        <v>3.086053718006847</v>
      </c>
      <c r="E85" s="64">
        <v>3.6086609393996629</v>
      </c>
      <c r="F85" s="64">
        <v>3.6086609393996629</v>
      </c>
      <c r="G85" s="64">
        <v>3.6088377393996631</v>
      </c>
      <c r="H85" s="64">
        <v>6.5068022937869943</v>
      </c>
      <c r="I85" s="64">
        <v>6.5069790937869945</v>
      </c>
      <c r="J85" s="64">
        <v>3.6086609393996629</v>
      </c>
      <c r="K85" s="64">
        <v>3.6088377393996631</v>
      </c>
      <c r="L85" s="4"/>
      <c r="M85" s="4"/>
      <c r="N85" s="4"/>
    </row>
    <row r="86" spans="1:14" ht="15">
      <c r="A86" s="13">
        <v>44256</v>
      </c>
      <c r="B86" s="63">
        <v>3.0744302252795745</v>
      </c>
      <c r="C86" s="63">
        <v>3.0744302252795745</v>
      </c>
      <c r="D86" s="63">
        <v>3.0830139452795744</v>
      </c>
      <c r="E86" s="64">
        <v>3.6367094704681353</v>
      </c>
      <c r="F86" s="64">
        <v>3.6367094704681353</v>
      </c>
      <c r="G86" s="64">
        <v>3.6368862704681355</v>
      </c>
      <c r="H86" s="64">
        <v>6.5203581318990516</v>
      </c>
      <c r="I86" s="64">
        <v>6.5205349318990518</v>
      </c>
      <c r="J86" s="64">
        <v>3.6367094704681353</v>
      </c>
      <c r="K86" s="64">
        <v>3.6368862704681355</v>
      </c>
      <c r="L86" s="4"/>
      <c r="M86" s="4"/>
      <c r="N86" s="4"/>
    </row>
    <row r="87" spans="1:14" ht="15">
      <c r="A87" s="13">
        <v>44287</v>
      </c>
      <c r="B87" s="63">
        <v>3.0712227463539961</v>
      </c>
      <c r="C87" s="63">
        <v>3.0712227463539961</v>
      </c>
      <c r="D87" s="63">
        <v>3.0798064663539959</v>
      </c>
      <c r="E87" s="64">
        <v>3.6648703999804777</v>
      </c>
      <c r="F87" s="64">
        <v>3.6648703999804777</v>
      </c>
      <c r="G87" s="64">
        <v>3.6650471999804779</v>
      </c>
      <c r="H87" s="64">
        <v>6.5339422113405083</v>
      </c>
      <c r="I87" s="64">
        <v>6.5341190113405085</v>
      </c>
      <c r="J87" s="64">
        <v>3.6648703999804777</v>
      </c>
      <c r="K87" s="64">
        <v>3.6650471999804779</v>
      </c>
      <c r="L87" s="4"/>
      <c r="M87" s="4"/>
      <c r="N87" s="4"/>
    </row>
    <row r="88" spans="1:14" ht="15">
      <c r="A88" s="13">
        <v>44317</v>
      </c>
      <c r="B88" s="63">
        <v>3.0712227463539961</v>
      </c>
      <c r="C88" s="63">
        <v>3.0712227463539961</v>
      </c>
      <c r="D88" s="63">
        <v>3.0883864663539962</v>
      </c>
      <c r="E88" s="64">
        <v>3.6770197315984525</v>
      </c>
      <c r="F88" s="64">
        <v>3.6770197315984525</v>
      </c>
      <c r="G88" s="64">
        <v>3.6781715315984527</v>
      </c>
      <c r="H88" s="64">
        <v>6.5475545909474686</v>
      </c>
      <c r="I88" s="64">
        <v>6.5487063909474683</v>
      </c>
      <c r="J88" s="64">
        <v>3.6770197315984525</v>
      </c>
      <c r="K88" s="64">
        <v>3.6781715315984527</v>
      </c>
      <c r="L88" s="4"/>
      <c r="M88" s="4"/>
      <c r="N88" s="4"/>
    </row>
    <row r="89" spans="1:14" ht="15">
      <c r="A89" s="13">
        <v>44348</v>
      </c>
      <c r="B89" s="63">
        <v>3.0773022918085418</v>
      </c>
      <c r="C89" s="63">
        <v>3.0773022918085418</v>
      </c>
      <c r="D89" s="63">
        <v>3.0944660118085419</v>
      </c>
      <c r="E89" s="64">
        <v>3.6691076881160698</v>
      </c>
      <c r="F89" s="64">
        <v>3.6691076881160698</v>
      </c>
      <c r="G89" s="64">
        <v>3.6702594881160699</v>
      </c>
      <c r="H89" s="64">
        <v>6.5611953296786094</v>
      </c>
      <c r="I89" s="64">
        <v>6.5623471296786091</v>
      </c>
      <c r="J89" s="64">
        <v>3.6691076881160698</v>
      </c>
      <c r="K89" s="64">
        <v>3.6702594881160699</v>
      </c>
      <c r="L89" s="4"/>
      <c r="M89" s="4"/>
      <c r="N89" s="4"/>
    </row>
    <row r="90" spans="1:14" ht="15">
      <c r="A90" s="13">
        <v>44378</v>
      </c>
      <c r="B90" s="63">
        <v>3.1369505920029268</v>
      </c>
      <c r="C90" s="63">
        <v>3.1369505920029268</v>
      </c>
      <c r="D90" s="63">
        <v>3.1541143120029269</v>
      </c>
      <c r="E90" s="64">
        <v>3.6976249596528397</v>
      </c>
      <c r="F90" s="64">
        <v>3.6976249596528397</v>
      </c>
      <c r="G90" s="64">
        <v>3.6987767596528398</v>
      </c>
      <c r="H90" s="64">
        <v>6.5748644866154402</v>
      </c>
      <c r="I90" s="64">
        <v>6.5760162866154399</v>
      </c>
      <c r="J90" s="64">
        <v>3.6976249596528397</v>
      </c>
      <c r="K90" s="64">
        <v>3.6987767596528398</v>
      </c>
      <c r="L90" s="4"/>
      <c r="M90" s="4"/>
      <c r="N90" s="4"/>
    </row>
    <row r="91" spans="1:14" ht="15">
      <c r="A91" s="13">
        <v>44409</v>
      </c>
      <c r="B91" s="63">
        <v>3.1436380920029268</v>
      </c>
      <c r="C91" s="63">
        <v>3.1436380920029268</v>
      </c>
      <c r="D91" s="63">
        <v>3.1608018120029269</v>
      </c>
      <c r="E91" s="64">
        <v>3.6658379817480653</v>
      </c>
      <c r="F91" s="64">
        <v>3.6658379817480653</v>
      </c>
      <c r="G91" s="64">
        <v>3.6669897817480654</v>
      </c>
      <c r="H91" s="64">
        <v>6.588562120962556</v>
      </c>
      <c r="I91" s="64">
        <v>6.5897139209625557</v>
      </c>
      <c r="J91" s="64">
        <v>3.6658379817480653</v>
      </c>
      <c r="K91" s="64">
        <v>3.6669897817480654</v>
      </c>
      <c r="L91" s="4"/>
      <c r="M91" s="4"/>
      <c r="N91" s="4"/>
    </row>
    <row r="92" spans="1:14" ht="15">
      <c r="A92" s="13">
        <v>44440</v>
      </c>
      <c r="B92" s="63">
        <v>3.1405983192756532</v>
      </c>
      <c r="C92" s="63">
        <v>3.1405983192756532</v>
      </c>
      <c r="D92" s="63">
        <v>3.1577620392756534</v>
      </c>
      <c r="E92" s="64">
        <v>3.6596695604742764</v>
      </c>
      <c r="F92" s="64">
        <v>3.6596695604742764</v>
      </c>
      <c r="G92" s="64">
        <v>3.6608213604742765</v>
      </c>
      <c r="H92" s="64">
        <v>6.6022882920478949</v>
      </c>
      <c r="I92" s="64">
        <v>6.6034400920478946</v>
      </c>
      <c r="J92" s="64">
        <v>3.6596695604742764</v>
      </c>
      <c r="K92" s="64">
        <v>3.6608213604742765</v>
      </c>
      <c r="L92" s="4"/>
      <c r="M92" s="4"/>
      <c r="N92" s="4"/>
    </row>
    <row r="93" spans="1:14" ht="15">
      <c r="A93" s="13">
        <v>44470</v>
      </c>
      <c r="B93" s="63">
        <v>3.1325887630461877</v>
      </c>
      <c r="C93" s="63">
        <v>3.1325887630461877</v>
      </c>
      <c r="D93" s="63">
        <v>3.1411724830461876</v>
      </c>
      <c r="E93" s="64">
        <v>3.6624505902021993</v>
      </c>
      <c r="F93" s="64">
        <v>3.6624505902021993</v>
      </c>
      <c r="G93" s="64">
        <v>3.6626273902021995</v>
      </c>
      <c r="H93" s="64">
        <v>6.6160430593229957</v>
      </c>
      <c r="I93" s="64">
        <v>6.6162198593229959</v>
      </c>
      <c r="J93" s="64">
        <v>3.6624505902021993</v>
      </c>
      <c r="K93" s="64">
        <v>3.6626273902021995</v>
      </c>
      <c r="L93" s="4"/>
      <c r="M93" s="4"/>
      <c r="N93" s="4"/>
    </row>
    <row r="94" spans="1:14" ht="15">
      <c r="A94" s="13">
        <v>44501</v>
      </c>
      <c r="B94" s="63">
        <v>3.1356285357734599</v>
      </c>
      <c r="C94" s="63">
        <v>3.1356285357734599</v>
      </c>
      <c r="D94" s="63">
        <v>3.1442122557734598</v>
      </c>
      <c r="E94" s="64">
        <v>3.67266878868198</v>
      </c>
      <c r="F94" s="64">
        <v>3.67266878868198</v>
      </c>
      <c r="G94" s="64">
        <v>3.6728455886819802</v>
      </c>
      <c r="H94" s="64">
        <v>6.6298264823632529</v>
      </c>
      <c r="I94" s="64">
        <v>6.6300032823632531</v>
      </c>
      <c r="J94" s="64">
        <v>3.67266878868198</v>
      </c>
      <c r="K94" s="64">
        <v>3.6728455886819802</v>
      </c>
      <c r="L94" s="4"/>
      <c r="M94" s="4"/>
      <c r="N94" s="4"/>
    </row>
    <row r="95" spans="1:14" ht="15">
      <c r="A95" s="13">
        <v>44531</v>
      </c>
      <c r="B95" s="63">
        <v>3.1356285357734599</v>
      </c>
      <c r="C95" s="63">
        <v>3.1356285357734599</v>
      </c>
      <c r="D95" s="63">
        <v>3.1442122557734598</v>
      </c>
      <c r="E95" s="64">
        <v>3.6524199026520203</v>
      </c>
      <c r="F95" s="64">
        <v>3.6524199026520203</v>
      </c>
      <c r="G95" s="64">
        <v>3.6525967026520205</v>
      </c>
      <c r="H95" s="64">
        <v>6.6436386208681766</v>
      </c>
      <c r="I95" s="64">
        <v>6.6438154208681768</v>
      </c>
      <c r="J95" s="64">
        <v>3.6524199026520203</v>
      </c>
      <c r="K95" s="64">
        <v>3.6525967026520205</v>
      </c>
      <c r="L95" s="4"/>
      <c r="M95" s="4"/>
      <c r="N95" s="4"/>
    </row>
    <row r="96" spans="1:14" ht="15">
      <c r="A96" s="13">
        <v>44562</v>
      </c>
      <c r="B96" s="63">
        <v>3.165336123731691</v>
      </c>
      <c r="C96" s="63">
        <v>3.165336123731691</v>
      </c>
      <c r="D96" s="63">
        <v>3.1739198437316909</v>
      </c>
      <c r="E96" s="64">
        <v>3.7075960835948827</v>
      </c>
      <c r="F96" s="64">
        <v>3.7075960835948831</v>
      </c>
      <c r="G96" s="64">
        <v>3.7077728835948833</v>
      </c>
      <c r="H96" s="64">
        <v>6.6574795346616522</v>
      </c>
      <c r="I96" s="64">
        <v>6.6576563346616524</v>
      </c>
      <c r="J96" s="64">
        <v>3.7075960835948827</v>
      </c>
      <c r="K96" s="64">
        <v>3.7077728835948829</v>
      </c>
      <c r="L96" s="4"/>
      <c r="M96" s="4"/>
      <c r="N96" s="4"/>
    </row>
    <row r="97" spans="1:14" ht="15">
      <c r="A97" s="13">
        <v>44593</v>
      </c>
      <c r="B97" s="63">
        <v>3.1622963510044184</v>
      </c>
      <c r="C97" s="63">
        <v>3.1622963510044184</v>
      </c>
      <c r="D97" s="63">
        <v>3.1708800710044183</v>
      </c>
      <c r="E97" s="64">
        <v>3.665107751992986</v>
      </c>
      <c r="F97" s="64">
        <v>3.665107751992986</v>
      </c>
      <c r="G97" s="64">
        <v>3.6652845519929862</v>
      </c>
      <c r="H97" s="64">
        <v>6.6713492836921979</v>
      </c>
      <c r="I97" s="64">
        <v>6.6715260836921981</v>
      </c>
      <c r="J97" s="64">
        <v>3.665107751992986</v>
      </c>
      <c r="K97" s="64">
        <v>3.6652845519929862</v>
      </c>
      <c r="L97" s="4"/>
      <c r="M97" s="4"/>
      <c r="N97" s="4"/>
    </row>
    <row r="98" spans="1:14" ht="15">
      <c r="A98" s="13">
        <v>44621</v>
      </c>
      <c r="B98" s="63">
        <v>3.1592565782771453</v>
      </c>
      <c r="C98" s="63">
        <v>3.1592565782771453</v>
      </c>
      <c r="D98" s="63">
        <v>3.1678402982771452</v>
      </c>
      <c r="E98" s="64">
        <v>3.6948141279468776</v>
      </c>
      <c r="F98" s="64">
        <v>3.6948141279468776</v>
      </c>
      <c r="G98" s="64">
        <v>3.6949909279468778</v>
      </c>
      <c r="H98" s="64">
        <v>6.685247928033224</v>
      </c>
      <c r="I98" s="64">
        <v>6.6854247280332242</v>
      </c>
      <c r="J98" s="64">
        <v>3.6948141279468776</v>
      </c>
      <c r="K98" s="64">
        <v>3.6949909279468778</v>
      </c>
      <c r="L98" s="4"/>
      <c r="M98" s="4"/>
      <c r="N98" s="4"/>
    </row>
    <row r="99" spans="1:14" ht="15">
      <c r="A99" s="13">
        <v>44652</v>
      </c>
      <c r="B99" s="63">
        <v>3.1561335442831195</v>
      </c>
      <c r="C99" s="63">
        <v>3.1561335442831195</v>
      </c>
      <c r="D99" s="63">
        <v>3.1647172642831194</v>
      </c>
      <c r="E99" s="64">
        <v>3.7247555098609344</v>
      </c>
      <c r="F99" s="64">
        <v>3.7247555098609344</v>
      </c>
      <c r="G99" s="64">
        <v>3.7249323098609346</v>
      </c>
      <c r="H99" s="64">
        <v>6.6991755278832938</v>
      </c>
      <c r="I99" s="64">
        <v>6.699352327883294</v>
      </c>
      <c r="J99" s="64">
        <v>3.7247555098609344</v>
      </c>
      <c r="K99" s="64">
        <v>3.7249323098609346</v>
      </c>
      <c r="L99" s="4"/>
      <c r="M99" s="4"/>
      <c r="N99" s="4"/>
    </row>
    <row r="100" spans="1:14" ht="15">
      <c r="A100" s="13">
        <v>44682</v>
      </c>
      <c r="B100" s="63">
        <v>3.1561335442831195</v>
      </c>
      <c r="C100" s="63">
        <v>3.1561335442831195</v>
      </c>
      <c r="D100" s="63">
        <v>3.1732972642831196</v>
      </c>
      <c r="E100" s="64">
        <v>3.7375725111295539</v>
      </c>
      <c r="F100" s="64">
        <v>3.7375725111295539</v>
      </c>
      <c r="G100" s="64">
        <v>3.7387243111295541</v>
      </c>
      <c r="H100" s="64">
        <v>6.7131321435663844</v>
      </c>
      <c r="I100" s="64">
        <v>6.7142839435663841</v>
      </c>
      <c r="J100" s="64">
        <v>3.7375725111295539</v>
      </c>
      <c r="K100" s="64">
        <v>3.7387243111295541</v>
      </c>
      <c r="L100" s="4"/>
      <c r="M100" s="4"/>
      <c r="N100" s="4"/>
    </row>
    <row r="101" spans="1:14" ht="15">
      <c r="A101" s="13">
        <v>44713</v>
      </c>
      <c r="B101" s="63">
        <v>3.1622130897376657</v>
      </c>
      <c r="C101" s="63">
        <v>3.1622130897376657</v>
      </c>
      <c r="D101" s="63">
        <v>3.1793768097376658</v>
      </c>
      <c r="E101" s="64">
        <v>3.7289927979965274</v>
      </c>
      <c r="F101" s="64">
        <v>3.7289927979965274</v>
      </c>
      <c r="G101" s="64">
        <v>3.7301445979965275</v>
      </c>
      <c r="H101" s="64">
        <v>6.7271178355321481</v>
      </c>
      <c r="I101" s="64">
        <v>6.7282696355321479</v>
      </c>
      <c r="J101" s="64">
        <v>3.7289927979965274</v>
      </c>
      <c r="K101" s="64">
        <v>3.7301445979965275</v>
      </c>
      <c r="L101" s="4"/>
      <c r="M101" s="4"/>
      <c r="N101" s="4"/>
    </row>
    <row r="102" spans="1:14" ht="15">
      <c r="A102" s="13">
        <v>44743</v>
      </c>
      <c r="B102" s="63">
        <v>3.2178536605315005</v>
      </c>
      <c r="C102" s="63">
        <v>3.2178536605315005</v>
      </c>
      <c r="D102" s="63">
        <v>3.2350173805315006</v>
      </c>
      <c r="E102" s="64">
        <v>3.7960127766141807</v>
      </c>
      <c r="F102" s="64">
        <v>3.7960127766141807</v>
      </c>
      <c r="G102" s="64">
        <v>3.7971645766141808</v>
      </c>
      <c r="H102" s="64">
        <v>6.741132664356174</v>
      </c>
      <c r="I102" s="64">
        <v>6.7422844643561737</v>
      </c>
      <c r="J102" s="64">
        <v>3.7960127766141807</v>
      </c>
      <c r="K102" s="64">
        <v>3.7971645766141808</v>
      </c>
      <c r="L102" s="4"/>
      <c r="M102" s="4"/>
      <c r="N102" s="4"/>
    </row>
    <row r="103" spans="1:14" ht="15">
      <c r="A103" s="13">
        <v>44774</v>
      </c>
      <c r="B103" s="63">
        <v>3.2245411605315004</v>
      </c>
      <c r="C103" s="63">
        <v>3.2245411605315004</v>
      </c>
      <c r="D103" s="63">
        <v>3.2417048805315005</v>
      </c>
      <c r="E103" s="64">
        <v>3.7622227897574758</v>
      </c>
      <c r="F103" s="64">
        <v>3.7622227897574758</v>
      </c>
      <c r="G103" s="64">
        <v>3.763374589757476</v>
      </c>
      <c r="H103" s="64">
        <v>6.7551766907402504</v>
      </c>
      <c r="I103" s="64">
        <v>6.7563284907402501</v>
      </c>
      <c r="J103" s="64">
        <v>3.7622227897574758</v>
      </c>
      <c r="K103" s="64">
        <v>3.763374589757476</v>
      </c>
      <c r="L103" s="4"/>
      <c r="M103" s="4"/>
      <c r="N103" s="4"/>
    </row>
    <row r="104" spans="1:14" ht="15">
      <c r="A104" s="13">
        <v>44805</v>
      </c>
      <c r="B104" s="63">
        <v>3.2215013878042282</v>
      </c>
      <c r="C104" s="63">
        <v>3.2215013878042282</v>
      </c>
      <c r="D104" s="63">
        <v>3.2386651078042283</v>
      </c>
      <c r="E104" s="64">
        <v>3.7558318119334735</v>
      </c>
      <c r="F104" s="64">
        <v>3.7558318119334735</v>
      </c>
      <c r="G104" s="64">
        <v>3.7569836119334736</v>
      </c>
      <c r="H104" s="64">
        <v>6.7692499755126265</v>
      </c>
      <c r="I104" s="64">
        <v>6.7704017755126262</v>
      </c>
      <c r="J104" s="64">
        <v>3.7558318119334735</v>
      </c>
      <c r="K104" s="64">
        <v>3.7569836119334736</v>
      </c>
      <c r="L104" s="4"/>
      <c r="M104" s="4"/>
      <c r="N104" s="4"/>
    </row>
    <row r="105" spans="1:14" ht="15">
      <c r="A105" s="13">
        <v>44835</v>
      </c>
      <c r="B105" s="63">
        <v>3.2138148092530074</v>
      </c>
      <c r="C105" s="63">
        <v>3.2138148092530074</v>
      </c>
      <c r="D105" s="63">
        <v>3.2223985292530073</v>
      </c>
      <c r="E105" s="64">
        <v>3.7595030678622536</v>
      </c>
      <c r="F105" s="64">
        <v>3.7595030678622536</v>
      </c>
      <c r="G105" s="64">
        <v>3.7596798678622538</v>
      </c>
      <c r="H105" s="64">
        <v>6.7833525796282785</v>
      </c>
      <c r="I105" s="64">
        <v>6.7835293796282787</v>
      </c>
      <c r="J105" s="64">
        <v>3.7595030678622536</v>
      </c>
      <c r="K105" s="64">
        <v>3.7596798678622538</v>
      </c>
      <c r="L105" s="4"/>
      <c r="M105" s="4"/>
      <c r="N105" s="4"/>
    </row>
    <row r="106" spans="1:14" ht="15">
      <c r="A106" s="13">
        <v>44866</v>
      </c>
      <c r="B106" s="63">
        <v>3.2168545819802805</v>
      </c>
      <c r="C106" s="63">
        <v>3.2168545819802805</v>
      </c>
      <c r="D106" s="63">
        <v>3.2254383019802804</v>
      </c>
      <c r="E106" s="64">
        <v>3.7701663794424629</v>
      </c>
      <c r="F106" s="64">
        <v>3.7701663794424629</v>
      </c>
      <c r="G106" s="64">
        <v>3.7703431794424631</v>
      </c>
      <c r="H106" s="64">
        <v>6.7974845641691717</v>
      </c>
      <c r="I106" s="64">
        <v>6.7976613641691719</v>
      </c>
      <c r="J106" s="64">
        <v>3.7701663794424629</v>
      </c>
      <c r="K106" s="64">
        <v>3.7703431794424631</v>
      </c>
      <c r="L106" s="4"/>
      <c r="M106" s="4"/>
      <c r="N106" s="4"/>
    </row>
    <row r="107" spans="1:14" ht="15">
      <c r="A107" s="13">
        <v>44896</v>
      </c>
      <c r="B107" s="63">
        <v>3.2168545819802805</v>
      </c>
      <c r="C107" s="63">
        <v>3.2168545819802805</v>
      </c>
      <c r="D107" s="63">
        <v>3.2254383019802804</v>
      </c>
      <c r="E107" s="64">
        <v>3.7488047106614313</v>
      </c>
      <c r="F107" s="64">
        <v>3.7488047106614313</v>
      </c>
      <c r="G107" s="64">
        <v>3.7489815106614315</v>
      </c>
      <c r="H107" s="64">
        <v>6.811645990344525</v>
      </c>
      <c r="I107" s="64">
        <v>6.8118227903445252</v>
      </c>
      <c r="J107" s="64">
        <v>3.7488047106614313</v>
      </c>
      <c r="K107" s="64">
        <v>3.7489815106614315</v>
      </c>
      <c r="L107" s="4"/>
      <c r="M107" s="4"/>
      <c r="N107" s="4"/>
    </row>
    <row r="108" spans="1:14" ht="15">
      <c r="A108" s="13">
        <v>44927</v>
      </c>
      <c r="B108" s="63">
        <v>3.2478230534611385</v>
      </c>
      <c r="C108" s="63">
        <v>3.2478230534611385</v>
      </c>
      <c r="D108" s="63">
        <v>3.2564067734611384</v>
      </c>
      <c r="E108" s="64">
        <v>3.7974918945412863</v>
      </c>
      <c r="F108" s="64">
        <v>3.7974918945412863</v>
      </c>
      <c r="G108" s="64">
        <v>3.7976686945412865</v>
      </c>
      <c r="H108" s="64">
        <v>6.8258369194910768</v>
      </c>
      <c r="I108" s="64">
        <v>6.826013719491077</v>
      </c>
      <c r="J108" s="64">
        <v>3.7974918945412863</v>
      </c>
      <c r="K108" s="64">
        <v>3.7976686945412865</v>
      </c>
      <c r="L108" s="4"/>
      <c r="M108" s="4"/>
      <c r="N108" s="4"/>
    </row>
    <row r="109" spans="1:14" ht="15">
      <c r="A109" s="13">
        <v>44958</v>
      </c>
      <c r="B109" s="63">
        <v>3.2447832807338655</v>
      </c>
      <c r="C109" s="63">
        <v>3.2447832807338655</v>
      </c>
      <c r="D109" s="63">
        <v>3.2533670007338653</v>
      </c>
      <c r="E109" s="64">
        <v>3.7528423131304858</v>
      </c>
      <c r="F109" s="64">
        <v>3.7528423131304858</v>
      </c>
      <c r="G109" s="64">
        <v>3.753019113130486</v>
      </c>
      <c r="H109" s="64">
        <v>6.8400574130733505</v>
      </c>
      <c r="I109" s="64">
        <v>6.8402342130733507</v>
      </c>
      <c r="J109" s="64">
        <v>3.7528423131304858</v>
      </c>
      <c r="K109" s="64">
        <v>3.753019113130486</v>
      </c>
      <c r="L109" s="4"/>
      <c r="M109" s="4"/>
      <c r="N109" s="4"/>
    </row>
    <row r="110" spans="1:14" ht="15">
      <c r="A110" s="13">
        <v>44986</v>
      </c>
      <c r="B110" s="63">
        <v>3.2417435080065928</v>
      </c>
      <c r="C110" s="63">
        <v>3.2417435080065928</v>
      </c>
      <c r="D110" s="63">
        <v>3.2503272280065927</v>
      </c>
      <c r="E110" s="64">
        <v>3.7842524877175006</v>
      </c>
      <c r="F110" s="64">
        <v>3.7842524877175006</v>
      </c>
      <c r="G110" s="64">
        <v>3.7844292877175008</v>
      </c>
      <c r="H110" s="64">
        <v>6.8543075326839205</v>
      </c>
      <c r="I110" s="64">
        <v>6.8544843326839207</v>
      </c>
      <c r="J110" s="64">
        <v>3.7842524877175006</v>
      </c>
      <c r="K110" s="64">
        <v>3.7844292877175008</v>
      </c>
      <c r="L110" s="4"/>
      <c r="M110" s="4"/>
      <c r="N110" s="4"/>
    </row>
    <row r="111" spans="1:14" ht="15">
      <c r="A111" s="13">
        <v>45017</v>
      </c>
      <c r="B111" s="63">
        <v>3.2387050246586711</v>
      </c>
      <c r="C111" s="63">
        <v>3.2387050246586711</v>
      </c>
      <c r="D111" s="63">
        <v>3.2472887446586709</v>
      </c>
      <c r="E111" s="64">
        <v>3.8160236743346783</v>
      </c>
      <c r="F111" s="64">
        <v>3.8160236743346783</v>
      </c>
      <c r="G111" s="64">
        <v>3.8162004743346785</v>
      </c>
      <c r="H111" s="64">
        <v>6.8685873400436792</v>
      </c>
      <c r="I111" s="64">
        <v>6.8687641400436794</v>
      </c>
      <c r="J111" s="64">
        <v>3.8160236743346783</v>
      </c>
      <c r="K111" s="64">
        <v>3.8162004743346785</v>
      </c>
      <c r="L111" s="4"/>
      <c r="M111" s="4"/>
      <c r="N111" s="4"/>
    </row>
    <row r="112" spans="1:14" ht="15">
      <c r="A112" s="13">
        <v>45047</v>
      </c>
      <c r="B112" s="63">
        <v>3.2387050246586711</v>
      </c>
      <c r="C112" s="63">
        <v>3.2387050246586711</v>
      </c>
      <c r="D112" s="63">
        <v>3.2558687446586712</v>
      </c>
      <c r="E112" s="64">
        <v>3.8295268523669659</v>
      </c>
      <c r="F112" s="64">
        <v>3.8295268523669663</v>
      </c>
      <c r="G112" s="64">
        <v>3.8306786523669665</v>
      </c>
      <c r="H112" s="64">
        <v>6.8828968970021043</v>
      </c>
      <c r="I112" s="64">
        <v>6.884048697002104</v>
      </c>
      <c r="J112" s="64">
        <v>3.8295268523669659</v>
      </c>
      <c r="K112" s="64">
        <v>3.830678652366966</v>
      </c>
      <c r="L112" s="4"/>
      <c r="M112" s="4"/>
      <c r="N112" s="4"/>
    </row>
    <row r="113" spans="1:14" ht="15">
      <c r="A113" s="13">
        <v>45078</v>
      </c>
      <c r="B113" s="63">
        <v>3.2447845701132167</v>
      </c>
      <c r="C113" s="63">
        <v>3.2447845701132167</v>
      </c>
      <c r="D113" s="63">
        <v>3.2619482901132169</v>
      </c>
      <c r="E113" s="64">
        <v>3.8202609624702704</v>
      </c>
      <c r="F113" s="64">
        <v>3.8202609624702704</v>
      </c>
      <c r="G113" s="64">
        <v>3.8214127624702705</v>
      </c>
      <c r="H113" s="64">
        <v>6.8972362655375257</v>
      </c>
      <c r="I113" s="64">
        <v>6.8983880655375254</v>
      </c>
      <c r="J113" s="64">
        <v>3.8202609624702704</v>
      </c>
      <c r="K113" s="64">
        <v>3.8214127624702705</v>
      </c>
      <c r="L113" s="4"/>
      <c r="M113" s="4"/>
      <c r="N113" s="4"/>
    </row>
    <row r="114" spans="1:14" ht="15">
      <c r="A114" s="13">
        <v>45108</v>
      </c>
      <c r="B114" s="63">
        <v>3.3030912692582755</v>
      </c>
      <c r="C114" s="63">
        <v>3.3030912692582755</v>
      </c>
      <c r="D114" s="63">
        <v>3.3202549892582756</v>
      </c>
      <c r="E114" s="64">
        <v>3.8690667124921445</v>
      </c>
      <c r="F114" s="64">
        <v>3.8690667124921445</v>
      </c>
      <c r="G114" s="64">
        <v>3.8702185124921447</v>
      </c>
      <c r="H114" s="64">
        <v>6.9116055077573959</v>
      </c>
      <c r="I114" s="64">
        <v>6.9127573077573956</v>
      </c>
      <c r="J114" s="64">
        <v>3.8690667124921445</v>
      </c>
      <c r="K114" s="64">
        <v>3.8702185124921447</v>
      </c>
      <c r="L114" s="4"/>
      <c r="M114" s="4"/>
      <c r="N114" s="4"/>
    </row>
    <row r="115" spans="1:14" ht="15">
      <c r="A115" s="13">
        <v>45139</v>
      </c>
      <c r="B115" s="63">
        <v>3.3097787692582754</v>
      </c>
      <c r="C115" s="63">
        <v>3.3097787692582754</v>
      </c>
      <c r="D115" s="63">
        <v>3.3269424892582755</v>
      </c>
      <c r="E115" s="64">
        <v>3.8332181953444304</v>
      </c>
      <c r="F115" s="64">
        <v>3.8332181953444304</v>
      </c>
      <c r="G115" s="64">
        <v>3.8343699953444306</v>
      </c>
      <c r="H115" s="64">
        <v>6.9260046858985582</v>
      </c>
      <c r="I115" s="64">
        <v>6.9271564858985579</v>
      </c>
      <c r="J115" s="64">
        <v>3.8332181953444304</v>
      </c>
      <c r="K115" s="64">
        <v>3.8343699953444306</v>
      </c>
      <c r="L115" s="4"/>
      <c r="M115" s="4"/>
      <c r="N115" s="4"/>
    </row>
    <row r="116" spans="1:14" ht="15">
      <c r="A116" s="13">
        <v>45170</v>
      </c>
      <c r="B116" s="63">
        <v>3.3067389965310028</v>
      </c>
      <c r="C116" s="63">
        <v>3.3067389965310028</v>
      </c>
      <c r="D116" s="63">
        <v>3.3239027165310029</v>
      </c>
      <c r="E116" s="64">
        <v>3.826598491932538</v>
      </c>
      <c r="F116" s="64">
        <v>3.826598491932538</v>
      </c>
      <c r="G116" s="64">
        <v>3.8277502919325381</v>
      </c>
      <c r="H116" s="64">
        <v>6.9404338623275139</v>
      </c>
      <c r="I116" s="64">
        <v>6.9415856623275136</v>
      </c>
      <c r="J116" s="64">
        <v>3.826598491932538</v>
      </c>
      <c r="K116" s="64">
        <v>3.8277502919325381</v>
      </c>
      <c r="L116" s="4"/>
      <c r="M116" s="4"/>
      <c r="N116" s="4"/>
    </row>
    <row r="117" spans="1:14" ht="15">
      <c r="A117" s="13">
        <v>45200</v>
      </c>
      <c r="B117" s="63">
        <v>3.2993802207363987</v>
      </c>
      <c r="C117" s="63">
        <v>3.2993802207363987</v>
      </c>
      <c r="D117" s="63">
        <v>3.3079639407363985</v>
      </c>
      <c r="E117" s="64">
        <v>3.8311846502128795</v>
      </c>
      <c r="F117" s="64">
        <v>3.8311846502128795</v>
      </c>
      <c r="G117" s="64">
        <v>3.8313614502128797</v>
      </c>
      <c r="H117" s="64">
        <v>6.9548930995406968</v>
      </c>
      <c r="I117" s="64">
        <v>6.955069899540697</v>
      </c>
      <c r="J117" s="64">
        <v>3.8311846502128795</v>
      </c>
      <c r="K117" s="64">
        <v>3.8313614502128797</v>
      </c>
      <c r="L117" s="4"/>
      <c r="M117" s="4"/>
      <c r="N117" s="4"/>
    </row>
    <row r="118" spans="1:14" ht="15">
      <c r="A118" s="13">
        <v>45231</v>
      </c>
      <c r="B118" s="63">
        <v>3.3024199934636718</v>
      </c>
      <c r="C118" s="63">
        <v>3.3024199934636718</v>
      </c>
      <c r="D118" s="63">
        <v>3.3110037134636716</v>
      </c>
      <c r="E118" s="64">
        <v>3.8423054129688681</v>
      </c>
      <c r="F118" s="64">
        <v>3.8423054129688681</v>
      </c>
      <c r="G118" s="64">
        <v>3.8424822129688683</v>
      </c>
      <c r="H118" s="64">
        <v>6.9693824601647405</v>
      </c>
      <c r="I118" s="64">
        <v>6.9695592601647407</v>
      </c>
      <c r="J118" s="64">
        <v>3.8423054129688681</v>
      </c>
      <c r="K118" s="64">
        <v>3.8424822129688683</v>
      </c>
      <c r="L118" s="4"/>
      <c r="M118" s="4"/>
      <c r="N118" s="4"/>
    </row>
    <row r="119" spans="1:14" ht="15">
      <c r="A119" s="13">
        <v>45261</v>
      </c>
      <c r="B119" s="63">
        <v>3.3024199934636718</v>
      </c>
      <c r="C119" s="63">
        <v>3.3024199934636718</v>
      </c>
      <c r="D119" s="63">
        <v>3.3110037134636716</v>
      </c>
      <c r="E119" s="64">
        <v>3.8198001162483872</v>
      </c>
      <c r="F119" s="64">
        <v>3.8198001162483872</v>
      </c>
      <c r="G119" s="64">
        <v>3.8199769162483874</v>
      </c>
      <c r="H119" s="64">
        <v>6.9839020069567512</v>
      </c>
      <c r="I119" s="64">
        <v>6.9840788069567514</v>
      </c>
      <c r="J119" s="64">
        <v>3.8198001162483872</v>
      </c>
      <c r="K119" s="64">
        <v>3.8199769162483874</v>
      </c>
      <c r="L119" s="4"/>
      <c r="M119" s="4"/>
      <c r="N119" s="4"/>
    </row>
    <row r="120" spans="1:14" ht="15">
      <c r="A120" s="13">
        <v>45292</v>
      </c>
      <c r="B120" s="63">
        <v>3.3324018415772807</v>
      </c>
      <c r="C120" s="63">
        <v>3.3324018415772807</v>
      </c>
      <c r="D120" s="63">
        <v>3.3409855615772805</v>
      </c>
      <c r="E120" s="64">
        <v>3.8553597038116374</v>
      </c>
      <c r="F120" s="64">
        <v>3.8553597038116374</v>
      </c>
      <c r="G120" s="64">
        <v>3.8555365038116376</v>
      </c>
      <c r="H120" s="64">
        <v>6.9984518028045786</v>
      </c>
      <c r="I120" s="64">
        <v>6.9986286028045788</v>
      </c>
      <c r="J120" s="64">
        <v>3.8553597038116374</v>
      </c>
      <c r="K120" s="64">
        <v>3.8555365038116376</v>
      </c>
      <c r="L120" s="4"/>
      <c r="M120" s="4"/>
      <c r="N120" s="4"/>
    </row>
    <row r="121" spans="1:14" ht="15">
      <c r="A121" s="13">
        <v>45323</v>
      </c>
      <c r="B121" s="63">
        <v>3.3293620688500076</v>
      </c>
      <c r="C121" s="63">
        <v>3.3293620688500076</v>
      </c>
      <c r="D121" s="63">
        <v>3.3379457888500075</v>
      </c>
      <c r="E121" s="64">
        <v>3.81034747341026</v>
      </c>
      <c r="F121" s="64">
        <v>3.81034747341026</v>
      </c>
      <c r="G121" s="64">
        <v>3.8105242734102602</v>
      </c>
      <c r="H121" s="64">
        <v>7.0130319107270891</v>
      </c>
      <c r="I121" s="64">
        <v>7.0132087107270893</v>
      </c>
      <c r="J121" s="64">
        <v>3.81034747341026</v>
      </c>
      <c r="K121" s="64">
        <v>3.8105242734102602</v>
      </c>
      <c r="L121" s="4"/>
      <c r="M121" s="4"/>
      <c r="N121" s="4"/>
    </row>
    <row r="122" spans="1:14" ht="15">
      <c r="A122" s="13">
        <v>45352</v>
      </c>
      <c r="B122" s="63">
        <v>3.326322296122735</v>
      </c>
      <c r="C122" s="63">
        <v>3.326322296122735</v>
      </c>
      <c r="D122" s="63">
        <v>3.3349060161227349</v>
      </c>
      <c r="E122" s="64">
        <v>3.8420435385277925</v>
      </c>
      <c r="F122" s="64">
        <v>3.8420435385277925</v>
      </c>
      <c r="G122" s="64">
        <v>3.8422203385277927</v>
      </c>
      <c r="H122" s="64">
        <v>7.0276423938744381</v>
      </c>
      <c r="I122" s="64">
        <v>7.0278191938744383</v>
      </c>
      <c r="J122" s="64">
        <v>3.8420435385277925</v>
      </c>
      <c r="K122" s="64">
        <v>3.8422203385277927</v>
      </c>
      <c r="L122" s="4"/>
      <c r="M122" s="4"/>
      <c r="N122" s="4"/>
    </row>
    <row r="123" spans="1:14" ht="15">
      <c r="A123" s="13">
        <v>45383</v>
      </c>
      <c r="B123" s="63">
        <v>3.3233698139002126</v>
      </c>
      <c r="C123" s="63">
        <v>3.3233698139002126</v>
      </c>
      <c r="D123" s="63">
        <v>3.3319535339002124</v>
      </c>
      <c r="E123" s="64">
        <v>3.8741217589852077</v>
      </c>
      <c r="F123" s="64">
        <v>3.8741217589852073</v>
      </c>
      <c r="G123" s="64">
        <v>3.8742985589852075</v>
      </c>
      <c r="H123" s="64">
        <v>7.0422833155283442</v>
      </c>
      <c r="I123" s="64">
        <v>7.0424601155283444</v>
      </c>
      <c r="J123" s="64">
        <v>3.8741217589852077</v>
      </c>
      <c r="K123" s="64">
        <v>3.8742985589852079</v>
      </c>
      <c r="L123" s="4"/>
      <c r="M123" s="4"/>
      <c r="N123" s="4"/>
    </row>
    <row r="124" spans="1:14" ht="15">
      <c r="A124" s="13">
        <v>45413</v>
      </c>
      <c r="B124" s="63">
        <v>3.3233698139002126</v>
      </c>
      <c r="C124" s="63">
        <v>3.3233698139002126</v>
      </c>
      <c r="D124" s="63">
        <v>3.3405335339002127</v>
      </c>
      <c r="E124" s="64">
        <v>3.8877400747075854</v>
      </c>
      <c r="F124" s="64">
        <v>3.8877400747075854</v>
      </c>
      <c r="G124" s="64">
        <v>3.8888918747075856</v>
      </c>
      <c r="H124" s="64">
        <v>7.0569547391023626</v>
      </c>
      <c r="I124" s="64">
        <v>7.0581065391023623</v>
      </c>
      <c r="J124" s="64">
        <v>3.8877400747075854</v>
      </c>
      <c r="K124" s="64">
        <v>3.8888918747075856</v>
      </c>
      <c r="L124" s="4"/>
      <c r="M124" s="4"/>
      <c r="N124" s="4"/>
    </row>
    <row r="125" spans="1:14" ht="15">
      <c r="A125" s="13">
        <v>45444</v>
      </c>
      <c r="B125" s="63">
        <v>3.3294493593547583</v>
      </c>
      <c r="C125" s="63">
        <v>3.3294493593547583</v>
      </c>
      <c r="D125" s="63">
        <v>3.3466130793547584</v>
      </c>
      <c r="E125" s="64">
        <v>3.8783590471208003</v>
      </c>
      <c r="F125" s="64">
        <v>3.8783590471208003</v>
      </c>
      <c r="G125" s="64">
        <v>3.8795108471208004</v>
      </c>
      <c r="H125" s="64">
        <v>7.0716567281421598</v>
      </c>
      <c r="I125" s="64">
        <v>7.0728085281421595</v>
      </c>
      <c r="J125" s="64">
        <v>3.8783590471208003</v>
      </c>
      <c r="K125" s="64">
        <v>3.8795108471208004</v>
      </c>
      <c r="L125" s="4"/>
      <c r="M125" s="4"/>
      <c r="N125" s="4"/>
    </row>
    <row r="126" spans="1:14" ht="15">
      <c r="A126" s="13">
        <v>45474</v>
      </c>
      <c r="B126" s="63">
        <v>3.3848566539425788</v>
      </c>
      <c r="C126" s="63">
        <v>3.3848566539425788</v>
      </c>
      <c r="D126" s="63">
        <v>3.4020203739425789</v>
      </c>
      <c r="E126" s="64">
        <v>3.9400591011046244</v>
      </c>
      <c r="F126" s="64">
        <v>3.9400591011046244</v>
      </c>
      <c r="G126" s="64">
        <v>3.9412109011046246</v>
      </c>
      <c r="H126" s="64">
        <v>7.0863893463257899</v>
      </c>
      <c r="I126" s="64">
        <v>7.0875411463257896</v>
      </c>
      <c r="J126" s="64">
        <v>3.9400591011046244</v>
      </c>
      <c r="K126" s="64">
        <v>3.9412109011046246</v>
      </c>
      <c r="L126" s="4"/>
      <c r="M126" s="4"/>
      <c r="N126" s="4"/>
    </row>
    <row r="127" spans="1:14" ht="15">
      <c r="A127" s="13">
        <v>45505</v>
      </c>
      <c r="B127" s="63">
        <v>3.3915441539425788</v>
      </c>
      <c r="C127" s="63">
        <v>3.3915441539425788</v>
      </c>
      <c r="D127" s="63">
        <v>3.4087078739425789</v>
      </c>
      <c r="E127" s="64">
        <v>3.9038651708866428</v>
      </c>
      <c r="F127" s="64">
        <v>3.9038651708866428</v>
      </c>
      <c r="G127" s="64">
        <v>3.9050169708866429</v>
      </c>
      <c r="H127" s="64">
        <v>7.1011526574639694</v>
      </c>
      <c r="I127" s="64">
        <v>7.1023044574639691</v>
      </c>
      <c r="J127" s="64">
        <v>3.9038651708866428</v>
      </c>
      <c r="K127" s="64">
        <v>3.9050169708866429</v>
      </c>
      <c r="L127" s="4"/>
      <c r="M127" s="4"/>
      <c r="N127" s="4"/>
    </row>
    <row r="128" spans="1:14" ht="15">
      <c r="A128" s="13">
        <v>45536</v>
      </c>
      <c r="B128" s="63">
        <v>3.3885043812153066</v>
      </c>
      <c r="C128" s="63">
        <v>3.3885043812153066</v>
      </c>
      <c r="D128" s="63">
        <v>3.4056681012153067</v>
      </c>
      <c r="E128" s="64">
        <v>3.8972070882447207</v>
      </c>
      <c r="F128" s="64">
        <v>3.8972070882447207</v>
      </c>
      <c r="G128" s="64">
        <v>3.8983588882447209</v>
      </c>
      <c r="H128" s="64">
        <v>7.1159467255003532</v>
      </c>
      <c r="I128" s="64">
        <v>7.1170985255003529</v>
      </c>
      <c r="J128" s="64">
        <v>3.8972070882447207</v>
      </c>
      <c r="K128" s="64">
        <v>3.8983588882447209</v>
      </c>
      <c r="L128" s="4"/>
      <c r="M128" s="4"/>
      <c r="N128" s="4"/>
    </row>
    <row r="129" spans="1:14" ht="15">
      <c r="A129" s="13">
        <v>45566</v>
      </c>
      <c r="B129" s="63">
        <v>3.3814804665685627</v>
      </c>
      <c r="C129" s="63">
        <v>3.3814804665685627</v>
      </c>
      <c r="D129" s="63">
        <v>3.3900641865685626</v>
      </c>
      <c r="E129" s="64">
        <v>3.9019467634451788</v>
      </c>
      <c r="F129" s="64">
        <v>3.9019467634451788</v>
      </c>
      <c r="G129" s="64">
        <v>3.902123563445179</v>
      </c>
      <c r="H129" s="64">
        <v>7.1307716145118132</v>
      </c>
      <c r="I129" s="64">
        <v>7.1309484145118134</v>
      </c>
      <c r="J129" s="64">
        <v>3.9019467634451788</v>
      </c>
      <c r="K129" s="64">
        <v>3.902123563445179</v>
      </c>
      <c r="L129" s="4"/>
      <c r="M129" s="4"/>
      <c r="N129" s="4"/>
    </row>
    <row r="130" spans="1:14" ht="15">
      <c r="A130" s="13">
        <v>45597</v>
      </c>
      <c r="B130" s="63">
        <v>3.3845202392958358</v>
      </c>
      <c r="C130" s="63">
        <v>3.3845202392958358</v>
      </c>
      <c r="D130" s="63">
        <v>3.3931039592958356</v>
      </c>
      <c r="E130" s="64">
        <v>3.9131442846612265</v>
      </c>
      <c r="F130" s="64">
        <v>3.913144284661227</v>
      </c>
      <c r="G130" s="64">
        <v>3.9133210846612272</v>
      </c>
      <c r="H130" s="64">
        <v>7.1456273887087134</v>
      </c>
      <c r="I130" s="64">
        <v>7.1458041887087136</v>
      </c>
      <c r="J130" s="64">
        <v>3.9131442846612265</v>
      </c>
      <c r="K130" s="64">
        <v>3.9133210846612267</v>
      </c>
      <c r="L130" s="4"/>
      <c r="M130" s="4"/>
      <c r="N130" s="4"/>
    </row>
    <row r="131" spans="1:14" ht="15">
      <c r="A131" s="13">
        <v>45627</v>
      </c>
      <c r="B131" s="63">
        <v>3.3845202392958358</v>
      </c>
      <c r="C131" s="63">
        <v>3.3845202392958358</v>
      </c>
      <c r="D131" s="63">
        <v>3.3931039592958356</v>
      </c>
      <c r="E131" s="64">
        <v>3.8904470917905973</v>
      </c>
      <c r="F131" s="64">
        <v>3.8904470917905973</v>
      </c>
      <c r="G131" s="64">
        <v>3.8906238917905975</v>
      </c>
      <c r="H131" s="64">
        <v>7.160514112435191</v>
      </c>
      <c r="I131" s="64">
        <v>7.1606909124351912</v>
      </c>
      <c r="J131" s="64">
        <v>3.8904470917905973</v>
      </c>
      <c r="K131" s="64">
        <v>3.8906238917905975</v>
      </c>
      <c r="L131" s="4"/>
      <c r="M131" s="4"/>
      <c r="N131" s="4"/>
    </row>
    <row r="132" spans="1:14" ht="15">
      <c r="A132" s="13">
        <v>45658</v>
      </c>
      <c r="B132" s="63">
        <v>3.4166029108581428</v>
      </c>
      <c r="C132" s="63">
        <v>3.4166029108581428</v>
      </c>
      <c r="D132" s="63">
        <v>3.4251866308581427</v>
      </c>
      <c r="E132" s="64">
        <v>3.9232093868856426</v>
      </c>
      <c r="F132" s="64">
        <v>3.9232093868856426</v>
      </c>
      <c r="G132" s="64">
        <v>3.9233861868856428</v>
      </c>
      <c r="H132" s="64">
        <v>7.1754318501694314</v>
      </c>
      <c r="I132" s="64">
        <v>7.1756086501694316</v>
      </c>
      <c r="J132" s="64">
        <v>3.9232093868856426</v>
      </c>
      <c r="K132" s="64">
        <v>3.9233861868856428</v>
      </c>
      <c r="L132" s="4"/>
      <c r="M132" s="4"/>
      <c r="N132" s="4"/>
    </row>
    <row r="133" spans="1:14" ht="15">
      <c r="A133" s="13">
        <v>45689</v>
      </c>
      <c r="B133" s="63">
        <v>3.4135631381308698</v>
      </c>
      <c r="C133" s="63">
        <v>3.4135631381308698</v>
      </c>
      <c r="D133" s="63">
        <v>3.4221468581308696</v>
      </c>
      <c r="E133" s="64">
        <v>3.877874470593536</v>
      </c>
      <c r="F133" s="64">
        <v>3.877874470593536</v>
      </c>
      <c r="G133" s="64">
        <v>3.8780512705935362</v>
      </c>
      <c r="H133" s="64">
        <v>7.1903806665239518</v>
      </c>
      <c r="I133" s="64">
        <v>7.190557466523952</v>
      </c>
      <c r="J133" s="64">
        <v>3.877874470593536</v>
      </c>
      <c r="K133" s="64">
        <v>3.8780512705935362</v>
      </c>
      <c r="L133" s="4"/>
      <c r="M133" s="4"/>
      <c r="N133" s="4"/>
    </row>
    <row r="134" spans="1:14" ht="15">
      <c r="A134" s="13">
        <v>45717</v>
      </c>
      <c r="B134" s="63">
        <v>3.4105233654035971</v>
      </c>
      <c r="C134" s="63">
        <v>3.4105233654035971</v>
      </c>
      <c r="D134" s="63">
        <v>3.419107085403597</v>
      </c>
      <c r="E134" s="64">
        <v>3.9098249217507051</v>
      </c>
      <c r="F134" s="64">
        <v>3.9098249217507051</v>
      </c>
      <c r="G134" s="64">
        <v>3.9100017217507053</v>
      </c>
      <c r="H134" s="64">
        <v>7.2053606262458771</v>
      </c>
      <c r="I134" s="64">
        <v>7.2055374262458773</v>
      </c>
      <c r="J134" s="64">
        <v>3.9098249217507051</v>
      </c>
      <c r="K134" s="64">
        <v>3.9100017217507053</v>
      </c>
      <c r="L134" s="4"/>
      <c r="M134" s="4"/>
      <c r="N134" s="4"/>
    </row>
    <row r="135" spans="1:14" ht="15">
      <c r="A135" s="13">
        <v>45748</v>
      </c>
      <c r="B135" s="63">
        <v>3.4076595197404416</v>
      </c>
      <c r="C135" s="63">
        <v>3.4076595197404416</v>
      </c>
      <c r="D135" s="63">
        <v>3.4162432397404414</v>
      </c>
      <c r="E135" s="64">
        <v>3.9421763416124893</v>
      </c>
      <c r="F135" s="64">
        <v>3.9421763416124893</v>
      </c>
      <c r="G135" s="64">
        <v>3.9423531416124895</v>
      </c>
      <c r="H135" s="64">
        <v>7.2203717942172236</v>
      </c>
      <c r="I135" s="64">
        <v>7.2205485942172238</v>
      </c>
      <c r="J135" s="64">
        <v>3.9421763416124893</v>
      </c>
      <c r="K135" s="64">
        <v>3.9423531416124895</v>
      </c>
      <c r="L135" s="4"/>
      <c r="M135" s="4"/>
      <c r="N135" s="4"/>
    </row>
    <row r="136" spans="1:14" ht="15">
      <c r="A136" s="13">
        <v>45778</v>
      </c>
      <c r="B136" s="63">
        <v>3.4076595197404416</v>
      </c>
      <c r="C136" s="63">
        <v>3.4076595197404416</v>
      </c>
      <c r="D136" s="63">
        <v>3.4248232397404417</v>
      </c>
      <c r="E136" s="64">
        <v>3.955897107111507</v>
      </c>
      <c r="F136" s="64">
        <v>3.955897107111507</v>
      </c>
      <c r="G136" s="64">
        <v>3.9570489071115071</v>
      </c>
      <c r="H136" s="64">
        <v>7.2354142354551767</v>
      </c>
      <c r="I136" s="64">
        <v>7.2365660354551764</v>
      </c>
      <c r="J136" s="64">
        <v>3.955897107111507</v>
      </c>
      <c r="K136" s="64">
        <v>3.9570489071115071</v>
      </c>
      <c r="L136" s="4"/>
      <c r="M136" s="4"/>
      <c r="N136" s="4"/>
    </row>
    <row r="137" spans="1:14" ht="15">
      <c r="A137" s="13">
        <v>45809</v>
      </c>
      <c r="B137" s="63">
        <v>3.4137390651949873</v>
      </c>
      <c r="C137" s="63">
        <v>3.4137390651949873</v>
      </c>
      <c r="D137" s="63">
        <v>3.4309027851949874</v>
      </c>
      <c r="E137" s="64">
        <v>3.9464136297480827</v>
      </c>
      <c r="F137" s="64">
        <v>3.9464136297480827</v>
      </c>
      <c r="G137" s="64">
        <v>3.9475654297480829</v>
      </c>
      <c r="H137" s="64">
        <v>7.2504880151123761</v>
      </c>
      <c r="I137" s="64">
        <v>7.2516398151123758</v>
      </c>
      <c r="J137" s="64">
        <v>3.9464136297480827</v>
      </c>
      <c r="K137" s="64">
        <v>3.9475654297480829</v>
      </c>
      <c r="L137" s="4"/>
      <c r="M137" s="4"/>
      <c r="N137" s="4"/>
    </row>
    <row r="138" spans="1:14" ht="15">
      <c r="A138" s="13">
        <v>45839</v>
      </c>
      <c r="B138" s="63">
        <v>3.473509947216626</v>
      </c>
      <c r="C138" s="63">
        <v>3.473509947216626</v>
      </c>
      <c r="D138" s="63">
        <v>3.4906736672166261</v>
      </c>
      <c r="E138" s="64">
        <v>4.0021458675177985</v>
      </c>
      <c r="F138" s="64">
        <v>4.0021458675177985</v>
      </c>
      <c r="G138" s="64">
        <v>4.0032976675177983</v>
      </c>
      <c r="H138" s="64">
        <v>7.2655931984771946</v>
      </c>
      <c r="I138" s="64">
        <v>7.2667449984771944</v>
      </c>
      <c r="J138" s="64">
        <v>4.0021458675177985</v>
      </c>
      <c r="K138" s="64">
        <v>4.0032976675177983</v>
      </c>
      <c r="L138" s="4"/>
      <c r="M138" s="4"/>
      <c r="N138" s="4"/>
    </row>
    <row r="139" spans="1:14" ht="15">
      <c r="A139" s="13">
        <v>45870</v>
      </c>
      <c r="B139" s="63">
        <v>3.4801974472166259</v>
      </c>
      <c r="C139" s="63">
        <v>3.4801974472166259</v>
      </c>
      <c r="D139" s="63">
        <v>3.497361167216626</v>
      </c>
      <c r="E139" s="64">
        <v>3.9656445879699009</v>
      </c>
      <c r="F139" s="64">
        <v>3.9656445879699009</v>
      </c>
      <c r="G139" s="64">
        <v>3.9667963879699011</v>
      </c>
      <c r="H139" s="64">
        <v>7.2807298509740228</v>
      </c>
      <c r="I139" s="64">
        <v>7.2818816509740225</v>
      </c>
      <c r="J139" s="64">
        <v>3.9656445879699009</v>
      </c>
      <c r="K139" s="64">
        <v>3.9667963879699011</v>
      </c>
      <c r="L139" s="4"/>
      <c r="M139" s="4"/>
      <c r="N139" s="4"/>
    </row>
    <row r="140" spans="1:14" ht="15">
      <c r="A140" s="13">
        <v>45901</v>
      </c>
      <c r="B140" s="63">
        <v>3.4771576744893538</v>
      </c>
      <c r="C140" s="63">
        <v>3.4771576744893538</v>
      </c>
      <c r="D140" s="63">
        <v>3.4943213944893539</v>
      </c>
      <c r="E140" s="64">
        <v>3.9589523554024324</v>
      </c>
      <c r="F140" s="64">
        <v>3.9589523554024324</v>
      </c>
      <c r="G140" s="64">
        <v>3.9601041554024325</v>
      </c>
      <c r="H140" s="64">
        <v>7.2958980381635525</v>
      </c>
      <c r="I140" s="64">
        <v>7.2970498381635522</v>
      </c>
      <c r="J140" s="64">
        <v>3.9589523554024324</v>
      </c>
      <c r="K140" s="64">
        <v>3.9601041554024325</v>
      </c>
      <c r="L140" s="4"/>
      <c r="M140" s="4"/>
      <c r="N140" s="4"/>
    </row>
    <row r="141" spans="1:14" ht="15">
      <c r="A141" s="13">
        <v>45931</v>
      </c>
      <c r="B141" s="63">
        <v>3.4704848711809131</v>
      </c>
      <c r="C141" s="63">
        <v>3.4704848711809131</v>
      </c>
      <c r="D141" s="63">
        <v>3.4790685911809129</v>
      </c>
      <c r="E141" s="64">
        <v>3.9638286303050774</v>
      </c>
      <c r="F141" s="64">
        <v>3.9638286303050774</v>
      </c>
      <c r="G141" s="64">
        <v>3.9640054303050776</v>
      </c>
      <c r="H141" s="64">
        <v>7.3110978257430608</v>
      </c>
      <c r="I141" s="64">
        <v>7.311274625743061</v>
      </c>
      <c r="J141" s="64">
        <v>3.9638286303050774</v>
      </c>
      <c r="K141" s="64">
        <v>3.9640054303050776</v>
      </c>
      <c r="L141" s="4"/>
      <c r="M141" s="4"/>
      <c r="N141" s="4"/>
    </row>
    <row r="142" spans="1:14" ht="15">
      <c r="A142" s="13">
        <v>45962</v>
      </c>
      <c r="B142" s="63">
        <v>3.4735246439081857</v>
      </c>
      <c r="C142" s="63">
        <v>3.4735246439081857</v>
      </c>
      <c r="D142" s="63">
        <v>3.4821083639081856</v>
      </c>
      <c r="E142" s="64">
        <v>3.9750944513722182</v>
      </c>
      <c r="F142" s="64">
        <v>3.9750944513722182</v>
      </c>
      <c r="G142" s="64">
        <v>3.9752712513722184</v>
      </c>
      <c r="H142" s="64">
        <v>7.3263292795466928</v>
      </c>
      <c r="I142" s="64">
        <v>7.326506079546693</v>
      </c>
      <c r="J142" s="64">
        <v>3.9750944513722182</v>
      </c>
      <c r="K142" s="64">
        <v>3.9752712513722184</v>
      </c>
    </row>
    <row r="143" spans="1:14" ht="15">
      <c r="A143" s="13">
        <v>45992</v>
      </c>
      <c r="B143" s="63">
        <v>3.4735246439081857</v>
      </c>
      <c r="C143" s="63">
        <v>3.4735246439081857</v>
      </c>
      <c r="D143" s="63">
        <v>3.4821083639081856</v>
      </c>
      <c r="E143" s="64">
        <v>3.9522265088738573</v>
      </c>
      <c r="F143" s="64">
        <v>3.9522265088738573</v>
      </c>
      <c r="G143" s="64">
        <v>3.9524033088738575</v>
      </c>
      <c r="H143" s="64">
        <v>7.341592465545749</v>
      </c>
      <c r="I143" s="64">
        <v>7.3417692655457492</v>
      </c>
      <c r="J143" s="64">
        <v>3.9522265088738573</v>
      </c>
      <c r="K143" s="64">
        <v>3.9524033088738575</v>
      </c>
    </row>
    <row r="144" spans="1:14" ht="15">
      <c r="A144" s="13">
        <v>46023</v>
      </c>
      <c r="B144" s="63">
        <v>3.4998066394631109</v>
      </c>
      <c r="C144" s="63">
        <v>3.4998066394631109</v>
      </c>
      <c r="D144" s="63">
        <v>3.5083903594631107</v>
      </c>
      <c r="E144" s="64">
        <v>3.9948191550220291</v>
      </c>
      <c r="F144" s="64">
        <v>3.9948191550220291</v>
      </c>
      <c r="G144" s="64">
        <v>3.9949959550220293</v>
      </c>
      <c r="H144" s="64">
        <v>7.35688744984897</v>
      </c>
      <c r="I144" s="64">
        <v>7.3570642498489702</v>
      </c>
      <c r="J144" s="64">
        <v>3.9948191550220291</v>
      </c>
      <c r="K144" s="64">
        <v>3.9949959550220293</v>
      </c>
    </row>
    <row r="145" spans="1:11" ht="15">
      <c r="A145" s="13">
        <v>46054</v>
      </c>
      <c r="B145" s="63">
        <v>3.4967668667358378</v>
      </c>
      <c r="C145" s="63">
        <v>3.4967668667358378</v>
      </c>
      <c r="D145" s="63">
        <v>3.5053505867358377</v>
      </c>
      <c r="E145" s="64">
        <v>3.9484009613129807</v>
      </c>
      <c r="F145" s="64">
        <v>3.9484009613129807</v>
      </c>
      <c r="G145" s="64">
        <v>3.9485777613129809</v>
      </c>
      <c r="H145" s="64">
        <v>7.372214298702823</v>
      </c>
      <c r="I145" s="64">
        <v>7.3723910987028232</v>
      </c>
      <c r="J145" s="64">
        <v>3.9484009613129807</v>
      </c>
      <c r="K145" s="64">
        <v>3.9485777613129809</v>
      </c>
    </row>
    <row r="146" spans="1:11" ht="15">
      <c r="A146" s="13">
        <v>46082</v>
      </c>
      <c r="B146" s="63">
        <v>3.4937270940085643</v>
      </c>
      <c r="C146" s="63">
        <v>3.4937270940085643</v>
      </c>
      <c r="D146" s="63">
        <v>3.5023108140085641</v>
      </c>
      <c r="E146" s="64">
        <v>3.98120540286713</v>
      </c>
      <c r="F146" s="64">
        <v>3.98120540286713</v>
      </c>
      <c r="G146" s="64">
        <v>3.9813822028671302</v>
      </c>
      <c r="H146" s="64">
        <v>7.3875730784917879</v>
      </c>
      <c r="I146" s="64">
        <v>7.3877498784917881</v>
      </c>
      <c r="J146" s="64">
        <v>3.98120540286713</v>
      </c>
      <c r="K146" s="64">
        <v>3.9813822028671302</v>
      </c>
    </row>
    <row r="147" spans="1:11" ht="15">
      <c r="A147" s="13">
        <v>46113</v>
      </c>
      <c r="B147" s="63">
        <v>3.4909508492178047</v>
      </c>
      <c r="C147" s="63">
        <v>3.4909508492178047</v>
      </c>
      <c r="D147" s="63">
        <v>3.4995345692178046</v>
      </c>
      <c r="E147" s="64">
        <v>4.0144739708087602</v>
      </c>
      <c r="F147" s="64">
        <v>4.0144739708087602</v>
      </c>
      <c r="G147" s="64">
        <v>4.0146507708087604</v>
      </c>
      <c r="H147" s="64">
        <v>7.4029638557386468</v>
      </c>
      <c r="I147" s="64">
        <v>7.403140655738647</v>
      </c>
      <c r="J147" s="64">
        <v>4.0144739708087602</v>
      </c>
      <c r="K147" s="64">
        <v>4.0146507708087604</v>
      </c>
    </row>
    <row r="148" spans="1:11" ht="15">
      <c r="A148" s="13">
        <v>46143</v>
      </c>
      <c r="B148" s="63">
        <v>3.4909508492178047</v>
      </c>
      <c r="C148" s="63">
        <v>3.4909508492178047</v>
      </c>
      <c r="D148" s="63">
        <v>3.5081145692178048</v>
      </c>
      <c r="E148" s="64">
        <v>4.0285386668377194</v>
      </c>
      <c r="F148" s="64">
        <v>4.0285386668377194</v>
      </c>
      <c r="G148" s="64">
        <v>4.0296904668377191</v>
      </c>
      <c r="H148" s="64">
        <v>7.4183866971047694</v>
      </c>
      <c r="I148" s="64">
        <v>7.4195384971047691</v>
      </c>
      <c r="J148" s="64">
        <v>4.0285386668377194</v>
      </c>
      <c r="K148" s="64">
        <v>4.0296904668377191</v>
      </c>
    </row>
    <row r="149" spans="1:11" ht="15">
      <c r="A149" s="13">
        <v>46174</v>
      </c>
      <c r="B149" s="63">
        <v>3.49703039467235</v>
      </c>
      <c r="C149" s="63">
        <v>3.49703039467235</v>
      </c>
      <c r="D149" s="63">
        <v>3.5141941146723501</v>
      </c>
      <c r="E149" s="64">
        <v>4.0187112589443528</v>
      </c>
      <c r="F149" s="64">
        <v>4.0187112589443528</v>
      </c>
      <c r="G149" s="64">
        <v>4.0198630589443525</v>
      </c>
      <c r="H149" s="64">
        <v>7.4338416693904055</v>
      </c>
      <c r="I149" s="64">
        <v>7.4349934693904052</v>
      </c>
      <c r="J149" s="64">
        <v>4.0187112589443528</v>
      </c>
      <c r="K149" s="64">
        <v>4.0198630589443525</v>
      </c>
    </row>
    <row r="150" spans="1:11" ht="15">
      <c r="A150" s="13">
        <v>46204</v>
      </c>
      <c r="B150" s="63">
        <v>3.54367605939099</v>
      </c>
      <c r="C150" s="63">
        <v>3.54367605939099</v>
      </c>
      <c r="D150" s="63">
        <v>3.5608397793909901</v>
      </c>
      <c r="E150" s="64">
        <v>4.0789414846181069</v>
      </c>
      <c r="F150" s="64">
        <v>4.0789414846181069</v>
      </c>
      <c r="G150" s="64">
        <v>4.0800932846181066</v>
      </c>
      <c r="H150" s="64">
        <v>7.4493288395349699</v>
      </c>
      <c r="I150" s="64">
        <v>7.4504806395349696</v>
      </c>
      <c r="J150" s="64">
        <v>4.0789414846181069</v>
      </c>
      <c r="K150" s="64">
        <v>4.0800932846181066</v>
      </c>
    </row>
    <row r="151" spans="1:11" ht="15">
      <c r="A151" s="13">
        <v>46235</v>
      </c>
      <c r="B151" s="63">
        <v>3.5503635593909899</v>
      </c>
      <c r="C151" s="63">
        <v>3.5503635593909899</v>
      </c>
      <c r="D151" s="63">
        <v>3.56752727939099</v>
      </c>
      <c r="E151" s="64">
        <v>4.0414084134803829</v>
      </c>
      <c r="F151" s="64">
        <v>4.0414084134803829</v>
      </c>
      <c r="G151" s="64">
        <v>4.0425602134803826</v>
      </c>
      <c r="H151" s="64">
        <v>7.464848274617335</v>
      </c>
      <c r="I151" s="64">
        <v>7.4660000746173347</v>
      </c>
      <c r="J151" s="64">
        <v>4.0414084134803829</v>
      </c>
      <c r="K151" s="64">
        <v>4.0425602134803826</v>
      </c>
    </row>
    <row r="152" spans="1:11" ht="15">
      <c r="A152" s="13">
        <v>46266</v>
      </c>
      <c r="B152" s="63">
        <v>3.5473237866637173</v>
      </c>
      <c r="C152" s="63">
        <v>3.5473237866637173</v>
      </c>
      <c r="D152" s="63">
        <v>3.5644875066637174</v>
      </c>
      <c r="E152" s="64">
        <v>4.0346015374029331</v>
      </c>
      <c r="F152" s="64">
        <v>4.0346015374029331</v>
      </c>
      <c r="G152" s="64">
        <v>4.0357533374029328</v>
      </c>
      <c r="H152" s="64">
        <v>7.4804000418561216</v>
      </c>
      <c r="I152" s="64">
        <v>7.4815518418561213</v>
      </c>
      <c r="J152" s="64">
        <v>4.0346015374029331</v>
      </c>
      <c r="K152" s="64">
        <v>4.0357533374029328</v>
      </c>
    </row>
    <row r="153" spans="1:11" ht="15">
      <c r="A153" s="13">
        <v>46296</v>
      </c>
      <c r="B153" s="63">
        <v>3.5409575654166594</v>
      </c>
      <c r="C153" s="63">
        <v>3.5409575654166594</v>
      </c>
      <c r="D153" s="63">
        <v>3.5495412854166593</v>
      </c>
      <c r="E153" s="64">
        <v>4.0399363863455013</v>
      </c>
      <c r="F153" s="64">
        <v>4.0399363863455013</v>
      </c>
      <c r="G153" s="64">
        <v>4.0401131863455015</v>
      </c>
      <c r="H153" s="64">
        <v>7.4959842086099897</v>
      </c>
      <c r="I153" s="64">
        <v>7.4961610086099899</v>
      </c>
      <c r="J153" s="64">
        <v>4.0399363863455013</v>
      </c>
      <c r="K153" s="64">
        <v>4.0401131863455015</v>
      </c>
    </row>
    <row r="154" spans="1:11" ht="15">
      <c r="A154" s="13">
        <v>46327</v>
      </c>
      <c r="B154" s="63">
        <v>3.543997338143932</v>
      </c>
      <c r="C154" s="63">
        <v>3.543997338143932</v>
      </c>
      <c r="D154" s="63">
        <v>3.5525810581439319</v>
      </c>
      <c r="E154" s="64">
        <v>4.0514314944326033</v>
      </c>
      <c r="F154" s="64">
        <v>4.0514314944326033</v>
      </c>
      <c r="G154" s="64">
        <v>4.0516082944326035</v>
      </c>
      <c r="H154" s="64">
        <v>7.5116008423779279</v>
      </c>
      <c r="I154" s="64">
        <v>7.5117776423779281</v>
      </c>
      <c r="J154" s="64">
        <v>4.0514314944326033</v>
      </c>
      <c r="K154" s="64">
        <v>4.0516082944326035</v>
      </c>
    </row>
    <row r="155" spans="1:11" ht="15">
      <c r="A155" s="13">
        <v>46357</v>
      </c>
      <c r="B155" s="63">
        <v>3.543997338143932</v>
      </c>
      <c r="C155" s="63">
        <v>3.543997338143932</v>
      </c>
      <c r="D155" s="63">
        <v>3.5525810581439319</v>
      </c>
      <c r="E155" s="64">
        <v>4.027990334384338</v>
      </c>
      <c r="F155" s="64">
        <v>4.027990334384338</v>
      </c>
      <c r="G155" s="64">
        <v>4.0281671343843382</v>
      </c>
      <c r="H155" s="64">
        <v>7.5272500107995493</v>
      </c>
      <c r="I155" s="64">
        <v>7.5274268107995495</v>
      </c>
      <c r="J155" s="64">
        <v>4.027990334384338</v>
      </c>
      <c r="K155" s="64">
        <v>4.0281671343843382</v>
      </c>
    </row>
    <row r="156" spans="1:11" ht="15">
      <c r="A156" s="13">
        <v>46388</v>
      </c>
      <c r="B156" s="63">
        <v>3.5723187911514458</v>
      </c>
      <c r="C156" s="63">
        <v>3.5723187911514458</v>
      </c>
      <c r="D156" s="63">
        <v>3.5809025111514456</v>
      </c>
      <c r="E156" s="64">
        <v>4.0706537472911126</v>
      </c>
      <c r="F156" s="64">
        <v>4.0706537472911126</v>
      </c>
      <c r="G156" s="64">
        <v>4.0708305472911128</v>
      </c>
      <c r="H156" s="64">
        <v>7.5429317816553825</v>
      </c>
      <c r="I156" s="64">
        <v>7.5431085816553827</v>
      </c>
      <c r="J156" s="64">
        <v>4.0706537472911126</v>
      </c>
      <c r="K156" s="64">
        <v>4.0708305472911128</v>
      </c>
    </row>
    <row r="157" spans="1:11" ht="15">
      <c r="A157" s="13">
        <v>46419</v>
      </c>
      <c r="B157" s="63">
        <v>3.5692790184241732</v>
      </c>
      <c r="C157" s="63">
        <v>3.5692790184241732</v>
      </c>
      <c r="D157" s="63">
        <v>3.577862738424173</v>
      </c>
      <c r="E157" s="64">
        <v>4.0231160588386619</v>
      </c>
      <c r="F157" s="64">
        <v>4.0231160588386619</v>
      </c>
      <c r="G157" s="64">
        <v>4.0232928588386621</v>
      </c>
      <c r="H157" s="64">
        <v>7.5586462228671651</v>
      </c>
      <c r="I157" s="64">
        <v>7.5588230228671653</v>
      </c>
      <c r="J157" s="64">
        <v>4.0231160588386619</v>
      </c>
      <c r="K157" s="64">
        <v>4.0232928588386621</v>
      </c>
    </row>
    <row r="158" spans="1:11" ht="15">
      <c r="A158" s="13">
        <v>46447</v>
      </c>
      <c r="B158" s="63">
        <v>3.5662392456969001</v>
      </c>
      <c r="C158" s="63">
        <v>3.5662392456969001</v>
      </c>
      <c r="D158" s="63">
        <v>3.5748229656968999</v>
      </c>
      <c r="E158" s="64">
        <v>4.0568030423394852</v>
      </c>
      <c r="F158" s="64">
        <v>4.0568030423394852</v>
      </c>
      <c r="G158" s="64">
        <v>4.0569798423394854</v>
      </c>
      <c r="H158" s="64">
        <v>7.5743934024981394</v>
      </c>
      <c r="I158" s="64">
        <v>7.5745702024981396</v>
      </c>
      <c r="J158" s="64">
        <v>4.0568030423394852</v>
      </c>
      <c r="K158" s="64">
        <v>4.0569798423394854</v>
      </c>
    </row>
    <row r="159" spans="1:11" ht="15">
      <c r="A159" s="13">
        <v>46478</v>
      </c>
      <c r="B159" s="63">
        <v>3.5635455258940443</v>
      </c>
      <c r="C159" s="63">
        <v>3.5635455258940443</v>
      </c>
      <c r="D159" s="63">
        <v>3.5721292458940441</v>
      </c>
      <c r="E159" s="64">
        <v>4.0910194214680295</v>
      </c>
      <c r="F159" s="64">
        <v>4.0910194214680295</v>
      </c>
      <c r="G159" s="64">
        <v>4.0911962214680297</v>
      </c>
      <c r="H159" s="64">
        <v>7.5901733887533442</v>
      </c>
      <c r="I159" s="64">
        <v>7.5903501887533444</v>
      </c>
      <c r="J159" s="64">
        <v>4.0910194214680295</v>
      </c>
      <c r="K159" s="64">
        <v>4.0911962214680297</v>
      </c>
    </row>
    <row r="160" spans="1:11" ht="15">
      <c r="A160" s="13">
        <v>46508</v>
      </c>
      <c r="B160" s="63">
        <v>3.5635455258940443</v>
      </c>
      <c r="C160" s="63">
        <v>3.5635455258940443</v>
      </c>
      <c r="D160" s="63">
        <v>3.5807092458940444</v>
      </c>
      <c r="E160" s="64">
        <v>4.1054395466920814</v>
      </c>
      <c r="F160" s="64">
        <v>4.1054395466920814</v>
      </c>
      <c r="G160" s="64">
        <v>4.1065913466920811</v>
      </c>
      <c r="H160" s="64">
        <v>7.6059862499799147</v>
      </c>
      <c r="I160" s="64">
        <v>7.6071380499799144</v>
      </c>
      <c r="J160" s="64">
        <v>4.1054395466920814</v>
      </c>
      <c r="K160" s="64">
        <v>4.1065913466920811</v>
      </c>
    </row>
    <row r="161" spans="1:11" ht="15">
      <c r="A161" s="13">
        <v>46539</v>
      </c>
      <c r="B161" s="63">
        <v>3.56962507134859</v>
      </c>
      <c r="C161" s="63">
        <v>3.56962507134859</v>
      </c>
      <c r="D161" s="63">
        <v>3.5867887913485901</v>
      </c>
      <c r="E161" s="64">
        <v>4.095256709603623</v>
      </c>
      <c r="F161" s="64">
        <v>4.095256709603623</v>
      </c>
      <c r="G161" s="64">
        <v>4.0964085096036227</v>
      </c>
      <c r="H161" s="64">
        <v>7.6218320546673732</v>
      </c>
      <c r="I161" s="64">
        <v>7.6229838546673729</v>
      </c>
      <c r="J161" s="64">
        <v>4.095256709603623</v>
      </c>
      <c r="K161" s="64">
        <v>4.0964085096036227</v>
      </c>
    </row>
    <row r="162" spans="1:11" ht="15">
      <c r="A162" s="13">
        <v>46569</v>
      </c>
      <c r="B162" s="63">
        <v>3.6200698320566382</v>
      </c>
      <c r="C162" s="63">
        <v>3.6200698320566382</v>
      </c>
      <c r="D162" s="63">
        <v>3.6372335520566383</v>
      </c>
      <c r="E162" s="64">
        <v>4.1542903587147038</v>
      </c>
      <c r="F162" s="64">
        <v>4.1542903587147038</v>
      </c>
      <c r="G162" s="64">
        <v>4.1554421587147035</v>
      </c>
      <c r="H162" s="64">
        <v>7.6377108714479309</v>
      </c>
      <c r="I162" s="64">
        <v>7.6388626714479306</v>
      </c>
      <c r="J162" s="64">
        <v>4.1542903587147038</v>
      </c>
      <c r="K162" s="64">
        <v>4.1554421587147035</v>
      </c>
    </row>
    <row r="163" spans="1:11" ht="15">
      <c r="A163" s="13">
        <v>46600</v>
      </c>
      <c r="B163" s="63">
        <v>3.6267573320566382</v>
      </c>
      <c r="C163" s="63">
        <v>3.6267573320566382</v>
      </c>
      <c r="D163" s="63">
        <v>3.6439210520566383</v>
      </c>
      <c r="E163" s="64">
        <v>4.1156909999917008</v>
      </c>
      <c r="F163" s="64">
        <v>4.1156909999917008</v>
      </c>
      <c r="G163" s="64">
        <v>4.1168427999917006</v>
      </c>
      <c r="H163" s="64">
        <v>7.6536227690967813</v>
      </c>
      <c r="I163" s="64">
        <v>7.654774569096781</v>
      </c>
      <c r="J163" s="64">
        <v>4.1156909999917008</v>
      </c>
      <c r="K163" s="64">
        <v>4.1168427999917006</v>
      </c>
    </row>
    <row r="164" spans="1:11" ht="15">
      <c r="A164" s="13">
        <v>46631</v>
      </c>
      <c r="B164" s="63">
        <v>3.6237175593293656</v>
      </c>
      <c r="C164" s="63">
        <v>3.6237175593293656</v>
      </c>
      <c r="D164" s="63">
        <v>3.6408812793293657</v>
      </c>
      <c r="E164" s="64">
        <v>4.108765647515888</v>
      </c>
      <c r="F164" s="64">
        <v>4.108765647515888</v>
      </c>
      <c r="G164" s="64">
        <v>4.1099174475158877</v>
      </c>
      <c r="H164" s="64">
        <v>7.6695678165324006</v>
      </c>
      <c r="I164" s="64">
        <v>7.6707196165324003</v>
      </c>
      <c r="J164" s="64">
        <v>4.108765647515888</v>
      </c>
      <c r="K164" s="64">
        <v>4.1099174475158877</v>
      </c>
    </row>
    <row r="165" spans="1:11" ht="15">
      <c r="A165" s="13">
        <v>46661</v>
      </c>
      <c r="B165" s="63">
        <v>3.6176886461356612</v>
      </c>
      <c r="C165" s="63">
        <v>3.6176886461356612</v>
      </c>
      <c r="D165" s="63">
        <v>3.6262723661356611</v>
      </c>
      <c r="E165" s="64">
        <v>4.1145744020519119</v>
      </c>
      <c r="F165" s="64">
        <v>4.1145744020519119</v>
      </c>
      <c r="G165" s="64">
        <v>4.1147512020519121</v>
      </c>
      <c r="H165" s="64">
        <v>7.6855460828168436</v>
      </c>
      <c r="I165" s="64">
        <v>7.6857228828168438</v>
      </c>
      <c r="J165" s="64">
        <v>4.1145744020519119</v>
      </c>
      <c r="K165" s="64">
        <v>4.1147512020519121</v>
      </c>
    </row>
    <row r="166" spans="1:11" ht="15">
      <c r="A166" s="13">
        <v>46692</v>
      </c>
      <c r="B166" s="63">
        <v>3.6207284188629343</v>
      </c>
      <c r="C166" s="63">
        <v>3.6207284188629343</v>
      </c>
      <c r="D166" s="63">
        <v>3.6293121388629341</v>
      </c>
      <c r="E166" s="64">
        <v>4.1263064629357435</v>
      </c>
      <c r="F166" s="64">
        <v>4.1263064629357435</v>
      </c>
      <c r="G166" s="64">
        <v>4.1264832629357437</v>
      </c>
      <c r="H166" s="64">
        <v>7.7015576371560464</v>
      </c>
      <c r="I166" s="64">
        <v>7.7017344371560466</v>
      </c>
      <c r="J166" s="64">
        <v>4.1263064629357435</v>
      </c>
      <c r="K166" s="64">
        <v>4.1264832629357437</v>
      </c>
    </row>
    <row r="167" spans="1:11" ht="15">
      <c r="A167" s="13">
        <v>46722</v>
      </c>
      <c r="B167" s="63">
        <v>3.6207284188629343</v>
      </c>
      <c r="C167" s="63">
        <v>3.6207284188629343</v>
      </c>
      <c r="D167" s="63">
        <v>3.6293121388629341</v>
      </c>
      <c r="E167" s="64">
        <v>4.1022729208956576</v>
      </c>
      <c r="F167" s="64">
        <v>4.1022729208956576</v>
      </c>
      <c r="G167" s="64">
        <v>4.1024497208956578</v>
      </c>
      <c r="H167" s="64">
        <v>7.7176025489001221</v>
      </c>
      <c r="I167" s="64">
        <v>7.7177793489001223</v>
      </c>
      <c r="J167" s="64">
        <v>4.1022729208956576</v>
      </c>
      <c r="K167" s="64">
        <v>4.1024497208956578</v>
      </c>
    </row>
    <row r="168" spans="1:11" ht="15">
      <c r="A168" s="13">
        <v>46753</v>
      </c>
      <c r="B168" s="63">
        <v>3.6559620073938994</v>
      </c>
      <c r="C168" s="63">
        <v>3.6559620073938994</v>
      </c>
      <c r="D168" s="63">
        <v>3.6645457273938993</v>
      </c>
      <c r="E168" s="64">
        <v>4.1535038193683178</v>
      </c>
      <c r="F168" s="64">
        <v>4.1535038193683178</v>
      </c>
      <c r="G168" s="64">
        <v>4.153680619368318</v>
      </c>
      <c r="H168" s="64">
        <v>7.7336808875436649</v>
      </c>
      <c r="I168" s="64">
        <v>7.7338576875436651</v>
      </c>
      <c r="J168" s="64">
        <v>4.1535038193683178</v>
      </c>
      <c r="K168" s="64">
        <v>4.153680619368318</v>
      </c>
    </row>
    <row r="169" spans="1:11" ht="15">
      <c r="A169" s="13">
        <v>46784</v>
      </c>
      <c r="B169" s="63">
        <v>3.6529222346666268</v>
      </c>
      <c r="C169" s="63">
        <v>3.6529222346666268</v>
      </c>
      <c r="D169" s="63">
        <v>3.6615059546666266</v>
      </c>
      <c r="E169" s="64">
        <v>4.1047958294707705</v>
      </c>
      <c r="F169" s="64">
        <v>4.1047958294707705</v>
      </c>
      <c r="G169" s="64">
        <v>4.1049726294707707</v>
      </c>
      <c r="H169" s="64">
        <v>7.7497927227260481</v>
      </c>
      <c r="I169" s="64">
        <v>7.7499695227260483</v>
      </c>
      <c r="J169" s="64">
        <v>4.1047958294707705</v>
      </c>
      <c r="K169" s="64">
        <v>4.1049726294707707</v>
      </c>
    </row>
    <row r="170" spans="1:11" ht="15">
      <c r="A170" s="13">
        <v>46813</v>
      </c>
      <c r="B170" s="63">
        <v>3.6498824619393542</v>
      </c>
      <c r="C170" s="63">
        <v>3.6498824619393542</v>
      </c>
      <c r="D170" s="63">
        <v>3.658466181939354</v>
      </c>
      <c r="E170" s="64">
        <v>4.1394054078490035</v>
      </c>
      <c r="F170" s="64">
        <v>4.1394054078490035</v>
      </c>
      <c r="G170" s="64">
        <v>4.1395822078490037</v>
      </c>
      <c r="H170" s="64">
        <v>7.7659381242317282</v>
      </c>
      <c r="I170" s="64">
        <v>7.7661149242317284</v>
      </c>
      <c r="J170" s="64">
        <v>4.1394054078490035</v>
      </c>
      <c r="K170" s="64">
        <v>4.1395822078490037</v>
      </c>
    </row>
    <row r="171" spans="1:11" ht="15">
      <c r="A171" s="13">
        <v>46844</v>
      </c>
      <c r="B171" s="63">
        <v>3.6472772146203774</v>
      </c>
      <c r="C171" s="63">
        <v>3.6472772146203774</v>
      </c>
      <c r="D171" s="63">
        <v>3.6558609346203772</v>
      </c>
      <c r="E171" s="64">
        <v>4.1746126132482946</v>
      </c>
      <c r="F171" s="64">
        <v>4.1746126132482946</v>
      </c>
      <c r="G171" s="64">
        <v>4.1747894132482948</v>
      </c>
      <c r="H171" s="64">
        <v>7.7821171619905449</v>
      </c>
      <c r="I171" s="64">
        <v>7.7822939619905451</v>
      </c>
      <c r="J171" s="64">
        <v>4.1746126132482946</v>
      </c>
      <c r="K171" s="64">
        <v>4.1747894132482948</v>
      </c>
    </row>
    <row r="172" spans="1:11" ht="15">
      <c r="A172" s="13">
        <v>46874</v>
      </c>
      <c r="B172" s="63">
        <v>3.6472772146203774</v>
      </c>
      <c r="C172" s="63">
        <v>3.6472772146203774</v>
      </c>
      <c r="D172" s="63">
        <v>3.6644409346203775</v>
      </c>
      <c r="E172" s="64">
        <v>4.1894042983238764</v>
      </c>
      <c r="F172" s="64">
        <v>4.1894042983238764</v>
      </c>
      <c r="G172" s="64">
        <v>4.1905560983238761</v>
      </c>
      <c r="H172" s="64">
        <v>7.7983299060780258</v>
      </c>
      <c r="I172" s="64">
        <v>7.7994817060780255</v>
      </c>
      <c r="J172" s="64">
        <v>4.1894042983238764</v>
      </c>
      <c r="K172" s="64">
        <v>4.1905560983238761</v>
      </c>
    </row>
    <row r="173" spans="1:11" ht="15">
      <c r="A173" s="13">
        <v>46905</v>
      </c>
      <c r="B173" s="63">
        <v>3.6533567600749226</v>
      </c>
      <c r="C173" s="63">
        <v>3.6533567600749226</v>
      </c>
      <c r="D173" s="63">
        <v>3.6705204800749227</v>
      </c>
      <c r="E173" s="64">
        <v>4.178849901383888</v>
      </c>
      <c r="F173" s="64">
        <v>4.178849901383888</v>
      </c>
      <c r="G173" s="64">
        <v>4.1800017013838877</v>
      </c>
      <c r="H173" s="64">
        <v>7.8145764267156892</v>
      </c>
      <c r="I173" s="64">
        <v>7.8157282267156889</v>
      </c>
      <c r="J173" s="64">
        <v>4.178849901383888</v>
      </c>
      <c r="K173" s="64">
        <v>4.1800017013838877</v>
      </c>
    </row>
    <row r="174" spans="1:11" ht="15">
      <c r="A174" s="13">
        <v>46935</v>
      </c>
      <c r="B174" s="63">
        <v>3.7202038794600139</v>
      </c>
      <c r="C174" s="63">
        <v>3.7202038794600139</v>
      </c>
      <c r="D174" s="63">
        <v>3.737367599460014</v>
      </c>
      <c r="E174" s="64">
        <v>4.2570697220397182</v>
      </c>
      <c r="F174" s="64">
        <v>4.2570697220397182</v>
      </c>
      <c r="G174" s="64">
        <v>4.2582215220397179</v>
      </c>
      <c r="H174" s="64">
        <v>7.8308567942713481</v>
      </c>
      <c r="I174" s="64">
        <v>7.8320085942713478</v>
      </c>
      <c r="J174" s="64">
        <v>4.2570697220397182</v>
      </c>
      <c r="K174" s="64">
        <v>4.2582215220397179</v>
      </c>
    </row>
    <row r="175" spans="1:11" ht="15">
      <c r="A175" s="13">
        <v>46966</v>
      </c>
      <c r="B175" s="63">
        <v>3.7268913794600138</v>
      </c>
      <c r="C175" s="63">
        <v>3.7268913794600138</v>
      </c>
      <c r="D175" s="63">
        <v>3.7440550994600139</v>
      </c>
      <c r="E175" s="64">
        <v>4.2173556837621264</v>
      </c>
      <c r="F175" s="64">
        <v>4.2173556837621264</v>
      </c>
      <c r="G175" s="64">
        <v>4.2185074837621261</v>
      </c>
      <c r="H175" s="64">
        <v>7.8471710792594145</v>
      </c>
      <c r="I175" s="64">
        <v>7.8483228792594142</v>
      </c>
      <c r="J175" s="64">
        <v>4.2173556837621264</v>
      </c>
      <c r="K175" s="64">
        <v>4.2185074837621261</v>
      </c>
    </row>
    <row r="176" spans="1:11" ht="15">
      <c r="A176" s="13">
        <v>46997</v>
      </c>
      <c r="B176" s="63">
        <v>3.7238516067327412</v>
      </c>
      <c r="C176" s="63">
        <v>3.7238516067327412</v>
      </c>
      <c r="D176" s="63">
        <v>3.7410153267327413</v>
      </c>
      <c r="E176" s="64">
        <v>4.2103064780024688</v>
      </c>
      <c r="F176" s="64">
        <v>4.2103064780024688</v>
      </c>
      <c r="G176" s="64">
        <v>4.2114582780024685</v>
      </c>
      <c r="H176" s="64">
        <v>7.8635193523412061</v>
      </c>
      <c r="I176" s="64">
        <v>7.8646711523412058</v>
      </c>
      <c r="J176" s="64">
        <v>4.2103064780024688</v>
      </c>
      <c r="K176" s="64">
        <v>4.2114582780024685</v>
      </c>
    </row>
    <row r="177" spans="1:11" ht="15">
      <c r="A177" s="13">
        <v>47027</v>
      </c>
      <c r="B177" s="63">
        <v>3.7181670060633043</v>
      </c>
      <c r="C177" s="63">
        <v>3.7181670060633043</v>
      </c>
      <c r="D177" s="63">
        <v>3.7267507260633042</v>
      </c>
      <c r="E177" s="64">
        <v>4.2166106456738683</v>
      </c>
      <c r="F177" s="64">
        <v>4.2166106456738683</v>
      </c>
      <c r="G177" s="64">
        <v>4.2167874456738685</v>
      </c>
      <c r="H177" s="64">
        <v>7.879901684325251</v>
      </c>
      <c r="I177" s="64">
        <v>7.8800784843252512</v>
      </c>
      <c r="J177" s="64">
        <v>4.2166106456738683</v>
      </c>
      <c r="K177" s="64">
        <v>4.2167874456738685</v>
      </c>
    </row>
    <row r="178" spans="1:11" ht="15">
      <c r="A178" s="13">
        <v>47058</v>
      </c>
      <c r="B178" s="63">
        <v>3.7212067787905778</v>
      </c>
      <c r="C178" s="63">
        <v>3.7212067787905778</v>
      </c>
      <c r="D178" s="63">
        <v>3.7297904987905777</v>
      </c>
      <c r="E178" s="64">
        <v>4.2285904131253851</v>
      </c>
      <c r="F178" s="64">
        <v>4.2285904131253851</v>
      </c>
      <c r="G178" s="64">
        <v>4.2287672131253853</v>
      </c>
      <c r="H178" s="64">
        <v>7.8963181461675962</v>
      </c>
      <c r="I178" s="64">
        <v>7.8964949461675964</v>
      </c>
      <c r="J178" s="64">
        <v>4.2285904131253851</v>
      </c>
      <c r="K178" s="64">
        <v>4.2287672131253853</v>
      </c>
    </row>
    <row r="179" spans="1:11" ht="15">
      <c r="A179" s="13">
        <v>47088</v>
      </c>
      <c r="B179" s="63">
        <v>3.7212067787905778</v>
      </c>
      <c r="C179" s="63">
        <v>3.7212067787905778</v>
      </c>
      <c r="D179" s="63">
        <v>3.7297904987905777</v>
      </c>
      <c r="E179" s="64">
        <v>4.2039376046660832</v>
      </c>
      <c r="F179" s="64">
        <v>4.2039376046660832</v>
      </c>
      <c r="G179" s="64">
        <v>4.2041144046660834</v>
      </c>
      <c r="H179" s="64">
        <v>7.9127688089721131</v>
      </c>
      <c r="I179" s="64">
        <v>7.9129456089721133</v>
      </c>
      <c r="J179" s="64">
        <v>4.2039376046660832</v>
      </c>
      <c r="K179" s="64">
        <v>4.2041144046660834</v>
      </c>
    </row>
    <row r="180" spans="1:11" ht="15">
      <c r="A180" s="13">
        <v>47119</v>
      </c>
      <c r="B180" s="63">
        <v>3.7543071297021799</v>
      </c>
      <c r="C180" s="63">
        <v>3.7543071297021799</v>
      </c>
      <c r="D180" s="63">
        <v>3.7628908497021798</v>
      </c>
      <c r="E180" s="64">
        <v>4.2617394706159697</v>
      </c>
      <c r="F180" s="64">
        <v>4.2617394706159697</v>
      </c>
      <c r="G180" s="64">
        <v>4.2619162706159699</v>
      </c>
      <c r="H180" s="64">
        <v>7.929253743990806</v>
      </c>
      <c r="I180" s="64">
        <v>7.9294305439908062</v>
      </c>
      <c r="J180" s="64">
        <v>4.2617394706159697</v>
      </c>
      <c r="K180" s="64">
        <v>4.2619162706159699</v>
      </c>
    </row>
    <row r="181" spans="1:11" ht="15">
      <c r="A181" s="13">
        <v>47150</v>
      </c>
      <c r="B181" s="63">
        <v>3.7512673569749069</v>
      </c>
      <c r="C181" s="63">
        <v>3.7512673569749069</v>
      </c>
      <c r="D181" s="63">
        <v>3.7598510769749067</v>
      </c>
      <c r="E181" s="64">
        <v>4.2118447984515024</v>
      </c>
      <c r="F181" s="64">
        <v>4.2118447984515024</v>
      </c>
      <c r="G181" s="64">
        <v>4.2120215984515026</v>
      </c>
      <c r="H181" s="64">
        <v>7.9457730226241212</v>
      </c>
      <c r="I181" s="64">
        <v>7.9459498226241214</v>
      </c>
      <c r="J181" s="64">
        <v>4.2118447984515024</v>
      </c>
      <c r="K181" s="64">
        <v>4.2120215984515026</v>
      </c>
    </row>
    <row r="182" spans="1:11" ht="15">
      <c r="A182" s="13">
        <v>47178</v>
      </c>
      <c r="B182" s="63">
        <v>3.7482275842476342</v>
      </c>
      <c r="C182" s="63">
        <v>3.7482275842476342</v>
      </c>
      <c r="D182" s="63">
        <v>3.7568113042476341</v>
      </c>
      <c r="E182" s="64">
        <v>4.2473898853563306</v>
      </c>
      <c r="F182" s="64">
        <v>4.2473898853563306</v>
      </c>
      <c r="G182" s="64">
        <v>4.2475666853563308</v>
      </c>
      <c r="H182" s="64">
        <v>7.9623267164212557</v>
      </c>
      <c r="I182" s="64">
        <v>7.9625035164212559</v>
      </c>
      <c r="J182" s="64">
        <v>4.2473898853563306</v>
      </c>
      <c r="K182" s="64">
        <v>4.2475666853563308</v>
      </c>
    </row>
    <row r="183" spans="1:11" ht="15">
      <c r="A183" s="13">
        <v>47209</v>
      </c>
      <c r="B183" s="63">
        <v>3.7457132526811909</v>
      </c>
      <c r="C183" s="63">
        <v>3.7457132526811909</v>
      </c>
      <c r="D183" s="63">
        <v>3.7542969726811908</v>
      </c>
      <c r="E183" s="64">
        <v>4.2836017857169226</v>
      </c>
      <c r="F183" s="64">
        <v>4.2836017857169226</v>
      </c>
      <c r="G183" s="64">
        <v>4.2837785857169228</v>
      </c>
      <c r="H183" s="64">
        <v>7.9789148970804673</v>
      </c>
      <c r="I183" s="64">
        <v>7.9790916970804675</v>
      </c>
      <c r="J183" s="64">
        <v>4.2836017857169226</v>
      </c>
      <c r="K183" s="64">
        <v>4.2837785857169228</v>
      </c>
    </row>
    <row r="184" spans="1:11" ht="15">
      <c r="A184" s="13">
        <v>47239</v>
      </c>
      <c r="B184" s="63">
        <v>3.7457132526811909</v>
      </c>
      <c r="C184" s="63">
        <v>3.7457132526811909</v>
      </c>
      <c r="D184" s="63">
        <v>3.762876972681191</v>
      </c>
      <c r="E184" s="64">
        <v>4.2987702314029921</v>
      </c>
      <c r="F184" s="64">
        <v>4.2987702314029921</v>
      </c>
      <c r="G184" s="64">
        <v>4.2999220314029918</v>
      </c>
      <c r="H184" s="64">
        <v>7.9955376364493862</v>
      </c>
      <c r="I184" s="64">
        <v>7.9966894364493859</v>
      </c>
      <c r="J184" s="64">
        <v>4.2987702314029921</v>
      </c>
      <c r="K184" s="64">
        <v>4.2999220314029918</v>
      </c>
    </row>
    <row r="185" spans="1:11" ht="15">
      <c r="A185" s="13">
        <v>47270</v>
      </c>
      <c r="B185" s="63">
        <v>3.7517927981357366</v>
      </c>
      <c r="C185" s="63">
        <v>3.7517927981357366</v>
      </c>
      <c r="D185" s="63">
        <v>3.7689565181357367</v>
      </c>
      <c r="E185" s="64">
        <v>4.2878390738525152</v>
      </c>
      <c r="F185" s="64">
        <v>4.2878390738525152</v>
      </c>
      <c r="G185" s="64">
        <v>4.2889908738525149</v>
      </c>
      <c r="H185" s="64">
        <v>8.0121950065253227</v>
      </c>
      <c r="I185" s="64">
        <v>8.0133468065253233</v>
      </c>
      <c r="J185" s="64">
        <v>4.2878390738525152</v>
      </c>
      <c r="K185" s="64">
        <v>4.2889908738525149</v>
      </c>
    </row>
    <row r="186" spans="1:11" ht="15">
      <c r="A186" s="13">
        <v>47300</v>
      </c>
      <c r="B186" s="63">
        <v>3.8127094990862633</v>
      </c>
      <c r="C186" s="63">
        <v>3.8127094990862633</v>
      </c>
      <c r="D186" s="63">
        <v>3.8298732190862634</v>
      </c>
      <c r="E186" s="64">
        <v>4.3812218134903276</v>
      </c>
      <c r="F186" s="64">
        <v>4.3812218134903276</v>
      </c>
      <c r="G186" s="64">
        <v>4.3823736134903273</v>
      </c>
      <c r="H186" s="64">
        <v>8.0288870794555844</v>
      </c>
      <c r="I186" s="64">
        <v>8.030038879455585</v>
      </c>
      <c r="J186" s="64">
        <v>4.3812218134903276</v>
      </c>
      <c r="K186" s="64">
        <v>4.3823736134903273</v>
      </c>
    </row>
    <row r="187" spans="1:11" ht="15">
      <c r="A187" s="13">
        <v>47331</v>
      </c>
      <c r="B187" s="63">
        <v>3.8193969990862633</v>
      </c>
      <c r="C187" s="63">
        <v>3.8193969990862633</v>
      </c>
      <c r="D187" s="63">
        <v>3.8365607190862634</v>
      </c>
      <c r="E187" s="64">
        <v>4.340377493381272</v>
      </c>
      <c r="F187" s="64">
        <v>4.340377493381272</v>
      </c>
      <c r="G187" s="64">
        <v>4.3415292933812717</v>
      </c>
      <c r="H187" s="64">
        <v>8.0456139275377847</v>
      </c>
      <c r="I187" s="64">
        <v>8.0467657275377853</v>
      </c>
      <c r="J187" s="64">
        <v>4.340377493381272</v>
      </c>
      <c r="K187" s="64">
        <v>4.3415292933812717</v>
      </c>
    </row>
    <row r="188" spans="1:11" ht="15">
      <c r="A188" s="13">
        <v>47362</v>
      </c>
      <c r="B188" s="63">
        <v>3.8163572263589907</v>
      </c>
      <c r="C188" s="63">
        <v>3.8163572263589907</v>
      </c>
      <c r="D188" s="63">
        <v>3.8335209463589908</v>
      </c>
      <c r="E188" s="64">
        <v>4.3332027007514515</v>
      </c>
      <c r="F188" s="64">
        <v>4.3332027007514515</v>
      </c>
      <c r="G188" s="64">
        <v>4.3343545007514512</v>
      </c>
      <c r="H188" s="64">
        <v>8.0623756232201558</v>
      </c>
      <c r="I188" s="64">
        <v>8.0635274232201564</v>
      </c>
      <c r="J188" s="64">
        <v>4.3332027007514515</v>
      </c>
      <c r="K188" s="64">
        <v>4.3343545007514512</v>
      </c>
    </row>
    <row r="189" spans="1:11" ht="15">
      <c r="A189" s="13">
        <v>47392</v>
      </c>
      <c r="B189" s="63">
        <v>3.8110310797028717</v>
      </c>
      <c r="C189" s="63">
        <v>3.8110310797028717</v>
      </c>
      <c r="D189" s="63">
        <v>3.8196147997028715</v>
      </c>
      <c r="E189" s="64">
        <v>4.3400092159034989</v>
      </c>
      <c r="F189" s="64">
        <v>4.3400092159034989</v>
      </c>
      <c r="G189" s="64">
        <v>4.3401860159034991</v>
      </c>
      <c r="H189" s="64">
        <v>8.0791722391018652</v>
      </c>
      <c r="I189" s="64">
        <v>8.0793490391018654</v>
      </c>
      <c r="J189" s="64">
        <v>4.3400092159034989</v>
      </c>
      <c r="K189" s="64">
        <v>4.3401860159034991</v>
      </c>
    </row>
    <row r="190" spans="1:11" ht="15">
      <c r="A190" s="13">
        <v>47423</v>
      </c>
      <c r="B190" s="63">
        <v>3.8140708524301443</v>
      </c>
      <c r="C190" s="63">
        <v>3.8140708524301443</v>
      </c>
      <c r="D190" s="63">
        <v>3.8226545724301442</v>
      </c>
      <c r="E190" s="64">
        <v>4.3522401570953422</v>
      </c>
      <c r="F190" s="64">
        <v>4.3522401570953422</v>
      </c>
      <c r="G190" s="64">
        <v>4.3524169570953424</v>
      </c>
      <c r="H190" s="64">
        <v>8.0960038479333285</v>
      </c>
      <c r="I190" s="64">
        <v>8.0961806479333287</v>
      </c>
      <c r="J190" s="64">
        <v>4.3522401570953422</v>
      </c>
      <c r="K190" s="64">
        <v>4.3524169570953424</v>
      </c>
    </row>
    <row r="191" spans="1:11" ht="15">
      <c r="A191" s="13">
        <v>47453</v>
      </c>
      <c r="B191" s="63">
        <v>3.8140708524301443</v>
      </c>
      <c r="C191" s="63">
        <v>3.8140708524301443</v>
      </c>
      <c r="D191" s="63">
        <v>3.8226545724301442</v>
      </c>
      <c r="E191" s="64">
        <v>4.3269594142852261</v>
      </c>
      <c r="F191" s="64">
        <v>4.3269594142852261</v>
      </c>
      <c r="G191" s="64">
        <v>4.3271362142852263</v>
      </c>
      <c r="H191" s="64">
        <v>8.1128705226165234</v>
      </c>
      <c r="I191" s="64">
        <v>8.1130473226165236</v>
      </c>
      <c r="J191" s="64">
        <v>4.3269594142852261</v>
      </c>
      <c r="K191" s="64">
        <v>4.3271362142852263</v>
      </c>
    </row>
    <row r="192" spans="1:11" ht="15">
      <c r="A192" s="13">
        <v>47484</v>
      </c>
      <c r="B192" s="63">
        <v>3.8500425365645512</v>
      </c>
      <c r="C192" s="63">
        <v>3.8500425365645512</v>
      </c>
      <c r="D192" s="63">
        <v>3.858626256564551</v>
      </c>
      <c r="E192" s="64">
        <v>4.3833244038516241</v>
      </c>
      <c r="F192" s="64">
        <v>4.3833244038516241</v>
      </c>
      <c r="G192" s="64">
        <v>4.3835012038516243</v>
      </c>
      <c r="H192" s="64">
        <v>8.129772336205308</v>
      </c>
      <c r="I192" s="64">
        <v>8.1299491362053082</v>
      </c>
      <c r="J192" s="64">
        <v>4.3833244038516241</v>
      </c>
      <c r="K192" s="64">
        <v>4.3835012038516243</v>
      </c>
    </row>
    <row r="193" spans="1:11" ht="15">
      <c r="A193" s="13">
        <v>47515</v>
      </c>
      <c r="B193" s="63">
        <v>3.8470027638372781</v>
      </c>
      <c r="C193" s="63">
        <v>3.8470027638372781</v>
      </c>
      <c r="D193" s="63">
        <v>3.855586483837278</v>
      </c>
      <c r="E193" s="64">
        <v>4.3322056409795238</v>
      </c>
      <c r="F193" s="64">
        <v>4.3322056409795238</v>
      </c>
      <c r="G193" s="64">
        <v>4.332382440979524</v>
      </c>
      <c r="H193" s="64">
        <v>8.1467093619057369</v>
      </c>
      <c r="I193" s="64">
        <v>8.1468861619057371</v>
      </c>
      <c r="J193" s="64">
        <v>4.3322056409795238</v>
      </c>
      <c r="K193" s="64">
        <v>4.332382440979524</v>
      </c>
    </row>
    <row r="194" spans="1:11" ht="15">
      <c r="A194" s="13">
        <v>47543</v>
      </c>
      <c r="B194" s="63">
        <v>3.8439629911100055</v>
      </c>
      <c r="C194" s="63">
        <v>3.8439629911100055</v>
      </c>
      <c r="D194" s="63">
        <v>3.8525467111100054</v>
      </c>
      <c r="E194" s="64">
        <v>4.3687157269630763</v>
      </c>
      <c r="F194" s="64">
        <v>4.3687157269630763</v>
      </c>
      <c r="G194" s="64">
        <v>4.3688925269630765</v>
      </c>
      <c r="H194" s="64">
        <v>8.1636816730763755</v>
      </c>
      <c r="I194" s="64">
        <v>8.1638584730763757</v>
      </c>
      <c r="J194" s="64">
        <v>4.3687157269630763</v>
      </c>
      <c r="K194" s="64">
        <v>4.3688925269630765</v>
      </c>
    </row>
    <row r="195" spans="1:11" ht="15">
      <c r="A195" s="13">
        <v>47574</v>
      </c>
      <c r="B195" s="63">
        <v>3.8415426656921206</v>
      </c>
      <c r="C195" s="63">
        <v>3.8415426656921206</v>
      </c>
      <c r="D195" s="63">
        <v>3.8501263856921204</v>
      </c>
      <c r="E195" s="64">
        <v>4.4059639938393049</v>
      </c>
      <c r="F195" s="64">
        <v>4.4059639938393049</v>
      </c>
      <c r="G195" s="64">
        <v>4.4061407938393051</v>
      </c>
      <c r="H195" s="64">
        <v>8.1806893432286181</v>
      </c>
      <c r="I195" s="64">
        <v>8.1808661432286183</v>
      </c>
      <c r="J195" s="64">
        <v>4.4059639938393049</v>
      </c>
      <c r="K195" s="64">
        <v>4.4061407938393051</v>
      </c>
    </row>
    <row r="196" spans="1:11" ht="15">
      <c r="A196" s="13">
        <v>47604</v>
      </c>
      <c r="B196" s="63">
        <v>3.8415426656921206</v>
      </c>
      <c r="C196" s="63">
        <v>3.8415426656921206</v>
      </c>
      <c r="D196" s="63">
        <v>3.8587063856921207</v>
      </c>
      <c r="E196" s="64">
        <v>4.4215210769687374</v>
      </c>
      <c r="F196" s="64">
        <v>4.4215210769687374</v>
      </c>
      <c r="G196" s="64">
        <v>4.4226728769687371</v>
      </c>
      <c r="H196" s="64">
        <v>8.1977324460270111</v>
      </c>
      <c r="I196" s="64">
        <v>8.1988842460270117</v>
      </c>
      <c r="J196" s="64">
        <v>4.4215210769687374</v>
      </c>
      <c r="K196" s="64">
        <v>4.4226728769687371</v>
      </c>
    </row>
    <row r="197" spans="1:11" ht="15">
      <c r="A197" s="13">
        <v>47635</v>
      </c>
      <c r="B197" s="63">
        <v>3.8476222111466662</v>
      </c>
      <c r="C197" s="63">
        <v>3.8476222111466662</v>
      </c>
      <c r="D197" s="63">
        <v>3.8647859311466664</v>
      </c>
      <c r="E197" s="64">
        <v>4.4102012819748975</v>
      </c>
      <c r="F197" s="64">
        <v>4.4102012819748975</v>
      </c>
      <c r="G197" s="64">
        <v>4.4113530819748972</v>
      </c>
      <c r="H197" s="64">
        <v>8.2148110552895677</v>
      </c>
      <c r="I197" s="64">
        <v>8.2159628552895683</v>
      </c>
      <c r="J197" s="64">
        <v>4.4102012819748975</v>
      </c>
      <c r="K197" s="64">
        <v>4.4113530819748972</v>
      </c>
    </row>
    <row r="198" spans="1:11" ht="15">
      <c r="A198" s="13">
        <v>47665</v>
      </c>
      <c r="B198" s="63">
        <v>3.9150372231116246</v>
      </c>
      <c r="C198" s="63">
        <v>3.9150372231116246</v>
      </c>
      <c r="D198" s="63">
        <v>3.9322009431116247</v>
      </c>
      <c r="E198" s="64">
        <v>4.4986291581614095</v>
      </c>
      <c r="F198" s="64">
        <v>4.4986291581614095</v>
      </c>
      <c r="G198" s="64">
        <v>4.4997809581614092</v>
      </c>
      <c r="H198" s="64">
        <v>8.2319252449880889</v>
      </c>
      <c r="I198" s="64">
        <v>8.2330770449880895</v>
      </c>
      <c r="J198" s="64">
        <v>4.4986291581614095</v>
      </c>
      <c r="K198" s="64">
        <v>4.4997809581614092</v>
      </c>
    </row>
    <row r="199" spans="1:11" ht="15">
      <c r="A199" s="13">
        <v>47696</v>
      </c>
      <c r="B199" s="63">
        <v>3.921724723111625</v>
      </c>
      <c r="C199" s="63">
        <v>3.921724723111625</v>
      </c>
      <c r="D199" s="63">
        <v>3.9388884431116251</v>
      </c>
      <c r="E199" s="64">
        <v>4.4566189257222639</v>
      </c>
      <c r="F199" s="64">
        <v>4.456618925722263</v>
      </c>
      <c r="G199" s="64">
        <v>4.4577707257222627</v>
      </c>
      <c r="H199" s="64">
        <v>8.2490750892484819</v>
      </c>
      <c r="I199" s="64">
        <v>8.2502268892484825</v>
      </c>
      <c r="J199" s="64">
        <v>4.4566189257222639</v>
      </c>
      <c r="K199" s="64">
        <v>4.4577707257222636</v>
      </c>
    </row>
    <row r="200" spans="1:11" ht="15">
      <c r="A200" s="13">
        <v>47727</v>
      </c>
      <c r="B200" s="63">
        <v>3.9186849503843524</v>
      </c>
      <c r="C200" s="63">
        <v>3.9186849503843524</v>
      </c>
      <c r="D200" s="63">
        <v>3.9358486703843525</v>
      </c>
      <c r="E200" s="64">
        <v>4.4493145872779882</v>
      </c>
      <c r="F200" s="64">
        <v>4.4493145872779882</v>
      </c>
      <c r="G200" s="64">
        <v>4.4504663872779879</v>
      </c>
      <c r="H200" s="64">
        <v>8.2662606623510833</v>
      </c>
      <c r="I200" s="64">
        <v>8.2674124623510838</v>
      </c>
      <c r="J200" s="64">
        <v>4.4493145872779882</v>
      </c>
      <c r="K200" s="64">
        <v>4.4504663872779879</v>
      </c>
    </row>
    <row r="201" spans="1:11" ht="15">
      <c r="A201" s="13">
        <v>47757</v>
      </c>
      <c r="B201" s="63">
        <v>3.9137245547456656</v>
      </c>
      <c r="C201" s="63">
        <v>3.9137245547456656</v>
      </c>
      <c r="D201" s="63">
        <v>3.9223082747456655</v>
      </c>
      <c r="E201" s="64">
        <v>4.4566392856878556</v>
      </c>
      <c r="F201" s="64">
        <v>4.4566392856878556</v>
      </c>
      <c r="G201" s="64">
        <v>4.4568160856878558</v>
      </c>
      <c r="H201" s="64">
        <v>8.2834820387309822</v>
      </c>
      <c r="I201" s="64">
        <v>8.2836588387309824</v>
      </c>
      <c r="J201" s="64">
        <v>4.4566392856878556</v>
      </c>
      <c r="K201" s="64">
        <v>4.4568160856878558</v>
      </c>
    </row>
    <row r="202" spans="1:11" ht="15">
      <c r="A202" s="13">
        <v>47788</v>
      </c>
      <c r="B202" s="63">
        <v>3.9167643274729382</v>
      </c>
      <c r="C202" s="63">
        <v>3.9167643274729382</v>
      </c>
      <c r="D202" s="63">
        <v>3.9253480474729381</v>
      </c>
      <c r="E202" s="64">
        <v>4.4691293185086076</v>
      </c>
      <c r="F202" s="64">
        <v>4.4691293185086076</v>
      </c>
      <c r="G202" s="64">
        <v>4.4693061185086078</v>
      </c>
      <c r="H202" s="64">
        <v>8.3007392929783386</v>
      </c>
      <c r="I202" s="64">
        <v>8.3009160929783388</v>
      </c>
      <c r="J202" s="64">
        <v>4.4691293185086076</v>
      </c>
      <c r="K202" s="64">
        <v>4.4693061185086078</v>
      </c>
    </row>
    <row r="203" spans="1:11" ht="15">
      <c r="A203" s="13">
        <v>47818</v>
      </c>
      <c r="B203" s="63">
        <v>3.9167643274729382</v>
      </c>
      <c r="C203" s="63">
        <v>3.9167643274729382</v>
      </c>
      <c r="D203" s="63">
        <v>3.9253480474729381</v>
      </c>
      <c r="E203" s="64">
        <v>4.4432008466262189</v>
      </c>
      <c r="F203" s="64">
        <v>4.4432008466262189</v>
      </c>
      <c r="G203" s="64">
        <v>4.4433776466262191</v>
      </c>
      <c r="H203" s="64">
        <v>8.3180324998387114</v>
      </c>
      <c r="I203" s="64">
        <v>8.3182092998387116</v>
      </c>
      <c r="J203" s="64">
        <v>4.4432008466262189</v>
      </c>
      <c r="K203" s="64">
        <v>4.4433776466262191</v>
      </c>
    </row>
    <row r="204" spans="1:11" ht="15">
      <c r="A204" s="13">
        <v>47849</v>
      </c>
      <c r="B204" s="63">
        <v>3.9537843954852434</v>
      </c>
      <c r="C204" s="63">
        <v>3.9537843954852434</v>
      </c>
      <c r="D204" s="63">
        <v>3.9623681154852433</v>
      </c>
      <c r="E204" s="64">
        <v>4.5104404151135791</v>
      </c>
      <c r="F204" s="64">
        <v>4.5104404151135791</v>
      </c>
      <c r="G204" s="64">
        <v>4.5106172151135793</v>
      </c>
      <c r="H204" s="64">
        <v>8.335361734213377</v>
      </c>
      <c r="I204" s="64">
        <v>8.3355385342133772</v>
      </c>
      <c r="J204" s="64">
        <v>4.5104404151135791</v>
      </c>
      <c r="K204" s="64">
        <v>4.5106172151135793</v>
      </c>
    </row>
    <row r="205" spans="1:11" ht="15">
      <c r="A205" s="13">
        <v>47880</v>
      </c>
      <c r="B205" s="63">
        <v>3.9507446227579708</v>
      </c>
      <c r="C205" s="63">
        <v>3.9507446227579708</v>
      </c>
      <c r="D205" s="63">
        <v>3.9593283427579706</v>
      </c>
      <c r="E205" s="64">
        <v>4.458052210507379</v>
      </c>
      <c r="F205" s="64">
        <v>4.458052210507379</v>
      </c>
      <c r="G205" s="64">
        <v>4.4582290105073792</v>
      </c>
      <c r="H205" s="64">
        <v>8.3527270711596557</v>
      </c>
      <c r="I205" s="64">
        <v>8.3529038711596559</v>
      </c>
      <c r="J205" s="64">
        <v>4.458052210507379</v>
      </c>
      <c r="K205" s="64">
        <v>4.4582290105073792</v>
      </c>
    </row>
    <row r="206" spans="1:11" ht="15">
      <c r="A206" s="13">
        <v>47908</v>
      </c>
      <c r="B206" s="63">
        <v>3.9477048500306982</v>
      </c>
      <c r="C206" s="63">
        <v>3.9477048500306982</v>
      </c>
      <c r="D206" s="63">
        <v>3.956288570030698</v>
      </c>
      <c r="E206" s="64">
        <v>4.4955630475760104</v>
      </c>
      <c r="F206" s="64">
        <v>4.4955630475760104</v>
      </c>
      <c r="G206" s="64">
        <v>4.4957398475760106</v>
      </c>
      <c r="H206" s="64">
        <v>8.3701285858912389</v>
      </c>
      <c r="I206" s="64">
        <v>8.3703053858912391</v>
      </c>
      <c r="J206" s="64">
        <v>4.4955630475760104</v>
      </c>
      <c r="K206" s="64">
        <v>4.4957398475760106</v>
      </c>
    </row>
    <row r="207" spans="1:11" ht="15">
      <c r="A207" s="13">
        <v>47939</v>
      </c>
      <c r="B207" s="63">
        <v>3.9453802512909384</v>
      </c>
      <c r="C207" s="63">
        <v>3.9453802512909384</v>
      </c>
      <c r="D207" s="63">
        <v>3.9539639712909382</v>
      </c>
      <c r="E207" s="64">
        <v>4.5338860770483205</v>
      </c>
      <c r="F207" s="64">
        <v>4.5338860770483196</v>
      </c>
      <c r="G207" s="64">
        <v>4.5340628770483198</v>
      </c>
      <c r="H207" s="64">
        <v>8.3875663537785137</v>
      </c>
      <c r="I207" s="64">
        <v>8.3877431537785139</v>
      </c>
      <c r="J207" s="64">
        <v>4.5338860770483205</v>
      </c>
      <c r="K207" s="64">
        <v>4.5340628770483207</v>
      </c>
    </row>
    <row r="208" spans="1:11" ht="15">
      <c r="A208" s="13">
        <v>47969</v>
      </c>
      <c r="B208" s="63">
        <v>3.9453802512909384</v>
      </c>
      <c r="C208" s="63">
        <v>3.9453802512909384</v>
      </c>
      <c r="D208" s="63">
        <v>3.9625439712909385</v>
      </c>
      <c r="E208" s="64">
        <v>4.5498461961512824</v>
      </c>
      <c r="F208" s="64">
        <v>4.5498461961512824</v>
      </c>
      <c r="G208" s="64">
        <v>4.5509979961512821</v>
      </c>
      <c r="H208" s="64">
        <v>8.4050404503488867</v>
      </c>
      <c r="I208" s="64">
        <v>8.4061922503488873</v>
      </c>
      <c r="J208" s="64">
        <v>4.5498461961512824</v>
      </c>
      <c r="K208" s="64">
        <v>4.5509979961512821</v>
      </c>
    </row>
    <row r="209" spans="1:11" ht="15">
      <c r="A209" s="13">
        <v>48000</v>
      </c>
      <c r="B209" s="63">
        <v>3.9514597967454836</v>
      </c>
      <c r="C209" s="63">
        <v>3.9514597967454836</v>
      </c>
      <c r="D209" s="63">
        <v>3.9686235167454837</v>
      </c>
      <c r="E209" s="64">
        <v>4.5381233651839121</v>
      </c>
      <c r="F209" s="64">
        <v>4.5381233651839121</v>
      </c>
      <c r="G209" s="64">
        <v>4.5392751651839118</v>
      </c>
      <c r="H209" s="64">
        <v>8.4225509512871142</v>
      </c>
      <c r="I209" s="64">
        <v>8.4237027512871148</v>
      </c>
      <c r="J209" s="64">
        <v>4.5381233651839121</v>
      </c>
      <c r="K209" s="64">
        <v>4.5392751651839118</v>
      </c>
    </row>
    <row r="210" spans="1:11" ht="15">
      <c r="A210" s="13">
        <v>48030</v>
      </c>
      <c r="B210" s="63">
        <v>4.0209738607045873</v>
      </c>
      <c r="C210" s="63">
        <v>4.0209738607045873</v>
      </c>
      <c r="D210" s="63">
        <v>4.0381375807045874</v>
      </c>
      <c r="E210" s="64">
        <v>4.6514730741976757</v>
      </c>
      <c r="F210" s="64">
        <v>4.6514730741976757</v>
      </c>
      <c r="G210" s="64">
        <v>4.6526248741976755</v>
      </c>
      <c r="H210" s="64">
        <v>8.4400979324356307</v>
      </c>
      <c r="I210" s="64">
        <v>8.4412497324356313</v>
      </c>
      <c r="J210" s="64">
        <v>4.6514730741976757</v>
      </c>
      <c r="K210" s="64">
        <v>4.6526248741976755</v>
      </c>
    </row>
    <row r="211" spans="1:11" ht="15">
      <c r="A211" s="13">
        <v>48061</v>
      </c>
      <c r="B211" s="63">
        <v>4.0276613607045872</v>
      </c>
      <c r="C211" s="63">
        <v>4.0276613607045872</v>
      </c>
      <c r="D211" s="63">
        <v>4.0448250807045874</v>
      </c>
      <c r="E211" s="64">
        <v>4.6082537338379392</v>
      </c>
      <c r="F211" s="64">
        <v>4.6082537338379392</v>
      </c>
      <c r="G211" s="64">
        <v>4.6094055338379389</v>
      </c>
      <c r="H211" s="64">
        <v>8.4576814697948723</v>
      </c>
      <c r="I211" s="64">
        <v>8.4588332697948729</v>
      </c>
      <c r="J211" s="64">
        <v>4.6082537338379392</v>
      </c>
      <c r="K211" s="64">
        <v>4.6094055338379389</v>
      </c>
    </row>
    <row r="212" spans="1:11" ht="15">
      <c r="A212" s="13">
        <v>48092</v>
      </c>
      <c r="B212" s="63">
        <v>4.0246215879773137</v>
      </c>
      <c r="C212" s="63">
        <v>4.0246215879773137</v>
      </c>
      <c r="D212" s="63">
        <v>4.0417853079773138</v>
      </c>
      <c r="E212" s="64">
        <v>4.6008150500691558</v>
      </c>
      <c r="F212" s="64">
        <v>4.6008150500691549</v>
      </c>
      <c r="G212" s="64">
        <v>4.6019668500691546</v>
      </c>
      <c r="H212" s="64">
        <v>8.4753016395236127</v>
      </c>
      <c r="I212" s="64">
        <v>8.4764534395236133</v>
      </c>
      <c r="J212" s="64">
        <v>4.6008150500691558</v>
      </c>
      <c r="K212" s="64">
        <v>4.6019668500691555</v>
      </c>
    </row>
    <row r="213" spans="1:11" ht="15">
      <c r="A213" s="13">
        <v>48122</v>
      </c>
      <c r="B213" s="63">
        <v>4.0200321608257372</v>
      </c>
      <c r="C213" s="63">
        <v>4.0200321608257372</v>
      </c>
      <c r="D213" s="63">
        <v>4.0286158808257371</v>
      </c>
      <c r="E213" s="64">
        <v>4.6086771297770612</v>
      </c>
      <c r="F213" s="64">
        <v>4.6086771297770612</v>
      </c>
      <c r="G213" s="64">
        <v>4.6088539297770614</v>
      </c>
      <c r="H213" s="64">
        <v>8.4929585179392877</v>
      </c>
      <c r="I213" s="64">
        <v>8.4931353179392879</v>
      </c>
      <c r="J213" s="64">
        <v>4.6086771297770612</v>
      </c>
      <c r="K213" s="64">
        <v>4.6088539297770614</v>
      </c>
    </row>
    <row r="214" spans="1:11" ht="15">
      <c r="A214" s="13">
        <v>48153</v>
      </c>
      <c r="B214" s="63">
        <v>4.0230719335530098</v>
      </c>
      <c r="C214" s="63">
        <v>4.0230719335530098</v>
      </c>
      <c r="D214" s="63">
        <v>4.0316556535530097</v>
      </c>
      <c r="E214" s="64">
        <v>4.6214358532468331</v>
      </c>
      <c r="F214" s="64">
        <v>4.6214358532468331</v>
      </c>
      <c r="G214" s="64">
        <v>4.6216126532468333</v>
      </c>
      <c r="H214" s="64">
        <v>8.5106521815183296</v>
      </c>
      <c r="I214" s="64">
        <v>8.5108289815183298</v>
      </c>
      <c r="J214" s="64">
        <v>4.6214358532468331</v>
      </c>
      <c r="K214" s="64">
        <v>4.6216126532468333</v>
      </c>
    </row>
    <row r="215" spans="1:11" ht="15">
      <c r="A215" s="13">
        <v>48183</v>
      </c>
      <c r="B215" s="63">
        <v>4.0230719335530098</v>
      </c>
      <c r="C215" s="63">
        <v>4.0230719335530098</v>
      </c>
      <c r="D215" s="63">
        <v>4.0316556535530097</v>
      </c>
      <c r="E215" s="64">
        <v>4.5948356547418943</v>
      </c>
      <c r="F215" s="64">
        <v>4.5948356547418943</v>
      </c>
      <c r="G215" s="64">
        <v>4.5950124547418945</v>
      </c>
      <c r="H215" s="64">
        <v>8.5283827068964939</v>
      </c>
      <c r="I215" s="64">
        <v>8.5285595068964941</v>
      </c>
      <c r="J215" s="64">
        <v>4.5948356547418943</v>
      </c>
      <c r="K215" s="64">
        <v>4.5950124547418945</v>
      </c>
    </row>
    <row r="216" spans="1:11" ht="15">
      <c r="A216" s="13">
        <v>48214</v>
      </c>
      <c r="B216" s="63">
        <v>4.0667865909166387</v>
      </c>
      <c r="C216" s="63">
        <v>4.0667865909166387</v>
      </c>
      <c r="D216" s="63">
        <v>4.0753703109166386</v>
      </c>
      <c r="E216" s="64">
        <v>4.6593584683277669</v>
      </c>
      <c r="F216" s="64">
        <v>4.6593584683277678</v>
      </c>
      <c r="G216" s="64">
        <v>4.659535268327768</v>
      </c>
      <c r="H216" s="64">
        <v>8.5461501708691952</v>
      </c>
      <c r="I216" s="64">
        <v>8.5463269708691953</v>
      </c>
      <c r="J216" s="64">
        <v>4.6593584683277669</v>
      </c>
      <c r="K216" s="64">
        <v>4.6595352683277671</v>
      </c>
    </row>
    <row r="217" spans="1:11" ht="15">
      <c r="A217" s="13">
        <v>48245</v>
      </c>
      <c r="B217" s="63">
        <v>4.063746818189367</v>
      </c>
      <c r="C217" s="63">
        <v>4.063746818189367</v>
      </c>
      <c r="D217" s="63">
        <v>4.0723305381893669</v>
      </c>
      <c r="E217" s="64">
        <v>4.6056258157749008</v>
      </c>
      <c r="F217" s="64">
        <v>4.6056258157749008</v>
      </c>
      <c r="G217" s="64">
        <v>4.605802615774901</v>
      </c>
      <c r="H217" s="64">
        <v>8.5639546503918407</v>
      </c>
      <c r="I217" s="64">
        <v>8.5641314503918409</v>
      </c>
      <c r="J217" s="64">
        <v>4.6056258157749008</v>
      </c>
      <c r="K217" s="64">
        <v>4.605802615774901</v>
      </c>
    </row>
    <row r="218" spans="1:11" ht="15">
      <c r="A218" s="13">
        <v>48274</v>
      </c>
      <c r="B218" s="63">
        <v>4.0607070454620935</v>
      </c>
      <c r="C218" s="63">
        <v>4.0607070454620935</v>
      </c>
      <c r="D218" s="63">
        <v>4.0692907654620933</v>
      </c>
      <c r="E218" s="64">
        <v>4.6441965342900922</v>
      </c>
      <c r="F218" s="64">
        <v>4.6441965342900922</v>
      </c>
      <c r="G218" s="64">
        <v>4.6443733342900924</v>
      </c>
      <c r="H218" s="64">
        <v>8.5817962225801576</v>
      </c>
      <c r="I218" s="64">
        <v>8.5819730225801578</v>
      </c>
      <c r="J218" s="64">
        <v>4.6441965342900922</v>
      </c>
      <c r="K218" s="64">
        <v>4.6443733342900924</v>
      </c>
    </row>
    <row r="219" spans="1:11" ht="15">
      <c r="A219" s="13">
        <v>48305</v>
      </c>
      <c r="B219" s="63">
        <v>4.0584803842029471</v>
      </c>
      <c r="C219" s="63">
        <v>4.0584803842029471</v>
      </c>
      <c r="D219" s="63">
        <v>4.067064104202947</v>
      </c>
      <c r="E219" s="64">
        <v>4.6836578297628302</v>
      </c>
      <c r="F219" s="64">
        <v>4.6836578297628302</v>
      </c>
      <c r="G219" s="64">
        <v>4.6838346297628304</v>
      </c>
      <c r="H219" s="64">
        <v>8.5996749647105339</v>
      </c>
      <c r="I219" s="64">
        <v>8.5998517647105341</v>
      </c>
      <c r="J219" s="64">
        <v>4.6836578297628302</v>
      </c>
      <c r="K219" s="64">
        <v>4.6838346297628304</v>
      </c>
    </row>
    <row r="220" spans="1:11" ht="15">
      <c r="A220" s="13">
        <v>48335</v>
      </c>
      <c r="B220" s="63">
        <v>4.0584803842029471</v>
      </c>
      <c r="C220" s="63">
        <v>4.0584803842029471</v>
      </c>
      <c r="D220" s="63">
        <v>4.0756441042029472</v>
      </c>
      <c r="E220" s="64">
        <v>4.7000447986159548</v>
      </c>
      <c r="F220" s="64">
        <v>4.7000447986159548</v>
      </c>
      <c r="G220" s="64">
        <v>4.7011965986159545</v>
      </c>
      <c r="H220" s="64">
        <v>8.6175909542203488</v>
      </c>
      <c r="I220" s="64">
        <v>8.6187427542203494</v>
      </c>
      <c r="J220" s="64">
        <v>4.7000447986159548</v>
      </c>
      <c r="K220" s="64">
        <v>4.7011965986159545</v>
      </c>
    </row>
    <row r="221" spans="1:11" ht="15">
      <c r="A221" s="13">
        <v>48366</v>
      </c>
      <c r="B221" s="63">
        <v>4.0645599296574924</v>
      </c>
      <c r="C221" s="63">
        <v>4.0645599296574924</v>
      </c>
      <c r="D221" s="63">
        <v>4.0817236496574925</v>
      </c>
      <c r="E221" s="64">
        <v>4.6878951178984227</v>
      </c>
      <c r="F221" s="64">
        <v>4.6878951178984236</v>
      </c>
      <c r="G221" s="64">
        <v>4.6890469178984233</v>
      </c>
      <c r="H221" s="64">
        <v>8.6355442687083084</v>
      </c>
      <c r="I221" s="64">
        <v>8.636696068708309</v>
      </c>
      <c r="J221" s="64">
        <v>4.6878951178984227</v>
      </c>
      <c r="K221" s="64">
        <v>4.6890469178984224</v>
      </c>
    </row>
    <row r="222" spans="1:11" ht="15">
      <c r="A222" s="13">
        <v>48396</v>
      </c>
      <c r="B222" s="63">
        <v>4.1496731482651343</v>
      </c>
      <c r="C222" s="63">
        <v>4.1496731482651343</v>
      </c>
      <c r="D222" s="63">
        <v>4.1668368682651344</v>
      </c>
      <c r="E222" s="64">
        <v>4.7921683763905003</v>
      </c>
      <c r="F222" s="64">
        <v>4.7921683763905003</v>
      </c>
      <c r="G222" s="64">
        <v>4.7933201763905</v>
      </c>
      <c r="H222" s="64">
        <v>8.653534985934785</v>
      </c>
      <c r="I222" s="64">
        <v>8.6546867859347856</v>
      </c>
      <c r="J222" s="64">
        <v>4.7921683763905003</v>
      </c>
      <c r="K222" s="64">
        <v>4.7933201763905</v>
      </c>
    </row>
    <row r="223" spans="1:11" ht="15">
      <c r="A223" s="13">
        <v>48427</v>
      </c>
      <c r="B223" s="63">
        <v>4.1563606482651343</v>
      </c>
      <c r="C223" s="63">
        <v>4.1563606482651343</v>
      </c>
      <c r="D223" s="63">
        <v>4.1735243682651344</v>
      </c>
      <c r="E223" s="64">
        <v>4.7476684867802801</v>
      </c>
      <c r="F223" s="64">
        <v>4.7476684867802801</v>
      </c>
      <c r="G223" s="64">
        <v>4.7488202867802798</v>
      </c>
      <c r="H223" s="64">
        <v>8.6715631838221494</v>
      </c>
      <c r="I223" s="64">
        <v>8.67271498382215</v>
      </c>
      <c r="J223" s="64">
        <v>4.7476684867802801</v>
      </c>
      <c r="K223" s="64">
        <v>4.7488202867802798</v>
      </c>
    </row>
    <row r="224" spans="1:11" ht="15">
      <c r="A224" s="13">
        <v>48458</v>
      </c>
      <c r="B224" s="63">
        <v>4.1533208755378617</v>
      </c>
      <c r="C224" s="63">
        <v>4.1533208755378617</v>
      </c>
      <c r="D224" s="63">
        <v>4.1704845955378618</v>
      </c>
      <c r="E224" s="64">
        <v>4.7400875197614427</v>
      </c>
      <c r="F224" s="64">
        <v>4.7400875197614427</v>
      </c>
      <c r="G224" s="64">
        <v>4.7412393197614424</v>
      </c>
      <c r="H224" s="64">
        <v>8.6896289404551137</v>
      </c>
      <c r="I224" s="64">
        <v>8.6907807404551143</v>
      </c>
      <c r="J224" s="64">
        <v>4.7400875197614427</v>
      </c>
      <c r="K224" s="64">
        <v>4.7412393197614424</v>
      </c>
    </row>
    <row r="225" spans="1:11" ht="15">
      <c r="A225" s="13">
        <v>48488</v>
      </c>
      <c r="B225" s="63">
        <v>4.1491174595791671</v>
      </c>
      <c r="C225" s="63">
        <v>4.1491174595791671</v>
      </c>
      <c r="D225" s="63">
        <v>4.157701179579167</v>
      </c>
      <c r="E225" s="64">
        <v>4.748518732469563</v>
      </c>
      <c r="F225" s="64">
        <v>4.748518732469563</v>
      </c>
      <c r="G225" s="64">
        <v>4.7486955324695632</v>
      </c>
      <c r="H225" s="64">
        <v>8.7077323340810633</v>
      </c>
      <c r="I225" s="64">
        <v>8.7079091340810635</v>
      </c>
      <c r="J225" s="64">
        <v>4.748518732469563</v>
      </c>
      <c r="K225" s="64">
        <v>4.7486955324695632</v>
      </c>
    </row>
    <row r="226" spans="1:11" ht="15">
      <c r="A226" s="13">
        <v>48519</v>
      </c>
      <c r="B226" s="63">
        <v>4.1521572323064388</v>
      </c>
      <c r="C226" s="63">
        <v>4.1521572323064388</v>
      </c>
      <c r="D226" s="63">
        <v>4.1607409523064387</v>
      </c>
      <c r="E226" s="64">
        <v>4.7615620224394419</v>
      </c>
      <c r="F226" s="64">
        <v>4.7615620224394419</v>
      </c>
      <c r="G226" s="64">
        <v>4.7617388224394421</v>
      </c>
      <c r="H226" s="64">
        <v>8.7258734431103999</v>
      </c>
      <c r="I226" s="64">
        <v>8.7260502431104001</v>
      </c>
      <c r="J226" s="64">
        <v>4.7615620224394419</v>
      </c>
      <c r="K226" s="64">
        <v>4.7617388224394421</v>
      </c>
    </row>
    <row r="227" spans="1:11" ht="15">
      <c r="A227" s="13">
        <v>48549</v>
      </c>
      <c r="B227" s="63">
        <v>4.1521572323064388</v>
      </c>
      <c r="C227" s="63">
        <v>4.1521572323064388</v>
      </c>
      <c r="D227" s="63">
        <v>4.1607409523064387</v>
      </c>
      <c r="E227" s="64">
        <v>4.7342504076842351</v>
      </c>
      <c r="F227" s="64">
        <v>4.7342504076842351</v>
      </c>
      <c r="G227" s="64">
        <v>4.7344272076842353</v>
      </c>
      <c r="H227" s="64">
        <v>8.7440523461168809</v>
      </c>
      <c r="I227" s="64">
        <v>8.7442291461168811</v>
      </c>
      <c r="J227" s="64">
        <v>4.7342504076842351</v>
      </c>
      <c r="K227" s="64">
        <v>4.7344272076842353</v>
      </c>
    </row>
    <row r="228" spans="1:11" ht="15">
      <c r="A228" s="13">
        <v>48580</v>
      </c>
      <c r="B228" s="63">
        <v>4.1940544180052539</v>
      </c>
      <c r="C228" s="63">
        <v>4.1940544180052539</v>
      </c>
      <c r="D228" s="63">
        <v>4.2026381380052538</v>
      </c>
      <c r="E228" s="64">
        <v>4.8031713516122752</v>
      </c>
      <c r="F228" s="64">
        <v>4.8031713516122752</v>
      </c>
      <c r="G228" s="64">
        <v>4.8033481516122754</v>
      </c>
      <c r="H228" s="64">
        <v>8.7622691218379583</v>
      </c>
      <c r="I228" s="64">
        <v>8.7624459218379585</v>
      </c>
      <c r="J228" s="64">
        <v>4.8031713516122752</v>
      </c>
      <c r="K228" s="64">
        <v>4.8033481516122754</v>
      </c>
    </row>
    <row r="229" spans="1:11" ht="15">
      <c r="A229" s="13">
        <v>48611</v>
      </c>
      <c r="B229" s="63">
        <v>4.1910146452779813</v>
      </c>
      <c r="C229" s="63">
        <v>4.1910146452779813</v>
      </c>
      <c r="D229" s="63">
        <v>4.1995983652779811</v>
      </c>
      <c r="E229" s="64">
        <v>4.7480773869269113</v>
      </c>
      <c r="F229" s="64">
        <v>4.7480773869269113</v>
      </c>
      <c r="G229" s="64">
        <v>4.7482541869269115</v>
      </c>
      <c r="H229" s="64">
        <v>8.7805238491751219</v>
      </c>
      <c r="I229" s="64">
        <v>8.7807006491751221</v>
      </c>
      <c r="J229" s="64">
        <v>4.7480773869269113</v>
      </c>
      <c r="K229" s="64">
        <v>4.7482541869269115</v>
      </c>
    </row>
    <row r="230" spans="1:11" ht="15">
      <c r="A230" s="13">
        <v>48639</v>
      </c>
      <c r="B230" s="63">
        <v>4.1879748725507078</v>
      </c>
      <c r="C230" s="63">
        <v>4.1879748725507078</v>
      </c>
      <c r="D230" s="63">
        <v>4.1965585925507076</v>
      </c>
      <c r="E230" s="64">
        <v>4.7877212815927939</v>
      </c>
      <c r="F230" s="64">
        <v>4.7877212815927939</v>
      </c>
      <c r="G230" s="64">
        <v>4.7878980815927941</v>
      </c>
      <c r="H230" s="64">
        <v>8.7988166071942384</v>
      </c>
      <c r="I230" s="64">
        <v>8.7989934071942386</v>
      </c>
      <c r="J230" s="64">
        <v>4.7877212815927939</v>
      </c>
      <c r="K230" s="64">
        <v>4.7878980815927941</v>
      </c>
    </row>
    <row r="231" spans="1:11" ht="15">
      <c r="A231" s="13">
        <v>48670</v>
      </c>
      <c r="B231" s="63">
        <v>4.1858497311491627</v>
      </c>
      <c r="C231" s="63">
        <v>4.1858497311491627</v>
      </c>
      <c r="D231" s="63">
        <v>4.1944334511491626</v>
      </c>
      <c r="E231" s="64">
        <v>4.8283351209927519</v>
      </c>
      <c r="F231" s="64">
        <v>4.8283351209927519</v>
      </c>
      <c r="G231" s="64">
        <v>4.8285119209927521</v>
      </c>
      <c r="H231" s="64">
        <v>8.8171474751258945</v>
      </c>
      <c r="I231" s="64">
        <v>8.8173242751258947</v>
      </c>
      <c r="J231" s="64">
        <v>4.8283351209927519</v>
      </c>
      <c r="K231" s="64">
        <v>4.8285119209927521</v>
      </c>
    </row>
    <row r="232" spans="1:11" ht="15">
      <c r="A232" s="13">
        <v>48700</v>
      </c>
      <c r="B232" s="63">
        <v>4.1858497311491627</v>
      </c>
      <c r="C232" s="63">
        <v>4.1858497311491627</v>
      </c>
      <c r="D232" s="63">
        <v>4.2030134511491628</v>
      </c>
      <c r="E232" s="64">
        <v>4.8451542938185828</v>
      </c>
      <c r="F232" s="64">
        <v>4.8451542938185828</v>
      </c>
      <c r="G232" s="64">
        <v>4.8463060938185825</v>
      </c>
      <c r="H232" s="64">
        <v>8.835516532365741</v>
      </c>
      <c r="I232" s="64">
        <v>8.8366683323657416</v>
      </c>
      <c r="J232" s="64">
        <v>4.8451542938185828</v>
      </c>
      <c r="K232" s="64">
        <v>4.8463060938185825</v>
      </c>
    </row>
    <row r="233" spans="1:11" ht="15">
      <c r="A233" s="13">
        <v>48731</v>
      </c>
      <c r="B233" s="63">
        <v>4.191929276603708</v>
      </c>
      <c r="C233" s="63">
        <v>4.191929276603708</v>
      </c>
      <c r="D233" s="63">
        <v>4.2090929966037081</v>
      </c>
      <c r="E233" s="64">
        <v>4.8325724091283444</v>
      </c>
      <c r="F233" s="64">
        <v>4.8325724091283444</v>
      </c>
      <c r="G233" s="64">
        <v>4.8337242091283441</v>
      </c>
      <c r="H233" s="64">
        <v>8.8539238584748379</v>
      </c>
      <c r="I233" s="64">
        <v>8.8550756584748385</v>
      </c>
      <c r="J233" s="64">
        <v>4.8325724091283444</v>
      </c>
      <c r="K233" s="64">
        <v>4.8337242091283441</v>
      </c>
    </row>
    <row r="234" spans="1:11" ht="15">
      <c r="A234" s="13">
        <v>48761</v>
      </c>
      <c r="B234" s="63">
        <v>4.271939161220514</v>
      </c>
      <c r="C234" s="63">
        <v>4.271939161220514</v>
      </c>
      <c r="D234" s="63">
        <v>4.2891028812205141</v>
      </c>
      <c r="E234" s="64">
        <v>4.94661320660654</v>
      </c>
      <c r="F234" s="64">
        <v>4.94661320660654</v>
      </c>
      <c r="G234" s="64">
        <v>4.9477650066065397</v>
      </c>
      <c r="H234" s="64">
        <v>8.8723695331799952</v>
      </c>
      <c r="I234" s="64">
        <v>8.8735213331799958</v>
      </c>
      <c r="J234" s="64">
        <v>4.94661320660654</v>
      </c>
      <c r="K234" s="64">
        <v>4.9477650066065397</v>
      </c>
    </row>
    <row r="235" spans="1:11" ht="15">
      <c r="A235" s="13">
        <v>48792</v>
      </c>
      <c r="B235" s="63">
        <v>4.2786266612205148</v>
      </c>
      <c r="C235" s="63">
        <v>4.2786266612205148</v>
      </c>
      <c r="D235" s="63">
        <v>4.2957903812205149</v>
      </c>
      <c r="E235" s="64">
        <v>4.9008167050781983</v>
      </c>
      <c r="F235" s="64">
        <v>4.9008167050781983</v>
      </c>
      <c r="G235" s="64">
        <v>4.901968505078198</v>
      </c>
      <c r="H235" s="64">
        <v>8.8908536363741213</v>
      </c>
      <c r="I235" s="64">
        <v>8.8920054363741219</v>
      </c>
      <c r="J235" s="64">
        <v>4.9008167050781983</v>
      </c>
      <c r="K235" s="64">
        <v>4.901968505078198</v>
      </c>
    </row>
    <row r="236" spans="1:11" ht="15">
      <c r="A236" s="13">
        <v>48823</v>
      </c>
      <c r="B236" s="63">
        <v>4.2755868884932422</v>
      </c>
      <c r="C236" s="63">
        <v>4.2755868884932422</v>
      </c>
      <c r="D236" s="63">
        <v>4.2927506084932423</v>
      </c>
      <c r="E236" s="64">
        <v>4.8930916700684568</v>
      </c>
      <c r="F236" s="64">
        <v>4.8930916700684577</v>
      </c>
      <c r="G236" s="64">
        <v>4.8942434700684574</v>
      </c>
      <c r="H236" s="64">
        <v>8.909376248116569</v>
      </c>
      <c r="I236" s="64">
        <v>8.9105280481165696</v>
      </c>
      <c r="J236" s="64">
        <v>4.8930916700684568</v>
      </c>
      <c r="K236" s="64">
        <v>4.8942434700684565</v>
      </c>
    </row>
    <row r="237" spans="1:11" ht="15">
      <c r="A237" s="13">
        <v>48853</v>
      </c>
      <c r="B237" s="63">
        <v>4.2717806492654864</v>
      </c>
      <c r="C237" s="63">
        <v>4.2717806492654864</v>
      </c>
      <c r="D237" s="63">
        <v>4.2803643692654862</v>
      </c>
      <c r="E237" s="64">
        <v>4.9020991547401893</v>
      </c>
      <c r="F237" s="64">
        <v>4.9020991547401902</v>
      </c>
      <c r="G237" s="64">
        <v>4.9022759547401904</v>
      </c>
      <c r="H237" s="64">
        <v>8.9279374486334788</v>
      </c>
      <c r="I237" s="64">
        <v>8.928114248633479</v>
      </c>
      <c r="J237" s="64">
        <v>4.9020991547401893</v>
      </c>
      <c r="K237" s="64">
        <v>4.9022759547401895</v>
      </c>
    </row>
    <row r="238" spans="1:11" ht="15">
      <c r="A238" s="13">
        <v>48884</v>
      </c>
      <c r="B238" s="63">
        <v>4.274820421992759</v>
      </c>
      <c r="C238" s="63">
        <v>4.274820421992759</v>
      </c>
      <c r="D238" s="63">
        <v>4.2834041419927589</v>
      </c>
      <c r="E238" s="64">
        <v>4.9154305806918739</v>
      </c>
      <c r="F238" s="64">
        <v>4.9154305806918739</v>
      </c>
      <c r="G238" s="64">
        <v>4.9156073806918741</v>
      </c>
      <c r="H238" s="64">
        <v>8.946537318318132</v>
      </c>
      <c r="I238" s="64">
        <v>8.9467141183181322</v>
      </c>
      <c r="J238" s="64">
        <v>4.9154305806918739</v>
      </c>
      <c r="K238" s="64">
        <v>4.9156073806918741</v>
      </c>
    </row>
    <row r="239" spans="1:11" ht="15">
      <c r="A239" s="13">
        <v>48914</v>
      </c>
      <c r="B239" s="63">
        <v>4.274820421992759</v>
      </c>
      <c r="C239" s="63">
        <v>4.274820421992759</v>
      </c>
      <c r="D239" s="63">
        <v>4.2834041419927589</v>
      </c>
      <c r="E239" s="64">
        <v>4.8873986259821551</v>
      </c>
      <c r="F239" s="64">
        <v>4.8873986259821551</v>
      </c>
      <c r="G239" s="64">
        <v>4.8875754259821553</v>
      </c>
      <c r="H239" s="64">
        <v>8.9651759377312956</v>
      </c>
      <c r="I239" s="64">
        <v>8.9653527377312958</v>
      </c>
      <c r="J239" s="64">
        <v>4.8873986259821551</v>
      </c>
      <c r="K239" s="64">
        <v>4.8875754259821553</v>
      </c>
    </row>
    <row r="240" spans="1:11" ht="15">
      <c r="A240" s="13">
        <v>48945</v>
      </c>
      <c r="B240" s="63">
        <v>4.3199684818612081</v>
      </c>
      <c r="C240" s="63">
        <v>4.3199684818612081</v>
      </c>
      <c r="D240" s="63">
        <v>4.3285522018612079</v>
      </c>
      <c r="E240" s="64">
        <v>4.9570213191577253</v>
      </c>
      <c r="F240" s="64">
        <v>4.9570213191577253</v>
      </c>
      <c r="G240" s="64">
        <v>4.9571981191577255</v>
      </c>
      <c r="H240" s="64">
        <v>8.9838533876015703</v>
      </c>
      <c r="I240" s="64">
        <v>8.9840301876015705</v>
      </c>
      <c r="J240" s="64">
        <v>4.9570213191577253</v>
      </c>
      <c r="K240" s="64">
        <v>4.9571981191577255</v>
      </c>
    </row>
    <row r="241" spans="1:11" ht="15">
      <c r="A241" s="13">
        <v>48976</v>
      </c>
      <c r="B241" s="63">
        <v>4.3169287091339354</v>
      </c>
      <c r="C241" s="63">
        <v>4.3169287091339354</v>
      </c>
      <c r="D241" s="63">
        <v>4.3255124291339353</v>
      </c>
      <c r="E241" s="64">
        <v>4.9005032689377694</v>
      </c>
      <c r="F241" s="64">
        <v>4.9005032689377694</v>
      </c>
      <c r="G241" s="64">
        <v>4.9006800689377696</v>
      </c>
      <c r="H241" s="64">
        <v>9.0025697488257403</v>
      </c>
      <c r="I241" s="64">
        <v>9.0027465488257405</v>
      </c>
      <c r="J241" s="64">
        <v>4.9005032689377694</v>
      </c>
      <c r="K241" s="64">
        <v>4.9006800689377696</v>
      </c>
    </row>
    <row r="242" spans="1:11" ht="15">
      <c r="A242" s="13">
        <v>49004</v>
      </c>
      <c r="B242" s="63">
        <v>4.3138889364066628</v>
      </c>
      <c r="C242" s="63">
        <v>4.3138889364066628</v>
      </c>
      <c r="D242" s="63">
        <v>4.3224726564066627</v>
      </c>
      <c r="E242" s="64">
        <v>4.9412698265079085</v>
      </c>
      <c r="F242" s="64">
        <v>4.9412698265079094</v>
      </c>
      <c r="G242" s="64">
        <v>4.9414466265079096</v>
      </c>
      <c r="H242" s="64">
        <v>9.0213251024691274</v>
      </c>
      <c r="I242" s="64">
        <v>9.0215019024691276</v>
      </c>
      <c r="J242" s="64">
        <v>4.9412698265079085</v>
      </c>
      <c r="K242" s="64">
        <v>4.9414466265079087</v>
      </c>
    </row>
    <row r="243" spans="1:11" ht="15">
      <c r="A243" s="13">
        <v>49035</v>
      </c>
      <c r="B243" s="63">
        <v>4.3118685062064541</v>
      </c>
      <c r="C243" s="63">
        <v>4.3118685062064541</v>
      </c>
      <c r="D243" s="63">
        <v>4.320452226206454</v>
      </c>
      <c r="E243" s="64">
        <v>4.9830893564292067</v>
      </c>
      <c r="F243" s="64">
        <v>4.9830893564292067</v>
      </c>
      <c r="G243" s="64">
        <v>4.9832661564292069</v>
      </c>
      <c r="H243" s="64">
        <v>9.0401195297659385</v>
      </c>
      <c r="I243" s="64">
        <v>9.0402963297659387</v>
      </c>
      <c r="J243" s="64">
        <v>4.9830893564292067</v>
      </c>
      <c r="K243" s="64">
        <v>4.9832661564292069</v>
      </c>
    </row>
    <row r="244" spans="1:11" ht="15">
      <c r="A244" s="13">
        <v>49065</v>
      </c>
      <c r="B244" s="63">
        <v>4.3118685062064541</v>
      </c>
      <c r="C244" s="63">
        <v>4.3118685062064541</v>
      </c>
      <c r="D244" s="63">
        <v>4.3290322262064542</v>
      </c>
      <c r="E244" s="64">
        <v>5.0003606632005413</v>
      </c>
      <c r="F244" s="64">
        <v>5.0003606632005413</v>
      </c>
      <c r="G244" s="64">
        <v>5.001512463200541</v>
      </c>
      <c r="H244" s="64">
        <v>9.0589531121196192</v>
      </c>
      <c r="I244" s="64">
        <v>9.0601049121196198</v>
      </c>
      <c r="J244" s="64">
        <v>5.0003606632005413</v>
      </c>
      <c r="K244" s="64">
        <v>5.001512463200541</v>
      </c>
    </row>
    <row r="245" spans="1:11" ht="15">
      <c r="A245" s="13">
        <v>49096</v>
      </c>
      <c r="B245" s="63">
        <v>4.3179480516610012</v>
      </c>
      <c r="C245" s="63">
        <v>4.3179480516610012</v>
      </c>
      <c r="D245" s="63">
        <v>4.3351117716610013</v>
      </c>
      <c r="E245" s="64">
        <v>4.9873266445647992</v>
      </c>
      <c r="F245" s="64">
        <v>4.9873266445647992</v>
      </c>
      <c r="G245" s="64">
        <v>4.9884784445647989</v>
      </c>
      <c r="H245" s="64">
        <v>9.0778259311032024</v>
      </c>
      <c r="I245" s="64">
        <v>9.0789777311032029</v>
      </c>
      <c r="J245" s="64">
        <v>4.9873266445647992</v>
      </c>
      <c r="K245" s="64">
        <v>4.9884784445647989</v>
      </c>
    </row>
    <row r="246" spans="1:11" ht="15">
      <c r="A246" s="13">
        <v>49126</v>
      </c>
      <c r="B246" s="63">
        <v>4.4051358067459736</v>
      </c>
      <c r="C246" s="63">
        <v>4.4051358067459736</v>
      </c>
      <c r="D246" s="63">
        <v>4.4222995267459737</v>
      </c>
      <c r="E246" s="64">
        <v>5.1009215235355754</v>
      </c>
      <c r="F246" s="64">
        <v>5.1009215235355754</v>
      </c>
      <c r="G246" s="64">
        <v>5.1020733235355751</v>
      </c>
      <c r="H246" s="64">
        <v>9.0967380684596684</v>
      </c>
      <c r="I246" s="64">
        <v>9.097889868459669</v>
      </c>
      <c r="J246" s="64">
        <v>5.1009215235355754</v>
      </c>
      <c r="K246" s="64">
        <v>5.1020733235355751</v>
      </c>
    </row>
    <row r="247" spans="1:11" ht="15">
      <c r="A247" s="13">
        <v>49157</v>
      </c>
      <c r="B247" s="63">
        <v>4.4118233067459736</v>
      </c>
      <c r="C247" s="63">
        <v>4.4118233067459736</v>
      </c>
      <c r="D247" s="63">
        <v>4.4289870267459737</v>
      </c>
      <c r="E247" s="64">
        <v>5.053768620170727</v>
      </c>
      <c r="F247" s="64">
        <v>5.0537686201707261</v>
      </c>
      <c r="G247" s="64">
        <v>5.0549204201707258</v>
      </c>
      <c r="H247" s="64">
        <v>9.1156896061022934</v>
      </c>
      <c r="I247" s="64">
        <v>9.116841406102294</v>
      </c>
      <c r="J247" s="64">
        <v>5.053768620170727</v>
      </c>
      <c r="K247" s="64">
        <v>5.0549204201707267</v>
      </c>
    </row>
    <row r="248" spans="1:11" ht="15">
      <c r="A248" s="13">
        <v>49188</v>
      </c>
      <c r="B248" s="63">
        <v>4.4087835340187</v>
      </c>
      <c r="C248" s="63">
        <v>4.4087835340187</v>
      </c>
      <c r="D248" s="63">
        <v>4.4259472540187001</v>
      </c>
      <c r="E248" s="64">
        <v>5.0458928738458182</v>
      </c>
      <c r="F248" s="64">
        <v>5.0458928738458182</v>
      </c>
      <c r="G248" s="64">
        <v>5.0470446738458179</v>
      </c>
      <c r="H248" s="64">
        <v>9.1346806261150082</v>
      </c>
      <c r="I248" s="64">
        <v>9.1358324261150088</v>
      </c>
      <c r="J248" s="64">
        <v>5.0458928738458182</v>
      </c>
      <c r="K248" s="64">
        <v>5.0470446738458179</v>
      </c>
    </row>
    <row r="249" spans="1:11" ht="15">
      <c r="A249" s="13">
        <v>49218</v>
      </c>
      <c r="B249" s="63">
        <v>4.4053888998366872</v>
      </c>
      <c r="C249" s="63">
        <v>4.4053888998366872</v>
      </c>
      <c r="D249" s="63">
        <v>4.4139726198366871</v>
      </c>
      <c r="E249" s="64">
        <v>5.0555032037782173</v>
      </c>
      <c r="F249" s="64">
        <v>5.0555032037782173</v>
      </c>
      <c r="G249" s="64">
        <v>5.0556800037782175</v>
      </c>
      <c r="H249" s="64">
        <v>9.1537112107527481</v>
      </c>
      <c r="I249" s="64">
        <v>9.1538880107527483</v>
      </c>
      <c r="J249" s="64">
        <v>5.0555032037782173</v>
      </c>
      <c r="K249" s="64">
        <v>5.0556800037782175</v>
      </c>
    </row>
    <row r="250" spans="1:11" ht="15">
      <c r="A250" s="13">
        <v>49249</v>
      </c>
      <c r="B250" s="63">
        <v>4.4084286725639599</v>
      </c>
      <c r="C250" s="63">
        <v>4.4084286725639599</v>
      </c>
      <c r="D250" s="63">
        <v>4.4170123925639597</v>
      </c>
      <c r="E250" s="64">
        <v>5.0691360523602365</v>
      </c>
      <c r="F250" s="64">
        <v>5.0691360523602365</v>
      </c>
      <c r="G250" s="64">
        <v>5.0693128523602367</v>
      </c>
      <c r="H250" s="64">
        <v>9.172781442441817</v>
      </c>
      <c r="I250" s="64">
        <v>9.1729582424418172</v>
      </c>
      <c r="J250" s="64">
        <v>5.0691360523602365</v>
      </c>
      <c r="K250" s="64">
        <v>5.0693128523602367</v>
      </c>
    </row>
    <row r="251" spans="1:11" ht="15">
      <c r="A251" s="13">
        <v>49279</v>
      </c>
      <c r="B251" s="63">
        <v>4.4084286725639599</v>
      </c>
      <c r="C251" s="63">
        <v>4.4084286725639599</v>
      </c>
      <c r="D251" s="63">
        <v>4.4170123925639597</v>
      </c>
      <c r="E251" s="64">
        <v>5.0403505410746803</v>
      </c>
      <c r="F251" s="64">
        <v>5.0403505410746803</v>
      </c>
      <c r="G251" s="64">
        <v>5.0405273410746805</v>
      </c>
      <c r="H251" s="64">
        <v>9.1918914037802377</v>
      </c>
      <c r="I251" s="64">
        <v>9.1920682037802379</v>
      </c>
      <c r="J251" s="64">
        <v>5.0403505410746803</v>
      </c>
      <c r="K251" s="64">
        <v>5.0405273410746805</v>
      </c>
    </row>
    <row r="252" spans="1:11" ht="15">
      <c r="A252" s="13">
        <v>49310</v>
      </c>
      <c r="B252" s="63">
        <v>4.4493157230011882</v>
      </c>
      <c r="C252" s="63">
        <v>4.4493157230011882</v>
      </c>
      <c r="D252" s="63">
        <v>4.457899443001188</v>
      </c>
      <c r="E252" s="64">
        <v>5.1041584564877738</v>
      </c>
      <c r="F252" s="64">
        <v>5.1041584564877747</v>
      </c>
      <c r="G252" s="64">
        <v>5.1043352564877749</v>
      </c>
      <c r="H252" s="64">
        <v>9.2110411775381138</v>
      </c>
      <c r="I252" s="64">
        <v>9.211217977538114</v>
      </c>
      <c r="J252" s="64">
        <v>5.1041584564877738</v>
      </c>
      <c r="K252" s="64">
        <v>5.104335256487774</v>
      </c>
    </row>
    <row r="253" spans="1:11" ht="15">
      <c r="A253" s="13">
        <v>49341</v>
      </c>
      <c r="B253" s="63">
        <v>4.4462759502739155</v>
      </c>
      <c r="C253" s="63">
        <v>4.4462759502739155</v>
      </c>
      <c r="D253" s="63">
        <v>4.4548596702739154</v>
      </c>
      <c r="E253" s="64">
        <v>5.0461860513230041</v>
      </c>
      <c r="F253" s="64">
        <v>5.0461860513230041</v>
      </c>
      <c r="G253" s="64">
        <v>5.0463628513230043</v>
      </c>
      <c r="H253" s="64">
        <v>9.2302308466579852</v>
      </c>
      <c r="I253" s="64">
        <v>9.2304076466579854</v>
      </c>
      <c r="J253" s="64">
        <v>5.0461860513230041</v>
      </c>
      <c r="K253" s="64">
        <v>5.0463628513230043</v>
      </c>
    </row>
    <row r="254" spans="1:11" ht="15">
      <c r="A254" s="13">
        <v>49369</v>
      </c>
      <c r="B254" s="63">
        <v>4.443236177546642</v>
      </c>
      <c r="C254" s="63">
        <v>4.443236177546642</v>
      </c>
      <c r="D254" s="63">
        <v>4.4518198975466419</v>
      </c>
      <c r="E254" s="64">
        <v>5.0880991343696733</v>
      </c>
      <c r="F254" s="64">
        <v>5.0880991343696733</v>
      </c>
      <c r="G254" s="64">
        <v>5.0882759343696735</v>
      </c>
      <c r="H254" s="64">
        <v>9.2494604942551906</v>
      </c>
      <c r="I254" s="64">
        <v>9.2496372942551908</v>
      </c>
      <c r="J254" s="64">
        <v>5.0880991343696733</v>
      </c>
      <c r="K254" s="64">
        <v>5.0882759343696735</v>
      </c>
    </row>
    <row r="255" spans="1:11" ht="15">
      <c r="A255" s="13">
        <v>49400</v>
      </c>
      <c r="B255" s="63">
        <v>4.4413232182729638</v>
      </c>
      <c r="C255" s="63">
        <v>4.4413232182729638</v>
      </c>
      <c r="D255" s="63">
        <v>4.4499069382729637</v>
      </c>
      <c r="E255" s="64">
        <v>5.1311499821641133</v>
      </c>
      <c r="F255" s="64">
        <v>5.1311499821641133</v>
      </c>
      <c r="G255" s="64">
        <v>5.1313267821641135</v>
      </c>
      <c r="H255" s="64">
        <v>9.2687302036182224</v>
      </c>
      <c r="I255" s="64">
        <v>9.2689070036182226</v>
      </c>
      <c r="J255" s="64">
        <v>5.1311499821641133</v>
      </c>
      <c r="K255" s="64">
        <v>5.1313267821641135</v>
      </c>
    </row>
    <row r="256" spans="1:11" ht="15">
      <c r="A256" s="13">
        <v>49430</v>
      </c>
      <c r="B256" s="63">
        <v>4.4413232182729638</v>
      </c>
      <c r="C256" s="63">
        <v>4.4413232182729638</v>
      </c>
      <c r="D256" s="63">
        <v>4.4584869382729639</v>
      </c>
      <c r="E256" s="64">
        <v>5.1488830331378752</v>
      </c>
      <c r="F256" s="64">
        <v>5.1488830331378752</v>
      </c>
      <c r="G256" s="64">
        <v>5.1500348331378749</v>
      </c>
      <c r="H256" s="64">
        <v>9.288040058209095</v>
      </c>
      <c r="I256" s="64">
        <v>9.2891918582090955</v>
      </c>
      <c r="J256" s="64">
        <v>5.1488830331378752</v>
      </c>
      <c r="K256" s="64">
        <v>5.1500348331378749</v>
      </c>
    </row>
    <row r="257" spans="1:11" ht="15">
      <c r="A257" s="13">
        <v>49461</v>
      </c>
      <c r="B257" s="63">
        <v>4.4474027637275091</v>
      </c>
      <c r="C257" s="63">
        <v>4.4474027637275091</v>
      </c>
      <c r="D257" s="63">
        <v>4.4645664837275092</v>
      </c>
      <c r="E257" s="64">
        <v>5.1353872702997059</v>
      </c>
      <c r="F257" s="64">
        <v>5.1353872702997059</v>
      </c>
      <c r="G257" s="64">
        <v>5.1365390702997056</v>
      </c>
      <c r="H257" s="64">
        <v>9.3073901416636975</v>
      </c>
      <c r="I257" s="64">
        <v>9.3085419416636981</v>
      </c>
      <c r="J257" s="64">
        <v>5.1353872702997059</v>
      </c>
      <c r="K257" s="64">
        <v>5.1365390702997056</v>
      </c>
    </row>
    <row r="258" spans="1:11" ht="15">
      <c r="A258" s="13">
        <v>49491</v>
      </c>
      <c r="B258" s="63">
        <v>4.523742641272948</v>
      </c>
      <c r="C258" s="63">
        <v>4.523742641272948</v>
      </c>
      <c r="D258" s="63">
        <v>4.5409063612729481</v>
      </c>
      <c r="E258" s="64">
        <v>5.2334101245412796</v>
      </c>
      <c r="F258" s="64">
        <v>5.2334101245412796</v>
      </c>
      <c r="G258" s="64">
        <v>5.2345619245412793</v>
      </c>
      <c r="H258" s="64">
        <v>9.326780537792164</v>
      </c>
      <c r="I258" s="64">
        <v>9.3279323377921646</v>
      </c>
      <c r="J258" s="64">
        <v>5.2334101245412796</v>
      </c>
      <c r="K258" s="64">
        <v>5.2345619245412793</v>
      </c>
    </row>
    <row r="259" spans="1:11" ht="15">
      <c r="A259" s="13">
        <v>49522</v>
      </c>
      <c r="B259" s="63">
        <v>4.530430141272948</v>
      </c>
      <c r="C259" s="63">
        <v>4.530430141272948</v>
      </c>
      <c r="D259" s="63">
        <v>4.5475938612729481</v>
      </c>
      <c r="E259" s="64">
        <v>5.1848719885691459</v>
      </c>
      <c r="F259" s="64">
        <v>5.1848719885691459</v>
      </c>
      <c r="G259" s="64">
        <v>5.1860237885691456</v>
      </c>
      <c r="H259" s="64">
        <v>9.3462113305792318</v>
      </c>
      <c r="I259" s="64">
        <v>9.3473631305792324</v>
      </c>
      <c r="J259" s="64">
        <v>5.1848719885691459</v>
      </c>
      <c r="K259" s="64">
        <v>5.1860237885691456</v>
      </c>
    </row>
    <row r="260" spans="1:11" ht="15">
      <c r="A260" s="13">
        <v>49553</v>
      </c>
      <c r="B260" s="63">
        <v>4.5273903685456753</v>
      </c>
      <c r="C260" s="63">
        <v>4.5273903685456753</v>
      </c>
      <c r="D260" s="63">
        <v>4.5445540885456754</v>
      </c>
      <c r="E260" s="64">
        <v>5.1768423275100952</v>
      </c>
      <c r="F260" s="64">
        <v>5.1768423275100952</v>
      </c>
      <c r="G260" s="64">
        <v>5.1779941275100949</v>
      </c>
      <c r="H260" s="64">
        <v>9.365682604184606</v>
      </c>
      <c r="I260" s="64">
        <v>9.3668344041846066</v>
      </c>
      <c r="J260" s="64">
        <v>5.1768423275100952</v>
      </c>
      <c r="K260" s="64">
        <v>5.1779941275100949</v>
      </c>
    </row>
    <row r="261" spans="1:11" ht="15">
      <c r="A261" s="13">
        <v>49583</v>
      </c>
      <c r="B261" s="63">
        <v>4.5244102467218861</v>
      </c>
      <c r="C261" s="63">
        <v>4.5244102467218861</v>
      </c>
      <c r="D261" s="63">
        <v>4.5329939667218859</v>
      </c>
      <c r="E261" s="64">
        <v>5.187068316379067</v>
      </c>
      <c r="F261" s="64">
        <v>5.187068316379067</v>
      </c>
      <c r="G261" s="64">
        <v>5.1872451163790672</v>
      </c>
      <c r="H261" s="64">
        <v>9.3851944429433249</v>
      </c>
      <c r="I261" s="64">
        <v>9.3853712429433251</v>
      </c>
      <c r="J261" s="64">
        <v>5.187068316379067</v>
      </c>
      <c r="K261" s="64">
        <v>5.1872451163790672</v>
      </c>
    </row>
    <row r="262" spans="1:11" ht="15">
      <c r="A262" s="13">
        <v>49614</v>
      </c>
      <c r="B262" s="63">
        <v>4.5274500194491587</v>
      </c>
      <c r="C262" s="63">
        <v>4.5274500194491587</v>
      </c>
      <c r="D262" s="63">
        <v>4.5360337394491586</v>
      </c>
      <c r="E262" s="64">
        <v>5.2010089944293689</v>
      </c>
      <c r="F262" s="64">
        <v>5.2010089944293698</v>
      </c>
      <c r="G262" s="64">
        <v>5.20118579442937</v>
      </c>
      <c r="H262" s="64">
        <v>9.4047469313661249</v>
      </c>
      <c r="I262" s="64">
        <v>9.4049237313661251</v>
      </c>
      <c r="J262" s="64">
        <v>5.2010089944293689</v>
      </c>
      <c r="K262" s="64">
        <v>5.2011857944293691</v>
      </c>
    </row>
    <row r="263" spans="1:11" ht="15">
      <c r="A263" s="13">
        <v>49644</v>
      </c>
      <c r="B263" s="63">
        <v>4.5274500194491587</v>
      </c>
      <c r="C263" s="63">
        <v>4.5274500194491587</v>
      </c>
      <c r="D263" s="63">
        <v>4.5360337394491586</v>
      </c>
      <c r="E263" s="64">
        <v>5.1714539094731</v>
      </c>
      <c r="F263" s="64">
        <v>5.1714539094731</v>
      </c>
      <c r="G263" s="64">
        <v>5.1716307094731002</v>
      </c>
      <c r="H263" s="64">
        <v>9.4243401541398057</v>
      </c>
      <c r="I263" s="64">
        <v>9.4245169541398059</v>
      </c>
      <c r="J263" s="64">
        <v>5.1714539094731</v>
      </c>
      <c r="K263" s="64">
        <v>5.1716307094731002</v>
      </c>
    </row>
    <row r="264" spans="1:11" ht="15">
      <c r="A264" s="13">
        <v>49675</v>
      </c>
      <c r="B264" s="63">
        <v>4.5703795048018936</v>
      </c>
      <c r="C264" s="63">
        <v>4.5703795048018936</v>
      </c>
      <c r="D264" s="63">
        <v>4.5789632248018934</v>
      </c>
      <c r="E264" s="64">
        <v>5.241351301996314</v>
      </c>
      <c r="F264" s="64">
        <v>5.241351301996314</v>
      </c>
      <c r="G264" s="64">
        <v>5.2415281019963142</v>
      </c>
      <c r="H264" s="64">
        <v>9.4439741961275985</v>
      </c>
      <c r="I264" s="64">
        <v>9.4441509961275987</v>
      </c>
      <c r="J264" s="64">
        <v>5.241351301996314</v>
      </c>
      <c r="K264" s="64">
        <v>5.2415281019963142</v>
      </c>
    </row>
    <row r="265" spans="1:11" ht="15">
      <c r="A265" s="13">
        <v>49706</v>
      </c>
      <c r="B265" s="63">
        <v>4.5673397320746201</v>
      </c>
      <c r="C265" s="63">
        <v>4.5673397320746201</v>
      </c>
      <c r="D265" s="63">
        <v>4.5759234520746199</v>
      </c>
      <c r="E265" s="64">
        <v>5.1818598618777036</v>
      </c>
      <c r="F265" s="64">
        <v>5.1818598618777036</v>
      </c>
      <c r="G265" s="64">
        <v>5.1820366618777038</v>
      </c>
      <c r="H265" s="64">
        <v>9.4636491423695315</v>
      </c>
      <c r="I265" s="64">
        <v>9.4638259423695317</v>
      </c>
      <c r="J265" s="64">
        <v>5.1818598618777036</v>
      </c>
      <c r="K265" s="64">
        <v>5.1820366618777038</v>
      </c>
    </row>
    <row r="266" spans="1:11" ht="15">
      <c r="A266" s="13">
        <v>49735</v>
      </c>
      <c r="B266" s="63">
        <v>4.5642999593473474</v>
      </c>
      <c r="C266" s="63">
        <v>4.5642999593473474</v>
      </c>
      <c r="D266" s="63">
        <v>4.5728836793473473</v>
      </c>
      <c r="E266" s="64">
        <v>5.2249704602080556</v>
      </c>
      <c r="F266" s="64">
        <v>5.2249704602080556</v>
      </c>
      <c r="G266" s="64">
        <v>5.2251472602080558</v>
      </c>
      <c r="H266" s="64">
        <v>9.4833650780828016</v>
      </c>
      <c r="I266" s="64">
        <v>9.4835418780828018</v>
      </c>
      <c r="J266" s="64">
        <v>5.2249704602080556</v>
      </c>
      <c r="K266" s="64">
        <v>5.2251472602080558</v>
      </c>
    </row>
    <row r="267" spans="1:11" ht="15">
      <c r="A267" s="13">
        <v>49766</v>
      </c>
      <c r="B267" s="63">
        <v>4.5624960447619891</v>
      </c>
      <c r="C267" s="63">
        <v>4.5624960447619891</v>
      </c>
      <c r="D267" s="63">
        <v>4.571079764761989</v>
      </c>
      <c r="E267" s="64">
        <v>5.2693073866831215</v>
      </c>
      <c r="F267" s="64">
        <v>5.2693073866831215</v>
      </c>
      <c r="G267" s="64">
        <v>5.2694841866831217</v>
      </c>
      <c r="H267" s="64">
        <v>9.5031220886621419</v>
      </c>
      <c r="I267" s="64">
        <v>9.5032988886621421</v>
      </c>
      <c r="J267" s="64">
        <v>5.2693073866831215</v>
      </c>
      <c r="K267" s="64">
        <v>5.2694841866831217</v>
      </c>
    </row>
    <row r="268" spans="1:11" ht="15">
      <c r="A268" s="13">
        <v>49796</v>
      </c>
      <c r="B268" s="63">
        <v>4.5624960447619891</v>
      </c>
      <c r="C268" s="63">
        <v>4.5624960447619891</v>
      </c>
      <c r="D268" s="63">
        <v>4.5796597647619892</v>
      </c>
      <c r="E268" s="64">
        <v>5.2875227171621191</v>
      </c>
      <c r="F268" s="64">
        <v>5.2875227171621191</v>
      </c>
      <c r="G268" s="64">
        <v>5.2886745171621188</v>
      </c>
      <c r="H268" s="64">
        <v>9.5229202596801894</v>
      </c>
      <c r="I268" s="64">
        <v>9.52407205968019</v>
      </c>
      <c r="J268" s="64">
        <v>5.2875227171621191</v>
      </c>
      <c r="K268" s="64">
        <v>5.2886745171621188</v>
      </c>
    </row>
    <row r="269" spans="1:11" ht="15">
      <c r="A269" s="13">
        <v>49827</v>
      </c>
      <c r="B269" s="63">
        <v>4.5685755902165344</v>
      </c>
      <c r="C269" s="63">
        <v>4.5685755902165344</v>
      </c>
      <c r="D269" s="63">
        <v>4.5857393102165345</v>
      </c>
      <c r="E269" s="64">
        <v>5.273544674818714</v>
      </c>
      <c r="F269" s="64">
        <v>5.273544674818714</v>
      </c>
      <c r="G269" s="64">
        <v>5.2746964748187137</v>
      </c>
      <c r="H269" s="64">
        <v>9.542759676887858</v>
      </c>
      <c r="I269" s="64">
        <v>9.5439114768878586</v>
      </c>
      <c r="J269" s="64">
        <v>5.273544674818714</v>
      </c>
      <c r="K269" s="64">
        <v>5.2746964748187137</v>
      </c>
    </row>
    <row r="270" spans="1:11" ht="15">
      <c r="A270" s="13">
        <v>49857</v>
      </c>
      <c r="B270" s="63">
        <v>4.649188521873266</v>
      </c>
      <c r="C270" s="63">
        <v>4.649188521873266</v>
      </c>
      <c r="D270" s="63">
        <v>4.6663522418732661</v>
      </c>
      <c r="E270" s="64">
        <v>5.3842046909267802</v>
      </c>
      <c r="F270" s="64">
        <v>5.3842046909267802</v>
      </c>
      <c r="G270" s="64">
        <v>5.3853564909267799</v>
      </c>
      <c r="H270" s="64">
        <v>9.562640426214708</v>
      </c>
      <c r="I270" s="64">
        <v>9.5637922262147086</v>
      </c>
      <c r="J270" s="64">
        <v>5.3842046909267802</v>
      </c>
      <c r="K270" s="64">
        <v>5.3853564909267799</v>
      </c>
    </row>
    <row r="271" spans="1:11" ht="15">
      <c r="A271" s="13">
        <v>49888</v>
      </c>
      <c r="B271" s="63">
        <v>4.6558760218732651</v>
      </c>
      <c r="C271" s="63">
        <v>4.6558760218732651</v>
      </c>
      <c r="D271" s="63">
        <v>4.6730397418732652</v>
      </c>
      <c r="E271" s="64">
        <v>5.3342197164389411</v>
      </c>
      <c r="F271" s="64">
        <v>5.3342197164389411</v>
      </c>
      <c r="G271" s="64">
        <v>5.3353715164389408</v>
      </c>
      <c r="H271" s="64">
        <v>9.5825625937693228</v>
      </c>
      <c r="I271" s="64">
        <v>9.5837143937693234</v>
      </c>
      <c r="J271" s="64">
        <v>5.3342197164389411</v>
      </c>
      <c r="K271" s="64">
        <v>5.3353715164389408</v>
      </c>
    </row>
    <row r="272" spans="1:11" ht="15">
      <c r="A272" s="13">
        <v>49919</v>
      </c>
      <c r="B272" s="63">
        <v>4.6528362491459925</v>
      </c>
      <c r="C272" s="63">
        <v>4.6528362491459925</v>
      </c>
      <c r="D272" s="63">
        <v>4.6699999691459926</v>
      </c>
      <c r="E272" s="64">
        <v>5.3260292955448127</v>
      </c>
      <c r="F272" s="64">
        <v>5.3260292955448127</v>
      </c>
      <c r="G272" s="64">
        <v>5.3271810955448125</v>
      </c>
      <c r="H272" s="64">
        <v>9.6025262658396766</v>
      </c>
      <c r="I272" s="64">
        <v>9.6036780658396772</v>
      </c>
      <c r="J272" s="64">
        <v>5.3260292955448127</v>
      </c>
      <c r="K272" s="64">
        <v>5.3271810955448125</v>
      </c>
    </row>
    <row r="273" spans="1:11" ht="15">
      <c r="A273" s="13">
        <v>49949</v>
      </c>
      <c r="B273" s="63">
        <v>4.6502829653743998</v>
      </c>
      <c r="C273" s="63">
        <v>4.6502829653743998</v>
      </c>
      <c r="D273" s="63">
        <v>4.6588666853743996</v>
      </c>
      <c r="E273" s="64">
        <v>5.3368983237540961</v>
      </c>
      <c r="F273" s="64">
        <v>5.3368983237540961</v>
      </c>
      <c r="G273" s="64">
        <v>5.3370751237540963</v>
      </c>
      <c r="H273" s="64">
        <v>9.6225315288935107</v>
      </c>
      <c r="I273" s="64">
        <v>9.6227083288935109</v>
      </c>
      <c r="J273" s="64">
        <v>5.3368983237540961</v>
      </c>
      <c r="K273" s="64">
        <v>5.3370751237540963</v>
      </c>
    </row>
    <row r="274" spans="1:11" ht="15">
      <c r="A274" s="13">
        <v>49980</v>
      </c>
      <c r="B274" s="63">
        <v>4.6533227381016733</v>
      </c>
      <c r="C274" s="63">
        <v>4.6533227381016733</v>
      </c>
      <c r="D274" s="63">
        <v>4.6619064581016731</v>
      </c>
      <c r="E274" s="64">
        <v>5.3511605214745588</v>
      </c>
      <c r="F274" s="64">
        <v>5.3511605214745588</v>
      </c>
      <c r="G274" s="64">
        <v>5.351337321474559</v>
      </c>
      <c r="H274" s="64">
        <v>9.6425784695787069</v>
      </c>
      <c r="I274" s="64">
        <v>9.6427552695787071</v>
      </c>
      <c r="J274" s="64">
        <v>5.3511605214745588</v>
      </c>
      <c r="K274" s="64">
        <v>5.351337321474559</v>
      </c>
    </row>
    <row r="275" spans="1:11" ht="15">
      <c r="A275" s="13">
        <v>50010</v>
      </c>
      <c r="B275" s="63">
        <v>4.6533227381016733</v>
      </c>
      <c r="C275" s="63">
        <v>4.6533227381016733</v>
      </c>
      <c r="D275" s="63">
        <v>4.6619064581016731</v>
      </c>
      <c r="E275" s="64">
        <v>5.3208016373428961</v>
      </c>
      <c r="F275" s="64">
        <v>5.3208016373428961</v>
      </c>
      <c r="G275" s="64">
        <v>5.3209784373428963</v>
      </c>
      <c r="H275" s="64">
        <v>9.6626671747236639</v>
      </c>
      <c r="I275" s="64">
        <v>9.6628439747236641</v>
      </c>
      <c r="J275" s="64">
        <v>5.3208016373428961</v>
      </c>
      <c r="K275" s="64">
        <v>5.3209784373428963</v>
      </c>
    </row>
    <row r="276" spans="1:11" ht="15">
      <c r="A276" s="13">
        <v>50041</v>
      </c>
      <c r="B276" s="63">
        <v>4.6966073420732126</v>
      </c>
      <c r="C276" s="63">
        <v>4.6966073420732126</v>
      </c>
      <c r="D276" s="63">
        <v>4.7051910620732125</v>
      </c>
      <c r="E276" s="64">
        <v>5.3901216316975322</v>
      </c>
      <c r="F276" s="64">
        <v>5.3901216316975322</v>
      </c>
      <c r="G276" s="64">
        <v>5.3902984316975324</v>
      </c>
      <c r="H276" s="64">
        <v>9.6827977313376721</v>
      </c>
      <c r="I276" s="64">
        <v>9.6829745313376723</v>
      </c>
      <c r="J276" s="64">
        <v>5.3901216316975322</v>
      </c>
      <c r="K276" s="64">
        <v>5.3902984316975324</v>
      </c>
    </row>
    <row r="277" spans="1:11" ht="15">
      <c r="A277" s="13">
        <v>50072</v>
      </c>
      <c r="B277" s="63">
        <v>4.6935675693459391</v>
      </c>
      <c r="C277" s="63">
        <v>4.6935675693459391</v>
      </c>
      <c r="D277" s="63">
        <v>4.702151289345939</v>
      </c>
      <c r="E277" s="64">
        <v>5.3290826611049331</v>
      </c>
      <c r="F277" s="64">
        <v>5.3290826611049331</v>
      </c>
      <c r="G277" s="64">
        <v>5.3292594611049333</v>
      </c>
      <c r="H277" s="64">
        <v>9.7029702266112938</v>
      </c>
      <c r="I277" s="64">
        <v>9.703147026611294</v>
      </c>
      <c r="J277" s="64">
        <v>5.3290826611049331</v>
      </c>
      <c r="K277" s="64">
        <v>5.3292594611049333</v>
      </c>
    </row>
    <row r="278" spans="1:11" ht="15">
      <c r="A278" s="13">
        <v>50100</v>
      </c>
      <c r="B278" s="63">
        <v>4.6905277966186674</v>
      </c>
      <c r="C278" s="63">
        <v>4.6905277966186674</v>
      </c>
      <c r="D278" s="63">
        <v>4.6991115166186672</v>
      </c>
      <c r="E278" s="64">
        <v>5.3734132388635949</v>
      </c>
      <c r="F278" s="64">
        <v>5.3734132388635949</v>
      </c>
      <c r="G278" s="64">
        <v>5.3735900388635951</v>
      </c>
      <c r="H278" s="64">
        <v>9.7231847479167346</v>
      </c>
      <c r="I278" s="64">
        <v>9.7233615479167348</v>
      </c>
      <c r="J278" s="64">
        <v>5.3734132388635949</v>
      </c>
      <c r="K278" s="64">
        <v>5.3735900388635951</v>
      </c>
    </row>
    <row r="279" spans="1:11" ht="15">
      <c r="A279" s="13">
        <v>50131</v>
      </c>
      <c r="B279" s="63">
        <v>4.6888357914707068</v>
      </c>
      <c r="C279" s="63">
        <v>4.6888357914707068</v>
      </c>
      <c r="D279" s="63">
        <v>4.6974195114707067</v>
      </c>
      <c r="E279" s="64">
        <v>5.4190603695213806</v>
      </c>
      <c r="F279" s="64">
        <v>5.4190603695213806</v>
      </c>
      <c r="G279" s="64">
        <v>5.4192371695213808</v>
      </c>
      <c r="H279" s="64">
        <v>9.7434413828082285</v>
      </c>
      <c r="I279" s="64">
        <v>9.7436181828082287</v>
      </c>
      <c r="J279" s="64">
        <v>5.4190603695213806</v>
      </c>
      <c r="K279" s="64">
        <v>5.4192371695213808</v>
      </c>
    </row>
    <row r="280" spans="1:11" ht="15">
      <c r="A280" s="13">
        <v>50161</v>
      </c>
      <c r="B280" s="63">
        <v>4.6888357914707068</v>
      </c>
      <c r="C280" s="63">
        <v>4.6888357914707068</v>
      </c>
      <c r="D280" s="63">
        <v>4.7059995114707069</v>
      </c>
      <c r="E280" s="64">
        <v>5.4377670265688982</v>
      </c>
      <c r="F280" s="64">
        <v>5.4377670265688982</v>
      </c>
      <c r="G280" s="64">
        <v>5.4389188265688979</v>
      </c>
      <c r="H280" s="64">
        <v>9.763740219022413</v>
      </c>
      <c r="I280" s="64">
        <v>9.7648920190224135</v>
      </c>
      <c r="J280" s="64">
        <v>5.4377670265688982</v>
      </c>
      <c r="K280" s="64">
        <v>5.4389188265688979</v>
      </c>
    </row>
    <row r="281" spans="1:11" ht="15">
      <c r="A281" s="13">
        <v>50192</v>
      </c>
      <c r="B281" s="63">
        <v>4.6949153369252521</v>
      </c>
      <c r="C281" s="63">
        <v>4.6949153369252521</v>
      </c>
      <c r="D281" s="63">
        <v>4.7120790569252522</v>
      </c>
      <c r="E281" s="64">
        <v>5.423297657656974</v>
      </c>
      <c r="F281" s="64">
        <v>5.423297657656974</v>
      </c>
      <c r="G281" s="64">
        <v>5.4244494576569737</v>
      </c>
      <c r="H281" s="64">
        <v>9.7840813444787109</v>
      </c>
      <c r="I281" s="64">
        <v>9.7852331444787115</v>
      </c>
      <c r="J281" s="64">
        <v>5.423297657656974</v>
      </c>
      <c r="K281" s="64">
        <v>5.4244494576569737</v>
      </c>
    </row>
    <row r="282" spans="1:11" ht="15">
      <c r="A282" s="13">
        <v>50222</v>
      </c>
      <c r="B282" s="63">
        <v>4.7757872622035089</v>
      </c>
      <c r="C282" s="63">
        <v>4.7757872622035089</v>
      </c>
      <c r="D282" s="63">
        <v>4.792950982203509</v>
      </c>
      <c r="E282" s="64">
        <v>5.5311942981326512</v>
      </c>
      <c r="F282" s="64">
        <v>5.5311942981326521</v>
      </c>
      <c r="G282" s="64">
        <v>5.5323460981326518</v>
      </c>
      <c r="H282" s="64">
        <v>9.8044648472797089</v>
      </c>
      <c r="I282" s="64">
        <v>9.8056166472797095</v>
      </c>
      <c r="J282" s="64">
        <v>5.5311942981326512</v>
      </c>
      <c r="K282" s="64">
        <v>5.5323460981326509</v>
      </c>
    </row>
    <row r="283" spans="1:11" ht="15">
      <c r="A283" s="13">
        <v>50253</v>
      </c>
      <c r="B283" s="63">
        <v>4.7824747622035098</v>
      </c>
      <c r="C283" s="63">
        <v>4.7824747622035098</v>
      </c>
      <c r="D283" s="63">
        <v>4.7996384822035099</v>
      </c>
      <c r="E283" s="64">
        <v>5.4797353439392529</v>
      </c>
      <c r="F283" s="64">
        <v>5.4797353439392529</v>
      </c>
      <c r="G283" s="64">
        <v>5.4808871439392526</v>
      </c>
      <c r="H283" s="64">
        <v>9.8248908157115427</v>
      </c>
      <c r="I283" s="64">
        <v>9.8260426157115432</v>
      </c>
      <c r="J283" s="64">
        <v>5.4797353439392529</v>
      </c>
      <c r="K283" s="64">
        <v>5.4808871439392526</v>
      </c>
    </row>
    <row r="284" spans="1:11" ht="15">
      <c r="A284" s="13">
        <v>50284</v>
      </c>
      <c r="B284" s="63">
        <v>4.7794349894762362</v>
      </c>
      <c r="C284" s="63">
        <v>4.7794349894762362</v>
      </c>
      <c r="D284" s="63">
        <v>4.7965987094762363</v>
      </c>
      <c r="E284" s="64">
        <v>5.4713811475222851</v>
      </c>
      <c r="F284" s="64">
        <v>5.4713811475222851</v>
      </c>
      <c r="G284" s="64">
        <v>5.4725329475222848</v>
      </c>
      <c r="H284" s="64">
        <v>9.8453593382442754</v>
      </c>
      <c r="I284" s="64">
        <v>9.846511138244276</v>
      </c>
      <c r="J284" s="64">
        <v>5.4713811475222851</v>
      </c>
      <c r="K284" s="64">
        <v>5.4725329475222848</v>
      </c>
    </row>
    <row r="285" spans="1:11" ht="15">
      <c r="A285" s="13">
        <v>50314</v>
      </c>
      <c r="B285" s="63">
        <v>4.7773168783756113</v>
      </c>
      <c r="C285" s="63">
        <v>4.7773168783756113</v>
      </c>
      <c r="D285" s="63">
        <v>4.7859005983756111</v>
      </c>
      <c r="E285" s="64">
        <v>5.4829052778229279</v>
      </c>
      <c r="F285" s="64">
        <v>5.4829052778229279</v>
      </c>
      <c r="G285" s="64">
        <v>5.4830820778229281</v>
      </c>
      <c r="H285" s="64">
        <v>9.8658705035322853</v>
      </c>
      <c r="I285" s="64">
        <v>9.8660473035322855</v>
      </c>
      <c r="J285" s="64">
        <v>5.4829052778229279</v>
      </c>
      <c r="K285" s="64">
        <v>5.4830820778229281</v>
      </c>
    </row>
    <row r="286" spans="1:11" ht="15">
      <c r="A286" s="13">
        <v>50345</v>
      </c>
      <c r="B286" s="63">
        <v>4.780356651102883</v>
      </c>
      <c r="C286" s="63">
        <v>4.780356651102883</v>
      </c>
      <c r="D286" s="63">
        <v>4.7889403711028828</v>
      </c>
      <c r="E286" s="64">
        <v>5.4974950265890694</v>
      </c>
      <c r="F286" s="64">
        <v>5.4974950265890694</v>
      </c>
      <c r="G286" s="64">
        <v>5.4976718265890696</v>
      </c>
      <c r="H286" s="64">
        <v>9.8864244004146453</v>
      </c>
      <c r="I286" s="64">
        <v>9.8866012004146455</v>
      </c>
      <c r="J286" s="64">
        <v>5.4974950265890694</v>
      </c>
      <c r="K286" s="64">
        <v>5.4976718265890696</v>
      </c>
    </row>
    <row r="287" spans="1:11" ht="15">
      <c r="A287" s="13">
        <v>50375</v>
      </c>
      <c r="B287" s="63">
        <v>4.780356651102883</v>
      </c>
      <c r="C287" s="63">
        <v>4.780356651102883</v>
      </c>
      <c r="D287" s="63">
        <v>4.7889403711028828</v>
      </c>
      <c r="E287" s="64">
        <v>5.4663172648432088</v>
      </c>
      <c r="F287" s="64">
        <v>5.4663172648432088</v>
      </c>
      <c r="G287" s="64">
        <v>5.466494064843209</v>
      </c>
      <c r="H287" s="64">
        <v>9.9070211179155105</v>
      </c>
      <c r="I287" s="64">
        <v>9.9071979179155107</v>
      </c>
      <c r="J287" s="64">
        <v>5.4663172648432088</v>
      </c>
      <c r="K287" s="64">
        <v>5.466494064843209</v>
      </c>
    </row>
    <row r="288" spans="1:11" ht="15">
      <c r="A288" s="13">
        <v>50406</v>
      </c>
      <c r="B288" s="63">
        <v>4.8248924621602489</v>
      </c>
      <c r="C288" s="63">
        <v>4.8248924621602489</v>
      </c>
      <c r="D288" s="63">
        <v>4.8334761821602488</v>
      </c>
      <c r="E288" s="64">
        <v>5.5382845507321665</v>
      </c>
      <c r="F288" s="64">
        <v>5.5382845507321665</v>
      </c>
      <c r="G288" s="64">
        <v>5.5384613507321667</v>
      </c>
      <c r="H288" s="64">
        <v>9.927660745244502</v>
      </c>
      <c r="I288" s="64">
        <v>9.9278375452445022</v>
      </c>
      <c r="J288" s="64">
        <v>5.5382845507321665</v>
      </c>
      <c r="K288" s="64">
        <v>5.5384613507321667</v>
      </c>
    </row>
    <row r="289" spans="1:11" ht="15">
      <c r="A289" s="13">
        <v>50437</v>
      </c>
      <c r="B289" s="63">
        <v>4.8218526894329763</v>
      </c>
      <c r="C289" s="63">
        <v>4.8218526894329763</v>
      </c>
      <c r="D289" s="63">
        <v>4.8304364094329761</v>
      </c>
      <c r="E289" s="64">
        <v>5.475697468116441</v>
      </c>
      <c r="F289" s="64">
        <v>5.475697468116441</v>
      </c>
      <c r="G289" s="64">
        <v>5.4758742681164412</v>
      </c>
      <c r="H289" s="64">
        <v>9.9483433717970957</v>
      </c>
      <c r="I289" s="64">
        <v>9.9485201717970959</v>
      </c>
      <c r="J289" s="64">
        <v>5.475697468116441</v>
      </c>
      <c r="K289" s="64">
        <v>5.4758742681164412</v>
      </c>
    </row>
    <row r="290" spans="1:11" ht="15">
      <c r="A290" s="13">
        <v>50465</v>
      </c>
      <c r="B290" s="63">
        <v>4.8188129167057037</v>
      </c>
      <c r="C290" s="63">
        <v>4.8188129167057037</v>
      </c>
      <c r="D290" s="63">
        <v>4.8273966367057035</v>
      </c>
      <c r="E290" s="64">
        <v>5.5212484837615792</v>
      </c>
      <c r="F290" s="64">
        <v>5.5212484837615792</v>
      </c>
      <c r="G290" s="64">
        <v>5.5214252837615794</v>
      </c>
      <c r="H290" s="64">
        <v>9.9690690871550078</v>
      </c>
      <c r="I290" s="64">
        <v>9.969245887155008</v>
      </c>
      <c r="J290" s="64">
        <v>5.5212484837615792</v>
      </c>
      <c r="K290" s="64">
        <v>5.5214252837615794</v>
      </c>
    </row>
    <row r="291" spans="1:11" ht="15">
      <c r="A291" s="13">
        <v>50496</v>
      </c>
      <c r="B291" s="63">
        <v>4.8172350931971479</v>
      </c>
      <c r="C291" s="63">
        <v>4.8172350931971479</v>
      </c>
      <c r="D291" s="63">
        <v>4.8258188131971478</v>
      </c>
      <c r="E291" s="64">
        <v>5.5682063109659667</v>
      </c>
      <c r="F291" s="64">
        <v>5.5682063109659667</v>
      </c>
      <c r="G291" s="64">
        <v>5.5683831109659669</v>
      </c>
      <c r="H291" s="64">
        <v>9.9898379810865823</v>
      </c>
      <c r="I291" s="64">
        <v>9.9900147810865825</v>
      </c>
      <c r="J291" s="64">
        <v>5.5682063109659667</v>
      </c>
      <c r="K291" s="64">
        <v>5.5683831109659669</v>
      </c>
    </row>
    <row r="292" spans="1:11" ht="15">
      <c r="A292" s="13">
        <v>50526</v>
      </c>
      <c r="B292" s="63">
        <v>4.8172350931971479</v>
      </c>
      <c r="C292" s="63">
        <v>4.8172350931971479</v>
      </c>
      <c r="D292" s="63">
        <v>4.834398813197148</v>
      </c>
      <c r="E292" s="64">
        <v>5.587404479218459</v>
      </c>
      <c r="F292" s="64">
        <v>5.587404479218459</v>
      </c>
      <c r="G292" s="64">
        <v>5.5885562792184587</v>
      </c>
      <c r="H292" s="64">
        <v>10.01065014354718</v>
      </c>
      <c r="I292" s="64">
        <v>10.01180194354718</v>
      </c>
      <c r="J292" s="64">
        <v>5.587404479218459</v>
      </c>
      <c r="K292" s="64">
        <v>5.5885562792184587</v>
      </c>
    </row>
    <row r="293" spans="1:11" ht="15">
      <c r="A293" s="13">
        <v>50557</v>
      </c>
      <c r="B293" s="63">
        <v>4.8233146386516932</v>
      </c>
      <c r="C293" s="63">
        <v>4.8233146386516932</v>
      </c>
      <c r="D293" s="63">
        <v>4.8404783586516933</v>
      </c>
      <c r="E293" s="64">
        <v>5.5724435991015593</v>
      </c>
      <c r="F293" s="64">
        <v>5.5724435991015593</v>
      </c>
      <c r="G293" s="64">
        <v>5.573595399101559</v>
      </c>
      <c r="H293" s="64">
        <v>10.031505664679571</v>
      </c>
      <c r="I293" s="64">
        <v>10.032657464679572</v>
      </c>
      <c r="J293" s="64">
        <v>5.5724435991015593</v>
      </c>
      <c r="K293" s="64">
        <v>5.573595399101559</v>
      </c>
    </row>
    <row r="294" spans="1:11" ht="15">
      <c r="A294" s="13">
        <v>50587</v>
      </c>
      <c r="B294" s="63">
        <v>4.9065937231019152</v>
      </c>
      <c r="C294" s="63">
        <v>4.9065937231019152</v>
      </c>
      <c r="D294" s="63">
        <v>4.9237574431019153</v>
      </c>
      <c r="E294" s="64">
        <v>5.6861596593881556</v>
      </c>
      <c r="F294" s="64">
        <v>5.6861596593881556</v>
      </c>
      <c r="G294" s="64">
        <v>5.6873114593881553</v>
      </c>
      <c r="H294" s="64">
        <v>10.052404634814321</v>
      </c>
      <c r="I294" s="64">
        <v>10.053556434814322</v>
      </c>
      <c r="J294" s="64">
        <v>5.6861596593881556</v>
      </c>
      <c r="K294" s="64">
        <v>5.6873114593881553</v>
      </c>
    </row>
    <row r="295" spans="1:11" ht="15">
      <c r="A295" s="13">
        <v>50618</v>
      </c>
      <c r="B295" s="63">
        <v>4.9132812231019152</v>
      </c>
      <c r="C295" s="63">
        <v>4.9132812231019152</v>
      </c>
      <c r="D295" s="63">
        <v>4.9304449431019153</v>
      </c>
      <c r="E295" s="64">
        <v>5.63322617157983</v>
      </c>
      <c r="F295" s="64">
        <v>5.63322617157983</v>
      </c>
      <c r="G295" s="64">
        <v>5.6343779715798297</v>
      </c>
      <c r="H295" s="64">
        <v>10.073347144470185</v>
      </c>
      <c r="I295" s="64">
        <v>10.074498944470186</v>
      </c>
      <c r="J295" s="64">
        <v>5.63322617157983</v>
      </c>
      <c r="K295" s="64">
        <v>5.6343779715798297</v>
      </c>
    </row>
    <row r="296" spans="1:11" ht="15">
      <c r="A296" s="13">
        <v>50649</v>
      </c>
      <c r="B296" s="63">
        <v>4.9102414503746417</v>
      </c>
      <c r="C296" s="63">
        <v>4.9102414503746417</v>
      </c>
      <c r="D296" s="63">
        <v>4.9274051703746418</v>
      </c>
      <c r="E296" s="64">
        <v>5.6247081380945358</v>
      </c>
      <c r="F296" s="64">
        <v>5.6247081380945358</v>
      </c>
      <c r="G296" s="64">
        <v>5.6258599380945356</v>
      </c>
      <c r="H296" s="64">
        <v>10.0943332843545</v>
      </c>
      <c r="I296" s="64">
        <v>10.0954850843545</v>
      </c>
      <c r="J296" s="64">
        <v>5.6247081380945358</v>
      </c>
      <c r="K296" s="64">
        <v>5.6258599380945356</v>
      </c>
    </row>
    <row r="297" spans="1:11" ht="15">
      <c r="A297" s="13">
        <v>50679</v>
      </c>
      <c r="B297" s="63">
        <v>4.9085680130692966</v>
      </c>
      <c r="C297" s="63">
        <v>4.9085680130692966</v>
      </c>
      <c r="D297" s="63">
        <v>4.9171517330692964</v>
      </c>
      <c r="E297" s="64">
        <v>5.6368876166684823</v>
      </c>
      <c r="F297" s="64">
        <v>5.6368876166684823</v>
      </c>
      <c r="G297" s="64">
        <v>5.6370644166684825</v>
      </c>
      <c r="H297" s="64">
        <v>10.115363145363572</v>
      </c>
      <c r="I297" s="64">
        <v>10.115539945363572</v>
      </c>
      <c r="J297" s="64">
        <v>5.6368876166684823</v>
      </c>
      <c r="K297" s="64">
        <v>5.6370644166684825</v>
      </c>
    </row>
    <row r="298" spans="1:11" ht="15">
      <c r="A298" s="13">
        <v>50710</v>
      </c>
      <c r="B298" s="63">
        <v>4.9116077857965701</v>
      </c>
      <c r="C298" s="63">
        <v>4.9116077857965701</v>
      </c>
      <c r="D298" s="63">
        <v>4.9201915057965699</v>
      </c>
      <c r="E298" s="64">
        <v>5.6518050395712738</v>
      </c>
      <c r="F298" s="64">
        <v>5.6518050395712738</v>
      </c>
      <c r="G298" s="64">
        <v>5.651981839571274</v>
      </c>
      <c r="H298" s="64">
        <v>10.13643681858308</v>
      </c>
      <c r="I298" s="64">
        <v>10.13661361858308</v>
      </c>
      <c r="J298" s="64">
        <v>5.6518050395712738</v>
      </c>
      <c r="K298" s="64">
        <v>5.651981839571274</v>
      </c>
    </row>
    <row r="299" spans="1:11" ht="15">
      <c r="A299" s="13">
        <v>50740</v>
      </c>
      <c r="B299" s="63">
        <v>4.9116077857965701</v>
      </c>
      <c r="C299" s="63">
        <v>4.9116077857965701</v>
      </c>
      <c r="D299" s="63">
        <v>4.9201915057965699</v>
      </c>
      <c r="E299" s="64">
        <v>5.6369109648360132</v>
      </c>
      <c r="F299" s="64">
        <v>5.6369109648360132</v>
      </c>
      <c r="G299" s="64">
        <v>5.6370877648360134</v>
      </c>
      <c r="H299" s="64">
        <v>10.157554395288463</v>
      </c>
      <c r="I299" s="64">
        <v>10.157731195288463</v>
      </c>
      <c r="J299" s="64">
        <v>5.6369109648360132</v>
      </c>
      <c r="K299" s="64">
        <v>5.6370877648360134</v>
      </c>
    </row>
    <row r="300" spans="1:11" ht="15">
      <c r="A300" s="13">
        <v>50771</v>
      </c>
      <c r="B300" s="63">
        <v>4.9579232366890027</v>
      </c>
      <c r="C300" s="63">
        <v>4.9579232366890027</v>
      </c>
      <c r="D300" s="63">
        <v>4.9665069566890025</v>
      </c>
      <c r="E300" s="64">
        <v>5.6937678239954677</v>
      </c>
      <c r="F300" s="64">
        <v>5.6937678239954677</v>
      </c>
      <c r="G300" s="64">
        <v>5.6939446239954679</v>
      </c>
      <c r="H300" s="64">
        <v>10.178715966945315</v>
      </c>
      <c r="I300" s="64">
        <v>10.178892766945316</v>
      </c>
      <c r="J300" s="64">
        <v>5.6937678239954677</v>
      </c>
      <c r="K300" s="64">
        <v>5.6939446239954679</v>
      </c>
    </row>
    <row r="301" spans="1:11" ht="15">
      <c r="A301" s="13">
        <v>50802</v>
      </c>
      <c r="B301" s="63">
        <v>4.9548834639617292</v>
      </c>
      <c r="C301" s="63">
        <v>4.9548834639617292</v>
      </c>
      <c r="D301" s="63">
        <v>4.963467183961729</v>
      </c>
      <c r="E301" s="64">
        <v>5.6295146932804725</v>
      </c>
      <c r="F301" s="64">
        <v>5.6295146932804725</v>
      </c>
      <c r="G301" s="64">
        <v>5.6296914932804727</v>
      </c>
      <c r="H301" s="64">
        <v>10.199921625209786</v>
      </c>
      <c r="I301" s="64">
        <v>10.200098425209786</v>
      </c>
      <c r="J301" s="64">
        <v>5.6295146932804725</v>
      </c>
      <c r="K301" s="64">
        <v>5.6296914932804727</v>
      </c>
    </row>
    <row r="302" spans="1:11" ht="15">
      <c r="A302" s="13">
        <v>50830</v>
      </c>
      <c r="B302" s="63">
        <v>4.9518436912344566</v>
      </c>
      <c r="C302" s="63">
        <v>4.9518436912344566</v>
      </c>
      <c r="D302" s="63">
        <v>4.9604274112344564</v>
      </c>
      <c r="E302" s="64">
        <v>5.676379120481533</v>
      </c>
      <c r="F302" s="64">
        <v>5.676379120481533</v>
      </c>
      <c r="G302" s="64">
        <v>5.6765559204815332</v>
      </c>
      <c r="H302" s="64">
        <v>10.221171461928973</v>
      </c>
      <c r="I302" s="64">
        <v>10.221348261928973</v>
      </c>
      <c r="J302" s="64">
        <v>5.676379120481533</v>
      </c>
      <c r="K302" s="64">
        <v>5.6765559204815332</v>
      </c>
    </row>
    <row r="303" spans="1:11" ht="15">
      <c r="A303" s="13">
        <v>50861</v>
      </c>
      <c r="B303" s="63">
        <v>4.9503836694533927</v>
      </c>
      <c r="C303" s="63">
        <v>4.9503836694533927</v>
      </c>
      <c r="D303" s="63">
        <v>4.9589673894533925</v>
      </c>
      <c r="E303" s="64">
        <v>5.7247474938593026</v>
      </c>
      <c r="F303" s="64">
        <v>5.7247474938593026</v>
      </c>
      <c r="G303" s="64">
        <v>5.7249242938593028</v>
      </c>
      <c r="H303" s="64">
        <v>10.242465569141327</v>
      </c>
      <c r="I303" s="64">
        <v>10.242642369141327</v>
      </c>
      <c r="J303" s="64">
        <v>5.7247474938593026</v>
      </c>
      <c r="K303" s="64">
        <v>5.7249242938593028</v>
      </c>
    </row>
    <row r="304" spans="1:11" ht="15">
      <c r="A304" s="13">
        <v>50891</v>
      </c>
      <c r="B304" s="63">
        <v>4.9503836694533927</v>
      </c>
      <c r="C304" s="63">
        <v>4.9503836694533927</v>
      </c>
      <c r="D304" s="63">
        <v>4.9675473894533928</v>
      </c>
      <c r="E304" s="64">
        <v>5.7444746169268122</v>
      </c>
      <c r="F304" s="64">
        <v>5.7444746169268122</v>
      </c>
      <c r="G304" s="64">
        <v>5.7456264169268119</v>
      </c>
      <c r="H304" s="64">
        <v>10.263804039077039</v>
      </c>
      <c r="I304" s="64">
        <v>10.264955839077039</v>
      </c>
      <c r="J304" s="64">
        <v>5.7444746169268122</v>
      </c>
      <c r="K304" s="64">
        <v>5.7456264169268119</v>
      </c>
    </row>
    <row r="305" spans="1:11" ht="15">
      <c r="A305" s="13">
        <v>50922</v>
      </c>
      <c r="B305" s="63">
        <v>4.956463214907938</v>
      </c>
      <c r="C305" s="63">
        <v>4.956463214907938</v>
      </c>
      <c r="D305" s="63">
        <v>4.9736269349079381</v>
      </c>
      <c r="E305" s="64">
        <v>5.7289847819948951</v>
      </c>
      <c r="F305" s="64">
        <v>5.7289847819948951</v>
      </c>
      <c r="G305" s="64">
        <v>5.7301365819948948</v>
      </c>
      <c r="H305" s="64">
        <v>10.28518696415845</v>
      </c>
      <c r="I305" s="64">
        <v>10.286338764158451</v>
      </c>
      <c r="J305" s="64">
        <v>5.7289847819948951</v>
      </c>
      <c r="K305" s="64">
        <v>5.7301365819948948</v>
      </c>
    </row>
    <row r="306" spans="1:11" ht="15">
      <c r="A306" s="13">
        <v>50952</v>
      </c>
      <c r="B306" s="63">
        <v>5.0430334159663559</v>
      </c>
      <c r="C306" s="63">
        <v>5.0430334159663559</v>
      </c>
      <c r="D306" s="63">
        <v>5.060197135966356</v>
      </c>
      <c r="E306" s="64">
        <v>5.8439261507535312</v>
      </c>
      <c r="F306" s="64">
        <v>5.8439261507535312</v>
      </c>
      <c r="G306" s="64">
        <v>5.8450779507535309</v>
      </c>
      <c r="H306" s="64">
        <v>10.306614437000448</v>
      </c>
      <c r="I306" s="64">
        <v>10.307766237000449</v>
      </c>
      <c r="J306" s="64">
        <v>5.8439261507535312</v>
      </c>
      <c r="K306" s="64">
        <v>5.8450779507535309</v>
      </c>
    </row>
    <row r="307" spans="1:11" ht="15">
      <c r="A307" s="13">
        <v>50983</v>
      </c>
      <c r="B307" s="63">
        <v>5.0497209159663559</v>
      </c>
      <c r="C307" s="63">
        <v>5.0497209159663559</v>
      </c>
      <c r="D307" s="63">
        <v>5.066884635966356</v>
      </c>
      <c r="E307" s="64">
        <v>5.7894057985001526</v>
      </c>
      <c r="F307" s="64">
        <v>5.7894057985001526</v>
      </c>
      <c r="G307" s="64">
        <v>5.7905575985001523</v>
      </c>
      <c r="H307" s="64">
        <v>10.328086550410866</v>
      </c>
      <c r="I307" s="64">
        <v>10.329238350410867</v>
      </c>
      <c r="J307" s="64">
        <v>5.7894057985001526</v>
      </c>
      <c r="K307" s="64">
        <v>5.7905575985001523</v>
      </c>
    </row>
    <row r="308" spans="1:11" ht="15">
      <c r="A308" s="13">
        <v>51014</v>
      </c>
      <c r="B308" s="63">
        <v>5.0466811432390832</v>
      </c>
      <c r="C308" s="63">
        <v>5.0466811432390832</v>
      </c>
      <c r="D308" s="63">
        <v>5.0638448632390833</v>
      </c>
      <c r="E308" s="64">
        <v>5.7807114467431866</v>
      </c>
      <c r="F308" s="64">
        <v>5.7807114467431866</v>
      </c>
      <c r="G308" s="64">
        <v>5.7818632467431863</v>
      </c>
      <c r="H308" s="64">
        <v>10.34960339739089</v>
      </c>
      <c r="I308" s="64">
        <v>10.350755197390891</v>
      </c>
      <c r="J308" s="64">
        <v>5.7807114467431866</v>
      </c>
      <c r="K308" s="64">
        <v>5.7818632467431863</v>
      </c>
    </row>
    <row r="309" spans="1:11" ht="15">
      <c r="A309" s="13">
        <v>51044</v>
      </c>
      <c r="B309" s="63">
        <v>5.0454750911717099</v>
      </c>
      <c r="C309" s="63">
        <v>5.0454750911717099</v>
      </c>
      <c r="D309" s="63">
        <v>5.0540588111717097</v>
      </c>
      <c r="E309" s="64">
        <v>5.7935961984038196</v>
      </c>
      <c r="F309" s="64">
        <v>5.7935961984038196</v>
      </c>
      <c r="G309" s="64">
        <v>5.7937729984038198</v>
      </c>
      <c r="H309" s="64">
        <v>10.371165071135456</v>
      </c>
      <c r="I309" s="64">
        <v>10.371341871135456</v>
      </c>
      <c r="J309" s="64">
        <v>5.7935961984038196</v>
      </c>
      <c r="K309" s="64">
        <v>5.7937729984038198</v>
      </c>
    </row>
    <row r="310" spans="1:11" ht="15">
      <c r="A310" s="13">
        <v>51075</v>
      </c>
      <c r="B310" s="63">
        <v>5.0485148638989825</v>
      </c>
      <c r="C310" s="63">
        <v>5.0485148638989825</v>
      </c>
      <c r="D310" s="63">
        <v>5.0570985838989824</v>
      </c>
      <c r="E310" s="64">
        <v>5.8088662578499557</v>
      </c>
      <c r="F310" s="64">
        <v>5.8088662578499557</v>
      </c>
      <c r="G310" s="64">
        <v>5.8090430578499559</v>
      </c>
      <c r="H310" s="64">
        <v>10.392771665033656</v>
      </c>
      <c r="I310" s="64">
        <v>10.392948465033657</v>
      </c>
      <c r="J310" s="64">
        <v>5.8088662578499557</v>
      </c>
      <c r="K310" s="64">
        <v>5.8090430578499559</v>
      </c>
    </row>
    <row r="311" spans="1:11" ht="15">
      <c r="A311" s="13">
        <v>51105</v>
      </c>
      <c r="B311" s="63">
        <v>5.0485148638989825</v>
      </c>
      <c r="C311" s="63">
        <v>5.0485148638989825</v>
      </c>
      <c r="D311" s="63">
        <v>5.0570985838989824</v>
      </c>
      <c r="E311" s="64">
        <v>5.7759877194041049</v>
      </c>
      <c r="F311" s="64">
        <v>5.7759877194041049</v>
      </c>
      <c r="G311" s="64">
        <v>5.7761645194041051</v>
      </c>
      <c r="H311" s="64">
        <v>10.414423272669143</v>
      </c>
      <c r="I311" s="64">
        <v>10.414600072669144</v>
      </c>
      <c r="J311" s="64">
        <v>5.7759877194041049</v>
      </c>
      <c r="K311" s="64">
        <v>5.7761645194041051</v>
      </c>
    </row>
    <row r="312" spans="1:11" ht="15">
      <c r="A312" s="13">
        <v>51136</v>
      </c>
      <c r="B312" s="63">
        <v>5.0943645065306837</v>
      </c>
      <c r="C312" s="63">
        <v>5.0943645065306837</v>
      </c>
      <c r="D312" s="63">
        <v>5.1029482265306836</v>
      </c>
      <c r="E312" s="64">
        <v>5.8526278294394425</v>
      </c>
      <c r="F312" s="64">
        <v>5.8526278294394425</v>
      </c>
      <c r="G312" s="64">
        <v>5.8528046294394427</v>
      </c>
      <c r="H312" s="64">
        <v>10.436119987820538</v>
      </c>
      <c r="I312" s="64">
        <v>10.436296787820538</v>
      </c>
      <c r="J312" s="64">
        <v>5.8526278294394425</v>
      </c>
      <c r="K312" s="64">
        <v>5.8528046294394427</v>
      </c>
    </row>
    <row r="313" spans="1:11" ht="15">
      <c r="A313" s="13">
        <v>51167</v>
      </c>
      <c r="B313" s="63">
        <v>5.0913247338034111</v>
      </c>
      <c r="C313" s="63">
        <v>5.0913247338034111</v>
      </c>
      <c r="D313" s="63">
        <v>5.099908453803411</v>
      </c>
      <c r="E313" s="64">
        <v>5.7866309381292931</v>
      </c>
      <c r="F313" s="64">
        <v>5.7866309381292931</v>
      </c>
      <c r="G313" s="64">
        <v>5.7868077381292933</v>
      </c>
      <c r="H313" s="64">
        <v>10.457861904461831</v>
      </c>
      <c r="I313" s="64">
        <v>10.458038704461831</v>
      </c>
      <c r="J313" s="64">
        <v>5.7866309381292931</v>
      </c>
      <c r="K313" s="64">
        <v>5.7868077381292933</v>
      </c>
    </row>
    <row r="314" spans="1:11" ht="15">
      <c r="A314" s="13">
        <v>51196</v>
      </c>
      <c r="B314" s="63">
        <v>5.0882849610761385</v>
      </c>
      <c r="C314" s="63">
        <v>5.0882849610761385</v>
      </c>
      <c r="D314" s="63">
        <v>5.0968686810761383</v>
      </c>
      <c r="E314" s="64">
        <v>5.8348700407178455</v>
      </c>
      <c r="F314" s="64">
        <v>5.8348700407178455</v>
      </c>
      <c r="G314" s="64">
        <v>5.8350468407178457</v>
      </c>
      <c r="H314" s="64">
        <v>10.479649116762793</v>
      </c>
      <c r="I314" s="64">
        <v>10.479825916762794</v>
      </c>
      <c r="J314" s="64">
        <v>5.8348700407178455</v>
      </c>
      <c r="K314" s="64">
        <v>5.8350468407178457</v>
      </c>
    </row>
    <row r="315" spans="1:11" ht="15">
      <c r="A315" s="13">
        <v>51227</v>
      </c>
      <c r="B315" s="63">
        <v>5.0869453368082427</v>
      </c>
      <c r="C315" s="63">
        <v>5.0869453368082427</v>
      </c>
      <c r="D315" s="63">
        <v>5.0955290568082425</v>
      </c>
      <c r="E315" s="64">
        <v>5.8847147549262679</v>
      </c>
      <c r="F315" s="64">
        <v>5.8847147549262679</v>
      </c>
      <c r="G315" s="64">
        <v>5.8848915549262681</v>
      </c>
      <c r="H315" s="64">
        <v>10.501481719089384</v>
      </c>
      <c r="I315" s="64">
        <v>10.501658519089384</v>
      </c>
      <c r="J315" s="64">
        <v>5.8847147549262679</v>
      </c>
      <c r="K315" s="64">
        <v>5.8848915549262681</v>
      </c>
    </row>
    <row r="316" spans="1:11" ht="15">
      <c r="A316" s="13">
        <v>51257</v>
      </c>
      <c r="B316" s="63">
        <v>5.0869453368082427</v>
      </c>
      <c r="C316" s="63">
        <v>5.0869453368082427</v>
      </c>
      <c r="D316" s="63">
        <v>5.1041090568082428</v>
      </c>
      <c r="E316" s="64">
        <v>5.9049955058052737</v>
      </c>
      <c r="F316" s="64">
        <v>5.9049955058052737</v>
      </c>
      <c r="G316" s="64">
        <v>5.9061473058052734</v>
      </c>
      <c r="H316" s="64">
        <v>10.523359806004155</v>
      </c>
      <c r="I316" s="64">
        <v>10.524511606004156</v>
      </c>
      <c r="J316" s="64">
        <v>5.9049955058052737</v>
      </c>
      <c r="K316" s="64">
        <v>5.9061473058052734</v>
      </c>
    </row>
    <row r="317" spans="1:11" ht="15">
      <c r="A317" s="13">
        <v>51288</v>
      </c>
      <c r="B317" s="63">
        <v>5.0930248822627888</v>
      </c>
      <c r="C317" s="63">
        <v>5.0930248822627888</v>
      </c>
      <c r="D317" s="63">
        <v>5.1101886022627889</v>
      </c>
      <c r="E317" s="64">
        <v>5.8889520430618605</v>
      </c>
      <c r="F317" s="64">
        <v>5.8889520430618605</v>
      </c>
      <c r="G317" s="64">
        <v>5.8901038430618602</v>
      </c>
      <c r="H317" s="64">
        <v>10.545283472266664</v>
      </c>
      <c r="I317" s="64">
        <v>10.546435272266665</v>
      </c>
      <c r="J317" s="64">
        <v>5.8889520430618605</v>
      </c>
      <c r="K317" s="64">
        <v>5.8901038430618602</v>
      </c>
    </row>
    <row r="318" spans="1:11" ht="15">
      <c r="A318" s="13">
        <v>51318</v>
      </c>
      <c r="B318" s="63">
        <v>5.1785376227056927</v>
      </c>
      <c r="C318" s="63">
        <v>5.1785376227056927</v>
      </c>
      <c r="D318" s="63">
        <v>5.1957013427056928</v>
      </c>
      <c r="E318" s="64">
        <v>6.0077777019936072</v>
      </c>
      <c r="F318" s="64">
        <v>6.0077777019936063</v>
      </c>
      <c r="G318" s="64">
        <v>6.008929501993606</v>
      </c>
      <c r="H318" s="64">
        <v>10.567252812833887</v>
      </c>
      <c r="I318" s="64">
        <v>10.568404612833888</v>
      </c>
      <c r="J318" s="64">
        <v>6.0077777019936072</v>
      </c>
      <c r="K318" s="64">
        <v>6.0089295019936069</v>
      </c>
    </row>
    <row r="319" spans="1:11" ht="15">
      <c r="A319" s="13">
        <v>51349</v>
      </c>
      <c r="B319" s="63">
        <v>5.1852251227056936</v>
      </c>
      <c r="C319" s="63">
        <v>5.1852251227056936</v>
      </c>
      <c r="D319" s="63">
        <v>5.2023888427056937</v>
      </c>
      <c r="E319" s="64">
        <v>5.951596466305741</v>
      </c>
      <c r="F319" s="64">
        <v>5.951596466305741</v>
      </c>
      <c r="G319" s="64">
        <v>5.9527482663057407</v>
      </c>
      <c r="H319" s="64">
        <v>10.589267922860625</v>
      </c>
      <c r="I319" s="64">
        <v>10.590419722860625</v>
      </c>
      <c r="J319" s="64">
        <v>5.951596466305741</v>
      </c>
      <c r="K319" s="64">
        <v>5.9527482663057407</v>
      </c>
    </row>
    <row r="320" spans="1:11" ht="15">
      <c r="A320" s="13">
        <v>51380</v>
      </c>
      <c r="B320" s="63">
        <v>5.1821853499784201</v>
      </c>
      <c r="C320" s="63">
        <v>5.1821853499784201</v>
      </c>
      <c r="D320" s="63">
        <v>5.1993490699784202</v>
      </c>
      <c r="E320" s="64">
        <v>5.9427175719449421</v>
      </c>
      <c r="F320" s="64">
        <v>5.9427175719449421</v>
      </c>
      <c r="G320" s="64">
        <v>5.9438693719449418</v>
      </c>
      <c r="H320" s="64">
        <v>10.611328897699918</v>
      </c>
      <c r="I320" s="64">
        <v>10.612480697699919</v>
      </c>
      <c r="J320" s="64">
        <v>5.9427175719449421</v>
      </c>
      <c r="K320" s="64">
        <v>5.9438693719449418</v>
      </c>
    </row>
    <row r="321" spans="1:11" ht="15">
      <c r="A321" s="13">
        <v>51410</v>
      </c>
      <c r="B321" s="63">
        <v>5.1814310915901576</v>
      </c>
      <c r="C321" s="63">
        <v>5.1814310915901576</v>
      </c>
      <c r="D321" s="63">
        <v>5.1900148115901574</v>
      </c>
      <c r="E321" s="64">
        <v>5.9563404940209095</v>
      </c>
      <c r="F321" s="64">
        <v>5.9563404940209095</v>
      </c>
      <c r="G321" s="64">
        <v>5.9565172940209097</v>
      </c>
      <c r="H321" s="64">
        <v>10.63343583290346</v>
      </c>
      <c r="I321" s="64">
        <v>10.633612632903461</v>
      </c>
      <c r="J321" s="64">
        <v>5.9563404940209095</v>
      </c>
      <c r="K321" s="64">
        <v>5.9565172940209097</v>
      </c>
    </row>
    <row r="322" spans="1:11" ht="15">
      <c r="A322" s="13">
        <v>51441</v>
      </c>
      <c r="B322" s="63">
        <v>5.1844708643174302</v>
      </c>
      <c r="C322" s="63">
        <v>5.1844708643174302</v>
      </c>
      <c r="D322" s="63">
        <v>5.1930545843174301</v>
      </c>
      <c r="E322" s="64">
        <v>5.9719796386747079</v>
      </c>
      <c r="F322" s="64">
        <v>5.9719796386747079</v>
      </c>
      <c r="G322" s="64">
        <v>5.9721564386747081</v>
      </c>
      <c r="H322" s="64">
        <v>10.65558882422201</v>
      </c>
      <c r="I322" s="64">
        <v>10.65576562422201</v>
      </c>
      <c r="J322" s="64">
        <v>5.9719796386747079</v>
      </c>
      <c r="K322" s="64">
        <v>5.9721564386747081</v>
      </c>
    </row>
    <row r="323" spans="1:11" ht="15">
      <c r="A323" s="13">
        <v>51471</v>
      </c>
      <c r="B323" s="63">
        <v>5.1844708643174302</v>
      </c>
      <c r="C323" s="63">
        <v>5.1844708643174302</v>
      </c>
      <c r="D323" s="63">
        <v>5.1930545843174301</v>
      </c>
      <c r="E323" s="64">
        <v>5.9381783872096996</v>
      </c>
      <c r="F323" s="64">
        <v>5.9381783872096996</v>
      </c>
      <c r="G323" s="64">
        <v>5.9383551872096998</v>
      </c>
      <c r="H323" s="64">
        <v>10.677787967605807</v>
      </c>
      <c r="I323" s="64">
        <v>10.677964767605808</v>
      </c>
      <c r="J323" s="64">
        <v>5.9381783872096996</v>
      </c>
      <c r="K323" s="64">
        <v>5.9383551872096998</v>
      </c>
    </row>
    <row r="324" spans="1:11" ht="15">
      <c r="A324" s="13">
        <v>51502</v>
      </c>
      <c r="B324" s="63">
        <v>5.2322387679518041</v>
      </c>
      <c r="C324" s="63">
        <v>5.2322387679518041</v>
      </c>
      <c r="D324" s="63">
        <v>5.2408224879518039</v>
      </c>
      <c r="E324" s="64">
        <v>6.0166610843772528</v>
      </c>
      <c r="F324" s="64">
        <v>6.0166610843772528</v>
      </c>
      <c r="G324" s="64">
        <v>6.016837884377253</v>
      </c>
      <c r="H324" s="64">
        <v>10.700033359204987</v>
      </c>
      <c r="I324" s="64">
        <v>10.700210159204987</v>
      </c>
      <c r="J324" s="64">
        <v>6.0166610843772528</v>
      </c>
      <c r="K324" s="64">
        <v>6.016837884377253</v>
      </c>
    </row>
    <row r="325" spans="1:11" ht="15">
      <c r="A325" s="13">
        <v>51533</v>
      </c>
      <c r="B325" s="63">
        <v>5.2291989952245315</v>
      </c>
      <c r="C325" s="63">
        <v>5.2291989952245315</v>
      </c>
      <c r="D325" s="63">
        <v>5.2377827152245313</v>
      </c>
      <c r="E325" s="64">
        <v>5.9488714950592918</v>
      </c>
      <c r="F325" s="64">
        <v>5.9488714950592918</v>
      </c>
      <c r="G325" s="64">
        <v>5.949048295059292</v>
      </c>
      <c r="H325" s="64">
        <v>10.722325095369998</v>
      </c>
      <c r="I325" s="64">
        <v>10.722501895369998</v>
      </c>
      <c r="J325" s="64">
        <v>5.9488714950592918</v>
      </c>
      <c r="K325" s="64">
        <v>5.949048295059292</v>
      </c>
    </row>
    <row r="326" spans="1:11" ht="15">
      <c r="A326" s="13">
        <v>51561</v>
      </c>
      <c r="B326" s="63">
        <v>5.2261592224972597</v>
      </c>
      <c r="C326" s="63">
        <v>5.2261592224972597</v>
      </c>
      <c r="D326" s="63">
        <v>5.2347429424972596</v>
      </c>
      <c r="E326" s="64">
        <v>5.9985238523316529</v>
      </c>
      <c r="F326" s="64">
        <v>5.9985238523316529</v>
      </c>
      <c r="G326" s="64">
        <v>5.9987006523316531</v>
      </c>
      <c r="H326" s="64">
        <v>10.744663272652019</v>
      </c>
      <c r="I326" s="64">
        <v>10.744840072652019</v>
      </c>
      <c r="J326" s="64">
        <v>5.9985238523316529</v>
      </c>
      <c r="K326" s="64">
        <v>5.9987006523316531</v>
      </c>
    </row>
    <row r="327" spans="1:11" ht="15">
      <c r="A327" s="13">
        <v>51592</v>
      </c>
      <c r="B327" s="63">
        <v>5.2249394833600711</v>
      </c>
      <c r="C327" s="63">
        <v>5.2249394833600711</v>
      </c>
      <c r="D327" s="63">
        <v>5.2335232033600709</v>
      </c>
      <c r="E327" s="64">
        <v>6.0498863398360871</v>
      </c>
      <c r="F327" s="64">
        <v>6.0498863398360871</v>
      </c>
      <c r="G327" s="64">
        <v>6.0500631398360873</v>
      </c>
      <c r="H327" s="64">
        <v>10.767047987803378</v>
      </c>
      <c r="I327" s="64">
        <v>10.767224787803379</v>
      </c>
      <c r="J327" s="64">
        <v>6.0498863398360871</v>
      </c>
      <c r="K327" s="64">
        <v>6.0500631398360873</v>
      </c>
    </row>
    <row r="328" spans="1:11" ht="15">
      <c r="A328" s="13">
        <v>51622</v>
      </c>
      <c r="B328" s="63">
        <v>5.2249394833600711</v>
      </c>
      <c r="C328" s="63">
        <v>5.2249394833600711</v>
      </c>
      <c r="D328" s="63">
        <v>5.2421032033600712</v>
      </c>
      <c r="E328" s="64">
        <v>6.0707362557010978</v>
      </c>
      <c r="F328" s="64">
        <v>6.0707362557010978</v>
      </c>
      <c r="G328" s="64">
        <v>6.0718880557010975</v>
      </c>
      <c r="H328" s="64">
        <v>10.789479337777969</v>
      </c>
      <c r="I328" s="64">
        <v>10.79063113777797</v>
      </c>
      <c r="J328" s="64">
        <v>6.0707362557010978</v>
      </c>
      <c r="K328" s="64">
        <v>6.0718880557010975</v>
      </c>
    </row>
    <row r="329" spans="1:11" ht="15">
      <c r="A329" s="13">
        <v>51653</v>
      </c>
      <c r="B329" s="63">
        <v>5.2310190288146163</v>
      </c>
      <c r="C329" s="63">
        <v>5.2310190288146163</v>
      </c>
      <c r="D329" s="63">
        <v>5.2481827488146164</v>
      </c>
      <c r="E329" s="64">
        <v>6.0541236279716815</v>
      </c>
      <c r="F329" s="64">
        <v>6.0541236279716815</v>
      </c>
      <c r="G329" s="64">
        <v>6.0552754279716812</v>
      </c>
      <c r="H329" s="64">
        <v>10.811957419731675</v>
      </c>
      <c r="I329" s="64">
        <v>10.813109219731675</v>
      </c>
      <c r="J329" s="64">
        <v>6.0541236279716815</v>
      </c>
      <c r="K329" s="64">
        <v>6.0552754279716812</v>
      </c>
    </row>
    <row r="330" spans="1:11" ht="15">
      <c r="A330" s="13">
        <v>51683</v>
      </c>
      <c r="B330" s="63">
        <v>5.320075919312985</v>
      </c>
      <c r="C330" s="63">
        <v>5.320075919312985</v>
      </c>
      <c r="D330" s="63">
        <v>5.3372396393129851</v>
      </c>
      <c r="E330" s="64">
        <v>6.1754875700817191</v>
      </c>
      <c r="F330" s="64">
        <v>6.1754875700817191</v>
      </c>
      <c r="G330" s="64">
        <v>6.1766393700817188</v>
      </c>
      <c r="H330" s="64">
        <v>10.834482331022784</v>
      </c>
      <c r="I330" s="64">
        <v>10.835634131022784</v>
      </c>
      <c r="J330" s="64">
        <v>6.1754875700817191</v>
      </c>
      <c r="K330" s="64">
        <v>6.1766393700817188</v>
      </c>
    </row>
    <row r="331" spans="1:11" ht="15">
      <c r="A331" s="13">
        <v>51714</v>
      </c>
      <c r="B331" s="63">
        <v>5.3267634193129849</v>
      </c>
      <c r="C331" s="63">
        <v>5.3267634193129849</v>
      </c>
      <c r="D331" s="63">
        <v>5.343927139312985</v>
      </c>
      <c r="E331" s="64">
        <v>6.11759883943584</v>
      </c>
      <c r="F331" s="64">
        <v>6.11759883943584</v>
      </c>
      <c r="G331" s="64">
        <v>6.1187506394358397</v>
      </c>
      <c r="H331" s="64">
        <v>10.857054169212416</v>
      </c>
      <c r="I331" s="64">
        <v>10.858205969212417</v>
      </c>
      <c r="J331" s="64">
        <v>6.11759883943584</v>
      </c>
      <c r="K331" s="64">
        <v>6.1187506394358397</v>
      </c>
    </row>
    <row r="332" spans="1:11" ht="15">
      <c r="A332" s="13">
        <v>51745</v>
      </c>
      <c r="B332" s="63">
        <v>5.3237236465857123</v>
      </c>
      <c r="C332" s="63">
        <v>5.3237236465857123</v>
      </c>
      <c r="D332" s="63">
        <v>5.3408873665857124</v>
      </c>
      <c r="E332" s="64">
        <v>6.1085302234130401</v>
      </c>
      <c r="F332" s="64">
        <v>6.1085302234130401</v>
      </c>
      <c r="G332" s="64">
        <v>6.1096820234130398</v>
      </c>
      <c r="H332" s="64">
        <v>10.879673032064943</v>
      </c>
      <c r="I332" s="64">
        <v>10.880824832064944</v>
      </c>
      <c r="J332" s="64">
        <v>6.1085302234130401</v>
      </c>
      <c r="K332" s="64">
        <v>6.1096820234130398</v>
      </c>
    </row>
    <row r="333" spans="1:11" ht="15">
      <c r="A333" s="13">
        <v>51775</v>
      </c>
      <c r="B333" s="63">
        <v>5.3234465321277122</v>
      </c>
      <c r="C333" s="63">
        <v>5.3234465321277122</v>
      </c>
      <c r="D333" s="63">
        <v>5.3320302521277121</v>
      </c>
      <c r="E333" s="64">
        <v>6.122912032137009</v>
      </c>
      <c r="F333" s="64">
        <v>6.122912032137009</v>
      </c>
      <c r="G333" s="64">
        <v>6.1230888321370092</v>
      </c>
      <c r="H333" s="64">
        <v>10.902339017548412</v>
      </c>
      <c r="I333" s="64">
        <v>10.902515817548412</v>
      </c>
      <c r="J333" s="64">
        <v>6.122912032137009</v>
      </c>
      <c r="K333" s="64">
        <v>6.1230888321370092</v>
      </c>
    </row>
    <row r="334" spans="1:11" ht="15">
      <c r="A334" s="13">
        <v>51806</v>
      </c>
      <c r="B334" s="63">
        <v>5.3264863048549849</v>
      </c>
      <c r="C334" s="63">
        <v>5.3264863048549849</v>
      </c>
      <c r="D334" s="63">
        <v>5.3350700248549847</v>
      </c>
      <c r="E334" s="64">
        <v>6.1389306201148131</v>
      </c>
      <c r="F334" s="64">
        <v>6.1389306201148131</v>
      </c>
      <c r="G334" s="64">
        <v>6.1391074201148133</v>
      </c>
      <c r="H334" s="64">
        <v>10.925052223834973</v>
      </c>
      <c r="I334" s="64">
        <v>10.925229023834973</v>
      </c>
      <c r="J334" s="64">
        <v>6.1389306201148131</v>
      </c>
      <c r="K334" s="64">
        <v>6.1391074201148133</v>
      </c>
    </row>
    <row r="335" spans="1:11" ht="15">
      <c r="A335" s="13">
        <v>51836</v>
      </c>
      <c r="B335" s="63">
        <v>5.3264863048549849</v>
      </c>
      <c r="C335" s="63">
        <v>5.3264863048549849</v>
      </c>
      <c r="D335" s="63">
        <v>5.3350700248549847</v>
      </c>
      <c r="E335" s="64">
        <v>6.104180760339796</v>
      </c>
      <c r="F335" s="64">
        <v>6.104180760339796</v>
      </c>
      <c r="G335" s="64">
        <v>6.1043575603397962</v>
      </c>
      <c r="H335" s="64">
        <v>10.947812749301297</v>
      </c>
      <c r="I335" s="64">
        <v>10.947989549301298</v>
      </c>
      <c r="J335" s="64">
        <v>6.104180760339796</v>
      </c>
      <c r="K335" s="64">
        <v>6.1043575603397962</v>
      </c>
    </row>
    <row r="336" spans="1:11" ht="15">
      <c r="A336" s="13">
        <v>51867</v>
      </c>
      <c r="B336" s="63">
        <v>5.3750410549165331</v>
      </c>
      <c r="C336" s="63">
        <v>5.3750410549165331</v>
      </c>
      <c r="D336" s="63">
        <v>5.3836247749165329</v>
      </c>
      <c r="E336" s="64">
        <v>6.1848849763092169</v>
      </c>
      <c r="F336" s="64">
        <v>6.1848849763092169</v>
      </c>
      <c r="G336" s="64">
        <v>6.1850617763092171</v>
      </c>
      <c r="H336" s="64">
        <v>10.970620692529009</v>
      </c>
      <c r="I336" s="64">
        <v>10.970797492529009</v>
      </c>
      <c r="J336" s="64">
        <v>6.1848849763092169</v>
      </c>
      <c r="K336" s="64">
        <v>6.1850617763092171</v>
      </c>
    </row>
    <row r="337" spans="1:11" ht="15">
      <c r="A337" s="13">
        <v>51898</v>
      </c>
      <c r="B337" s="63">
        <v>5.3720012821892604</v>
      </c>
      <c r="C337" s="63">
        <v>5.3720012821892604</v>
      </c>
      <c r="D337" s="63">
        <v>5.3805850021892603</v>
      </c>
      <c r="E337" s="64">
        <v>6.1152523781767787</v>
      </c>
      <c r="F337" s="64">
        <v>6.1152523781767787</v>
      </c>
      <c r="G337" s="64">
        <v>6.1154291781767789</v>
      </c>
      <c r="H337" s="64">
        <v>10.993476152305112</v>
      </c>
      <c r="I337" s="64">
        <v>10.993652952305112</v>
      </c>
      <c r="J337" s="64">
        <v>6.1152523781767787</v>
      </c>
      <c r="K337" s="64">
        <v>6.1154291781767789</v>
      </c>
    </row>
    <row r="338" spans="1:11" ht="15">
      <c r="A338" s="13">
        <v>51926</v>
      </c>
      <c r="B338" s="63">
        <v>5.3689615094619869</v>
      </c>
      <c r="C338" s="63">
        <v>5.3689615094619869</v>
      </c>
      <c r="D338" s="63">
        <v>5.3775452294619868</v>
      </c>
      <c r="E338" s="64">
        <v>6.1663576521300349</v>
      </c>
      <c r="F338" s="64">
        <v>6.1663576521300349</v>
      </c>
      <c r="G338" s="64">
        <v>6.1665344521300351</v>
      </c>
      <c r="H338" s="64">
        <v>11.016379227622416</v>
      </c>
      <c r="I338" s="64">
        <v>11.016556027622416</v>
      </c>
      <c r="J338" s="64">
        <v>6.1663576521300349</v>
      </c>
      <c r="K338" s="64">
        <v>6.1665344521300351</v>
      </c>
    </row>
    <row r="339" spans="1:11" ht="15">
      <c r="A339" s="13">
        <v>51957</v>
      </c>
      <c r="B339" s="63">
        <v>5.3678665176330513</v>
      </c>
      <c r="C339" s="63">
        <v>5.3678665176330513</v>
      </c>
      <c r="D339" s="63">
        <v>5.3764502376330512</v>
      </c>
      <c r="E339" s="64">
        <v>6.2192805081687927</v>
      </c>
      <c r="F339" s="64">
        <v>6.2192805081687927</v>
      </c>
      <c r="G339" s="64">
        <v>6.2194573081687929</v>
      </c>
      <c r="H339" s="64">
        <v>11.039330017679964</v>
      </c>
      <c r="I339" s="64">
        <v>11.039506817679964</v>
      </c>
      <c r="J339" s="64">
        <v>6.2192805081687927</v>
      </c>
      <c r="K339" s="64">
        <v>6.2194573081687929</v>
      </c>
    </row>
    <row r="340" spans="1:11" ht="15">
      <c r="A340" s="13">
        <v>51987</v>
      </c>
      <c r="B340" s="63">
        <v>5.3678665176330513</v>
      </c>
      <c r="C340" s="63">
        <v>5.3678665176330513</v>
      </c>
      <c r="D340" s="63">
        <v>5.3850302376330514</v>
      </c>
      <c r="E340" s="64">
        <v>6.2407155622341746</v>
      </c>
      <c r="F340" s="64">
        <v>6.2407155622341746</v>
      </c>
      <c r="G340" s="64">
        <v>6.2418673622341743</v>
      </c>
      <c r="H340" s="64">
        <v>11.062328621883465</v>
      </c>
      <c r="I340" s="64">
        <v>11.063480421883465</v>
      </c>
      <c r="J340" s="64">
        <v>6.2407155622341746</v>
      </c>
      <c r="K340" s="64">
        <v>6.2418673622341743</v>
      </c>
    </row>
    <row r="341" spans="1:11" ht="15">
      <c r="A341" s="13">
        <v>52018</v>
      </c>
      <c r="B341" s="63">
        <v>5.3739460630875975</v>
      </c>
      <c r="C341" s="63">
        <v>5.3739460630875975</v>
      </c>
      <c r="D341" s="63">
        <v>5.3911097830875976</v>
      </c>
      <c r="E341" s="64">
        <v>6.2235177963043853</v>
      </c>
      <c r="F341" s="64">
        <v>6.2235177963043853</v>
      </c>
      <c r="G341" s="64">
        <v>6.224669596304385</v>
      </c>
      <c r="H341" s="64">
        <v>11.085375139845723</v>
      </c>
      <c r="I341" s="64">
        <v>11.086526939845724</v>
      </c>
      <c r="J341" s="64">
        <v>6.2235177963043853</v>
      </c>
      <c r="K341" s="64">
        <v>6.224669596304385</v>
      </c>
    </row>
    <row r="342" spans="1:11" ht="15">
      <c r="A342" s="13">
        <v>52048</v>
      </c>
      <c r="B342" s="63">
        <v>5.4643682051078191</v>
      </c>
      <c r="C342" s="63">
        <v>5.4643682051078191</v>
      </c>
      <c r="D342" s="63">
        <v>5.4815319251078192</v>
      </c>
      <c r="E342" s="64">
        <v>6.3482911296904687</v>
      </c>
      <c r="F342" s="64">
        <v>6.3482911296904687</v>
      </c>
      <c r="G342" s="64">
        <v>6.3494429296904684</v>
      </c>
      <c r="H342" s="64">
        <v>11.10846967138707</v>
      </c>
      <c r="I342" s="64">
        <v>11.10962147138707</v>
      </c>
      <c r="J342" s="64">
        <v>6.3482911296904687</v>
      </c>
      <c r="K342" s="64">
        <v>6.3494429296904684</v>
      </c>
    </row>
    <row r="343" spans="1:11" ht="15">
      <c r="A343" s="13">
        <v>52079</v>
      </c>
      <c r="B343" s="63">
        <v>5.471055705107819</v>
      </c>
      <c r="C343" s="63">
        <v>5.471055705107819</v>
      </c>
      <c r="D343" s="63">
        <v>5.4882194251078191</v>
      </c>
      <c r="E343" s="64">
        <v>6.2886469844434778</v>
      </c>
      <c r="F343" s="64">
        <v>6.2886469844434778</v>
      </c>
      <c r="G343" s="64">
        <v>6.2897987844434775</v>
      </c>
      <c r="H343" s="64">
        <v>11.131612316535794</v>
      </c>
      <c r="I343" s="64">
        <v>11.132764116535794</v>
      </c>
      <c r="J343" s="64">
        <v>6.2886469844434778</v>
      </c>
      <c r="K343" s="64">
        <v>6.2897987844434775</v>
      </c>
    </row>
    <row r="344" spans="1:11" ht="15">
      <c r="A344" s="13">
        <v>52110</v>
      </c>
      <c r="B344" s="63">
        <v>5.4680159323805464</v>
      </c>
      <c r="C344" s="63">
        <v>5.4680159323805464</v>
      </c>
      <c r="D344" s="63">
        <v>5.4851796523805465</v>
      </c>
      <c r="E344" s="64">
        <v>6.2793833223538869</v>
      </c>
      <c r="F344" s="64">
        <v>6.2793833223538869</v>
      </c>
      <c r="G344" s="64">
        <v>6.2805351223538866</v>
      </c>
      <c r="H344" s="64">
        <v>11.154803175528578</v>
      </c>
      <c r="I344" s="64">
        <v>11.155954975528578</v>
      </c>
      <c r="J344" s="64">
        <v>6.2793833223538869</v>
      </c>
      <c r="K344" s="64">
        <v>6.2805351223538866</v>
      </c>
    </row>
    <row r="345" spans="1:11" ht="15">
      <c r="A345" s="13">
        <v>52140</v>
      </c>
      <c r="B345" s="63">
        <v>5.4682212244923969</v>
      </c>
      <c r="C345" s="63">
        <v>5.4682212244923969</v>
      </c>
      <c r="D345" s="63">
        <v>5.4768049444923967</v>
      </c>
      <c r="E345" s="64">
        <v>6.2945453153450153</v>
      </c>
      <c r="F345" s="64">
        <v>6.2945453153450153</v>
      </c>
      <c r="G345" s="64">
        <v>6.2947221153450155</v>
      </c>
      <c r="H345" s="64">
        <v>11.17804234881093</v>
      </c>
      <c r="I345" s="64">
        <v>11.17821914881093</v>
      </c>
      <c r="J345" s="64">
        <v>6.2945453153450153</v>
      </c>
      <c r="K345" s="64">
        <v>6.2947221153450155</v>
      </c>
    </row>
    <row r="346" spans="1:11" ht="15">
      <c r="A346" s="13">
        <v>52171</v>
      </c>
      <c r="B346" s="63">
        <v>5.4712609972196695</v>
      </c>
      <c r="C346" s="63">
        <v>5.4712609972196695</v>
      </c>
      <c r="D346" s="63">
        <v>5.4798447172196694</v>
      </c>
      <c r="E346" s="64">
        <v>6.3109539954563987</v>
      </c>
      <c r="F346" s="64">
        <v>6.3109539954563987</v>
      </c>
      <c r="G346" s="64">
        <v>6.3111307954563989</v>
      </c>
      <c r="H346" s="64">
        <v>11.20132993703762</v>
      </c>
      <c r="I346" s="64">
        <v>11.20150673703762</v>
      </c>
      <c r="J346" s="64">
        <v>6.3109539954563987</v>
      </c>
      <c r="K346" s="64">
        <v>6.3111307954563989</v>
      </c>
    </row>
    <row r="347" spans="1:11" ht="15">
      <c r="A347" s="13">
        <v>52201</v>
      </c>
      <c r="B347" s="63">
        <v>5.4712609972196695</v>
      </c>
      <c r="C347" s="63">
        <v>5.4712609972196695</v>
      </c>
      <c r="D347" s="63">
        <v>5.4798447172196694</v>
      </c>
      <c r="E347" s="64">
        <v>6.2752289053474302</v>
      </c>
      <c r="F347" s="64">
        <v>6.2752289053474302</v>
      </c>
      <c r="G347" s="64">
        <v>6.2754057053474304</v>
      </c>
      <c r="H347" s="64">
        <v>11.224666041073116</v>
      </c>
      <c r="I347" s="64">
        <v>11.224842841073116</v>
      </c>
      <c r="J347" s="64">
        <v>6.2752289053474302</v>
      </c>
      <c r="K347" s="64">
        <v>6.2754057053474304</v>
      </c>
    </row>
    <row r="348" spans="1:11" ht="15">
      <c r="A348" s="13">
        <v>52232</v>
      </c>
      <c r="B348" s="63">
        <v>5.5212087191269443</v>
      </c>
      <c r="C348" s="63">
        <v>5.5212087191269443</v>
      </c>
      <c r="D348" s="63">
        <v>5.5297924391269442</v>
      </c>
      <c r="E348" s="64">
        <v>6.3580368516056387</v>
      </c>
      <c r="F348" s="64">
        <v>6.3580368516056387</v>
      </c>
      <c r="G348" s="64">
        <v>6.3582136516056389</v>
      </c>
      <c r="H348" s="64">
        <v>11.248050761992019</v>
      </c>
      <c r="I348" s="64">
        <v>11.248227561992019</v>
      </c>
      <c r="J348" s="64">
        <v>6.3580368516056387</v>
      </c>
      <c r="K348" s="64">
        <v>6.3582136516056389</v>
      </c>
    </row>
    <row r="349" spans="1:11" ht="15">
      <c r="A349" s="13">
        <v>52263</v>
      </c>
      <c r="B349" s="63">
        <v>5.5181689463996708</v>
      </c>
      <c r="C349" s="63">
        <v>5.5181689463996708</v>
      </c>
      <c r="D349" s="63">
        <v>5.5267526663996707</v>
      </c>
      <c r="E349" s="64">
        <v>6.2865095219147102</v>
      </c>
      <c r="F349" s="64">
        <v>6.2865095219147102</v>
      </c>
      <c r="G349" s="64">
        <v>6.2866863219147104</v>
      </c>
      <c r="H349" s="64">
        <v>11.271484201079504</v>
      </c>
      <c r="I349" s="64">
        <v>11.271661001079504</v>
      </c>
      <c r="J349" s="64">
        <v>6.2865095219147102</v>
      </c>
      <c r="K349" s="64">
        <v>6.2866863219147104</v>
      </c>
    </row>
    <row r="350" spans="1:11" ht="15">
      <c r="A350" s="13">
        <v>52291</v>
      </c>
      <c r="B350" s="63">
        <v>5.5151291736723982</v>
      </c>
      <c r="C350" s="63">
        <v>5.5151291736723982</v>
      </c>
      <c r="D350" s="63">
        <v>5.523712893672398</v>
      </c>
      <c r="E350" s="64">
        <v>6.3391084876319601</v>
      </c>
      <c r="F350" s="64">
        <v>6.3391084876319601</v>
      </c>
      <c r="G350" s="64">
        <v>6.3392852876319603</v>
      </c>
      <c r="H350" s="64">
        <v>11.294966459831754</v>
      </c>
      <c r="I350" s="64">
        <v>11.295143259831754</v>
      </c>
      <c r="J350" s="64">
        <v>6.3391084876319601</v>
      </c>
      <c r="K350" s="64">
        <v>6.3392852876319603</v>
      </c>
    </row>
    <row r="351" spans="1:11" ht="15">
      <c r="A351" s="13">
        <v>52322</v>
      </c>
      <c r="B351" s="63">
        <v>5.5141612132215405</v>
      </c>
      <c r="C351" s="63">
        <v>5.5141612132215405</v>
      </c>
      <c r="D351" s="63">
        <v>5.5227449332215404</v>
      </c>
      <c r="E351" s="64">
        <v>6.3936355028487046</v>
      </c>
      <c r="F351" s="64">
        <v>6.3936355028487046</v>
      </c>
      <c r="G351" s="64">
        <v>6.3938123028487048</v>
      </c>
      <c r="H351" s="64">
        <v>11.318497639956405</v>
      </c>
      <c r="I351" s="64">
        <v>11.318674439956405</v>
      </c>
      <c r="J351" s="64">
        <v>6.3936355028487046</v>
      </c>
      <c r="K351" s="64">
        <v>6.3938123028487048</v>
      </c>
    </row>
    <row r="352" spans="1:11" ht="15">
      <c r="A352" s="13">
        <v>52352</v>
      </c>
      <c r="B352" s="63">
        <v>5.5141612132215405</v>
      </c>
      <c r="C352" s="63">
        <v>5.5141612132215405</v>
      </c>
      <c r="D352" s="63">
        <v>5.5313249332215406</v>
      </c>
      <c r="E352" s="64">
        <v>6.4156721166058306</v>
      </c>
      <c r="F352" s="64">
        <v>6.4156721166058306</v>
      </c>
      <c r="G352" s="64">
        <v>6.4168239166058303</v>
      </c>
      <c r="H352" s="64">
        <v>11.342077843372982</v>
      </c>
      <c r="I352" s="64">
        <v>11.343229643372982</v>
      </c>
      <c r="J352" s="64">
        <v>6.4156721166058306</v>
      </c>
      <c r="K352" s="64">
        <v>6.4168239166058303</v>
      </c>
    </row>
    <row r="353" spans="1:11" ht="15">
      <c r="A353" s="13">
        <v>52383</v>
      </c>
      <c r="B353" s="63">
        <v>5.5202407586760849</v>
      </c>
      <c r="C353" s="63">
        <v>5.5202407586760849</v>
      </c>
      <c r="D353" s="63">
        <v>5.537404478676085</v>
      </c>
      <c r="E353" s="64">
        <v>6.3978727909842981</v>
      </c>
      <c r="F353" s="64">
        <v>6.3978727909842981</v>
      </c>
      <c r="G353" s="64">
        <v>6.3990245909842978</v>
      </c>
      <c r="H353" s="64">
        <v>11.365707172213343</v>
      </c>
      <c r="I353" s="64">
        <v>11.366858972213343</v>
      </c>
      <c r="J353" s="64">
        <v>6.3978727909842981</v>
      </c>
      <c r="K353" s="64">
        <v>6.3990245909842978</v>
      </c>
    </row>
    <row r="354" spans="1:11" ht="15">
      <c r="A354" s="13">
        <v>52413</v>
      </c>
      <c r="B354" s="63">
        <v>5.6131865484394954</v>
      </c>
      <c r="C354" s="63">
        <v>5.6131865484394954</v>
      </c>
      <c r="D354" s="63">
        <v>5.6303502684394955</v>
      </c>
      <c r="E354" s="64">
        <v>6.5257108705650477</v>
      </c>
      <c r="F354" s="64">
        <v>6.5257108705650486</v>
      </c>
      <c r="G354" s="64">
        <v>6.5268626705650483</v>
      </c>
      <c r="H354" s="64">
        <v>11.389385728822122</v>
      </c>
      <c r="I354" s="64">
        <v>11.390537528822122</v>
      </c>
      <c r="J354" s="64">
        <v>6.5257108705650477</v>
      </c>
      <c r="K354" s="64">
        <v>6.5268626705650474</v>
      </c>
    </row>
    <row r="355" spans="1:11" ht="15">
      <c r="A355" s="13">
        <v>52444</v>
      </c>
      <c r="B355" s="63">
        <v>5.6198740484394953</v>
      </c>
      <c r="C355" s="63">
        <v>5.6198740484394953</v>
      </c>
      <c r="D355" s="63">
        <v>5.6370377684394954</v>
      </c>
      <c r="E355" s="64">
        <v>6.4642620462428217</v>
      </c>
      <c r="F355" s="64">
        <v>6.4642620462428217</v>
      </c>
      <c r="G355" s="64">
        <v>6.4654138462428214</v>
      </c>
      <c r="H355" s="64">
        <v>11.413113615757169</v>
      </c>
      <c r="I355" s="64">
        <v>11.414265415757169</v>
      </c>
      <c r="J355" s="64">
        <v>6.4642620462428217</v>
      </c>
      <c r="K355" s="64">
        <v>6.4654138462428214</v>
      </c>
    </row>
    <row r="356" spans="1:11" ht="15">
      <c r="A356" s="13">
        <v>52475</v>
      </c>
      <c r="B356" s="63">
        <v>5.6168342757122227</v>
      </c>
      <c r="C356" s="63">
        <v>5.6168342757122227</v>
      </c>
      <c r="D356" s="63">
        <v>5.6339979957122228</v>
      </c>
      <c r="E356" s="64">
        <v>6.4547978642559833</v>
      </c>
      <c r="F356" s="64">
        <v>6.4547978642559833</v>
      </c>
      <c r="G356" s="64">
        <v>6.455949664255983</v>
      </c>
      <c r="H356" s="64">
        <v>11.436890935789997</v>
      </c>
      <c r="I356" s="64">
        <v>11.438042735789997</v>
      </c>
      <c r="J356" s="64">
        <v>6.4547978642559833</v>
      </c>
      <c r="K356" s="64">
        <v>6.455949664255983</v>
      </c>
    </row>
    <row r="357" spans="1:11" ht="15">
      <c r="A357" s="13">
        <v>52505</v>
      </c>
      <c r="B357" s="63">
        <v>5.6175377717431907</v>
      </c>
      <c r="C357" s="63">
        <v>5.6175377717431907</v>
      </c>
      <c r="D357" s="63">
        <v>5.6261214917431905</v>
      </c>
      <c r="E357" s="64">
        <v>6.4707619368361069</v>
      </c>
      <c r="F357" s="64">
        <v>6.4707619368361069</v>
      </c>
      <c r="G357" s="64">
        <v>6.4709387368361071</v>
      </c>
      <c r="H357" s="64">
        <v>11.460717791906227</v>
      </c>
      <c r="I357" s="64">
        <v>11.460894591906227</v>
      </c>
      <c r="J357" s="64">
        <v>6.4707619368361069</v>
      </c>
      <c r="K357" s="64">
        <v>6.4709387368361071</v>
      </c>
    </row>
    <row r="358" spans="1:11" ht="15">
      <c r="A358" s="13">
        <v>52536</v>
      </c>
      <c r="B358" s="63">
        <v>5.6205775444704633</v>
      </c>
      <c r="C358" s="63">
        <v>5.6205775444704633</v>
      </c>
      <c r="D358" s="63">
        <v>5.6291612644704632</v>
      </c>
      <c r="E358" s="64">
        <v>6.4875716567419879</v>
      </c>
      <c r="F358" s="64">
        <v>6.4875716567419879</v>
      </c>
      <c r="G358" s="64">
        <v>6.4877484567419881</v>
      </c>
      <c r="H358" s="64">
        <v>11.484594287306033</v>
      </c>
      <c r="I358" s="64">
        <v>11.484771087306033</v>
      </c>
      <c r="J358" s="64">
        <v>6.4875716567419879</v>
      </c>
      <c r="K358" s="64">
        <v>6.4877484567419881</v>
      </c>
    </row>
    <row r="359" spans="1:11" ht="15">
      <c r="A359" s="13">
        <v>52566</v>
      </c>
      <c r="B359" s="63">
        <v>5.6205775444704633</v>
      </c>
      <c r="C359" s="63">
        <v>5.6205775444704633</v>
      </c>
      <c r="D359" s="63">
        <v>5.6291612644704632</v>
      </c>
      <c r="E359" s="64">
        <v>6.4508439671467777</v>
      </c>
      <c r="F359" s="64">
        <v>6.4508439671467777</v>
      </c>
      <c r="G359" s="64">
        <v>6.4510207671467779</v>
      </c>
      <c r="H359" s="64">
        <v>11.508520525404588</v>
      </c>
      <c r="I359" s="64">
        <v>11.508697325404588</v>
      </c>
      <c r="J359" s="64">
        <v>6.4508439671467777</v>
      </c>
      <c r="K359" s="64">
        <v>6.4510207671467779</v>
      </c>
    </row>
    <row r="360" spans="1:11" ht="15">
      <c r="A360" s="13">
        <v>52597</v>
      </c>
      <c r="B360" s="63">
        <v>5.6716690839762842</v>
      </c>
      <c r="C360" s="63">
        <v>5.6716690839762842</v>
      </c>
      <c r="D360" s="63">
        <v>5.6802528039762841</v>
      </c>
      <c r="E360" s="64">
        <v>6.5359135900323739</v>
      </c>
      <c r="F360" s="64">
        <v>6.5359135900323739</v>
      </c>
      <c r="G360" s="64">
        <v>6.5360903900323741</v>
      </c>
      <c r="H360" s="64">
        <v>11.532496609832515</v>
      </c>
      <c r="I360" s="64">
        <v>11.532673409832515</v>
      </c>
      <c r="J360" s="64">
        <v>6.5359135900323739</v>
      </c>
      <c r="K360" s="64">
        <v>6.5360903900323741</v>
      </c>
    </row>
    <row r="361" spans="1:11" ht="15">
      <c r="A361" s="13">
        <v>52628</v>
      </c>
      <c r="B361" s="63">
        <v>5.6686293112490107</v>
      </c>
      <c r="C361" s="63">
        <v>5.6686293112490107</v>
      </c>
      <c r="D361" s="63">
        <v>5.6772130312490106</v>
      </c>
      <c r="E361" s="64">
        <v>6.4624383544765696</v>
      </c>
      <c r="F361" s="64">
        <v>6.4624383544765696</v>
      </c>
      <c r="G361" s="64">
        <v>6.4626151544765698</v>
      </c>
      <c r="H361" s="64">
        <v>11.556522644436335</v>
      </c>
      <c r="I361" s="64">
        <v>11.556699444436335</v>
      </c>
      <c r="J361" s="64">
        <v>6.4624383544765696</v>
      </c>
      <c r="K361" s="64">
        <v>6.4626151544765698</v>
      </c>
    </row>
    <row r="362" spans="1:11" ht="15">
      <c r="A362" s="13">
        <v>52657</v>
      </c>
      <c r="B362" s="63">
        <v>5.6655895385217372</v>
      </c>
      <c r="C362" s="63">
        <v>5.6655895385217372</v>
      </c>
      <c r="D362" s="63">
        <v>5.674173258521737</v>
      </c>
      <c r="E362" s="64">
        <v>6.516572931364891</v>
      </c>
      <c r="F362" s="64">
        <v>6.516572931364891</v>
      </c>
      <c r="G362" s="64">
        <v>6.5167497313648912</v>
      </c>
      <c r="H362" s="64">
        <v>11.580598733278912</v>
      </c>
      <c r="I362" s="64">
        <v>11.580775533278912</v>
      </c>
      <c r="J362" s="64">
        <v>6.516572931364891</v>
      </c>
      <c r="K362" s="64">
        <v>6.5167497313648912</v>
      </c>
    </row>
    <row r="363" spans="1:11" ht="15">
      <c r="A363" s="13">
        <v>52688</v>
      </c>
      <c r="B363" s="63">
        <v>5.6647523072820487</v>
      </c>
      <c r="C363" s="63">
        <v>5.6647523072820487</v>
      </c>
      <c r="D363" s="63">
        <v>5.6733360272820486</v>
      </c>
      <c r="E363" s="64">
        <v>6.5727491253568529</v>
      </c>
      <c r="F363" s="64">
        <v>6.5727491253568529</v>
      </c>
      <c r="G363" s="64">
        <v>6.572925925356853</v>
      </c>
      <c r="H363" s="64">
        <v>11.60472498063991</v>
      </c>
      <c r="I363" s="64">
        <v>11.60490178063991</v>
      </c>
      <c r="J363" s="64">
        <v>6.5727491253568529</v>
      </c>
      <c r="K363" s="64">
        <v>6.572925925356853</v>
      </c>
    </row>
    <row r="364" spans="1:11" ht="15">
      <c r="A364" s="13">
        <v>52718</v>
      </c>
      <c r="B364" s="63">
        <v>5.6647523072820487</v>
      </c>
      <c r="C364" s="63">
        <v>5.6647523072820487</v>
      </c>
      <c r="D364" s="63">
        <v>5.6819160272820488</v>
      </c>
      <c r="E364" s="64">
        <v>6.5954041811546862</v>
      </c>
      <c r="F364" s="64">
        <v>6.5954041811546862</v>
      </c>
      <c r="G364" s="64">
        <v>6.5965559811546859</v>
      </c>
      <c r="H364" s="64">
        <v>11.628901491016244</v>
      </c>
      <c r="I364" s="64">
        <v>11.630053291016244</v>
      </c>
      <c r="J364" s="64">
        <v>6.5954041811546862</v>
      </c>
      <c r="K364" s="64">
        <v>6.5965559811546859</v>
      </c>
    </row>
    <row r="365" spans="1:11" ht="15">
      <c r="A365" s="13">
        <v>52749</v>
      </c>
      <c r="B365" s="63">
        <v>5.670831852736594</v>
      </c>
      <c r="C365" s="63">
        <v>5.670831852736594</v>
      </c>
      <c r="D365" s="63">
        <v>5.6879955727365941</v>
      </c>
      <c r="E365" s="64">
        <v>6.5769864134924454</v>
      </c>
      <c r="F365" s="64">
        <v>6.5769864134924454</v>
      </c>
      <c r="G365" s="64">
        <v>6.5781382134924451</v>
      </c>
      <c r="H365" s="64">
        <v>11.653128369122529</v>
      </c>
      <c r="I365" s="64">
        <v>11.654280169122529</v>
      </c>
      <c r="J365" s="64">
        <v>6.5769864134924454</v>
      </c>
      <c r="K365" s="64">
        <v>6.5781382134924451</v>
      </c>
    </row>
    <row r="366" spans="1:11" ht="15">
      <c r="A366" s="13">
        <v>52779</v>
      </c>
      <c r="B366" s="63">
        <v>5.7658247104947273</v>
      </c>
      <c r="C366" s="63">
        <v>5.7658247104947273</v>
      </c>
      <c r="D366" s="63">
        <v>5.7829884304947274</v>
      </c>
      <c r="E366" s="64">
        <v>6.7082170209731871</v>
      </c>
      <c r="F366" s="64">
        <v>6.7082170209731871</v>
      </c>
      <c r="G366" s="64">
        <v>6.7093688209731868</v>
      </c>
      <c r="H366" s="64">
        <v>11.677405719891535</v>
      </c>
      <c r="I366" s="64">
        <v>11.678557519891536</v>
      </c>
      <c r="J366" s="64">
        <v>6.7082170209731871</v>
      </c>
      <c r="K366" s="64">
        <v>6.7093688209731868</v>
      </c>
    </row>
    <row r="367" spans="1:11" ht="15">
      <c r="A367" s="13">
        <v>52810</v>
      </c>
      <c r="B367" s="63">
        <v>5.7725122104947273</v>
      </c>
      <c r="C367" s="63">
        <v>5.7725122104947273</v>
      </c>
      <c r="D367" s="63">
        <v>5.7896759304947274</v>
      </c>
      <c r="E367" s="64">
        <v>6.6449128705288425</v>
      </c>
      <c r="F367" s="64">
        <v>6.6449128705288425</v>
      </c>
      <c r="G367" s="64">
        <v>6.6460646705288422</v>
      </c>
      <c r="H367" s="64">
        <v>11.701733648474644</v>
      </c>
      <c r="I367" s="64">
        <v>11.702885448474644</v>
      </c>
      <c r="J367" s="64">
        <v>6.6449128705288425</v>
      </c>
      <c r="K367" s="64">
        <v>6.6460646705288422</v>
      </c>
    </row>
    <row r="368" spans="1:11" ht="15">
      <c r="A368" s="13">
        <v>52841</v>
      </c>
      <c r="B368" s="63">
        <v>5.7694724377674547</v>
      </c>
      <c r="C368" s="63">
        <v>5.7694724377674547</v>
      </c>
      <c r="D368" s="63">
        <v>5.7866361577674548</v>
      </c>
      <c r="E368" s="64">
        <v>6.6352425411951002</v>
      </c>
      <c r="F368" s="64">
        <v>6.6352425411951002</v>
      </c>
      <c r="G368" s="64">
        <v>6.6363943411950999</v>
      </c>
      <c r="H368" s="64">
        <v>11.726112260242301</v>
      </c>
      <c r="I368" s="64">
        <v>11.727264060242302</v>
      </c>
      <c r="J368" s="64">
        <v>6.6352425411951002</v>
      </c>
      <c r="K368" s="64">
        <v>6.6363943411950999</v>
      </c>
    </row>
    <row r="369" spans="1:11" ht="15">
      <c r="A369" s="13">
        <v>52871</v>
      </c>
      <c r="B369" s="63">
        <v>5.7706851220925932</v>
      </c>
      <c r="C369" s="63">
        <v>5.7706851220925932</v>
      </c>
      <c r="D369" s="63">
        <v>5.7792688420925931</v>
      </c>
      <c r="E369" s="64">
        <v>6.6520312031628306</v>
      </c>
      <c r="F369" s="64">
        <v>6.6520312031628306</v>
      </c>
      <c r="G369" s="64">
        <v>6.6522080031628308</v>
      </c>
      <c r="H369" s="64">
        <v>11.750541660784474</v>
      </c>
      <c r="I369" s="64">
        <v>11.750718460784475</v>
      </c>
      <c r="J369" s="64">
        <v>6.6520312031628306</v>
      </c>
      <c r="K369" s="64">
        <v>6.6522080031628308</v>
      </c>
    </row>
    <row r="370" spans="1:11" ht="15">
      <c r="A370" s="13">
        <v>52902</v>
      </c>
      <c r="B370" s="63">
        <v>5.773724894819865</v>
      </c>
      <c r="C370" s="63">
        <v>5.773724894819865</v>
      </c>
      <c r="D370" s="63">
        <v>5.7823086148198648</v>
      </c>
      <c r="E370" s="64">
        <v>6.6692532177625159</v>
      </c>
      <c r="F370" s="64">
        <v>6.6692532177625159</v>
      </c>
      <c r="G370" s="64">
        <v>6.6694300177625161</v>
      </c>
      <c r="H370" s="64">
        <v>11.775021955911109</v>
      </c>
      <c r="I370" s="64">
        <v>11.775198755911109</v>
      </c>
      <c r="J370" s="64">
        <v>6.6692532177625159</v>
      </c>
      <c r="K370" s="64">
        <v>6.6694300177625161</v>
      </c>
    </row>
    <row r="371" spans="1:11" ht="15">
      <c r="A371" s="13">
        <v>52932</v>
      </c>
      <c r="B371" s="63">
        <v>5.773724894819865</v>
      </c>
      <c r="C371" s="63">
        <v>5.773724894819865</v>
      </c>
      <c r="D371" s="63">
        <v>5.7823086148198648</v>
      </c>
      <c r="E371" s="64">
        <v>6.6314947914327949</v>
      </c>
      <c r="F371" s="64">
        <v>6.6314947914327949</v>
      </c>
      <c r="G371" s="64">
        <v>6.6316715914327951</v>
      </c>
      <c r="H371" s="64">
        <v>11.799553251652592</v>
      </c>
      <c r="I371" s="64">
        <v>11.799730051652592</v>
      </c>
      <c r="J371" s="64">
        <v>6.6314947914327949</v>
      </c>
      <c r="K371" s="64">
        <v>6.6316715914327951</v>
      </c>
    </row>
    <row r="372" spans="1:11" ht="15">
      <c r="A372" s="13">
        <v>52963</v>
      </c>
      <c r="B372" s="63">
        <v>5.8261332886355346</v>
      </c>
      <c r="C372" s="63">
        <v>5.8261332886355346</v>
      </c>
      <c r="D372" s="63">
        <v>5.8347170086355344</v>
      </c>
      <c r="E372" s="64">
        <v>6.7188349929882554</v>
      </c>
      <c r="F372" s="64">
        <v>6.7188349929882554</v>
      </c>
      <c r="G372" s="64">
        <v>6.7190117929882556</v>
      </c>
      <c r="H372" s="64">
        <v>11.824135654260202</v>
      </c>
      <c r="I372" s="64">
        <v>11.824312454260202</v>
      </c>
      <c r="J372" s="64">
        <v>6.7188349929882554</v>
      </c>
      <c r="K372" s="64">
        <v>6.7190117929882556</v>
      </c>
    </row>
    <row r="373" spans="1:11" ht="15">
      <c r="A373" s="13">
        <v>52994</v>
      </c>
      <c r="B373" s="63">
        <v>5.8230935159082611</v>
      </c>
      <c r="C373" s="63">
        <v>5.8230935159082611</v>
      </c>
      <c r="D373" s="63">
        <v>5.8316772359082609</v>
      </c>
      <c r="E373" s="64">
        <v>6.643357184961741</v>
      </c>
      <c r="F373" s="64">
        <v>6.643357184961741</v>
      </c>
      <c r="G373" s="64">
        <v>6.6435339849617412</v>
      </c>
      <c r="H373" s="64">
        <v>11.848769270206578</v>
      </c>
      <c r="I373" s="64">
        <v>11.848946070206578</v>
      </c>
      <c r="J373" s="64">
        <v>6.643357184961741</v>
      </c>
      <c r="K373" s="64">
        <v>6.6435339849617412</v>
      </c>
    </row>
    <row r="374" spans="1:11" ht="15">
      <c r="A374" s="13">
        <v>53022</v>
      </c>
      <c r="B374" s="63">
        <v>5.8200537431809876</v>
      </c>
      <c r="C374" s="63">
        <v>5.8200537431809876</v>
      </c>
      <c r="D374" s="63">
        <v>5.8286374631809874</v>
      </c>
      <c r="E374" s="64">
        <v>6.6990704688668412</v>
      </c>
      <c r="F374" s="64">
        <v>6.6990704688668412</v>
      </c>
      <c r="G374" s="64">
        <v>6.6992472688668414</v>
      </c>
      <c r="H374" s="64">
        <v>11.873454206186176</v>
      </c>
      <c r="I374" s="64">
        <v>11.873631006186177</v>
      </c>
      <c r="J374" s="64">
        <v>6.6990704688668412</v>
      </c>
      <c r="K374" s="64">
        <v>6.6992472688668414</v>
      </c>
    </row>
    <row r="375" spans="1:11" ht="15">
      <c r="A375" s="13">
        <v>53053</v>
      </c>
      <c r="B375" s="63">
        <v>5.8193503536048778</v>
      </c>
      <c r="C375" s="63">
        <v>5.8193503536048778</v>
      </c>
      <c r="D375" s="63">
        <v>5.8279340736048777</v>
      </c>
      <c r="E375" s="64">
        <v>6.7569421246745298</v>
      </c>
      <c r="F375" s="64">
        <v>6.7569421246745298</v>
      </c>
      <c r="G375" s="64">
        <v>6.75711892467453</v>
      </c>
      <c r="H375" s="64">
        <v>11.898190569115732</v>
      </c>
      <c r="I375" s="64">
        <v>11.898367369115732</v>
      </c>
      <c r="J375" s="64">
        <v>6.7569421246745298</v>
      </c>
      <c r="K375" s="64">
        <v>6.75711892467453</v>
      </c>
    </row>
    <row r="376" spans="1:11" ht="15">
      <c r="A376" s="13">
        <v>53083</v>
      </c>
      <c r="B376" s="63">
        <v>5.8193503536048778</v>
      </c>
      <c r="C376" s="63">
        <v>5.8193503536048778</v>
      </c>
      <c r="D376" s="63">
        <v>5.836514073604878</v>
      </c>
      <c r="E376" s="64">
        <v>6.7802329786532596</v>
      </c>
      <c r="F376" s="64">
        <v>6.7802329786532596</v>
      </c>
      <c r="G376" s="64">
        <v>6.7813847786532593</v>
      </c>
      <c r="H376" s="64">
        <v>11.922978466134724</v>
      </c>
      <c r="I376" s="64">
        <v>11.924130266134725</v>
      </c>
      <c r="J376" s="64">
        <v>6.7802329786532596</v>
      </c>
      <c r="K376" s="64">
        <v>6.7813847786532593</v>
      </c>
    </row>
    <row r="377" spans="1:11" ht="15">
      <c r="A377" s="13">
        <v>53114</v>
      </c>
      <c r="B377" s="63">
        <v>5.8254298990594222</v>
      </c>
      <c r="C377" s="63">
        <v>5.8254298990594222</v>
      </c>
      <c r="D377" s="63">
        <v>5.8425936190594223</v>
      </c>
      <c r="E377" s="64">
        <v>6.7611794128101232</v>
      </c>
      <c r="F377" s="64">
        <v>6.7611794128101232</v>
      </c>
      <c r="G377" s="64">
        <v>6.7623312128101229</v>
      </c>
      <c r="H377" s="64">
        <v>11.947818004605839</v>
      </c>
      <c r="I377" s="64">
        <v>11.94896980460584</v>
      </c>
      <c r="J377" s="64">
        <v>6.7611794128101232</v>
      </c>
      <c r="K377" s="64">
        <v>6.7623312128101229</v>
      </c>
    </row>
    <row r="378" spans="1:11" ht="15">
      <c r="A378" s="13">
        <v>53144</v>
      </c>
      <c r="B378" s="63">
        <v>5.9227959376035511</v>
      </c>
      <c r="C378" s="63">
        <v>5.9227959376035511</v>
      </c>
      <c r="D378" s="63">
        <v>5.9399596576035512</v>
      </c>
      <c r="E378" s="64">
        <v>6.8957643629838659</v>
      </c>
      <c r="F378" s="64">
        <v>6.8957643629838659</v>
      </c>
      <c r="G378" s="64">
        <v>6.8969161629838656</v>
      </c>
      <c r="H378" s="64">
        <v>11.972709292115436</v>
      </c>
      <c r="I378" s="64">
        <v>11.973861092115436</v>
      </c>
      <c r="J378" s="64">
        <v>6.8957643629838659</v>
      </c>
      <c r="K378" s="64">
        <v>6.8969161629838656</v>
      </c>
    </row>
    <row r="379" spans="1:11" ht="15">
      <c r="A379" s="13">
        <v>53175</v>
      </c>
      <c r="B379" s="63">
        <v>5.929483437603551</v>
      </c>
      <c r="C379" s="63">
        <v>5.929483437603551</v>
      </c>
      <c r="D379" s="63">
        <v>5.9466471576035511</v>
      </c>
      <c r="E379" s="64">
        <v>6.8305528179968267</v>
      </c>
      <c r="F379" s="64">
        <v>6.8305528179968267</v>
      </c>
      <c r="G379" s="64">
        <v>6.8317046179968264</v>
      </c>
      <c r="H379" s="64">
        <v>11.997652436474011</v>
      </c>
      <c r="I379" s="64">
        <v>11.998804236474012</v>
      </c>
      <c r="J379" s="64">
        <v>6.8305528179968267</v>
      </c>
      <c r="K379" s="64">
        <v>6.8317046179968264</v>
      </c>
    </row>
    <row r="380" spans="1:11" ht="15">
      <c r="A380" s="13">
        <v>53206</v>
      </c>
      <c r="B380" s="63">
        <v>5.9264436648762793</v>
      </c>
      <c r="C380" s="63">
        <v>5.9264436648762793</v>
      </c>
      <c r="D380" s="63">
        <v>5.9436073848762794</v>
      </c>
      <c r="E380" s="64">
        <v>6.8206705559361192</v>
      </c>
      <c r="F380" s="64">
        <v>6.8206705559361192</v>
      </c>
      <c r="G380" s="64">
        <v>6.8218223559361189</v>
      </c>
      <c r="H380" s="64">
        <v>12.022647545716666</v>
      </c>
      <c r="I380" s="64">
        <v>12.023799345716666</v>
      </c>
      <c r="J380" s="64">
        <v>6.8206705559361192</v>
      </c>
      <c r="K380" s="64">
        <v>6.8218223559361189</v>
      </c>
    </row>
    <row r="381" spans="1:11" ht="15">
      <c r="A381" s="13">
        <v>53236</v>
      </c>
      <c r="B381" s="63">
        <v>5.9281794189548878</v>
      </c>
      <c r="C381" s="63">
        <v>5.9281794189548878</v>
      </c>
      <c r="D381" s="63">
        <v>5.9367631389548876</v>
      </c>
      <c r="E381" s="64">
        <v>6.8383069488117165</v>
      </c>
      <c r="F381" s="64">
        <v>6.8383069488117156</v>
      </c>
      <c r="G381" s="64">
        <v>6.8384837488117158</v>
      </c>
      <c r="H381" s="64">
        <v>12.047694728103577</v>
      </c>
      <c r="I381" s="64">
        <v>12.047871528103578</v>
      </c>
      <c r="J381" s="64">
        <v>6.8383069488117165</v>
      </c>
      <c r="K381" s="64">
        <v>6.8384837488117167</v>
      </c>
    </row>
    <row r="382" spans="1:11" ht="15">
      <c r="A382" s="13">
        <v>53267</v>
      </c>
      <c r="B382" s="63">
        <v>5.9312191916821604</v>
      </c>
      <c r="C382" s="63">
        <v>5.9312191916821604</v>
      </c>
      <c r="D382" s="63">
        <v>5.9398029116821602</v>
      </c>
      <c r="E382" s="64">
        <v>6.8559528288653322</v>
      </c>
      <c r="F382" s="64">
        <v>6.8559528288653322</v>
      </c>
      <c r="G382" s="64">
        <v>6.8561296288653324</v>
      </c>
      <c r="H382" s="64">
        <v>12.072794092120461</v>
      </c>
      <c r="I382" s="64">
        <v>12.072970892120461</v>
      </c>
      <c r="J382" s="64">
        <v>6.8559528288653322</v>
      </c>
      <c r="K382" s="64">
        <v>6.8561296288653324</v>
      </c>
    </row>
    <row r="383" spans="1:11" ht="15">
      <c r="A383" s="13">
        <v>53297</v>
      </c>
      <c r="B383" s="63">
        <v>5.9312191916821604</v>
      </c>
      <c r="C383" s="63">
        <v>5.9312191916821604</v>
      </c>
      <c r="D383" s="63">
        <v>5.9398029116821602</v>
      </c>
      <c r="E383" s="64">
        <v>6.8171347389007826</v>
      </c>
      <c r="F383" s="64">
        <v>6.8171347389007817</v>
      </c>
      <c r="G383" s="64">
        <v>6.8173115389007819</v>
      </c>
      <c r="H383" s="64">
        <v>12.097945746479047</v>
      </c>
      <c r="I383" s="64">
        <v>12.098122546479047</v>
      </c>
      <c r="J383" s="64">
        <v>6.8171347389007826</v>
      </c>
      <c r="K383" s="64">
        <v>6.8173115389007828</v>
      </c>
    </row>
    <row r="384" spans="1:11" ht="15">
      <c r="A384" s="13">
        <v>53328</v>
      </c>
      <c r="B384" s="63">
        <v>5.9849116430519356</v>
      </c>
      <c r="C384" s="63">
        <v>5.9849116430519356</v>
      </c>
      <c r="D384" s="63">
        <v>5.9934953630519354</v>
      </c>
      <c r="E384" s="64">
        <v>6.9068390785172626</v>
      </c>
      <c r="F384" s="64">
        <v>6.9068390785172626</v>
      </c>
      <c r="G384" s="64">
        <v>6.9070158785172628</v>
      </c>
      <c r="H384" s="64">
        <v>12.123149800117545</v>
      </c>
      <c r="I384" s="64">
        <v>12.123326600117545</v>
      </c>
      <c r="J384" s="64">
        <v>6.9068390785172626</v>
      </c>
      <c r="K384" s="64">
        <v>6.9070158785172628</v>
      </c>
    </row>
    <row r="385" spans="1:11" ht="15">
      <c r="A385" s="13">
        <v>53359</v>
      </c>
      <c r="B385" s="63">
        <v>5.9818718703246638</v>
      </c>
      <c r="C385" s="63">
        <v>5.9818718703246638</v>
      </c>
      <c r="D385" s="63">
        <v>5.9904555903246637</v>
      </c>
      <c r="E385" s="64">
        <v>6.8293024972344236</v>
      </c>
      <c r="F385" s="64">
        <v>6.8293024972344236</v>
      </c>
      <c r="G385" s="64">
        <v>6.8294792972344238</v>
      </c>
      <c r="H385" s="64">
        <v>12.148406362201126</v>
      </c>
      <c r="I385" s="64">
        <v>12.148583162201126</v>
      </c>
      <c r="J385" s="64">
        <v>6.8293024972344236</v>
      </c>
      <c r="K385" s="64">
        <v>6.8294792972344238</v>
      </c>
    </row>
    <row r="386" spans="1:11" ht="15">
      <c r="A386" s="13">
        <v>53387</v>
      </c>
      <c r="B386" s="63">
        <v>5.9788320975973903</v>
      </c>
      <c r="C386" s="63">
        <v>5.9788320975973903</v>
      </c>
      <c r="D386" s="63">
        <v>5.9874158175973902</v>
      </c>
      <c r="E386" s="64">
        <v>6.8866387934565561</v>
      </c>
      <c r="F386" s="64">
        <v>6.8866387934565561</v>
      </c>
      <c r="G386" s="64">
        <v>6.8868155934565563</v>
      </c>
      <c r="H386" s="64">
        <v>12.173715542122379</v>
      </c>
      <c r="I386" s="64">
        <v>12.173892342122379</v>
      </c>
      <c r="J386" s="64">
        <v>6.8866387934565561</v>
      </c>
      <c r="K386" s="64">
        <v>6.8868155934565563</v>
      </c>
    </row>
    <row r="387" spans="1:11" ht="15">
      <c r="A387" s="13">
        <v>53418</v>
      </c>
      <c r="B387" s="63">
        <v>5.9782660826395473</v>
      </c>
      <c r="C387" s="63">
        <v>5.9782660826395473</v>
      </c>
      <c r="D387" s="63">
        <v>5.9868498026395471</v>
      </c>
      <c r="E387" s="64">
        <v>6.9462534930214073</v>
      </c>
      <c r="F387" s="64">
        <v>6.9462534930214073</v>
      </c>
      <c r="G387" s="64">
        <v>6.9464302930214075</v>
      </c>
      <c r="H387" s="64">
        <v>12.199077449501802</v>
      </c>
      <c r="I387" s="64">
        <v>12.199254249501802</v>
      </c>
      <c r="J387" s="64">
        <v>6.9462534930214073</v>
      </c>
      <c r="K387" s="64">
        <v>6.9464302930214075</v>
      </c>
    </row>
    <row r="388" spans="1:11" ht="15">
      <c r="A388" s="13">
        <v>53448</v>
      </c>
      <c r="B388" s="63">
        <v>5.9782660826395473</v>
      </c>
      <c r="C388" s="63">
        <v>5.9782660826395473</v>
      </c>
      <c r="D388" s="63">
        <v>5.9954298026395474</v>
      </c>
      <c r="E388" s="64">
        <v>6.9701979884090761</v>
      </c>
      <c r="F388" s="64">
        <v>6.9701979884090761</v>
      </c>
      <c r="G388" s="64">
        <v>6.9713497884090758</v>
      </c>
      <c r="H388" s="64">
        <v>12.224492194188265</v>
      </c>
      <c r="I388" s="64">
        <v>12.225643994188266</v>
      </c>
      <c r="J388" s="64">
        <v>6.9701979884090761</v>
      </c>
      <c r="K388" s="64">
        <v>6.9713497884090758</v>
      </c>
    </row>
    <row r="389" spans="1:11" ht="15">
      <c r="A389" s="13">
        <v>53479</v>
      </c>
      <c r="B389" s="63">
        <v>5.9843456280940925</v>
      </c>
      <c r="C389" s="63">
        <v>5.9843456280940925</v>
      </c>
      <c r="D389" s="63">
        <v>6.0015093480940926</v>
      </c>
      <c r="E389" s="64">
        <v>6.9504907811570016</v>
      </c>
      <c r="F389" s="64">
        <v>6.9504907811570016</v>
      </c>
      <c r="G389" s="64">
        <v>6.9516425811570013</v>
      </c>
      <c r="H389" s="64">
        <v>12.249959886259491</v>
      </c>
      <c r="I389" s="64">
        <v>12.251111686259492</v>
      </c>
      <c r="J389" s="64">
        <v>6.9504907811570016</v>
      </c>
      <c r="K389" s="64">
        <v>6.9516425811570013</v>
      </c>
    </row>
    <row r="390" spans="1:11" ht="15">
      <c r="A390" s="13">
        <v>53509</v>
      </c>
      <c r="B390" s="63">
        <v>6.0840220607982118</v>
      </c>
      <c r="C390" s="63">
        <v>6.0840220607982118</v>
      </c>
      <c r="D390" s="63">
        <v>6.1011857807982119</v>
      </c>
      <c r="E390" s="64">
        <v>7.0885971466670306</v>
      </c>
      <c r="F390" s="64">
        <v>7.0885971466670306</v>
      </c>
      <c r="G390" s="64">
        <v>7.0897489466670303</v>
      </c>
      <c r="H390" s="64">
        <v>12.275480636022532</v>
      </c>
      <c r="I390" s="64">
        <v>12.276632436022533</v>
      </c>
      <c r="J390" s="64">
        <v>7.0885971466670306</v>
      </c>
      <c r="K390" s="64">
        <v>7.0897489466670303</v>
      </c>
    </row>
    <row r="391" spans="1:11" ht="15">
      <c r="A391" s="13">
        <v>53540</v>
      </c>
      <c r="B391" s="63">
        <v>6.0907095607982109</v>
      </c>
      <c r="C391" s="63">
        <v>6.0907095607982109</v>
      </c>
      <c r="D391" s="63">
        <v>6.107873280798211</v>
      </c>
      <c r="E391" s="64">
        <v>7.0214246774531839</v>
      </c>
      <c r="F391" s="64">
        <v>7.0214246774531839</v>
      </c>
      <c r="G391" s="64">
        <v>7.0225764774531836</v>
      </c>
      <c r="H391" s="64">
        <v>12.301054554014247</v>
      </c>
      <c r="I391" s="64">
        <v>12.302206354014247</v>
      </c>
      <c r="J391" s="64">
        <v>7.0214246774531839</v>
      </c>
      <c r="K391" s="64">
        <v>7.0225764774531836</v>
      </c>
    </row>
    <row r="392" spans="1:11" ht="15">
      <c r="A392" s="13">
        <v>53571</v>
      </c>
      <c r="B392" s="63">
        <v>6.0876697880709383</v>
      </c>
      <c r="C392" s="63">
        <v>6.0876697880709383</v>
      </c>
      <c r="D392" s="63">
        <v>6.1048335080709384</v>
      </c>
      <c r="E392" s="64">
        <v>7.0113245349228306</v>
      </c>
      <c r="F392" s="64">
        <v>7.0113245349228306</v>
      </c>
      <c r="G392" s="64">
        <v>7.0124763349228303</v>
      </c>
      <c r="H392" s="64">
        <v>12.326681751001777</v>
      </c>
      <c r="I392" s="64">
        <v>12.327833551001778</v>
      </c>
      <c r="J392" s="64">
        <v>7.0113245349228306</v>
      </c>
      <c r="K392" s="64">
        <v>7.0124763349228303</v>
      </c>
    </row>
    <row r="393" spans="1:11" ht="15">
      <c r="A393" s="13">
        <v>53601</v>
      </c>
      <c r="B393" s="63">
        <v>6.0899415356065321</v>
      </c>
      <c r="C393" s="63">
        <v>6.0899415356065321</v>
      </c>
      <c r="D393" s="63">
        <v>6.0985252556065319</v>
      </c>
      <c r="E393" s="64">
        <v>7.0298324496770075</v>
      </c>
      <c r="F393" s="64">
        <v>7.0298324496770075</v>
      </c>
      <c r="G393" s="64">
        <v>7.0300092496770077</v>
      </c>
      <c r="H393" s="64">
        <v>12.352362337983031</v>
      </c>
      <c r="I393" s="64">
        <v>12.352539137983031</v>
      </c>
      <c r="J393" s="64">
        <v>7.0298324496770075</v>
      </c>
      <c r="K393" s="64">
        <v>7.0300092496770077</v>
      </c>
    </row>
    <row r="394" spans="1:11" ht="15">
      <c r="A394" s="13">
        <v>53632</v>
      </c>
      <c r="B394" s="63">
        <v>6.0929813083338056</v>
      </c>
      <c r="C394" s="63">
        <v>6.0929813083338056</v>
      </c>
      <c r="D394" s="63">
        <v>6.1015650283338054</v>
      </c>
      <c r="E394" s="64">
        <v>7.0479140906699174</v>
      </c>
      <c r="F394" s="64">
        <v>7.0479140906699174</v>
      </c>
      <c r="G394" s="64">
        <v>7.0480908906699176</v>
      </c>
      <c r="H394" s="64">
        <v>12.378096426187163</v>
      </c>
      <c r="I394" s="64">
        <v>12.378273226187163</v>
      </c>
      <c r="J394" s="64">
        <v>7.0479140906699174</v>
      </c>
      <c r="K394" s="64">
        <v>7.0480908906699176</v>
      </c>
    </row>
    <row r="395" spans="1:11" ht="15">
      <c r="A395" s="13">
        <v>53662</v>
      </c>
      <c r="B395" s="63">
        <v>6.0929813083338056</v>
      </c>
      <c r="C395" s="63">
        <v>6.0929813083338056</v>
      </c>
      <c r="D395" s="63">
        <v>6.1015650283338054</v>
      </c>
      <c r="E395" s="64">
        <v>7.0080065983571389</v>
      </c>
      <c r="F395" s="64">
        <v>7.0080065983571389</v>
      </c>
      <c r="G395" s="64">
        <v>7.0081833983571391</v>
      </c>
      <c r="H395" s="64">
        <v>12.403884127075054</v>
      </c>
      <c r="I395" s="64">
        <v>12.404060927075054</v>
      </c>
      <c r="J395" s="64">
        <v>7.0080065983571389</v>
      </c>
      <c r="K395" s="64">
        <v>7.0081833983571391</v>
      </c>
    </row>
    <row r="396" spans="1:11" ht="15">
      <c r="A396" s="13">
        <v>53693</v>
      </c>
      <c r="B396" s="63">
        <v>6.1480272526378998</v>
      </c>
      <c r="C396" s="63">
        <v>6.1480272526378998</v>
      </c>
      <c r="D396" s="63">
        <v>6.1566109726378997</v>
      </c>
      <c r="E396" s="64">
        <v>7.100124832031586</v>
      </c>
      <c r="F396" s="64">
        <v>7.100124832031586</v>
      </c>
      <c r="G396" s="64">
        <v>7.1003016320315862</v>
      </c>
      <c r="H396" s="64">
        <v>12.429725552339795</v>
      </c>
      <c r="I396" s="64">
        <v>12.429902352339795</v>
      </c>
      <c r="J396" s="64">
        <v>7.100124832031586</v>
      </c>
      <c r="K396" s="64">
        <v>7.1003016320315862</v>
      </c>
    </row>
    <row r="397" spans="1:11" ht="15">
      <c r="A397" s="13">
        <v>53724</v>
      </c>
      <c r="B397" s="63">
        <v>6.1449874799106263</v>
      </c>
      <c r="C397" s="63">
        <v>6.1449874799106263</v>
      </c>
      <c r="D397" s="63">
        <v>6.1535711999106262</v>
      </c>
      <c r="E397" s="64">
        <v>7.0204716994713499</v>
      </c>
      <c r="F397" s="64">
        <v>7.0204716994713499</v>
      </c>
      <c r="G397" s="64">
        <v>7.0206484994713501</v>
      </c>
      <c r="H397" s="64">
        <v>12.455620813907171</v>
      </c>
      <c r="I397" s="64">
        <v>12.455797613907171</v>
      </c>
      <c r="J397" s="64">
        <v>7.0204716994713499</v>
      </c>
      <c r="K397" s="64">
        <v>7.0206484994713501</v>
      </c>
    </row>
    <row r="398" spans="1:11" ht="15">
      <c r="A398" s="13">
        <v>53752</v>
      </c>
      <c r="B398" s="63">
        <v>6.1419477071833537</v>
      </c>
      <c r="C398" s="63">
        <v>6.1419477071833537</v>
      </c>
      <c r="D398" s="63">
        <v>6.1505314271833535</v>
      </c>
      <c r="E398" s="64">
        <v>7.0794765567078137</v>
      </c>
      <c r="F398" s="64">
        <v>7.0794765567078137</v>
      </c>
      <c r="G398" s="64">
        <v>7.0796533567078139</v>
      </c>
      <c r="H398" s="64">
        <v>12.481570023936145</v>
      </c>
      <c r="I398" s="64">
        <v>12.481746823936145</v>
      </c>
      <c r="J398" s="64">
        <v>7.0794765567078137</v>
      </c>
      <c r="K398" s="64">
        <v>7.0796533567078139</v>
      </c>
    </row>
    <row r="399" spans="1:11" ht="15">
      <c r="A399" s="13">
        <v>53783</v>
      </c>
      <c r="B399" s="63">
        <v>6.1415225190156386</v>
      </c>
      <c r="C399" s="63">
        <v>6.1415225190156386</v>
      </c>
      <c r="D399" s="63">
        <v>6.1501062390156385</v>
      </c>
      <c r="E399" s="64">
        <v>7.1408832173249319</v>
      </c>
      <c r="F399" s="64">
        <v>7.1408832173249319</v>
      </c>
      <c r="G399" s="64">
        <v>7.1410600173249321</v>
      </c>
      <c r="H399" s="64">
        <v>12.507573294819347</v>
      </c>
      <c r="I399" s="64">
        <v>12.507750094819347</v>
      </c>
      <c r="J399" s="64">
        <v>7.1408832173249319</v>
      </c>
      <c r="K399" s="64">
        <v>7.1410600173249321</v>
      </c>
    </row>
    <row r="400" spans="1:11" ht="15">
      <c r="A400" s="13">
        <v>53813</v>
      </c>
      <c r="B400" s="63">
        <v>6.1415225190156386</v>
      </c>
      <c r="C400" s="63">
        <v>6.1415225190156386</v>
      </c>
      <c r="D400" s="63">
        <v>6.1586862390156387</v>
      </c>
      <c r="E400" s="64">
        <v>7.1654996981072001</v>
      </c>
      <c r="F400" s="64">
        <v>7.1654996981072001</v>
      </c>
      <c r="G400" s="64">
        <v>7.1666514981071998</v>
      </c>
      <c r="H400" s="64">
        <v>12.533630739183554</v>
      </c>
      <c r="I400" s="64">
        <v>12.534782539183555</v>
      </c>
      <c r="J400" s="64">
        <v>7.1654996981072001</v>
      </c>
      <c r="K400" s="64">
        <v>7.1666514981071998</v>
      </c>
    </row>
    <row r="401" spans="1:11" ht="15">
      <c r="A401" s="13">
        <v>53844</v>
      </c>
      <c r="B401" s="63">
        <v>6.1476020644701839</v>
      </c>
      <c r="C401" s="63">
        <v>6.1476020644701839</v>
      </c>
      <c r="D401" s="63">
        <v>6.164765784470184</v>
      </c>
      <c r="E401" s="64">
        <v>7.1451205054605245</v>
      </c>
      <c r="F401" s="64">
        <v>7.1451205054605245</v>
      </c>
      <c r="G401" s="64">
        <v>7.1462723054605242</v>
      </c>
      <c r="H401" s="64">
        <v>12.559742469890187</v>
      </c>
      <c r="I401" s="64">
        <v>12.560894269890188</v>
      </c>
      <c r="J401" s="64">
        <v>7.1451205054605245</v>
      </c>
      <c r="K401" s="64">
        <v>7.1462723054605242</v>
      </c>
    </row>
    <row r="402" spans="1:11" ht="15">
      <c r="A402" s="13">
        <v>53874</v>
      </c>
      <c r="B402" s="63">
        <v>6.2497179038418613</v>
      </c>
      <c r="C402" s="63">
        <v>6.2497179038418613</v>
      </c>
      <c r="D402" s="63">
        <v>6.2668816238418614</v>
      </c>
      <c r="E402" s="64">
        <v>7.286806554437554</v>
      </c>
      <c r="F402" s="64">
        <v>7.286806554437554</v>
      </c>
      <c r="G402" s="64">
        <v>7.2879583544375537</v>
      </c>
      <c r="H402" s="64">
        <v>12.585908600035793</v>
      </c>
      <c r="I402" s="64">
        <v>12.587060400035794</v>
      </c>
      <c r="J402" s="64">
        <v>7.286806554437554</v>
      </c>
      <c r="K402" s="64">
        <v>7.2879583544375537</v>
      </c>
    </row>
    <row r="403" spans="1:11" ht="15">
      <c r="A403" s="13">
        <v>53905</v>
      </c>
      <c r="B403" s="63">
        <v>6.2564054038418613</v>
      </c>
      <c r="C403" s="63">
        <v>6.2564054038418613</v>
      </c>
      <c r="D403" s="63">
        <v>6.2735691238418614</v>
      </c>
      <c r="E403" s="64">
        <v>7.2176181290399066</v>
      </c>
      <c r="F403" s="64">
        <v>7.2176181290399066</v>
      </c>
      <c r="G403" s="64">
        <v>7.2187699290399063</v>
      </c>
      <c r="H403" s="64">
        <v>12.612129242952536</v>
      </c>
      <c r="I403" s="64">
        <v>12.613281042952536</v>
      </c>
      <c r="J403" s="64">
        <v>7.2176181290399066</v>
      </c>
      <c r="K403" s="64">
        <v>7.2187699290399063</v>
      </c>
    </row>
    <row r="404" spans="1:11" ht="15">
      <c r="A404" s="13">
        <v>53936</v>
      </c>
      <c r="B404" s="63">
        <v>6.2533656311145887</v>
      </c>
      <c r="C404" s="63">
        <v>6.2533656311145887</v>
      </c>
      <c r="D404" s="63">
        <v>6.2705293511145888</v>
      </c>
      <c r="E404" s="64">
        <v>7.2072939913780205</v>
      </c>
      <c r="F404" s="64">
        <v>7.2072939913780205</v>
      </c>
      <c r="G404" s="64">
        <v>7.2084457913780202</v>
      </c>
      <c r="H404" s="64">
        <v>12.638404512208687</v>
      </c>
      <c r="I404" s="64">
        <v>12.639556312208688</v>
      </c>
      <c r="J404" s="64">
        <v>7.2072939913780205</v>
      </c>
      <c r="K404" s="64">
        <v>7.2084457913780202</v>
      </c>
    </row>
    <row r="405" spans="1:11" ht="15">
      <c r="A405" s="13">
        <v>53966</v>
      </c>
      <c r="B405" s="63">
        <v>6.2561872842034285</v>
      </c>
      <c r="C405" s="63">
        <v>6.2561872842034285</v>
      </c>
      <c r="D405" s="63">
        <v>6.2647710042034284</v>
      </c>
      <c r="E405" s="64">
        <v>7.2266978866583305</v>
      </c>
      <c r="F405" s="64">
        <v>7.2266978866583305</v>
      </c>
      <c r="G405" s="64">
        <v>7.2268746866583307</v>
      </c>
      <c r="H405" s="64">
        <v>12.664734521609123</v>
      </c>
      <c r="I405" s="64">
        <v>12.664911321609123</v>
      </c>
      <c r="J405" s="64">
        <v>7.2266978866583305</v>
      </c>
      <c r="K405" s="64">
        <v>7.2268746866583307</v>
      </c>
    </row>
    <row r="406" spans="1:11" ht="15">
      <c r="A406" s="13">
        <v>53997</v>
      </c>
      <c r="B406" s="63">
        <v>6.2592270569307003</v>
      </c>
      <c r="C406" s="63">
        <v>6.2592270569307003</v>
      </c>
      <c r="D406" s="63">
        <v>6.2678107769307001</v>
      </c>
      <c r="E406" s="64">
        <v>7.2452275179143077</v>
      </c>
      <c r="F406" s="64">
        <v>7.2452275179143069</v>
      </c>
      <c r="G406" s="64">
        <v>7.2454043179143071</v>
      </c>
      <c r="H406" s="64">
        <v>12.69111938519581</v>
      </c>
      <c r="I406" s="64">
        <v>12.69129618519581</v>
      </c>
      <c r="J406" s="64">
        <v>7.2452275179143077</v>
      </c>
      <c r="K406" s="64">
        <v>7.2454043179143079</v>
      </c>
    </row>
    <row r="407" spans="1:11" ht="15">
      <c r="A407" s="13">
        <v>54027</v>
      </c>
      <c r="B407" s="63">
        <v>6.2592270569307003</v>
      </c>
      <c r="C407" s="63">
        <v>6.2592270569307003</v>
      </c>
      <c r="D407" s="63">
        <v>6.2678107769307001</v>
      </c>
      <c r="E407" s="64">
        <v>7.2042000499438617</v>
      </c>
      <c r="F407" s="64">
        <v>7.2042000499438617</v>
      </c>
      <c r="G407" s="64">
        <v>7.2043768499438618</v>
      </c>
      <c r="H407" s="64">
        <v>12.717559217248303</v>
      </c>
      <c r="I407" s="64">
        <v>12.717736017248303</v>
      </c>
      <c r="J407" s="64">
        <v>7.2042000499438617</v>
      </c>
      <c r="K407" s="64">
        <v>7.2043768499438618</v>
      </c>
    </row>
    <row r="408" spans="1:11" ht="15">
      <c r="A408" s="13">
        <v>54058</v>
      </c>
      <c r="B408" s="63">
        <v>6.3156475220508774</v>
      </c>
      <c r="C408" s="63">
        <v>6.3156475220508774</v>
      </c>
      <c r="D408" s="63">
        <v>6.3242312420508773</v>
      </c>
      <c r="E408" s="64">
        <v>7.2988088609549466</v>
      </c>
      <c r="F408" s="64">
        <v>7.2988088609549466</v>
      </c>
      <c r="G408" s="64">
        <v>7.2989856609549468</v>
      </c>
      <c r="H408" s="64">
        <v>12.744054132284237</v>
      </c>
      <c r="I408" s="64">
        <v>12.744230932284237</v>
      </c>
      <c r="J408" s="64">
        <v>7.2988088609549466</v>
      </c>
      <c r="K408" s="64">
        <v>7.2989856609549468</v>
      </c>
    </row>
    <row r="409" spans="1:11" ht="15">
      <c r="A409" s="13">
        <v>54089</v>
      </c>
      <c r="B409" s="63">
        <v>6.3126077493236048</v>
      </c>
      <c r="C409" s="63">
        <v>6.3126077493236048</v>
      </c>
      <c r="D409" s="63">
        <v>6.3211914693236047</v>
      </c>
      <c r="E409" s="64">
        <v>7.2169797775967872</v>
      </c>
      <c r="F409" s="64">
        <v>7.2169797775967872</v>
      </c>
      <c r="G409" s="64">
        <v>7.2171565775967874</v>
      </c>
      <c r="H409" s="64">
        <v>12.770604245059831</v>
      </c>
      <c r="I409" s="64">
        <v>12.770781045059831</v>
      </c>
      <c r="J409" s="64">
        <v>7.2169797775967872</v>
      </c>
      <c r="K409" s="64">
        <v>7.2171565775967874</v>
      </c>
    </row>
    <row r="410" spans="1:11" ht="15">
      <c r="A410" s="13">
        <v>54118</v>
      </c>
      <c r="B410" s="63">
        <v>6.3095679765963331</v>
      </c>
      <c r="C410" s="63">
        <v>6.3095679765963331</v>
      </c>
      <c r="D410" s="63">
        <v>6.3181516965963329</v>
      </c>
      <c r="E410" s="64">
        <v>7.2777000228369761</v>
      </c>
      <c r="F410" s="64">
        <v>7.2777000228369761</v>
      </c>
      <c r="G410" s="64">
        <v>7.2778768228369763</v>
      </c>
      <c r="H410" s="64">
        <v>12.797209670570373</v>
      </c>
      <c r="I410" s="64">
        <v>12.797386470570373</v>
      </c>
      <c r="J410" s="64">
        <v>7.2777000228369761</v>
      </c>
      <c r="K410" s="64">
        <v>7.2778768228369763</v>
      </c>
    </row>
    <row r="411" spans="1:11" ht="15">
      <c r="A411" s="13">
        <v>54149</v>
      </c>
      <c r="B411" s="63">
        <v>6.3092872413645225</v>
      </c>
      <c r="C411" s="63">
        <v>6.3092872413645225</v>
      </c>
      <c r="D411" s="63">
        <v>6.3178709613645223</v>
      </c>
      <c r="E411" s="64">
        <v>7.3409489346308909</v>
      </c>
      <c r="F411" s="64">
        <v>7.3409489346308909</v>
      </c>
      <c r="G411" s="64">
        <v>7.3411257346308911</v>
      </c>
      <c r="H411" s="64">
        <v>12.823870524050729</v>
      </c>
      <c r="I411" s="64">
        <v>12.82404732405073</v>
      </c>
      <c r="J411" s="64">
        <v>7.3409489346308909</v>
      </c>
      <c r="K411" s="64">
        <v>7.3411257346308911</v>
      </c>
    </row>
    <row r="412" spans="1:11" ht="15">
      <c r="A412" s="13">
        <v>54179</v>
      </c>
      <c r="B412" s="63">
        <v>6.3092872413645225</v>
      </c>
      <c r="C412" s="63">
        <v>6.3092872413645225</v>
      </c>
      <c r="D412" s="63">
        <v>6.3264509613645226</v>
      </c>
      <c r="E412" s="64">
        <v>7.3662562596044552</v>
      </c>
      <c r="F412" s="64">
        <v>7.3662562596044552</v>
      </c>
      <c r="G412" s="64">
        <v>7.3674080596044549</v>
      </c>
      <c r="H412" s="64">
        <v>12.850586920975836</v>
      </c>
      <c r="I412" s="64">
        <v>12.851738720975836</v>
      </c>
      <c r="J412" s="64">
        <v>7.3662562596044552</v>
      </c>
      <c r="K412" s="64">
        <v>7.3674080596044549</v>
      </c>
    </row>
    <row r="413" spans="1:11" ht="15">
      <c r="A413" s="13">
        <v>54210</v>
      </c>
      <c r="B413" s="63">
        <v>6.3153667868190686</v>
      </c>
      <c r="C413" s="63">
        <v>6.3153667868190686</v>
      </c>
      <c r="D413" s="63">
        <v>6.3325305068190687</v>
      </c>
      <c r="E413" s="64">
        <v>7.3451862227664835</v>
      </c>
      <c r="F413" s="64">
        <v>7.3451862227664835</v>
      </c>
      <c r="G413" s="64">
        <v>7.3463380227664832</v>
      </c>
      <c r="H413" s="64">
        <v>12.877358977061203</v>
      </c>
      <c r="I413" s="64">
        <v>12.878510777061203</v>
      </c>
      <c r="J413" s="64">
        <v>7.3451862227664835</v>
      </c>
      <c r="K413" s="64">
        <v>7.3463380227664832</v>
      </c>
    </row>
    <row r="414" spans="1:11" ht="15">
      <c r="A414" s="13">
        <v>54240</v>
      </c>
      <c r="B414" s="63">
        <v>6.419961040863102</v>
      </c>
      <c r="C414" s="63">
        <v>6.419961040863102</v>
      </c>
      <c r="D414" s="63">
        <v>6.4371247608631021</v>
      </c>
      <c r="E414" s="64">
        <v>7.490574267497915</v>
      </c>
      <c r="F414" s="64">
        <v>7.490574267497915</v>
      </c>
      <c r="G414" s="64">
        <v>7.4917260674979147</v>
      </c>
      <c r="H414" s="64">
        <v>12.904186808263415</v>
      </c>
      <c r="I414" s="64">
        <v>12.905338608263415</v>
      </c>
      <c r="J414" s="64">
        <v>7.490574267497915</v>
      </c>
      <c r="K414" s="64">
        <v>7.4917260674979147</v>
      </c>
    </row>
    <row r="415" spans="1:11" ht="15">
      <c r="A415" s="13">
        <v>54271</v>
      </c>
      <c r="B415" s="63">
        <v>6.426648540863102</v>
      </c>
      <c r="C415" s="63">
        <v>6.426648540863102</v>
      </c>
      <c r="D415" s="63">
        <v>6.4438122608631021</v>
      </c>
      <c r="E415" s="64">
        <v>7.4193133095263724</v>
      </c>
      <c r="F415" s="64">
        <v>7.4193133095263724</v>
      </c>
      <c r="G415" s="64">
        <v>7.4204651095263721</v>
      </c>
      <c r="H415" s="64">
        <v>12.931070530780632</v>
      </c>
      <c r="I415" s="64">
        <v>12.932222330780633</v>
      </c>
      <c r="J415" s="64">
        <v>7.4193133095263724</v>
      </c>
      <c r="K415" s="64">
        <v>7.4204651095263721</v>
      </c>
    </row>
    <row r="416" spans="1:11" ht="15">
      <c r="A416" s="13">
        <v>54302</v>
      </c>
      <c r="B416" s="63">
        <v>6.4236087681358303</v>
      </c>
      <c r="C416" s="63">
        <v>6.4236087681358303</v>
      </c>
      <c r="D416" s="63">
        <v>6.4407724881358304</v>
      </c>
      <c r="E416" s="64">
        <v>7.4087588904673858</v>
      </c>
      <c r="F416" s="64">
        <v>7.4087588904673858</v>
      </c>
      <c r="G416" s="64">
        <v>7.4099106904673855</v>
      </c>
      <c r="H416" s="64">
        <v>12.958010261053094</v>
      </c>
      <c r="I416" s="64">
        <v>12.959162061053094</v>
      </c>
      <c r="J416" s="64">
        <v>7.4087588904673858</v>
      </c>
      <c r="K416" s="64">
        <v>7.4099106904673855</v>
      </c>
    </row>
    <row r="417" spans="1:11" ht="15">
      <c r="A417" s="13">
        <v>54332</v>
      </c>
      <c r="B417" s="63">
        <v>6.4269942641031355</v>
      </c>
      <c r="C417" s="63">
        <v>6.4269942641031355</v>
      </c>
      <c r="D417" s="63">
        <v>6.4355779841031353</v>
      </c>
      <c r="E417" s="64">
        <v>7.4290839113360914</v>
      </c>
      <c r="F417" s="64">
        <v>7.4290839113360914</v>
      </c>
      <c r="G417" s="64">
        <v>7.4292607113360916</v>
      </c>
      <c r="H417" s="64">
        <v>12.985006115763623</v>
      </c>
      <c r="I417" s="64">
        <v>12.985182915763623</v>
      </c>
      <c r="J417" s="64">
        <v>7.4290839113360914</v>
      </c>
      <c r="K417" s="64">
        <v>7.4292607113360916</v>
      </c>
    </row>
    <row r="418" spans="1:11" ht="15">
      <c r="A418" s="13">
        <v>54363</v>
      </c>
      <c r="B418" s="63">
        <v>6.4300340368304081</v>
      </c>
      <c r="C418" s="63">
        <v>6.4300340368304081</v>
      </c>
      <c r="D418" s="63">
        <v>6.4386177568304079</v>
      </c>
      <c r="E418" s="64">
        <v>7.448074105386266</v>
      </c>
      <c r="F418" s="64">
        <v>7.448074105386266</v>
      </c>
      <c r="G418" s="64">
        <v>7.4482509053862662</v>
      </c>
      <c r="H418" s="64">
        <v>13.012058211838132</v>
      </c>
      <c r="I418" s="64">
        <v>13.012235011838133</v>
      </c>
      <c r="J418" s="64">
        <v>7.448074105386266</v>
      </c>
      <c r="K418" s="64">
        <v>7.4482509053862662</v>
      </c>
    </row>
    <row r="419" spans="1:11" ht="15">
      <c r="A419" s="13">
        <v>54393</v>
      </c>
      <c r="B419" s="63">
        <v>6.4300340368304081</v>
      </c>
      <c r="C419" s="63">
        <v>6.4300340368304081</v>
      </c>
      <c r="D419" s="63">
        <v>6.4386177568304079</v>
      </c>
      <c r="E419" s="64">
        <v>7.4058952304303238</v>
      </c>
      <c r="F419" s="64">
        <v>7.4058952304303238</v>
      </c>
      <c r="G419" s="64">
        <v>7.406072030430324</v>
      </c>
      <c r="H419" s="64">
        <v>13.03916666644613</v>
      </c>
      <c r="I419" s="64">
        <v>13.03934346644613</v>
      </c>
      <c r="J419" s="64">
        <v>7.4058952304303238</v>
      </c>
      <c r="K419" s="64">
        <v>7.406072030430324</v>
      </c>
    </row>
    <row r="420" spans="1:11" ht="15">
      <c r="A420" s="13">
        <v>54424</v>
      </c>
      <c r="B420" s="63">
        <v>6.4878751326049464</v>
      </c>
      <c r="C420" s="63">
        <v>6.4878751326049464</v>
      </c>
      <c r="D420" s="63">
        <v>6.4964588526049463</v>
      </c>
      <c r="E420" s="64">
        <v>7.5030594068986201</v>
      </c>
      <c r="F420" s="64">
        <v>7.5030594068986201</v>
      </c>
      <c r="G420" s="64">
        <v>7.5032362068986203</v>
      </c>
      <c r="H420" s="64">
        <v>13.066331597001227</v>
      </c>
      <c r="I420" s="64">
        <v>13.066508397001227</v>
      </c>
      <c r="J420" s="64">
        <v>7.5030594068986201</v>
      </c>
      <c r="K420" s="64">
        <v>7.5032362068986203</v>
      </c>
    </row>
    <row r="421" spans="1:11" ht="15">
      <c r="A421" s="13">
        <v>54455</v>
      </c>
      <c r="B421" s="63">
        <v>6.4848353598776738</v>
      </c>
      <c r="C421" s="63">
        <v>6.4848353598776738</v>
      </c>
      <c r="D421" s="63">
        <v>6.4934190798776736</v>
      </c>
      <c r="E421" s="64">
        <v>7.4189933062163087</v>
      </c>
      <c r="F421" s="64">
        <v>7.4189933062163087</v>
      </c>
      <c r="G421" s="64">
        <v>7.4191701062163089</v>
      </c>
      <c r="H421" s="64">
        <v>13.093553121161648</v>
      </c>
      <c r="I421" s="64">
        <v>13.093729921161648</v>
      </c>
      <c r="J421" s="64">
        <v>7.4189933062163087</v>
      </c>
      <c r="K421" s="64">
        <v>7.4191701062163089</v>
      </c>
    </row>
    <row r="422" spans="1:11" ht="15">
      <c r="A422" s="13">
        <v>54483</v>
      </c>
      <c r="B422" s="63">
        <v>6.4817955871504003</v>
      </c>
      <c r="C422" s="63">
        <v>6.4817955871504003</v>
      </c>
      <c r="D422" s="63">
        <v>6.4903793071504001</v>
      </c>
      <c r="E422" s="64">
        <v>7.4814770806160906</v>
      </c>
      <c r="F422" s="64">
        <v>7.4814770806160906</v>
      </c>
      <c r="G422" s="64">
        <v>7.4816538806160908</v>
      </c>
      <c r="H422" s="64">
        <v>13.120831356830736</v>
      </c>
      <c r="I422" s="64">
        <v>13.121008156830737</v>
      </c>
      <c r="J422" s="64">
        <v>7.4814770806160906</v>
      </c>
      <c r="K422" s="64">
        <v>7.4816538806160908</v>
      </c>
    </row>
    <row r="423" spans="1:11" ht="15">
      <c r="A423" s="13">
        <v>54514</v>
      </c>
      <c r="B423" s="63">
        <v>6.4816629806035477</v>
      </c>
      <c r="C423" s="63">
        <v>6.4816629806035477</v>
      </c>
      <c r="D423" s="63">
        <v>6.4902467006035476</v>
      </c>
      <c r="E423" s="64">
        <v>7.5466199450682447</v>
      </c>
      <c r="F423" s="64">
        <v>7.5466199450682447</v>
      </c>
      <c r="G423" s="64">
        <v>7.5467967450682449</v>
      </c>
      <c r="H423" s="64">
        <v>13.148166422157468</v>
      </c>
      <c r="I423" s="64">
        <v>13.148343222157468</v>
      </c>
      <c r="J423" s="64">
        <v>7.5466199450682447</v>
      </c>
      <c r="K423" s="64">
        <v>7.5467967450682449</v>
      </c>
    </row>
    <row r="424" spans="1:11" ht="15">
      <c r="A424" s="13">
        <v>54544</v>
      </c>
      <c r="B424" s="63">
        <v>6.4816629806035477</v>
      </c>
      <c r="C424" s="63">
        <v>6.4816629806035477</v>
      </c>
      <c r="D424" s="63">
        <v>6.4988267006035478</v>
      </c>
      <c r="E424" s="64">
        <v>7.572637502288651</v>
      </c>
      <c r="F424" s="64">
        <v>7.572637502288651</v>
      </c>
      <c r="G424" s="64">
        <v>7.5737893022886507</v>
      </c>
      <c r="H424" s="64">
        <v>13.175558435536963</v>
      </c>
      <c r="I424" s="64">
        <v>13.176710235536964</v>
      </c>
      <c r="J424" s="64">
        <v>7.572637502288651</v>
      </c>
      <c r="K424" s="64">
        <v>7.5737893022886507</v>
      </c>
    </row>
    <row r="425" spans="1:11" ht="15">
      <c r="A425" s="13">
        <v>54575</v>
      </c>
      <c r="B425" s="63">
        <v>6.4877425260580939</v>
      </c>
      <c r="C425" s="63">
        <v>6.4877425260580939</v>
      </c>
      <c r="D425" s="63">
        <v>6.504906246058094</v>
      </c>
      <c r="E425" s="64">
        <v>7.5508572332038373</v>
      </c>
      <c r="F425" s="64">
        <v>7.5508572332038373</v>
      </c>
      <c r="G425" s="64">
        <v>7.552009033203837</v>
      </c>
      <c r="H425" s="64">
        <v>13.203007515611</v>
      </c>
      <c r="I425" s="64">
        <v>13.204159315611001</v>
      </c>
      <c r="J425" s="64">
        <v>7.5508572332038373</v>
      </c>
      <c r="K425" s="64">
        <v>7.552009033203837</v>
      </c>
    </row>
    <row r="426" spans="1:11" ht="15">
      <c r="A426" s="13">
        <v>54605</v>
      </c>
      <c r="B426" s="63">
        <v>6.5949004688018213</v>
      </c>
      <c r="C426" s="63">
        <v>6.5949004688018213</v>
      </c>
      <c r="D426" s="63">
        <v>6.6120641888018215</v>
      </c>
      <c r="E426" s="64">
        <v>7.700038680935652</v>
      </c>
      <c r="F426" s="64">
        <v>7.700038680935652</v>
      </c>
      <c r="G426" s="64">
        <v>7.7011904809356517</v>
      </c>
      <c r="H426" s="64">
        <v>13.230513781268526</v>
      </c>
      <c r="I426" s="64">
        <v>13.231665581268526</v>
      </c>
      <c r="J426" s="64">
        <v>7.700038680935652</v>
      </c>
      <c r="K426" s="64">
        <v>7.7011904809356517</v>
      </c>
    </row>
    <row r="427" spans="1:11" ht="15">
      <c r="A427" s="13">
        <v>54636</v>
      </c>
      <c r="B427" s="63">
        <v>6.6015879688018213</v>
      </c>
      <c r="C427" s="63">
        <v>6.6015879688018213</v>
      </c>
      <c r="D427" s="63">
        <v>6.6187516888018214</v>
      </c>
      <c r="E427" s="64">
        <v>7.6266470262235888</v>
      </c>
      <c r="F427" s="64">
        <v>7.6266470262235888</v>
      </c>
      <c r="G427" s="64">
        <v>7.6277988262235885</v>
      </c>
      <c r="H427" s="64">
        <v>13.25807735164617</v>
      </c>
      <c r="I427" s="64">
        <v>13.259229151646171</v>
      </c>
      <c r="J427" s="64">
        <v>7.6266470262235888</v>
      </c>
      <c r="K427" s="64">
        <v>7.6277988262235885</v>
      </c>
    </row>
    <row r="428" spans="1:11" ht="15">
      <c r="A428" s="13">
        <v>54667</v>
      </c>
      <c r="B428" s="63">
        <v>6.5985481960745487</v>
      </c>
      <c r="C428" s="63">
        <v>6.5985481960745487</v>
      </c>
      <c r="D428" s="63">
        <v>6.6157119160745488</v>
      </c>
      <c r="E428" s="64">
        <v>7.6158558630823237</v>
      </c>
      <c r="F428" s="64">
        <v>7.6158558630823237</v>
      </c>
      <c r="G428" s="64">
        <v>7.6170076630823234</v>
      </c>
      <c r="H428" s="64">
        <v>13.285698346128768</v>
      </c>
      <c r="I428" s="64">
        <v>13.286850146128769</v>
      </c>
      <c r="J428" s="64">
        <v>7.6158558630823237</v>
      </c>
      <c r="K428" s="64">
        <v>7.6170076630823234</v>
      </c>
    </row>
    <row r="429" spans="1:11" ht="15">
      <c r="A429" s="13">
        <v>54697</v>
      </c>
      <c r="B429" s="63">
        <v>6.602511993882934</v>
      </c>
      <c r="C429" s="63">
        <v>6.602511993882934</v>
      </c>
      <c r="D429" s="63">
        <v>6.6110957138829338</v>
      </c>
      <c r="E429" s="64">
        <v>7.6371278602801507</v>
      </c>
      <c r="F429" s="64">
        <v>7.6371278602801507</v>
      </c>
      <c r="G429" s="64">
        <v>7.6373046602801509</v>
      </c>
      <c r="H429" s="64">
        <v>13.313376884349871</v>
      </c>
      <c r="I429" s="64">
        <v>13.313553684349872</v>
      </c>
      <c r="J429" s="64">
        <v>7.6371278602801507</v>
      </c>
      <c r="K429" s="64">
        <v>7.6373046602801509</v>
      </c>
    </row>
    <row r="430" spans="1:11" ht="15">
      <c r="A430" s="13">
        <v>54728</v>
      </c>
      <c r="B430" s="63">
        <v>6.6055517666102066</v>
      </c>
      <c r="C430" s="63">
        <v>6.6055517666102066</v>
      </c>
      <c r="D430" s="63">
        <v>6.6141354866102064</v>
      </c>
      <c r="E430" s="64">
        <v>7.6565915424948852</v>
      </c>
      <c r="F430" s="64">
        <v>7.6565915424948852</v>
      </c>
      <c r="G430" s="64">
        <v>7.6567683424948854</v>
      </c>
      <c r="H430" s="64">
        <v>13.341113086192268</v>
      </c>
      <c r="I430" s="64">
        <v>13.341289886192268</v>
      </c>
      <c r="J430" s="64">
        <v>7.6565915424948852</v>
      </c>
      <c r="K430" s="64">
        <v>7.6567683424948854</v>
      </c>
    </row>
    <row r="431" spans="1:11" ht="15">
      <c r="A431" s="13">
        <v>54758</v>
      </c>
      <c r="B431" s="63">
        <v>6.6055517666102066</v>
      </c>
      <c r="C431" s="63">
        <v>6.6055517666102066</v>
      </c>
      <c r="D431" s="63">
        <v>6.6141354866102064</v>
      </c>
      <c r="E431" s="64">
        <v>7.6132289471275429</v>
      </c>
      <c r="F431" s="64">
        <v>7.6132289471275429</v>
      </c>
      <c r="G431" s="64">
        <v>7.6134057471275431</v>
      </c>
      <c r="H431" s="64">
        <v>13.368907071788502</v>
      </c>
      <c r="I431" s="64">
        <v>13.369083871788503</v>
      </c>
      <c r="J431" s="64">
        <v>7.6132289471275429</v>
      </c>
      <c r="K431" s="64">
        <v>7.6134057471275431</v>
      </c>
    </row>
    <row r="432" spans="1:11" ht="15">
      <c r="A432" s="13">
        <v>54789</v>
      </c>
      <c r="B432" s="63">
        <v>6.6648490289316511</v>
      </c>
      <c r="C432" s="63">
        <v>6.6648490289316511</v>
      </c>
      <c r="D432" s="63">
        <v>6.6734327489316509</v>
      </c>
      <c r="E432" s="64">
        <v>7.7130228160145871</v>
      </c>
      <c r="F432" s="64">
        <v>7.7130228160145871</v>
      </c>
      <c r="G432" s="64">
        <v>7.7131996160145873</v>
      </c>
      <c r="H432" s="64">
        <v>13.396758961521396</v>
      </c>
      <c r="I432" s="64">
        <v>13.396935761521396</v>
      </c>
      <c r="J432" s="64">
        <v>7.7130228160145871</v>
      </c>
      <c r="K432" s="64">
        <v>7.7131996160145873</v>
      </c>
    </row>
    <row r="433" spans="1:11" ht="15">
      <c r="A433" s="13">
        <v>54820</v>
      </c>
      <c r="B433" s="63">
        <v>6.6618092562043794</v>
      </c>
      <c r="C433" s="63">
        <v>6.6618092562043794</v>
      </c>
      <c r="D433" s="63">
        <v>6.6703929762043792</v>
      </c>
      <c r="E433" s="64">
        <v>7.62665691769286</v>
      </c>
      <c r="F433" s="64">
        <v>7.6266569176928591</v>
      </c>
      <c r="G433" s="64">
        <v>7.6268337176928593</v>
      </c>
      <c r="H433" s="64">
        <v>13.424668876024567</v>
      </c>
      <c r="I433" s="64">
        <v>13.424845676024567</v>
      </c>
      <c r="J433" s="64">
        <v>7.62665691769286</v>
      </c>
      <c r="K433" s="64">
        <v>7.6268337176928602</v>
      </c>
    </row>
    <row r="434" spans="1:11" ht="15">
      <c r="A434" s="13">
        <v>54848</v>
      </c>
      <c r="B434" s="63">
        <v>6.6587694834771058</v>
      </c>
      <c r="C434" s="63">
        <v>6.6587694834771058</v>
      </c>
      <c r="D434" s="63">
        <v>6.6673532034771057</v>
      </c>
      <c r="E434" s="64">
        <v>7.6909537134557215</v>
      </c>
      <c r="F434" s="64">
        <v>7.6909537134557215</v>
      </c>
      <c r="G434" s="64">
        <v>7.6911305134557217</v>
      </c>
      <c r="H434" s="64">
        <v>13.452636936182953</v>
      </c>
      <c r="I434" s="64">
        <v>13.452813736182954</v>
      </c>
      <c r="J434" s="64">
        <v>7.6909537134557215</v>
      </c>
      <c r="K434" s="64">
        <v>7.6911305134557217</v>
      </c>
    </row>
    <row r="435" spans="1:11" ht="15">
      <c r="A435" s="13">
        <v>54879</v>
      </c>
      <c r="B435" s="63">
        <v>6.6587887968451103</v>
      </c>
      <c r="C435" s="63">
        <v>6.6587887968451103</v>
      </c>
      <c r="D435" s="63">
        <v>6.6673725168451101</v>
      </c>
      <c r="E435" s="64">
        <v>7.7580436830132138</v>
      </c>
      <c r="F435" s="64">
        <v>7.7580436830132147</v>
      </c>
      <c r="G435" s="64">
        <v>7.7582204830132149</v>
      </c>
      <c r="H435" s="64">
        <v>13.480663263133335</v>
      </c>
      <c r="I435" s="64">
        <v>13.480840063133336</v>
      </c>
      <c r="J435" s="64">
        <v>7.7580436830132138</v>
      </c>
      <c r="K435" s="64">
        <v>7.758220483013214</v>
      </c>
    </row>
    <row r="436" spans="1:11" ht="15">
      <c r="A436" s="13">
        <v>54909</v>
      </c>
      <c r="B436" s="63">
        <v>6.6587887968451103</v>
      </c>
      <c r="C436" s="63">
        <v>6.6587887968451103</v>
      </c>
      <c r="D436" s="63">
        <v>6.6759525168451104</v>
      </c>
      <c r="E436" s="64">
        <v>7.7847914046481215</v>
      </c>
      <c r="F436" s="64">
        <v>7.7847914046481215</v>
      </c>
      <c r="G436" s="64">
        <v>7.7859432046481212</v>
      </c>
      <c r="H436" s="64">
        <v>13.508747978264864</v>
      </c>
      <c r="I436" s="64">
        <v>13.509899778264865</v>
      </c>
      <c r="J436" s="64">
        <v>7.7847914046481215</v>
      </c>
      <c r="K436" s="64">
        <v>7.7859432046481212</v>
      </c>
    </row>
    <row r="437" spans="1:11" ht="15">
      <c r="A437" s="13">
        <v>54940</v>
      </c>
      <c r="B437" s="63">
        <v>6.6648683422996573</v>
      </c>
      <c r="C437" s="63">
        <v>6.6648683422996573</v>
      </c>
      <c r="D437" s="63">
        <v>6.6820320622996574</v>
      </c>
      <c r="E437" s="64">
        <v>7.7622809711488072</v>
      </c>
      <c r="F437" s="64">
        <v>7.7622809711488072</v>
      </c>
      <c r="G437" s="64">
        <v>7.7634327711488069</v>
      </c>
      <c r="H437" s="64">
        <v>13.536891203219584</v>
      </c>
      <c r="I437" s="64">
        <v>13.538043003219585</v>
      </c>
      <c r="J437" s="64">
        <v>7.7622809711488072</v>
      </c>
      <c r="K437" s="64">
        <v>7.7634327711488069</v>
      </c>
    </row>
    <row r="438" spans="1:11" ht="15">
      <c r="A438" s="13">
        <v>54970</v>
      </c>
      <c r="B438" s="63">
        <v>6.7746560870313193</v>
      </c>
      <c r="C438" s="63">
        <v>6.7746560870313193</v>
      </c>
      <c r="D438" s="63">
        <v>6.7918198070313194</v>
      </c>
      <c r="E438" s="64">
        <v>7.915368667004282</v>
      </c>
      <c r="F438" s="64">
        <v>7.915368667004282</v>
      </c>
      <c r="G438" s="64">
        <v>7.9165204670042817</v>
      </c>
      <c r="H438" s="64">
        <v>13.565093059892959</v>
      </c>
      <c r="I438" s="64">
        <v>13.56624485989296</v>
      </c>
      <c r="J438" s="64">
        <v>7.915368667004282</v>
      </c>
      <c r="K438" s="64">
        <v>7.9165204670042817</v>
      </c>
    </row>
    <row r="439" spans="1:11" ht="15">
      <c r="A439" s="13">
        <v>55001</v>
      </c>
      <c r="B439" s="63">
        <v>6.7813435870313183</v>
      </c>
      <c r="C439" s="63">
        <v>6.7813435870313183</v>
      </c>
      <c r="D439" s="63">
        <v>6.7985073070313184</v>
      </c>
      <c r="E439" s="64">
        <v>7.8397865190487108</v>
      </c>
      <c r="F439" s="64">
        <v>7.8397865190487117</v>
      </c>
      <c r="G439" s="64">
        <v>7.8409383190487114</v>
      </c>
      <c r="H439" s="64">
        <v>13.593353670434404</v>
      </c>
      <c r="I439" s="64">
        <v>13.594505470434404</v>
      </c>
      <c r="J439" s="64">
        <v>7.8397865190487108</v>
      </c>
      <c r="K439" s="64">
        <v>7.8409383190487105</v>
      </c>
    </row>
    <row r="440" spans="1:11" ht="15">
      <c r="A440" s="13">
        <v>55032</v>
      </c>
      <c r="B440" s="63">
        <v>6.7783038143040457</v>
      </c>
      <c r="C440" s="63">
        <v>6.7783038143040457</v>
      </c>
      <c r="D440" s="63">
        <v>6.7954675343040458</v>
      </c>
      <c r="E440" s="64">
        <v>7.8287519677692794</v>
      </c>
      <c r="F440" s="64">
        <v>7.8287519677692794</v>
      </c>
      <c r="G440" s="64">
        <v>7.8299037677692791</v>
      </c>
      <c r="H440" s="64">
        <v>13.621673157247811</v>
      </c>
      <c r="I440" s="64">
        <v>13.622824957247811</v>
      </c>
      <c r="J440" s="64">
        <v>7.8287519677692794</v>
      </c>
      <c r="K440" s="64">
        <v>7.8299037677692791</v>
      </c>
    </row>
    <row r="441" spans="1:11" ht="15">
      <c r="A441" s="13">
        <v>55062</v>
      </c>
      <c r="B441" s="63">
        <v>6.7828606592157907</v>
      </c>
      <c r="C441" s="63">
        <v>6.7828606592157907</v>
      </c>
      <c r="D441" s="63">
        <v>6.7914443792157906</v>
      </c>
      <c r="E441" s="64">
        <v>7.850997517519775</v>
      </c>
      <c r="F441" s="64">
        <v>7.850997517519775</v>
      </c>
      <c r="G441" s="64">
        <v>7.8511743175197752</v>
      </c>
      <c r="H441" s="64">
        <v>13.650051642992079</v>
      </c>
      <c r="I441" s="64">
        <v>13.650228442992079</v>
      </c>
      <c r="J441" s="64">
        <v>7.850997517519775</v>
      </c>
      <c r="K441" s="64">
        <v>7.8511743175197752</v>
      </c>
    </row>
    <row r="442" spans="1:11" ht="15">
      <c r="A442" s="13">
        <v>55093</v>
      </c>
      <c r="B442" s="63">
        <v>6.7859004319430634</v>
      </c>
      <c r="C442" s="63">
        <v>6.7859004319430634</v>
      </c>
      <c r="D442" s="63">
        <v>6.7944841519430632</v>
      </c>
      <c r="E442" s="64">
        <v>7.870947976010843</v>
      </c>
      <c r="F442" s="64">
        <v>7.870947976010843</v>
      </c>
      <c r="G442" s="64">
        <v>7.8711247760108431</v>
      </c>
      <c r="H442" s="64">
        <v>13.678489250581647</v>
      </c>
      <c r="I442" s="64">
        <v>13.678666050581647</v>
      </c>
      <c r="J442" s="64">
        <v>7.870947976010843</v>
      </c>
      <c r="K442" s="64">
        <v>7.8711247760108431</v>
      </c>
    </row>
    <row r="443" spans="1:11" ht="15">
      <c r="A443" s="13">
        <v>55123</v>
      </c>
      <c r="B443" s="63">
        <v>6.7859004319430634</v>
      </c>
      <c r="C443" s="63">
        <v>6.7859004319430634</v>
      </c>
      <c r="D443" s="63">
        <v>6.7944841519430632</v>
      </c>
      <c r="E443" s="64">
        <v>7.8263684399526641</v>
      </c>
      <c r="F443" s="64">
        <v>7.8263684399526641</v>
      </c>
      <c r="G443" s="64">
        <v>7.8265452399526643</v>
      </c>
      <c r="H443" s="64">
        <v>13.706986103187027</v>
      </c>
      <c r="I443" s="64">
        <v>13.707162903187028</v>
      </c>
      <c r="J443" s="64">
        <v>7.8263684399526641</v>
      </c>
      <c r="K443" s="64">
        <v>7.8265452399526643</v>
      </c>
    </row>
    <row r="444" spans="1:11" ht="15">
      <c r="A444" s="13">
        <v>55154</v>
      </c>
      <c r="B444" s="63">
        <v>6.8466961136496538</v>
      </c>
      <c r="C444" s="63">
        <v>6.8466961136496538</v>
      </c>
      <c r="D444" s="63">
        <v>6.8552798336496537</v>
      </c>
      <c r="E444" s="64">
        <v>7.9288641623062093</v>
      </c>
      <c r="F444" s="64">
        <v>7.9288641623062093</v>
      </c>
      <c r="G444" s="64">
        <v>7.9290409623062095</v>
      </c>
      <c r="H444" s="64">
        <v>13.735542324235336</v>
      </c>
      <c r="I444" s="64">
        <v>13.735719124235336</v>
      </c>
      <c r="J444" s="64">
        <v>7.9288641623062093</v>
      </c>
      <c r="K444" s="64">
        <v>7.9290409623062095</v>
      </c>
    </row>
    <row r="445" spans="1:11" ht="15">
      <c r="A445" s="13">
        <v>55185</v>
      </c>
      <c r="B445" s="63">
        <v>6.8436563409223812</v>
      </c>
      <c r="C445" s="63">
        <v>6.8436563409223812</v>
      </c>
      <c r="D445" s="63">
        <v>6.852240060922381</v>
      </c>
      <c r="E445" s="64">
        <v>7.8401339241444798</v>
      </c>
      <c r="F445" s="64">
        <v>7.8401339241444807</v>
      </c>
      <c r="G445" s="64">
        <v>7.8403107241444809</v>
      </c>
      <c r="H445" s="64">
        <v>13.764158037410828</v>
      </c>
      <c r="I445" s="64">
        <v>13.764334837410829</v>
      </c>
      <c r="J445" s="64">
        <v>7.8401339241444798</v>
      </c>
      <c r="K445" s="64">
        <v>7.84031072414448</v>
      </c>
    </row>
    <row r="446" spans="1:11" ht="15">
      <c r="A446" s="13">
        <v>55213</v>
      </c>
      <c r="B446" s="63">
        <v>6.8406165681951085</v>
      </c>
      <c r="C446" s="63">
        <v>6.8406165681951085</v>
      </c>
      <c r="D446" s="63">
        <v>6.8492002881951084</v>
      </c>
      <c r="E446" s="64">
        <v>7.9062946224377404</v>
      </c>
      <c r="F446" s="64">
        <v>7.9062946224377404</v>
      </c>
      <c r="G446" s="64">
        <v>7.9064714224377406</v>
      </c>
      <c r="H446" s="64">
        <v>13.792833366655435</v>
      </c>
      <c r="I446" s="64">
        <v>13.793010166655435</v>
      </c>
      <c r="J446" s="64">
        <v>7.9062946224377404</v>
      </c>
      <c r="K446" s="64">
        <v>7.9064714224377406</v>
      </c>
    </row>
    <row r="447" spans="1:11" ht="15">
      <c r="A447" s="13">
        <v>55244</v>
      </c>
      <c r="B447" s="63">
        <v>6.840791678731704</v>
      </c>
      <c r="C447" s="63">
        <v>6.840791678731704</v>
      </c>
      <c r="D447" s="63">
        <v>6.8493753987317039</v>
      </c>
      <c r="E447" s="64">
        <v>7.975386341233655</v>
      </c>
      <c r="F447" s="64">
        <v>7.975386341233655</v>
      </c>
      <c r="G447" s="64">
        <v>7.9755631412336552</v>
      </c>
      <c r="H447" s="64">
        <v>13.821568436169303</v>
      </c>
      <c r="I447" s="64">
        <v>13.821745236169303</v>
      </c>
      <c r="J447" s="64">
        <v>7.975386341233655</v>
      </c>
      <c r="K447" s="64">
        <v>7.9755631412336552</v>
      </c>
    </row>
    <row r="448" spans="1:11" ht="15">
      <c r="A448" s="13">
        <v>55274</v>
      </c>
      <c r="B448" s="63">
        <v>6.840791678731704</v>
      </c>
      <c r="C448" s="63">
        <v>6.840791678731704</v>
      </c>
      <c r="D448" s="63">
        <v>6.8579553987317041</v>
      </c>
      <c r="E448" s="64">
        <v>8.0028847188329681</v>
      </c>
      <c r="F448" s="64">
        <v>8.0028847188329681</v>
      </c>
      <c r="G448" s="64">
        <v>8.0040365188329687</v>
      </c>
      <c r="H448" s="64">
        <v>13.850363370411323</v>
      </c>
      <c r="I448" s="64">
        <v>13.851515170411323</v>
      </c>
      <c r="J448" s="64">
        <v>8.0028847188329681</v>
      </c>
      <c r="K448" s="64">
        <v>8.0040365188329687</v>
      </c>
    </row>
    <row r="449" spans="1:11" ht="15">
      <c r="A449" s="13">
        <v>55305</v>
      </c>
      <c r="B449" s="63">
        <v>6.8468712241862493</v>
      </c>
      <c r="C449" s="63">
        <v>6.8468712241862493</v>
      </c>
      <c r="D449" s="63">
        <v>6.8640349441862494</v>
      </c>
      <c r="E449" s="64">
        <v>7.9796236293692466</v>
      </c>
      <c r="F449" s="64">
        <v>7.9796236293692466</v>
      </c>
      <c r="G449" s="64">
        <v>7.9807754293692463</v>
      </c>
      <c r="H449" s="64">
        <v>13.879218294099681</v>
      </c>
      <c r="I449" s="64">
        <v>13.880370094099682</v>
      </c>
      <c r="J449" s="64">
        <v>7.9796236293692466</v>
      </c>
      <c r="K449" s="64">
        <v>7.9807754293692463</v>
      </c>
    </row>
    <row r="450" spans="1:11" ht="15">
      <c r="A450" s="13">
        <v>55335</v>
      </c>
      <c r="B450" s="63">
        <v>6.9593670678150117</v>
      </c>
      <c r="C450" s="63">
        <v>6.9593670678150117</v>
      </c>
      <c r="D450" s="63">
        <v>6.9765307878150118</v>
      </c>
      <c r="E450" s="64">
        <v>8.1367231919853182</v>
      </c>
      <c r="F450" s="64">
        <v>8.1367231919853182</v>
      </c>
      <c r="G450" s="64">
        <v>8.1378749919853188</v>
      </c>
      <c r="H450" s="64">
        <v>13.90813333221239</v>
      </c>
      <c r="I450" s="64">
        <v>13.909285132212391</v>
      </c>
      <c r="J450" s="64">
        <v>8.1367231919853182</v>
      </c>
      <c r="K450" s="64">
        <v>8.1378749919853188</v>
      </c>
    </row>
    <row r="451" spans="1:11" ht="15">
      <c r="A451" s="13">
        <v>55366</v>
      </c>
      <c r="B451" s="63">
        <v>6.9660545678150108</v>
      </c>
      <c r="C451" s="63">
        <v>6.9660545678150108</v>
      </c>
      <c r="D451" s="63">
        <v>6.9832182878150109</v>
      </c>
      <c r="E451" s="64">
        <v>8.0588890761365271</v>
      </c>
      <c r="F451" s="64">
        <v>8.0588890761365271</v>
      </c>
      <c r="G451" s="64">
        <v>8.0600408761365276</v>
      </c>
      <c r="H451" s="64">
        <v>13.937108609987835</v>
      </c>
      <c r="I451" s="64">
        <v>13.938260409987835</v>
      </c>
      <c r="J451" s="64">
        <v>8.0588890761365271</v>
      </c>
      <c r="K451" s="64">
        <v>8.0600408761365276</v>
      </c>
    </row>
    <row r="452" spans="1:11" ht="15">
      <c r="A452" s="13">
        <v>55397</v>
      </c>
      <c r="B452" s="63">
        <v>6.963014795087739</v>
      </c>
      <c r="C452" s="63">
        <v>6.963014795087739</v>
      </c>
      <c r="D452" s="63">
        <v>6.9801785150877391</v>
      </c>
      <c r="E452" s="64">
        <v>8.0476043062022917</v>
      </c>
      <c r="F452" s="64">
        <v>8.0476043062022917</v>
      </c>
      <c r="G452" s="64">
        <v>8.0487561062022923</v>
      </c>
      <c r="H452" s="64">
        <v>13.966144252925311</v>
      </c>
      <c r="I452" s="64">
        <v>13.967296052925311</v>
      </c>
      <c r="J452" s="64">
        <v>8.0476043062022917</v>
      </c>
      <c r="K452" s="64">
        <v>8.0487561062022923</v>
      </c>
    </row>
    <row r="453" spans="1:11" ht="15">
      <c r="A453" s="13">
        <v>55427</v>
      </c>
      <c r="B453" s="63">
        <v>6.9681798507019153</v>
      </c>
      <c r="C453" s="63">
        <v>6.9681798507019153</v>
      </c>
      <c r="D453" s="63">
        <v>6.9767635707019151</v>
      </c>
      <c r="E453" s="64">
        <v>8.0708507305719994</v>
      </c>
      <c r="F453" s="64">
        <v>8.0708507305719994</v>
      </c>
      <c r="G453" s="64">
        <v>8.0710275305719996</v>
      </c>
      <c r="H453" s="64">
        <v>13.995240386785573</v>
      </c>
      <c r="I453" s="64">
        <v>13.995417186785573</v>
      </c>
      <c r="J453" s="64">
        <v>8.0708507305719994</v>
      </c>
      <c r="K453" s="64">
        <v>8.0710275305719996</v>
      </c>
    </row>
    <row r="454" spans="1:11" ht="15">
      <c r="A454" s="13">
        <v>55458</v>
      </c>
      <c r="B454" s="63">
        <v>6.9712196234291888</v>
      </c>
      <c r="C454" s="63">
        <v>6.9712196234291888</v>
      </c>
      <c r="D454" s="63">
        <v>6.9798033434291886</v>
      </c>
      <c r="E454" s="64">
        <v>8.0913016263726725</v>
      </c>
      <c r="F454" s="64">
        <v>8.0913016263726725</v>
      </c>
      <c r="G454" s="64">
        <v>8.0914784263726727</v>
      </c>
      <c r="H454" s="64">
        <v>14.024397137591379</v>
      </c>
      <c r="I454" s="64">
        <v>14.024573937591379</v>
      </c>
      <c r="J454" s="64">
        <v>8.0913016263726725</v>
      </c>
      <c r="K454" s="64">
        <v>8.0914784263726727</v>
      </c>
    </row>
    <row r="455" spans="1:11" ht="15">
      <c r="A455" s="13">
        <v>55488</v>
      </c>
      <c r="B455" s="63">
        <v>6.9712196234291888</v>
      </c>
      <c r="C455" s="63">
        <v>6.9712196234291888</v>
      </c>
      <c r="D455" s="63">
        <v>6.9798033434291886</v>
      </c>
      <c r="E455" s="64">
        <v>8.0454709970404821</v>
      </c>
      <c r="F455" s="64">
        <v>8.0454709970404821</v>
      </c>
      <c r="G455" s="64">
        <v>8.0456477970404823</v>
      </c>
      <c r="H455" s="64">
        <v>14.053614631628029</v>
      </c>
      <c r="I455" s="64">
        <v>14.05379143162803</v>
      </c>
      <c r="J455" s="64">
        <v>8.0454709970404821</v>
      </c>
      <c r="K455" s="64">
        <v>8.0456477970404823</v>
      </c>
    </row>
    <row r="456" spans="1:11" ht="15">
      <c r="A456" s="13">
        <v>55519</v>
      </c>
      <c r="B456" s="63">
        <v>7.0335544191811401</v>
      </c>
      <c r="C456" s="63">
        <v>7.0335544191811401</v>
      </c>
      <c r="D456" s="63">
        <v>7.04213813918114</v>
      </c>
      <c r="E456" s="64">
        <v>8.1507450919059909</v>
      </c>
      <c r="F456" s="64">
        <v>8.1507450919059909</v>
      </c>
      <c r="G456" s="64">
        <v>8.1509218919059911</v>
      </c>
      <c r="H456" s="64">
        <v>14.082892995443922</v>
      </c>
      <c r="I456" s="64">
        <v>14.083069795443922</v>
      </c>
      <c r="J456" s="64">
        <v>8.1507450919059909</v>
      </c>
      <c r="K456" s="64">
        <v>8.1509218919059911</v>
      </c>
    </row>
    <row r="457" spans="1:11" ht="15">
      <c r="A457" s="13">
        <v>55550</v>
      </c>
      <c r="B457" s="63">
        <v>7.0305146464538666</v>
      </c>
      <c r="C457" s="63">
        <v>7.0305146464538666</v>
      </c>
      <c r="D457" s="63">
        <v>7.0390983664538664</v>
      </c>
      <c r="E457" s="64">
        <v>8.0595841603722853</v>
      </c>
      <c r="F457" s="64">
        <v>8.0595841603722853</v>
      </c>
      <c r="G457" s="64">
        <v>8.0597609603722855</v>
      </c>
      <c r="H457" s="64">
        <v>14.112232355851098</v>
      </c>
      <c r="I457" s="64">
        <v>14.112409155851099</v>
      </c>
      <c r="J457" s="64">
        <v>8.0595841603722853</v>
      </c>
      <c r="K457" s="64">
        <v>8.0597609603722855</v>
      </c>
    </row>
    <row r="458" spans="1:11" ht="15">
      <c r="A458" s="13">
        <v>55579</v>
      </c>
      <c r="B458" s="63">
        <v>7.0274748737265949</v>
      </c>
      <c r="C458" s="63">
        <v>7.0274748737265949</v>
      </c>
      <c r="D458" s="63">
        <v>7.0360585937265947</v>
      </c>
      <c r="E458" s="64">
        <v>8.1276610703073704</v>
      </c>
      <c r="F458" s="64">
        <v>8.1276610703073704</v>
      </c>
      <c r="G458" s="64">
        <v>8.1278378703073706</v>
      </c>
      <c r="H458" s="64">
        <v>14.141632839925789</v>
      </c>
      <c r="I458" s="64">
        <v>14.141809639925789</v>
      </c>
      <c r="J458" s="64">
        <v>8.1276610703073704</v>
      </c>
      <c r="K458" s="64">
        <v>8.1278378703073706</v>
      </c>
    </row>
    <row r="459" spans="1:11" ht="15">
      <c r="A459" s="13">
        <v>55610</v>
      </c>
      <c r="B459" s="63">
        <v>7.0278097631614544</v>
      </c>
      <c r="C459" s="63">
        <v>7.0278097631614544</v>
      </c>
      <c r="D459" s="63">
        <v>7.0363934831614543</v>
      </c>
      <c r="E459" s="64">
        <v>8.1988107160238854</v>
      </c>
      <c r="F459" s="64">
        <v>8.1988107160238854</v>
      </c>
      <c r="G459" s="64">
        <v>8.1989875160238856</v>
      </c>
      <c r="H459" s="64">
        <v>14.171094575008969</v>
      </c>
      <c r="I459" s="64">
        <v>14.171271375008969</v>
      </c>
      <c r="J459" s="64">
        <v>8.1988107160238854</v>
      </c>
      <c r="K459" s="64">
        <v>8.1989875160238856</v>
      </c>
    </row>
    <row r="460" spans="1:11" ht="15">
      <c r="A460" s="13">
        <v>55640</v>
      </c>
      <c r="B460" s="63">
        <v>7.0278097631614544</v>
      </c>
      <c r="C460" s="63">
        <v>7.0278097631614544</v>
      </c>
      <c r="D460" s="63">
        <v>7.0449734831614546</v>
      </c>
      <c r="E460" s="64">
        <v>8.227080816218427</v>
      </c>
      <c r="F460" s="64">
        <v>8.227080816218427</v>
      </c>
      <c r="G460" s="64">
        <v>8.2282326162184276</v>
      </c>
      <c r="H460" s="64">
        <v>14.200617688706906</v>
      </c>
      <c r="I460" s="64">
        <v>14.201769488706907</v>
      </c>
      <c r="J460" s="64">
        <v>8.227080816218427</v>
      </c>
      <c r="K460" s="64">
        <v>8.2282326162184276</v>
      </c>
    </row>
    <row r="461" spans="1:11" ht="15">
      <c r="A461" s="13">
        <v>55671</v>
      </c>
      <c r="B461" s="63">
        <v>7.0338893086159997</v>
      </c>
      <c r="C461" s="63">
        <v>7.0338893086159997</v>
      </c>
      <c r="D461" s="63">
        <v>7.0510530286159998</v>
      </c>
      <c r="E461" s="64">
        <v>8.2030480041594789</v>
      </c>
      <c r="F461" s="64">
        <v>8.2030480041594789</v>
      </c>
      <c r="G461" s="64">
        <v>8.2041998041594795</v>
      </c>
      <c r="H461" s="64">
        <v>14.230202308891714</v>
      </c>
      <c r="I461" s="64">
        <v>14.231354108891715</v>
      </c>
      <c r="J461" s="64">
        <v>8.2030480041594789</v>
      </c>
      <c r="K461" s="64">
        <v>8.2041998041594795</v>
      </c>
    </row>
    <row r="462" spans="1:11" ht="15">
      <c r="A462" s="13">
        <v>55701</v>
      </c>
      <c r="B462" s="63">
        <v>7.1491689594114476</v>
      </c>
      <c r="C462" s="63">
        <v>7.1491689594114476</v>
      </c>
      <c r="D462" s="63">
        <v>7.1663326794114477</v>
      </c>
      <c r="E462" s="64">
        <v>8.3642737188048688</v>
      </c>
      <c r="F462" s="64">
        <v>8.3642737188048688</v>
      </c>
      <c r="G462" s="64">
        <v>8.3654255188048694</v>
      </c>
      <c r="H462" s="64">
        <v>14.259848563701906</v>
      </c>
      <c r="I462" s="64">
        <v>14.261000363701907</v>
      </c>
      <c r="J462" s="64">
        <v>8.3642737188048688</v>
      </c>
      <c r="K462" s="64">
        <v>8.3654255188048694</v>
      </c>
    </row>
    <row r="463" spans="1:11" ht="15">
      <c r="A463" s="13">
        <v>55732</v>
      </c>
      <c r="B463" s="63">
        <v>7.1558564594114475</v>
      </c>
      <c r="C463" s="63">
        <v>7.1558564594114475</v>
      </c>
      <c r="D463" s="63">
        <v>7.1730201794114476</v>
      </c>
      <c r="E463" s="64">
        <v>8.2841244351703995</v>
      </c>
      <c r="F463" s="64">
        <v>8.2841244351703995</v>
      </c>
      <c r="G463" s="64">
        <v>8.2852762351704001</v>
      </c>
      <c r="H463" s="64">
        <v>14.289556581542953</v>
      </c>
      <c r="I463" s="64">
        <v>14.290708381542954</v>
      </c>
      <c r="J463" s="64">
        <v>8.2841244351703995</v>
      </c>
      <c r="K463" s="64">
        <v>8.2852762351704001</v>
      </c>
    </row>
    <row r="464" spans="1:11" ht="15">
      <c r="A464" s="13">
        <v>55763</v>
      </c>
      <c r="B464" s="63">
        <v>7.1528166866841749</v>
      </c>
      <c r="C464" s="63">
        <v>7.1528166866841749</v>
      </c>
      <c r="D464" s="63">
        <v>7.169980406684175</v>
      </c>
      <c r="E464" s="64">
        <v>8.2725824243710893</v>
      </c>
      <c r="F464" s="64">
        <v>8.2725824243710893</v>
      </c>
      <c r="G464" s="64">
        <v>8.2737342243710899</v>
      </c>
      <c r="H464" s="64">
        <v>14.319326491087836</v>
      </c>
      <c r="I464" s="64">
        <v>14.320478291087836</v>
      </c>
      <c r="J464" s="64">
        <v>8.2725824243710893</v>
      </c>
      <c r="K464" s="64">
        <v>8.2737342243710899</v>
      </c>
    </row>
    <row r="465" spans="1:11" ht="15">
      <c r="A465" s="13">
        <v>55793</v>
      </c>
      <c r="B465" s="63">
        <v>7.158605483065001</v>
      </c>
      <c r="C465" s="63">
        <v>7.158605483065001</v>
      </c>
      <c r="D465" s="63">
        <v>7.1671892030650008</v>
      </c>
      <c r="E465" s="64">
        <v>8.2968578122010967</v>
      </c>
      <c r="F465" s="64">
        <v>8.2968578122010967</v>
      </c>
      <c r="G465" s="64">
        <v>8.2970346122010969</v>
      </c>
      <c r="H465" s="64">
        <v>14.349158421277604</v>
      </c>
      <c r="I465" s="64">
        <v>14.349335221277604</v>
      </c>
      <c r="J465" s="64">
        <v>8.2968578122010967</v>
      </c>
      <c r="K465" s="64">
        <v>8.2970346122010969</v>
      </c>
    </row>
    <row r="466" spans="1:11" ht="15">
      <c r="A466" s="13">
        <v>55824</v>
      </c>
      <c r="B466" s="63">
        <v>7.1616452557922736</v>
      </c>
      <c r="C466" s="63">
        <v>7.1616452557922736</v>
      </c>
      <c r="D466" s="63">
        <v>7.1702289757922735</v>
      </c>
      <c r="E466" s="64">
        <v>8.3178231897319215</v>
      </c>
      <c r="F466" s="64">
        <v>8.3178231897319215</v>
      </c>
      <c r="G466" s="64">
        <v>8.3179999897319217</v>
      </c>
      <c r="H466" s="64">
        <v>14.379052501321933</v>
      </c>
      <c r="I466" s="64">
        <v>14.379229301321933</v>
      </c>
      <c r="J466" s="64">
        <v>8.3178231897319215</v>
      </c>
      <c r="K466" s="64">
        <v>8.3179999897319217</v>
      </c>
    </row>
    <row r="467" spans="1:11" ht="15">
      <c r="A467" s="13">
        <v>55854</v>
      </c>
      <c r="B467" s="63">
        <v>7.1616452557922736</v>
      </c>
      <c r="C467" s="63">
        <v>7.1616452557922736</v>
      </c>
      <c r="D467" s="63">
        <v>7.1702289757922735</v>
      </c>
      <c r="E467" s="64">
        <v>8.2707063560743528</v>
      </c>
      <c r="F467" s="64">
        <v>8.2707063560743528</v>
      </c>
      <c r="G467" s="64">
        <v>8.270883156074353</v>
      </c>
      <c r="H467" s="64">
        <v>14.409008860699689</v>
      </c>
      <c r="I467" s="64">
        <v>14.40918566069969</v>
      </c>
      <c r="J467" s="64">
        <v>8.2707063560743528</v>
      </c>
      <c r="K467" s="64">
        <v>8.270883156074353</v>
      </c>
    </row>
    <row r="468" spans="1:11" ht="15">
      <c r="A468" s="13">
        <v>55885</v>
      </c>
      <c r="B468" s="63">
        <v>7.2255623073347399</v>
      </c>
      <c r="C468" s="63">
        <v>7.2255623073347399</v>
      </c>
      <c r="D468" s="63">
        <v>7.2341460273347398</v>
      </c>
      <c r="E468" s="64">
        <v>8.3788362010576058</v>
      </c>
      <c r="F468" s="64">
        <v>8.3788362010576058</v>
      </c>
      <c r="G468" s="64">
        <v>8.379013001057606</v>
      </c>
      <c r="H468" s="64">
        <v>14.439027629159481</v>
      </c>
      <c r="I468" s="64">
        <v>14.439204429159481</v>
      </c>
      <c r="J468" s="64">
        <v>8.3788362010576058</v>
      </c>
      <c r="K468" s="64">
        <v>8.379013001057606</v>
      </c>
    </row>
    <row r="469" spans="1:11" ht="15">
      <c r="A469" s="13">
        <v>55916</v>
      </c>
      <c r="B469" s="63">
        <v>7.2225225346074673</v>
      </c>
      <c r="C469" s="63">
        <v>7.2225225346074673</v>
      </c>
      <c r="D469" s="63">
        <v>7.2311062546074671</v>
      </c>
      <c r="E469" s="64">
        <v>8.2851763604548161</v>
      </c>
      <c r="F469" s="64">
        <v>8.2851763604548161</v>
      </c>
      <c r="G469" s="64">
        <v>8.2853531604548163</v>
      </c>
      <c r="H469" s="64">
        <v>14.469108936720232</v>
      </c>
      <c r="I469" s="64">
        <v>14.469285736720233</v>
      </c>
      <c r="J469" s="64">
        <v>8.2851763604548161</v>
      </c>
      <c r="K469" s="64">
        <v>8.2853531604548163</v>
      </c>
    </row>
    <row r="470" spans="1:11" ht="15">
      <c r="A470" s="13">
        <v>55944</v>
      </c>
      <c r="B470" s="63">
        <v>7.2194827618801947</v>
      </c>
      <c r="C470" s="63">
        <v>7.2194827618801947</v>
      </c>
      <c r="D470" s="63">
        <v>7.2280664818801945</v>
      </c>
      <c r="E470" s="64">
        <v>8.3552232591615212</v>
      </c>
      <c r="F470" s="64">
        <v>8.3552232591615212</v>
      </c>
      <c r="G470" s="64">
        <v>8.3554000591615214</v>
      </c>
      <c r="H470" s="64">
        <v>14.499252913671734</v>
      </c>
      <c r="I470" s="64">
        <v>14.499429713671734</v>
      </c>
      <c r="J470" s="64">
        <v>8.3552232591615212</v>
      </c>
      <c r="K470" s="64">
        <v>8.3554000591615214</v>
      </c>
    </row>
    <row r="471" spans="1:11" ht="15">
      <c r="A471" s="13">
        <v>55975</v>
      </c>
      <c r="B471" s="63">
        <v>7.2199815109349119</v>
      </c>
      <c r="C471" s="63">
        <v>7.2199815109349119</v>
      </c>
      <c r="D471" s="63">
        <v>7.2285652309349118</v>
      </c>
      <c r="E471" s="64">
        <v>8.4284885860678926</v>
      </c>
      <c r="F471" s="64">
        <v>8.4284885860678926</v>
      </c>
      <c r="G471" s="64">
        <v>8.4286653860678928</v>
      </c>
      <c r="H471" s="64">
        <v>14.529459690575218</v>
      </c>
      <c r="I471" s="64">
        <v>14.529636490575218</v>
      </c>
      <c r="J471" s="64">
        <v>8.4284885860678926</v>
      </c>
      <c r="K471" s="64">
        <v>8.4286653860678928</v>
      </c>
    </row>
    <row r="472" spans="1:11" ht="15">
      <c r="A472" s="13">
        <v>56005</v>
      </c>
      <c r="B472" s="63">
        <v>7.2199815109349119</v>
      </c>
      <c r="C472" s="63">
        <v>7.2199815109349119</v>
      </c>
      <c r="D472" s="63">
        <v>7.237145230934912</v>
      </c>
      <c r="E472" s="64">
        <v>8.4575520667086295</v>
      </c>
      <c r="F472" s="64">
        <v>8.4575520667086295</v>
      </c>
      <c r="G472" s="64">
        <v>8.4587038667086301</v>
      </c>
      <c r="H472" s="64">
        <v>14.559729398263917</v>
      </c>
      <c r="I472" s="64">
        <v>14.560881198263917</v>
      </c>
      <c r="J472" s="64">
        <v>8.4575520667086295</v>
      </c>
      <c r="K472" s="64">
        <v>8.4587038667086301</v>
      </c>
    </row>
    <row r="473" spans="1:11" ht="15">
      <c r="A473" s="13">
        <v>56036</v>
      </c>
      <c r="B473" s="63">
        <v>7.2260610563894572</v>
      </c>
      <c r="C473" s="63">
        <v>7.2260610563894572</v>
      </c>
      <c r="D473" s="63">
        <v>7.2432247763894573</v>
      </c>
      <c r="E473" s="64">
        <v>8.4327258742034861</v>
      </c>
      <c r="F473" s="64">
        <v>8.4327258742034861</v>
      </c>
      <c r="G473" s="64">
        <v>8.4338776742034867</v>
      </c>
      <c r="H473" s="64">
        <v>14.590062167843636</v>
      </c>
      <c r="I473" s="64">
        <v>14.591213967843636</v>
      </c>
      <c r="J473" s="64">
        <v>8.4327258742034861</v>
      </c>
      <c r="K473" s="64">
        <v>8.4338776742034867</v>
      </c>
    </row>
    <row r="474" spans="1:11" ht="15">
      <c r="A474" s="13">
        <v>56066</v>
      </c>
      <c r="B474" s="63">
        <v>7.3442046650183501</v>
      </c>
      <c r="C474" s="63">
        <v>7.3442046650183501</v>
      </c>
      <c r="D474" s="63">
        <v>7.3613683850183502</v>
      </c>
      <c r="E474" s="64">
        <v>8.5981920828556415</v>
      </c>
      <c r="F474" s="64">
        <v>8.5981920828556415</v>
      </c>
      <c r="G474" s="64">
        <v>8.5993438828556421</v>
      </c>
      <c r="H474" s="64">
        <v>14.620458130693311</v>
      </c>
      <c r="I474" s="64">
        <v>14.621609930693312</v>
      </c>
      <c r="J474" s="64">
        <v>8.5981920828556415</v>
      </c>
      <c r="K474" s="64">
        <v>8.5993438828556421</v>
      </c>
    </row>
    <row r="475" spans="1:11" ht="15">
      <c r="A475" s="13">
        <v>56097</v>
      </c>
      <c r="B475" s="63">
        <v>7.350892165018351</v>
      </c>
      <c r="C475" s="63">
        <v>7.350892165018351</v>
      </c>
      <c r="D475" s="63">
        <v>7.3680558850183511</v>
      </c>
      <c r="E475" s="64">
        <v>8.5156626578825847</v>
      </c>
      <c r="F475" s="64">
        <v>8.5156626578825847</v>
      </c>
      <c r="G475" s="64">
        <v>8.5168144578825853</v>
      </c>
      <c r="H475" s="64">
        <v>14.650917418465591</v>
      </c>
      <c r="I475" s="64">
        <v>14.652069218465591</v>
      </c>
      <c r="J475" s="64">
        <v>8.5156626578825847</v>
      </c>
      <c r="K475" s="64">
        <v>8.5168144578825853</v>
      </c>
    </row>
    <row r="476" spans="1:11" ht="15">
      <c r="A476" s="13">
        <v>56128</v>
      </c>
      <c r="B476" s="63">
        <v>7.3478523922910775</v>
      </c>
      <c r="C476" s="63">
        <v>7.3478523922910775</v>
      </c>
      <c r="D476" s="63">
        <v>7.3650161122910776</v>
      </c>
      <c r="E476" s="64">
        <v>8.5038561869345415</v>
      </c>
      <c r="F476" s="64">
        <v>8.5038561869345415</v>
      </c>
      <c r="G476" s="64">
        <v>8.5050079869345421</v>
      </c>
      <c r="H476" s="64">
        <v>14.681440163087396</v>
      </c>
      <c r="I476" s="64">
        <v>14.682591963087397</v>
      </c>
      <c r="J476" s="64">
        <v>8.5038561869345415</v>
      </c>
      <c r="K476" s="64">
        <v>8.5050079869345421</v>
      </c>
    </row>
    <row r="477" spans="1:11" ht="15">
      <c r="A477" s="13">
        <v>56158</v>
      </c>
      <c r="B477" s="63">
        <v>7.3542808667071551</v>
      </c>
      <c r="C477" s="63">
        <v>7.3542808667071551</v>
      </c>
      <c r="D477" s="63">
        <v>7.3628645867071549</v>
      </c>
      <c r="E477" s="64">
        <v>8.5291894153594754</v>
      </c>
      <c r="F477" s="64">
        <v>8.5291894153594754</v>
      </c>
      <c r="G477" s="64">
        <v>8.5293662153594756</v>
      </c>
      <c r="H477" s="64">
        <v>14.712026496760497</v>
      </c>
      <c r="I477" s="64">
        <v>14.712203296760498</v>
      </c>
      <c r="J477" s="64">
        <v>8.5291894153594754</v>
      </c>
      <c r="K477" s="64">
        <v>8.5293662153594756</v>
      </c>
    </row>
    <row r="478" spans="1:11" ht="15">
      <c r="A478" s="13">
        <v>56189</v>
      </c>
      <c r="B478" s="63">
        <v>7.3573206394344268</v>
      </c>
      <c r="C478" s="63">
        <v>7.3573206394344268</v>
      </c>
      <c r="D478" s="63">
        <v>7.3659043594344267</v>
      </c>
      <c r="E478" s="64">
        <v>8.5506837131877642</v>
      </c>
      <c r="F478" s="64">
        <v>8.5506837131877642</v>
      </c>
      <c r="G478" s="64">
        <v>8.5508605131877644</v>
      </c>
      <c r="H478" s="64">
        <v>14.742676551962083</v>
      </c>
      <c r="I478" s="64">
        <v>14.742853351962083</v>
      </c>
      <c r="J478" s="64">
        <v>8.5506837131877642</v>
      </c>
      <c r="K478" s="64">
        <v>8.5508605131877644</v>
      </c>
    </row>
    <row r="479" spans="1:11" ht="15">
      <c r="A479" s="13">
        <v>56219</v>
      </c>
      <c r="B479" s="63">
        <v>7.3573206394344268</v>
      </c>
      <c r="C479" s="63">
        <v>7.3573206394344268</v>
      </c>
      <c r="D479" s="63">
        <v>7.3659043594344267</v>
      </c>
      <c r="E479" s="64">
        <v>8.5022445787865362</v>
      </c>
      <c r="F479" s="64">
        <v>8.5022445787865362</v>
      </c>
      <c r="G479" s="64">
        <v>8.5024213787865364</v>
      </c>
      <c r="H479" s="64">
        <v>14.773390461445338</v>
      </c>
      <c r="I479" s="64">
        <v>14.773567261445338</v>
      </c>
      <c r="J479" s="64">
        <v>8.5022445787865362</v>
      </c>
      <c r="K479" s="64">
        <v>8.5024213787865364</v>
      </c>
    </row>
    <row r="480" spans="1:11" ht="15">
      <c r="A480" s="13">
        <v>56250</v>
      </c>
      <c r="B480" s="63">
        <v>7.4228636820146701</v>
      </c>
      <c r="C480" s="63">
        <v>7.4228636820146701</v>
      </c>
      <c r="D480" s="63">
        <v>7.4314474020146699</v>
      </c>
      <c r="E480" s="64">
        <v>8.6133104259433608</v>
      </c>
      <c r="F480" s="64">
        <v>8.6133104259433608</v>
      </c>
      <c r="G480" s="64">
        <v>8.613487225943361</v>
      </c>
      <c r="H480" s="64">
        <v>14.804168358240018</v>
      </c>
      <c r="I480" s="64">
        <v>14.804345158240018</v>
      </c>
      <c r="J480" s="64">
        <v>8.6133104259433608</v>
      </c>
      <c r="K480" s="64">
        <v>8.613487225943361</v>
      </c>
    </row>
    <row r="481" spans="1:11" ht="15">
      <c r="A481" s="13">
        <v>56281</v>
      </c>
      <c r="B481" s="63">
        <v>7.4198239092873983</v>
      </c>
      <c r="C481" s="63">
        <v>7.4198239092873983</v>
      </c>
      <c r="D481" s="63">
        <v>7.4284076292873982</v>
      </c>
      <c r="E481" s="64">
        <v>8.5170815461488978</v>
      </c>
      <c r="F481" s="64">
        <v>8.5170815461488978</v>
      </c>
      <c r="G481" s="64">
        <v>8.517258346148898</v>
      </c>
      <c r="H481" s="64">
        <v>14.83501037565302</v>
      </c>
      <c r="I481" s="64">
        <v>14.83518717565302</v>
      </c>
      <c r="J481" s="64">
        <v>8.5170815461488978</v>
      </c>
      <c r="K481" s="64">
        <v>8.517258346148898</v>
      </c>
    </row>
    <row r="482" spans="1:11" ht="15">
      <c r="A482" s="13">
        <v>56309</v>
      </c>
      <c r="B482" s="63">
        <v>7.4167841365601248</v>
      </c>
      <c r="C482" s="63">
        <v>7.4167841365601248</v>
      </c>
      <c r="D482" s="63">
        <v>7.4253678565601247</v>
      </c>
      <c r="E482" s="64">
        <v>8.5891537199742789</v>
      </c>
      <c r="F482" s="64">
        <v>8.5891537199742789</v>
      </c>
      <c r="G482" s="64">
        <v>8.5893305199742791</v>
      </c>
      <c r="H482" s="64">
        <v>14.865916647268966</v>
      </c>
      <c r="I482" s="64">
        <v>14.866093447268966</v>
      </c>
      <c r="J482" s="64">
        <v>8.5891537199742789</v>
      </c>
      <c r="K482" s="64">
        <v>8.5893305199742791</v>
      </c>
    </row>
    <row r="483" spans="1:11" ht="15">
      <c r="A483" s="13">
        <v>56340</v>
      </c>
      <c r="B483" s="63">
        <v>7.4174509315663135</v>
      </c>
      <c r="C483" s="63">
        <v>7.4174509315663135</v>
      </c>
      <c r="D483" s="63">
        <v>7.4260346515663134</v>
      </c>
      <c r="E483" s="64">
        <v>8.6645941031726412</v>
      </c>
      <c r="F483" s="64">
        <v>8.6645941031726412</v>
      </c>
      <c r="G483" s="64">
        <v>8.6647709031726414</v>
      </c>
      <c r="H483" s="64">
        <v>14.896887306950777</v>
      </c>
      <c r="I483" s="64">
        <v>14.897064106950777</v>
      </c>
      <c r="J483" s="64">
        <v>8.6645941031726412</v>
      </c>
      <c r="K483" s="64">
        <v>8.6647709031726414</v>
      </c>
    </row>
    <row r="484" spans="1:11" ht="15">
      <c r="A484" s="13">
        <v>56370</v>
      </c>
      <c r="B484" s="63">
        <v>7.4174509315663135</v>
      </c>
      <c r="C484" s="63">
        <v>7.4174509315663135</v>
      </c>
      <c r="D484" s="63">
        <v>7.4346146515663136</v>
      </c>
      <c r="E484" s="64">
        <v>8.694473229922874</v>
      </c>
      <c r="F484" s="64">
        <v>8.694473229922874</v>
      </c>
      <c r="G484" s="64">
        <v>8.6956250299228746</v>
      </c>
      <c r="H484" s="64">
        <v>14.92792248884026</v>
      </c>
      <c r="I484" s="64">
        <v>14.92907428884026</v>
      </c>
      <c r="J484" s="64">
        <v>8.694473229922874</v>
      </c>
      <c r="K484" s="64">
        <v>8.6956250299228746</v>
      </c>
    </row>
    <row r="485" spans="1:11" ht="15">
      <c r="A485" s="13">
        <v>56401</v>
      </c>
      <c r="B485" s="63">
        <v>7.423530477020857</v>
      </c>
      <c r="C485" s="63">
        <v>7.423530477020857</v>
      </c>
      <c r="D485" s="63">
        <v>7.4406941970208571</v>
      </c>
      <c r="E485" s="64">
        <v>8.6688313913082347</v>
      </c>
      <c r="F485" s="64">
        <v>8.6688313913082347</v>
      </c>
      <c r="G485" s="64">
        <v>8.6699831913082352</v>
      </c>
      <c r="H485" s="64">
        <v>14.959022327358678</v>
      </c>
      <c r="I485" s="64">
        <v>14.960174127358679</v>
      </c>
      <c r="J485" s="64">
        <v>8.6688313913082347</v>
      </c>
      <c r="K485" s="64">
        <v>8.6699831913082352</v>
      </c>
    </row>
    <row r="486" spans="1:11" ht="15">
      <c r="A486" s="13">
        <v>56431</v>
      </c>
      <c r="B486" s="63">
        <v>7.5446194660295838</v>
      </c>
      <c r="C486" s="63">
        <v>7.5446194660295838</v>
      </c>
      <c r="D486" s="63">
        <v>7.5617831860295839</v>
      </c>
      <c r="E486" s="64">
        <v>8.8386573630766812</v>
      </c>
      <c r="F486" s="64">
        <v>8.8386573630766812</v>
      </c>
      <c r="G486" s="64">
        <v>8.8398091630766817</v>
      </c>
      <c r="H486" s="64">
        <v>14.990186957207344</v>
      </c>
      <c r="I486" s="64">
        <v>14.991338757207345</v>
      </c>
      <c r="J486" s="64">
        <v>8.8386573630766812</v>
      </c>
      <c r="K486" s="64">
        <v>8.8398091630766817</v>
      </c>
    </row>
    <row r="487" spans="1:11" ht="15">
      <c r="A487" s="13">
        <v>56462</v>
      </c>
      <c r="B487" s="63">
        <v>7.5513069660295846</v>
      </c>
      <c r="C487" s="63">
        <v>7.5513069660295846</v>
      </c>
      <c r="D487" s="63">
        <v>7.5684706860295847</v>
      </c>
      <c r="E487" s="64">
        <v>8.753680999775133</v>
      </c>
      <c r="F487" s="64">
        <v>8.7536809997751348</v>
      </c>
      <c r="G487" s="64">
        <v>8.7548327997751354</v>
      </c>
      <c r="H487" s="64">
        <v>15.021416513368195</v>
      </c>
      <c r="I487" s="64">
        <v>15.022568313368195</v>
      </c>
      <c r="J487" s="64">
        <v>8.753680999775133</v>
      </c>
      <c r="K487" s="64">
        <v>8.7548327997751336</v>
      </c>
    </row>
    <row r="488" spans="1:11" ht="15">
      <c r="A488" s="13">
        <v>56493</v>
      </c>
      <c r="B488" s="63">
        <v>7.548267193302312</v>
      </c>
      <c r="C488" s="63">
        <v>7.548267193302312</v>
      </c>
      <c r="D488" s="63">
        <v>7.5654309133023121</v>
      </c>
      <c r="E488" s="64">
        <v>8.741602646790593</v>
      </c>
      <c r="F488" s="64">
        <v>8.741602646790593</v>
      </c>
      <c r="G488" s="64">
        <v>8.7427544467905935</v>
      </c>
      <c r="H488" s="64">
        <v>15.052711131104379</v>
      </c>
      <c r="I488" s="64">
        <v>15.05386293110438</v>
      </c>
      <c r="J488" s="64">
        <v>8.741602646790593</v>
      </c>
      <c r="K488" s="64">
        <v>8.7427544467905935</v>
      </c>
    </row>
    <row r="489" spans="1:11" ht="15">
      <c r="A489" s="13">
        <v>56523</v>
      </c>
      <c r="B489" s="63">
        <v>7.5553516848905771</v>
      </c>
      <c r="C489" s="63">
        <v>7.5553516848905771</v>
      </c>
      <c r="D489" s="63">
        <v>7.5639354048905769</v>
      </c>
      <c r="E489" s="64">
        <v>8.7680234033615232</v>
      </c>
      <c r="F489" s="64">
        <v>8.7680234033615232</v>
      </c>
      <c r="G489" s="64">
        <v>8.7682002033615234</v>
      </c>
      <c r="H489" s="64">
        <v>15.084070945960848</v>
      </c>
      <c r="I489" s="64">
        <v>15.084247745960848</v>
      </c>
      <c r="J489" s="64">
        <v>8.7680234033615232</v>
      </c>
      <c r="K489" s="64">
        <v>8.7682002033615234</v>
      </c>
    </row>
    <row r="490" spans="1:11" ht="15">
      <c r="A490" s="13">
        <v>56554</v>
      </c>
      <c r="B490" s="63">
        <v>7.5583914576178506</v>
      </c>
      <c r="C490" s="63">
        <v>7.5583914576178506</v>
      </c>
      <c r="D490" s="63">
        <v>7.5669751776178504</v>
      </c>
      <c r="E490" s="64">
        <v>8.7900614652628111</v>
      </c>
      <c r="F490" s="64">
        <v>8.7900614652628111</v>
      </c>
      <c r="G490" s="64">
        <v>8.7902382652628113</v>
      </c>
      <c r="H490" s="64">
        <v>15.115496093764934</v>
      </c>
      <c r="I490" s="64">
        <v>15.115672893764934</v>
      </c>
      <c r="J490" s="64">
        <v>8.7900614652628111</v>
      </c>
      <c r="K490" s="64">
        <v>8.7902382652628113</v>
      </c>
    </row>
    <row r="491" spans="1:11" ht="15">
      <c r="A491" s="13">
        <v>56584</v>
      </c>
      <c r="B491" s="63">
        <v>7.5583914576178506</v>
      </c>
      <c r="C491" s="63">
        <v>7.5583914576178506</v>
      </c>
      <c r="D491" s="63">
        <v>7.5669751776178504</v>
      </c>
      <c r="E491" s="64">
        <v>8.7402629206790881</v>
      </c>
      <c r="F491" s="64">
        <v>8.7402629206790881</v>
      </c>
      <c r="G491" s="64">
        <v>8.7404397206790883</v>
      </c>
      <c r="H491" s="64">
        <v>15.146986710626946</v>
      </c>
      <c r="I491" s="64">
        <v>15.147163510626946</v>
      </c>
      <c r="J491" s="64">
        <v>8.7402629206790881</v>
      </c>
      <c r="K491" s="64">
        <v>8.7404397206790883</v>
      </c>
    </row>
    <row r="492" spans="1:11" ht="15">
      <c r="A492" s="13">
        <v>56615</v>
      </c>
      <c r="B492" s="63">
        <v>7.6256057418336223</v>
      </c>
      <c r="C492" s="63">
        <v>7.6256057418336223</v>
      </c>
      <c r="D492" s="63">
        <v>7.6341894618336221</v>
      </c>
      <c r="E492" s="64">
        <v>8.8543468815300663</v>
      </c>
      <c r="F492" s="64">
        <v>8.8543468815300663</v>
      </c>
      <c r="G492" s="64">
        <v>8.8545236815300665</v>
      </c>
      <c r="H492" s="64">
        <v>15.178542932940754</v>
      </c>
      <c r="I492" s="64">
        <v>15.178719732940754</v>
      </c>
      <c r="J492" s="64">
        <v>8.8543468815300663</v>
      </c>
      <c r="K492" s="64">
        <v>8.8545236815300665</v>
      </c>
    </row>
    <row r="493" spans="1:11" ht="15">
      <c r="A493" s="13">
        <v>56646</v>
      </c>
      <c r="B493" s="63">
        <v>7.6225659691063505</v>
      </c>
      <c r="C493" s="63">
        <v>7.6225659691063505</v>
      </c>
      <c r="D493" s="63">
        <v>7.6311496891063504</v>
      </c>
      <c r="E493" s="64">
        <v>8.755476864268859</v>
      </c>
      <c r="F493" s="64">
        <v>8.755476864268859</v>
      </c>
      <c r="G493" s="64">
        <v>8.7556536642688592</v>
      </c>
      <c r="H493" s="64">
        <v>15.210164897384383</v>
      </c>
      <c r="I493" s="64">
        <v>15.210341697384383</v>
      </c>
      <c r="J493" s="64">
        <v>8.755476864268859</v>
      </c>
      <c r="K493" s="64">
        <v>8.7556536642688592</v>
      </c>
    </row>
    <row r="494" spans="1:11" ht="15">
      <c r="A494" s="13">
        <v>56674</v>
      </c>
      <c r="B494" s="63">
        <v>7.6195261963790779</v>
      </c>
      <c r="C494" s="63">
        <v>7.6195261963790779</v>
      </c>
      <c r="D494" s="63">
        <v>7.6281099163790778</v>
      </c>
      <c r="E494" s="64">
        <v>8.8296311511323484</v>
      </c>
      <c r="F494" s="64">
        <v>8.8296311511323484</v>
      </c>
      <c r="G494" s="64">
        <v>8.8298079511323486</v>
      </c>
      <c r="H494" s="64">
        <v>15.241852740920601</v>
      </c>
      <c r="I494" s="64">
        <v>15.242029540920601</v>
      </c>
      <c r="J494" s="64">
        <v>8.8296311511323484</v>
      </c>
      <c r="K494" s="64">
        <v>8.8298079511323486</v>
      </c>
    </row>
    <row r="495" spans="1:11" ht="15">
      <c r="A495" s="13">
        <v>56705</v>
      </c>
      <c r="B495" s="63">
        <v>7.6203653299251375</v>
      </c>
      <c r="C495" s="63">
        <v>7.6203653299251375</v>
      </c>
      <c r="D495" s="63">
        <v>7.6289490499251373</v>
      </c>
      <c r="E495" s="64">
        <v>8.9073076320452511</v>
      </c>
      <c r="F495" s="64">
        <v>8.9073076320452511</v>
      </c>
      <c r="G495" s="64">
        <v>8.9074844320452513</v>
      </c>
      <c r="H495" s="64">
        <v>15.273606600797521</v>
      </c>
      <c r="I495" s="64">
        <v>15.273783400797521</v>
      </c>
      <c r="J495" s="64">
        <v>8.9073076320452511</v>
      </c>
      <c r="K495" s="64">
        <v>8.9074844320452513</v>
      </c>
    </row>
    <row r="496" spans="1:11" ht="15">
      <c r="A496" s="13">
        <v>56735</v>
      </c>
      <c r="B496" s="63">
        <v>7.6203653299251375</v>
      </c>
      <c r="C496" s="63">
        <v>7.6203653299251375</v>
      </c>
      <c r="D496" s="63">
        <v>7.6375290499251376</v>
      </c>
      <c r="E496" s="64">
        <v>8.9380252954384378</v>
      </c>
      <c r="F496" s="64">
        <v>8.9380252954384378</v>
      </c>
      <c r="G496" s="64">
        <v>8.9391770954384384</v>
      </c>
      <c r="H496" s="64">
        <v>15.305426614549184</v>
      </c>
      <c r="I496" s="64">
        <v>15.306578414549184</v>
      </c>
      <c r="J496" s="64">
        <v>8.9380252954384378</v>
      </c>
      <c r="K496" s="64">
        <v>8.9391770954384384</v>
      </c>
    </row>
    <row r="497" spans="1:11" ht="15">
      <c r="A497" s="13">
        <v>56766</v>
      </c>
      <c r="B497" s="63">
        <v>7.6264448753796827</v>
      </c>
      <c r="C497" s="63">
        <v>7.6264448753796827</v>
      </c>
      <c r="D497" s="63">
        <v>7.6436085953796828</v>
      </c>
      <c r="E497" s="64">
        <v>8.9115449201808428</v>
      </c>
      <c r="F497" s="64">
        <v>8.9115449201808428</v>
      </c>
      <c r="G497" s="64">
        <v>8.9126967201808434</v>
      </c>
      <c r="H497" s="64">
        <v>15.337312919996164</v>
      </c>
      <c r="I497" s="64">
        <v>15.338464719996164</v>
      </c>
      <c r="J497" s="64">
        <v>8.9115449201808428</v>
      </c>
      <c r="K497" s="64">
        <v>8.9126967201808434</v>
      </c>
    </row>
    <row r="498" spans="1:11" ht="15">
      <c r="A498" s="13">
        <v>56796</v>
      </c>
      <c r="B498" s="63">
        <v>7.7505634859321555</v>
      </c>
      <c r="C498" s="63">
        <v>7.7505634859321555</v>
      </c>
      <c r="D498" s="63">
        <v>7.7677272059321556</v>
      </c>
      <c r="E498" s="64">
        <v>9.0858523113165877</v>
      </c>
      <c r="F498" s="64">
        <v>9.0858523113165877</v>
      </c>
      <c r="G498" s="64">
        <v>9.0870041113165883</v>
      </c>
      <c r="H498" s="64">
        <v>15.369265655246156</v>
      </c>
      <c r="I498" s="64">
        <v>15.370417455246157</v>
      </c>
      <c r="J498" s="64">
        <v>9.0858523113165877</v>
      </c>
      <c r="K498" s="64">
        <v>9.0870041113165883</v>
      </c>
    </row>
    <row r="499" spans="1:11" ht="15">
      <c r="A499" s="13">
        <v>56827</v>
      </c>
      <c r="B499" s="63">
        <v>7.7572509859321555</v>
      </c>
      <c r="C499" s="63">
        <v>7.7572509859321555</v>
      </c>
      <c r="D499" s="63">
        <v>7.7744147059321556</v>
      </c>
      <c r="E499" s="64">
        <v>8.998360338086183</v>
      </c>
      <c r="F499" s="64">
        <v>8.998360338086183</v>
      </c>
      <c r="G499" s="64">
        <v>8.9995121380861836</v>
      </c>
      <c r="H499" s="64">
        <v>15.401284958694587</v>
      </c>
      <c r="I499" s="64">
        <v>15.402436758694588</v>
      </c>
      <c r="J499" s="64">
        <v>8.998360338086183</v>
      </c>
      <c r="K499" s="64">
        <v>8.9995121380861836</v>
      </c>
    </row>
    <row r="500" spans="1:11" ht="15">
      <c r="A500" s="13">
        <v>56858</v>
      </c>
      <c r="B500" s="63">
        <v>7.7542112132048828</v>
      </c>
      <c r="C500" s="63">
        <v>7.7542112132048828</v>
      </c>
      <c r="D500" s="63">
        <v>7.7713749332048829</v>
      </c>
      <c r="E500" s="64">
        <v>8.9860024728873249</v>
      </c>
      <c r="F500" s="64">
        <v>8.9860024728873249</v>
      </c>
      <c r="G500" s="64">
        <v>8.9871542728873255</v>
      </c>
      <c r="H500" s="64">
        <v>15.433370969025203</v>
      </c>
      <c r="I500" s="64">
        <v>15.434522769025204</v>
      </c>
      <c r="J500" s="64">
        <v>8.9860024728873249</v>
      </c>
      <c r="K500" s="64">
        <v>8.9871542728873255</v>
      </c>
    </row>
    <row r="501" spans="1:11" ht="15">
      <c r="A501" s="13">
        <v>56888</v>
      </c>
      <c r="B501" s="63">
        <v>7.761968481130471</v>
      </c>
      <c r="C501" s="63">
        <v>7.761968481130471</v>
      </c>
      <c r="D501" s="63">
        <v>7.7705522011304708</v>
      </c>
      <c r="E501" s="64">
        <v>9.0135412783155271</v>
      </c>
      <c r="F501" s="64">
        <v>9.0135412783155271</v>
      </c>
      <c r="G501" s="64">
        <v>9.0137180783155273</v>
      </c>
      <c r="H501" s="64">
        <v>15.465523825210674</v>
      </c>
      <c r="I501" s="64">
        <v>15.465700625210674</v>
      </c>
      <c r="J501" s="64">
        <v>9.0135412783155271</v>
      </c>
      <c r="K501" s="64">
        <v>9.0137180783155273</v>
      </c>
    </row>
    <row r="502" spans="1:11" ht="15">
      <c r="A502" s="13">
        <v>56919</v>
      </c>
      <c r="B502" s="63">
        <v>7.7650082538577427</v>
      </c>
      <c r="C502" s="63">
        <v>7.7650082538577427</v>
      </c>
      <c r="D502" s="63">
        <v>7.7735919738577426</v>
      </c>
      <c r="E502" s="64">
        <v>9.0361383646454474</v>
      </c>
      <c r="F502" s="64">
        <v>9.0361383646454474</v>
      </c>
      <c r="G502" s="64">
        <v>9.0363151646454476</v>
      </c>
      <c r="H502" s="64">
        <v>15.497743666513198</v>
      </c>
      <c r="I502" s="64">
        <v>15.497920466513198</v>
      </c>
      <c r="J502" s="64">
        <v>9.0361383646454474</v>
      </c>
      <c r="K502" s="64">
        <v>9.0363151646454476</v>
      </c>
    </row>
    <row r="503" spans="1:11" ht="15">
      <c r="A503" s="13">
        <v>56949</v>
      </c>
      <c r="B503" s="63">
        <v>7.7650082538577427</v>
      </c>
      <c r="C503" s="63">
        <v>7.7650082538577427</v>
      </c>
      <c r="D503" s="63">
        <v>7.7735919738577426</v>
      </c>
      <c r="E503" s="64">
        <v>8.984942258990138</v>
      </c>
      <c r="F503" s="64">
        <v>8.984942258990138</v>
      </c>
      <c r="G503" s="64">
        <v>8.9851190589901382</v>
      </c>
      <c r="H503" s="64">
        <v>15.530030632485103</v>
      </c>
      <c r="I503" s="64">
        <v>15.530207432485103</v>
      </c>
      <c r="J503" s="64">
        <v>8.984942258990138</v>
      </c>
      <c r="K503" s="64">
        <v>8.9851190589901382</v>
      </c>
    </row>
    <row r="504" spans="1:11" ht="15">
      <c r="A504" s="13">
        <v>56980</v>
      </c>
      <c r="B504" s="63">
        <v>7.8339401674127362</v>
      </c>
      <c r="C504" s="63">
        <v>7.8339401674127362</v>
      </c>
      <c r="D504" s="63">
        <v>7.8425238874127361</v>
      </c>
      <c r="E504" s="64">
        <v>9.1021289591430357</v>
      </c>
      <c r="F504" s="64">
        <v>9.1021289591430357</v>
      </c>
      <c r="G504" s="64">
        <v>9.1023057591430359</v>
      </c>
      <c r="H504" s="64">
        <v>15.562384862969449</v>
      </c>
      <c r="I504" s="64">
        <v>15.562561662969449</v>
      </c>
      <c r="J504" s="64">
        <v>9.1021289591430357</v>
      </c>
      <c r="K504" s="64">
        <v>9.1023057591430359</v>
      </c>
    </row>
    <row r="505" spans="1:11" ht="15">
      <c r="A505" s="13">
        <v>57011</v>
      </c>
      <c r="B505" s="63">
        <v>7.8309003946854645</v>
      </c>
      <c r="C505" s="63">
        <v>7.8309003946854645</v>
      </c>
      <c r="D505" s="63">
        <v>7.8394841146854644</v>
      </c>
      <c r="E505" s="64">
        <v>9.0005436827527099</v>
      </c>
      <c r="F505" s="64">
        <v>9.0005436827527099</v>
      </c>
      <c r="G505" s="64">
        <v>9.0007204827527101</v>
      </c>
      <c r="H505" s="64">
        <v>15.594806498100636</v>
      </c>
      <c r="I505" s="64">
        <v>15.594983298100637</v>
      </c>
      <c r="J505" s="64">
        <v>9.0005436827527099</v>
      </c>
      <c r="K505" s="64">
        <v>9.0007204827527101</v>
      </c>
    </row>
    <row r="506" spans="1:11" ht="15">
      <c r="A506" s="13">
        <v>57040</v>
      </c>
      <c r="B506" s="63">
        <v>7.827860621958191</v>
      </c>
      <c r="C506" s="63">
        <v>7.827860621958191</v>
      </c>
      <c r="D506" s="63">
        <v>7.8364443419581908</v>
      </c>
      <c r="E506" s="64">
        <v>9.0768385156899161</v>
      </c>
      <c r="F506" s="64">
        <v>9.0768385156899161</v>
      </c>
      <c r="G506" s="64">
        <v>9.0770153156899163</v>
      </c>
      <c r="H506" s="64">
        <v>15.627295678305014</v>
      </c>
      <c r="I506" s="64">
        <v>15.627472478305014</v>
      </c>
      <c r="J506" s="64">
        <v>9.0768385156899161</v>
      </c>
      <c r="K506" s="64">
        <v>9.0770153156899163</v>
      </c>
    </row>
    <row r="507" spans="1:11" ht="15">
      <c r="A507" s="13">
        <v>57071</v>
      </c>
      <c r="B507" s="63">
        <v>7.8288764966324713</v>
      </c>
      <c r="C507" s="63">
        <v>7.8288764966324713</v>
      </c>
      <c r="D507" s="63">
        <v>7.8374602166324712</v>
      </c>
      <c r="E507" s="64">
        <v>9.1568138488244237</v>
      </c>
      <c r="F507" s="64">
        <v>9.1568138488244255</v>
      </c>
      <c r="G507" s="64">
        <v>9.1569906488244257</v>
      </c>
      <c r="H507" s="64">
        <v>15.659852544301485</v>
      </c>
      <c r="I507" s="64">
        <v>15.660029344301485</v>
      </c>
      <c r="J507" s="64">
        <v>9.1568138488244237</v>
      </c>
      <c r="K507" s="64">
        <v>9.1569906488244239</v>
      </c>
    </row>
    <row r="508" spans="1:11" ht="15">
      <c r="A508" s="13">
        <v>57101</v>
      </c>
      <c r="B508" s="63">
        <v>7.8288764966324713</v>
      </c>
      <c r="C508" s="63">
        <v>7.8288764966324713</v>
      </c>
      <c r="D508" s="63">
        <v>7.8460402166324714</v>
      </c>
      <c r="E508" s="64">
        <v>9.1883935818007156</v>
      </c>
      <c r="F508" s="64">
        <v>9.1883935818007156</v>
      </c>
      <c r="G508" s="64">
        <v>9.1895453818007162</v>
      </c>
      <c r="H508" s="64">
        <v>15.692477237102114</v>
      </c>
      <c r="I508" s="64">
        <v>15.693629037102115</v>
      </c>
      <c r="J508" s="64">
        <v>9.1883935818007156</v>
      </c>
      <c r="K508" s="64">
        <v>9.1895453818007162</v>
      </c>
    </row>
    <row r="509" spans="1:11" ht="15">
      <c r="A509" s="13">
        <v>57132</v>
      </c>
      <c r="B509" s="63">
        <v>7.8349560420870175</v>
      </c>
      <c r="C509" s="63">
        <v>7.8349560420870175</v>
      </c>
      <c r="D509" s="63">
        <v>7.8521197620870176</v>
      </c>
      <c r="E509" s="64">
        <v>9.1610511369600189</v>
      </c>
      <c r="F509" s="64">
        <v>9.1610511369600189</v>
      </c>
      <c r="G509" s="64">
        <v>9.1622029369600195</v>
      </c>
      <c r="H509" s="64">
        <v>15.725169898012744</v>
      </c>
      <c r="I509" s="64">
        <v>15.726321698012745</v>
      </c>
      <c r="J509" s="64">
        <v>9.1610511369600189</v>
      </c>
      <c r="K509" s="64">
        <v>9.1622029369600195</v>
      </c>
    </row>
    <row r="510" spans="1:11" ht="15">
      <c r="A510" s="13">
        <v>57162</v>
      </c>
      <c r="B510" s="63">
        <v>7.9621907389003956</v>
      </c>
      <c r="C510" s="63">
        <v>7.9621907389003956</v>
      </c>
      <c r="D510" s="63">
        <v>7.9793544589003957</v>
      </c>
      <c r="E510" s="64">
        <v>9.3399655304748759</v>
      </c>
      <c r="F510" s="64">
        <v>9.3399655304748759</v>
      </c>
      <c r="G510" s="64">
        <v>9.3411173304748765</v>
      </c>
      <c r="H510" s="64">
        <v>15.757930668633605</v>
      </c>
      <c r="I510" s="64">
        <v>15.759082468633606</v>
      </c>
      <c r="J510" s="64">
        <v>9.3399655304748759</v>
      </c>
      <c r="K510" s="64">
        <v>9.3411173304748765</v>
      </c>
    </row>
    <row r="511" spans="1:11" ht="15">
      <c r="A511" s="13">
        <v>57193</v>
      </c>
      <c r="B511" s="63">
        <v>7.9688782389003947</v>
      </c>
      <c r="C511" s="63">
        <v>7.9688782389003947</v>
      </c>
      <c r="D511" s="63">
        <v>7.9860419589003948</v>
      </c>
      <c r="E511" s="64">
        <v>9.2498873484951627</v>
      </c>
      <c r="F511" s="64">
        <v>9.2498873484951609</v>
      </c>
      <c r="G511" s="64">
        <v>9.2510391484951615</v>
      </c>
      <c r="H511" s="64">
        <v>15.790759690859927</v>
      </c>
      <c r="I511" s="64">
        <v>15.791911490859928</v>
      </c>
      <c r="J511" s="64">
        <v>9.2498873484951627</v>
      </c>
      <c r="K511" s="64">
        <v>9.2510391484951633</v>
      </c>
    </row>
    <row r="512" spans="1:11" ht="15">
      <c r="A512" s="13">
        <v>57224</v>
      </c>
      <c r="B512" s="63">
        <v>7.9658384661731212</v>
      </c>
      <c r="C512" s="63">
        <v>7.9658384661731212</v>
      </c>
      <c r="D512" s="63">
        <v>7.9830021861731213</v>
      </c>
      <c r="E512" s="64">
        <v>9.2372421267686011</v>
      </c>
      <c r="F512" s="64">
        <v>9.2372421267686011</v>
      </c>
      <c r="G512" s="64">
        <v>9.2383939267686017</v>
      </c>
      <c r="H512" s="64">
        <v>15.823657106882553</v>
      </c>
      <c r="I512" s="64">
        <v>15.824808906882554</v>
      </c>
      <c r="J512" s="64">
        <v>9.2372421267686011</v>
      </c>
      <c r="K512" s="64">
        <v>9.2383939267686017</v>
      </c>
    </row>
    <row r="513" spans="1:11" ht="15">
      <c r="A513" s="13">
        <v>57254</v>
      </c>
      <c r="B513" s="63">
        <v>7.9742856963997895</v>
      </c>
      <c r="C513" s="63">
        <v>7.9742856963997895</v>
      </c>
      <c r="D513" s="63">
        <v>7.9828694163997893</v>
      </c>
      <c r="E513" s="64">
        <v>9.2659303583076102</v>
      </c>
      <c r="F513" s="64">
        <v>9.2659303583076102</v>
      </c>
      <c r="G513" s="64">
        <v>9.2661071583076104</v>
      </c>
      <c r="H513" s="64">
        <v>15.856623059188561</v>
      </c>
      <c r="I513" s="64">
        <v>15.856799859188561</v>
      </c>
      <c r="J513" s="64">
        <v>9.2659303583076102</v>
      </c>
      <c r="K513" s="64">
        <v>9.2661071583076104</v>
      </c>
    </row>
    <row r="514" spans="1:11" ht="15">
      <c r="A514" s="13">
        <v>57285</v>
      </c>
      <c r="B514" s="63">
        <v>7.9773254691270612</v>
      </c>
      <c r="C514" s="63">
        <v>7.9773254691270612</v>
      </c>
      <c r="D514" s="63">
        <v>7.985909189127061</v>
      </c>
      <c r="E514" s="64">
        <v>9.2891021576929322</v>
      </c>
      <c r="F514" s="64">
        <v>9.2891021576929322</v>
      </c>
      <c r="G514" s="64">
        <v>9.2892789576929324</v>
      </c>
      <c r="H514" s="64">
        <v>15.889657690561872</v>
      </c>
      <c r="I514" s="64">
        <v>15.889834490561872</v>
      </c>
      <c r="J514" s="64">
        <v>9.2891021576929322</v>
      </c>
      <c r="K514" s="64">
        <v>9.2892789576929324</v>
      </c>
    </row>
    <row r="515" spans="1:11" ht="15">
      <c r="A515" s="13">
        <v>57315</v>
      </c>
      <c r="B515" s="63">
        <v>7.9773254691270612</v>
      </c>
      <c r="C515" s="63">
        <v>7.9773254691270612</v>
      </c>
      <c r="D515" s="63">
        <v>7.985909189127061</v>
      </c>
      <c r="E515" s="64">
        <v>9.2364692693991177</v>
      </c>
      <c r="F515" s="64">
        <v>9.2364692693991177</v>
      </c>
      <c r="G515" s="64">
        <v>9.2366460693991179</v>
      </c>
      <c r="H515" s="64">
        <v>15.922761144083879</v>
      </c>
      <c r="I515" s="64">
        <v>15.922937944083879</v>
      </c>
      <c r="J515" s="64">
        <v>9.2364692693991177</v>
      </c>
      <c r="K515" s="64">
        <v>9.2366460693991179</v>
      </c>
    </row>
    <row r="516" spans="1:11" ht="15">
      <c r="A516" s="13">
        <v>57346</v>
      </c>
      <c r="B516" s="63">
        <v>8.0480227623708842</v>
      </c>
      <c r="C516" s="63">
        <v>8.0480227623708842</v>
      </c>
      <c r="D516" s="63">
        <v>8.0566064823708849</v>
      </c>
      <c r="E516" s="64">
        <v>9.3568455875870864</v>
      </c>
      <c r="F516" s="64">
        <v>9.3568455875870864</v>
      </c>
      <c r="G516" s="64">
        <v>9.3570223875870866</v>
      </c>
      <c r="H516" s="64">
        <v>15.955933563134055</v>
      </c>
      <c r="I516" s="64">
        <v>15.956110363134055</v>
      </c>
      <c r="J516" s="64">
        <v>9.3568455875870864</v>
      </c>
      <c r="K516" s="64">
        <v>9.3570223875870866</v>
      </c>
    </row>
    <row r="517" spans="1:11" ht="15">
      <c r="A517" s="13">
        <v>57377</v>
      </c>
      <c r="B517" s="63">
        <v>8.0449829896436107</v>
      </c>
      <c r="C517" s="63">
        <v>8.0449829896436107</v>
      </c>
      <c r="D517" s="63">
        <v>8.0535667096436114</v>
      </c>
      <c r="E517" s="64">
        <v>9.2524688502330346</v>
      </c>
      <c r="F517" s="64">
        <v>9.2524688502330346</v>
      </c>
      <c r="G517" s="64">
        <v>9.2526456502330348</v>
      </c>
      <c r="H517" s="64">
        <v>15.989175091390585</v>
      </c>
      <c r="I517" s="64">
        <v>15.989351891390585</v>
      </c>
      <c r="J517" s="64">
        <v>9.2524688502330346</v>
      </c>
      <c r="K517" s="64">
        <v>9.2526456502330348</v>
      </c>
    </row>
    <row r="518" spans="1:11" ht="15">
      <c r="A518" s="13">
        <v>57405</v>
      </c>
      <c r="B518" s="63">
        <v>8.041943216916339</v>
      </c>
      <c r="C518" s="63">
        <v>8.041943216916339</v>
      </c>
      <c r="D518" s="63">
        <v>8.0505269369163397</v>
      </c>
      <c r="E518" s="64">
        <v>9.33096430216154</v>
      </c>
      <c r="F518" s="64">
        <v>9.33096430216154</v>
      </c>
      <c r="G518" s="64">
        <v>9.3311411021615402</v>
      </c>
      <c r="H518" s="64">
        <v>16.022485872830984</v>
      </c>
      <c r="I518" s="64">
        <v>16.022662672830982</v>
      </c>
      <c r="J518" s="64">
        <v>9.33096430216154</v>
      </c>
      <c r="K518" s="64">
        <v>9.3311411021615402</v>
      </c>
    </row>
    <row r="519" spans="1:11" ht="15">
      <c r="A519" s="13">
        <v>57436</v>
      </c>
      <c r="B519" s="63">
        <v>8.0431403476011294</v>
      </c>
      <c r="C519" s="63">
        <v>8.0431403476011294</v>
      </c>
      <c r="D519" s="63">
        <v>8.0517240676011301</v>
      </c>
      <c r="E519" s="64">
        <v>9.4133030031857583</v>
      </c>
      <c r="F519" s="64">
        <v>9.4133030031857583</v>
      </c>
      <c r="G519" s="64">
        <v>9.4134798031857585</v>
      </c>
      <c r="H519" s="64">
        <v>16.055866051732718</v>
      </c>
      <c r="I519" s="64">
        <v>16.056042851732716</v>
      </c>
      <c r="J519" s="64">
        <v>9.4133030031857583</v>
      </c>
      <c r="K519" s="64">
        <v>9.4134798031857585</v>
      </c>
    </row>
    <row r="520" spans="1:11" ht="15">
      <c r="A520" s="13">
        <v>57466</v>
      </c>
      <c r="B520" s="63">
        <v>8.0431403476011294</v>
      </c>
      <c r="C520" s="63">
        <v>8.0431403476011294</v>
      </c>
      <c r="D520" s="63">
        <v>8.0603040676011286</v>
      </c>
      <c r="E520" s="64">
        <v>9.4457689991206877</v>
      </c>
      <c r="F520" s="64">
        <v>9.4457689991206877</v>
      </c>
      <c r="G520" s="64">
        <v>9.4469207991206883</v>
      </c>
      <c r="H520" s="64">
        <v>16.089315772673828</v>
      </c>
      <c r="I520" s="64">
        <v>16.090467572673827</v>
      </c>
      <c r="J520" s="64">
        <v>9.4457689991206877</v>
      </c>
      <c r="K520" s="64">
        <v>9.4469207991206883</v>
      </c>
    </row>
    <row r="521" spans="1:11" ht="15">
      <c r="A521" s="13">
        <v>57497</v>
      </c>
      <c r="B521" s="63">
        <v>8.0492198930556729</v>
      </c>
      <c r="C521" s="63">
        <v>8.0492198930556729</v>
      </c>
      <c r="D521" s="63">
        <v>8.0663836130556721</v>
      </c>
      <c r="E521" s="64">
        <v>9.4175402913213517</v>
      </c>
      <c r="F521" s="64">
        <v>9.4175402913213517</v>
      </c>
      <c r="G521" s="64">
        <v>9.4186920913213523</v>
      </c>
      <c r="H521" s="64">
        <v>16.122835180533567</v>
      </c>
      <c r="I521" s="64">
        <v>16.123986980533566</v>
      </c>
      <c r="J521" s="64">
        <v>9.4175402913213517</v>
      </c>
      <c r="K521" s="64">
        <v>9.4186920913213523</v>
      </c>
    </row>
    <row r="522" spans="1:11" ht="15">
      <c r="A522" s="13">
        <v>57527</v>
      </c>
      <c r="B522" s="63">
        <v>8.1796597248831588</v>
      </c>
      <c r="C522" s="63">
        <v>8.1796597248831588</v>
      </c>
      <c r="D522" s="63">
        <v>8.1968234448831581</v>
      </c>
      <c r="E522" s="64">
        <v>9.601190496812686</v>
      </c>
      <c r="F522" s="64">
        <v>9.6011904968126842</v>
      </c>
      <c r="G522" s="64">
        <v>9.6023422968126848</v>
      </c>
      <c r="H522" s="64">
        <v>16.156424420493014</v>
      </c>
      <c r="I522" s="64">
        <v>16.157576220493013</v>
      </c>
      <c r="J522" s="64">
        <v>9.601190496812686</v>
      </c>
      <c r="K522" s="64">
        <v>9.6023422968126866</v>
      </c>
    </row>
    <row r="523" spans="1:11" ht="15">
      <c r="A523" s="13">
        <v>57558</v>
      </c>
      <c r="B523" s="63">
        <v>8.1863472248831588</v>
      </c>
      <c r="C523" s="63">
        <v>8.1863472248831588</v>
      </c>
      <c r="D523" s="63">
        <v>8.203510944883158</v>
      </c>
      <c r="E523" s="64">
        <v>9.5084535259570497</v>
      </c>
      <c r="F523" s="64">
        <v>9.5084535259570497</v>
      </c>
      <c r="G523" s="64">
        <v>9.5096053259570503</v>
      </c>
      <c r="H523" s="64">
        <v>16.190083638035709</v>
      </c>
      <c r="I523" s="64">
        <v>16.191235438035708</v>
      </c>
      <c r="J523" s="64">
        <v>9.5084535259570497</v>
      </c>
      <c r="K523" s="64">
        <v>9.5096053259570503</v>
      </c>
    </row>
    <row r="524" spans="1:11" ht="15">
      <c r="A524" s="13">
        <v>57589</v>
      </c>
      <c r="B524" s="63">
        <v>8.1833074521558871</v>
      </c>
      <c r="C524" s="63">
        <v>8.1833074521558871</v>
      </c>
      <c r="D524" s="63">
        <v>8.2004711721558863</v>
      </c>
      <c r="E524" s="64">
        <v>9.4955128832442757</v>
      </c>
      <c r="F524" s="64">
        <v>9.4955128832442757</v>
      </c>
      <c r="G524" s="64">
        <v>9.4966646832442763</v>
      </c>
      <c r="H524" s="64">
        <v>16.223812978948285</v>
      </c>
      <c r="I524" s="64">
        <v>16.224964778948284</v>
      </c>
      <c r="J524" s="64">
        <v>9.4955128832442757</v>
      </c>
      <c r="K524" s="64">
        <v>9.4966646832442763</v>
      </c>
    </row>
    <row r="525" spans="1:11" ht="15">
      <c r="A525" s="13">
        <v>57619</v>
      </c>
      <c r="B525" s="63">
        <v>8.1924622703347367</v>
      </c>
      <c r="C525" s="63">
        <v>8.1924622703347367</v>
      </c>
      <c r="D525" s="63">
        <v>8.2010459903347375</v>
      </c>
      <c r="E525" s="64">
        <v>9.5253827987281365</v>
      </c>
      <c r="F525" s="64">
        <v>9.5253827987281365</v>
      </c>
      <c r="G525" s="64">
        <v>9.5255595987281367</v>
      </c>
      <c r="H525" s="64">
        <v>16.257612589321095</v>
      </c>
      <c r="I525" s="64">
        <v>16.257789389321093</v>
      </c>
      <c r="J525" s="64">
        <v>9.5253827987281365</v>
      </c>
      <c r="K525" s="64">
        <v>9.5255595987281367</v>
      </c>
    </row>
    <row r="526" spans="1:11" ht="15">
      <c r="A526" s="13">
        <v>57650</v>
      </c>
      <c r="B526" s="63">
        <v>8.1955020430620085</v>
      </c>
      <c r="C526" s="63">
        <v>8.1955020430620085</v>
      </c>
      <c r="D526" s="63">
        <v>8.2040857630620092</v>
      </c>
      <c r="E526" s="64">
        <v>9.5491454400858853</v>
      </c>
      <c r="F526" s="64">
        <v>9.5491454400858853</v>
      </c>
      <c r="G526" s="64">
        <v>9.5493222400858855</v>
      </c>
      <c r="H526" s="64">
        <v>16.291482615548848</v>
      </c>
      <c r="I526" s="64">
        <v>16.291659415548846</v>
      </c>
      <c r="J526" s="64">
        <v>9.5491454400858853</v>
      </c>
      <c r="K526" s="64">
        <v>9.5493222400858855</v>
      </c>
    </row>
    <row r="527" spans="1:11" ht="15">
      <c r="A527" s="13">
        <v>57680</v>
      </c>
      <c r="B527" s="63">
        <v>8.1955020430620085</v>
      </c>
      <c r="C527" s="63">
        <v>8.1955020430620085</v>
      </c>
      <c r="D527" s="63">
        <v>8.2040857630620092</v>
      </c>
      <c r="E527" s="64">
        <v>9.495035446861003</v>
      </c>
      <c r="F527" s="64">
        <v>9.495035446861003</v>
      </c>
      <c r="G527" s="64">
        <v>9.4952122468610032</v>
      </c>
      <c r="H527" s="64">
        <v>16.325423204331244</v>
      </c>
      <c r="I527" s="64">
        <v>16.325600004331243</v>
      </c>
      <c r="J527" s="64">
        <v>9.495035446861003</v>
      </c>
      <c r="K527" s="64">
        <v>9.4952122468610032</v>
      </c>
    </row>
    <row r="528" spans="1:11" ht="15">
      <c r="A528" s="13">
        <v>57711</v>
      </c>
      <c r="B528" s="63">
        <v>8.2680137806108487</v>
      </c>
      <c r="C528" s="63">
        <v>8.2680137806108487</v>
      </c>
      <c r="D528" s="63">
        <v>8.2765975006108494</v>
      </c>
      <c r="E528" s="64">
        <v>9.6186907603277856</v>
      </c>
      <c r="F528" s="64">
        <v>9.6186907603277856</v>
      </c>
      <c r="G528" s="64">
        <v>9.6188675603277858</v>
      </c>
      <c r="H528" s="64">
        <v>16.359434502673604</v>
      </c>
      <c r="I528" s="64">
        <v>16.359611302673603</v>
      </c>
      <c r="J528" s="64">
        <v>9.6186907603277856</v>
      </c>
      <c r="K528" s="64">
        <v>9.6188675603277858</v>
      </c>
    </row>
    <row r="529" spans="1:11" ht="15">
      <c r="A529" s="13">
        <v>57742</v>
      </c>
      <c r="B529" s="63">
        <v>8.2649740078835769</v>
      </c>
      <c r="C529" s="63">
        <v>8.2649740078835769</v>
      </c>
      <c r="D529" s="63">
        <v>8.2735577278835777</v>
      </c>
      <c r="E529" s="64">
        <v>9.5114442216245951</v>
      </c>
      <c r="F529" s="64">
        <v>9.5114442216245934</v>
      </c>
      <c r="G529" s="64">
        <v>9.5116210216245936</v>
      </c>
      <c r="H529" s="64">
        <v>16.39351665788751</v>
      </c>
      <c r="I529" s="64">
        <v>16.393693457887508</v>
      </c>
      <c r="J529" s="64">
        <v>9.5114442216245951</v>
      </c>
      <c r="K529" s="64">
        <v>9.5116210216245953</v>
      </c>
    </row>
    <row r="530" spans="1:11" ht="15">
      <c r="A530" s="13">
        <v>57770</v>
      </c>
      <c r="B530" s="63">
        <v>8.2619342351563052</v>
      </c>
      <c r="C530" s="63">
        <v>8.2619342351563052</v>
      </c>
      <c r="D530" s="63">
        <v>8.2705179551563059</v>
      </c>
      <c r="E530" s="64">
        <v>9.5922020513660922</v>
      </c>
      <c r="F530" s="64">
        <v>9.5922020513660922</v>
      </c>
      <c r="G530" s="64">
        <v>9.5923788513660924</v>
      </c>
      <c r="H530" s="64">
        <v>16.427669817591443</v>
      </c>
      <c r="I530" s="64">
        <v>16.427846617591442</v>
      </c>
      <c r="J530" s="64">
        <v>9.5922020513660922</v>
      </c>
      <c r="K530" s="64">
        <v>9.5923788513660924</v>
      </c>
    </row>
    <row r="531" spans="1:11" ht="15">
      <c r="A531" s="13">
        <v>57801</v>
      </c>
      <c r="B531" s="63">
        <v>8.2633172521552538</v>
      </c>
      <c r="C531" s="63">
        <v>8.2633172521552538</v>
      </c>
      <c r="D531" s="63">
        <v>8.2719009721552545</v>
      </c>
      <c r="E531" s="64">
        <v>9.6769704465348969</v>
      </c>
      <c r="F531" s="64">
        <v>9.6769704465348969</v>
      </c>
      <c r="G531" s="64">
        <v>9.6771472465348971</v>
      </c>
      <c r="H531" s="64">
        <v>16.461894129711428</v>
      </c>
      <c r="I531" s="64">
        <v>16.462070929711427</v>
      </c>
      <c r="J531" s="64">
        <v>9.6769704465348969</v>
      </c>
      <c r="K531" s="64">
        <v>9.6771472465348971</v>
      </c>
    </row>
    <row r="532" spans="1:11" ht="15">
      <c r="A532" s="13">
        <v>57831</v>
      </c>
      <c r="B532" s="63">
        <v>8.2633172521552538</v>
      </c>
      <c r="C532" s="63">
        <v>8.2633172521552538</v>
      </c>
      <c r="D532" s="63">
        <v>8.280480972155253</v>
      </c>
      <c r="E532" s="64">
        <v>9.7103475777740442</v>
      </c>
      <c r="F532" s="64">
        <v>9.7103475777740442</v>
      </c>
      <c r="G532" s="64">
        <v>9.7114993777740448</v>
      </c>
      <c r="H532" s="64">
        <v>16.496189742481661</v>
      </c>
      <c r="I532" s="64">
        <v>16.49734154248166</v>
      </c>
      <c r="J532" s="64">
        <v>9.7103475777740442</v>
      </c>
      <c r="K532" s="64">
        <v>9.7114993777740448</v>
      </c>
    </row>
    <row r="533" spans="1:11" ht="15">
      <c r="A533" s="13">
        <v>57862</v>
      </c>
      <c r="B533" s="63">
        <v>8.2693967976097991</v>
      </c>
      <c r="C533" s="63">
        <v>8.2693967976097991</v>
      </c>
      <c r="D533" s="63">
        <v>8.2865605176097983</v>
      </c>
      <c r="E533" s="64">
        <v>9.6812077346704903</v>
      </c>
      <c r="F533" s="64">
        <v>9.6812077346704903</v>
      </c>
      <c r="G533" s="64">
        <v>9.6823595346704909</v>
      </c>
      <c r="H533" s="64">
        <v>16.530556804445165</v>
      </c>
      <c r="I533" s="64">
        <v>16.531708604445164</v>
      </c>
      <c r="J533" s="64">
        <v>9.6812077346704903</v>
      </c>
      <c r="K533" s="64">
        <v>9.6823595346704909</v>
      </c>
    </row>
    <row r="534" spans="1:11" ht="15">
      <c r="A534" s="13">
        <v>57892</v>
      </c>
      <c r="B534" s="63">
        <v>8.4031333484954693</v>
      </c>
      <c r="C534" s="63">
        <v>8.4031333484954693</v>
      </c>
      <c r="D534" s="63">
        <v>8.4202970684954686</v>
      </c>
      <c r="E534" s="64">
        <v>9.8697263241355166</v>
      </c>
      <c r="F534" s="64">
        <v>9.8697263241355166</v>
      </c>
      <c r="G534" s="64">
        <v>9.8708781241355172</v>
      </c>
      <c r="H534" s="64">
        <v>16.564995464454427</v>
      </c>
      <c r="I534" s="64">
        <v>16.566147264454425</v>
      </c>
      <c r="J534" s="64">
        <v>9.8697263241355166</v>
      </c>
      <c r="K534" s="64">
        <v>9.8708781241355172</v>
      </c>
    </row>
    <row r="535" spans="1:11" ht="15">
      <c r="A535" s="13">
        <v>57923</v>
      </c>
      <c r="B535" s="63">
        <v>8.4098208484954675</v>
      </c>
      <c r="C535" s="63">
        <v>8.4098208484954675</v>
      </c>
      <c r="D535" s="63">
        <v>8.4269845684954667</v>
      </c>
      <c r="E535" s="64">
        <v>9.774255947367223</v>
      </c>
      <c r="F535" s="64">
        <v>9.774255947367223</v>
      </c>
      <c r="G535" s="64">
        <v>9.7754077473672236</v>
      </c>
      <c r="H535" s="64">
        <v>16.59950587167204</v>
      </c>
      <c r="I535" s="64">
        <v>16.600657671672039</v>
      </c>
      <c r="J535" s="64">
        <v>9.774255947367223</v>
      </c>
      <c r="K535" s="64">
        <v>9.7754077473672236</v>
      </c>
    </row>
    <row r="536" spans="1:11" ht="15">
      <c r="A536" s="13">
        <v>57954</v>
      </c>
      <c r="B536" s="63">
        <v>8.406781075768194</v>
      </c>
      <c r="C536" s="63">
        <v>8.406781075768194</v>
      </c>
      <c r="D536" s="63">
        <v>8.4239447957681932</v>
      </c>
      <c r="E536" s="64">
        <v>9.7610115928863763</v>
      </c>
      <c r="F536" s="64">
        <v>9.7610115928863763</v>
      </c>
      <c r="G536" s="64">
        <v>9.7621633928863769</v>
      </c>
      <c r="H536" s="64">
        <v>16.634088175571357</v>
      </c>
      <c r="I536" s="64">
        <v>16.635239975571356</v>
      </c>
      <c r="J536" s="64">
        <v>9.7610115928863763</v>
      </c>
      <c r="K536" s="64">
        <v>9.7621633928863769</v>
      </c>
    </row>
    <row r="537" spans="1:11" ht="15">
      <c r="A537" s="13">
        <v>57984</v>
      </c>
      <c r="B537" s="63">
        <v>8.4166615574736081</v>
      </c>
      <c r="C537" s="63">
        <v>8.4166615574736081</v>
      </c>
      <c r="D537" s="63">
        <v>8.4252452774736089</v>
      </c>
      <c r="E537" s="64">
        <v>9.7920963554425295</v>
      </c>
      <c r="F537" s="64">
        <v>9.7920963554425295</v>
      </c>
      <c r="G537" s="64">
        <v>9.7922731554425297</v>
      </c>
      <c r="H537" s="64">
        <v>16.668742525937134</v>
      </c>
      <c r="I537" s="64">
        <v>16.668919325937132</v>
      </c>
      <c r="J537" s="64">
        <v>9.7920963554425295</v>
      </c>
      <c r="K537" s="64">
        <v>9.7922731554425297</v>
      </c>
    </row>
    <row r="538" spans="1:11" ht="15">
      <c r="A538" s="13">
        <v>58015</v>
      </c>
      <c r="B538" s="63">
        <v>8.4197013302008799</v>
      </c>
      <c r="C538" s="63">
        <v>8.4197013302008799</v>
      </c>
      <c r="D538" s="63">
        <v>8.4282850502008806</v>
      </c>
      <c r="E538" s="64">
        <v>9.8164664203364236</v>
      </c>
      <c r="F538" s="64">
        <v>9.8164664203364236</v>
      </c>
      <c r="G538" s="64">
        <v>9.8166432203364238</v>
      </c>
      <c r="H538" s="64">
        <v>16.70346907286617</v>
      </c>
      <c r="I538" s="64">
        <v>16.703645872866169</v>
      </c>
      <c r="J538" s="64">
        <v>9.8164664203364236</v>
      </c>
      <c r="K538" s="64">
        <v>9.8166432203364238</v>
      </c>
    </row>
    <row r="539" spans="1:11" ht="15">
      <c r="A539" s="13">
        <v>58045</v>
      </c>
      <c r="B539" s="63">
        <v>8.4197013302008799</v>
      </c>
      <c r="C539" s="63">
        <v>8.4197013302008799</v>
      </c>
      <c r="D539" s="63">
        <v>8.4282850502008806</v>
      </c>
      <c r="E539" s="64">
        <v>9.7608378682711763</v>
      </c>
      <c r="F539" s="64">
        <v>9.7608378682711763</v>
      </c>
      <c r="G539" s="64">
        <v>9.7610146682711765</v>
      </c>
      <c r="H539" s="64">
        <v>16.738267966767978</v>
      </c>
      <c r="I539" s="64">
        <v>16.738444766767977</v>
      </c>
      <c r="J539" s="64">
        <v>9.7608378682711763</v>
      </c>
      <c r="K539" s="64">
        <v>9.7610146682711765</v>
      </c>
    </row>
    <row r="540" spans="1:11" ht="15">
      <c r="A540" s="13">
        <v>58076</v>
      </c>
      <c r="B540" s="63">
        <v>8.4940779664627986</v>
      </c>
      <c r="C540" s="63">
        <v>8.4940779664627986</v>
      </c>
      <c r="D540" s="63">
        <v>8.5026616864627993</v>
      </c>
      <c r="E540" s="64">
        <v>9.8878640225188938</v>
      </c>
      <c r="F540" s="64">
        <v>9.8878640225188938</v>
      </c>
      <c r="G540" s="64">
        <v>9.888040822518894</v>
      </c>
      <c r="H540" s="64">
        <v>16.773139358365412</v>
      </c>
      <c r="I540" s="64">
        <v>16.773316158365411</v>
      </c>
      <c r="J540" s="64">
        <v>9.8878640225188938</v>
      </c>
      <c r="K540" s="64">
        <v>9.888040822518894</v>
      </c>
    </row>
    <row r="541" spans="1:11" ht="15">
      <c r="A541" s="13">
        <v>58107</v>
      </c>
      <c r="B541" s="63">
        <v>8.4910381937355268</v>
      </c>
      <c r="C541" s="63">
        <v>8.4910381937355268</v>
      </c>
      <c r="D541" s="63">
        <v>8.4996219137355276</v>
      </c>
      <c r="E541" s="64">
        <v>9.777667143513419</v>
      </c>
      <c r="F541" s="64">
        <v>9.777667143513419</v>
      </c>
      <c r="G541" s="64">
        <v>9.7778439435134192</v>
      </c>
      <c r="H541" s="64">
        <v>16.808083398695342</v>
      </c>
      <c r="I541" s="64">
        <v>16.80826019869534</v>
      </c>
      <c r="J541" s="64">
        <v>9.777667143513419</v>
      </c>
      <c r="K541" s="64">
        <v>9.7778439435134192</v>
      </c>
    </row>
    <row r="542" spans="1:11" ht="15">
      <c r="A542" s="13">
        <v>58135</v>
      </c>
      <c r="B542" s="63">
        <v>8.4879984210082551</v>
      </c>
      <c r="C542" s="63">
        <v>8.4879984210082551</v>
      </c>
      <c r="D542" s="63">
        <v>8.4965821410082558</v>
      </c>
      <c r="E542" s="64">
        <v>9.8607508431074304</v>
      </c>
      <c r="F542" s="64">
        <v>9.8607508431074304</v>
      </c>
      <c r="G542" s="64">
        <v>9.8609276431074306</v>
      </c>
      <c r="H542" s="64">
        <v>16.84310023910929</v>
      </c>
      <c r="I542" s="64">
        <v>16.843277039109289</v>
      </c>
      <c r="J542" s="64">
        <v>9.8607508431074304</v>
      </c>
      <c r="K542" s="64">
        <v>9.8609276431074306</v>
      </c>
    </row>
    <row r="543" spans="1:11" ht="15">
      <c r="A543" s="13">
        <v>58166</v>
      </c>
      <c r="B543" s="63">
        <v>8.4895720728650605</v>
      </c>
      <c r="C543" s="63">
        <v>8.4895720728650605</v>
      </c>
      <c r="D543" s="63">
        <v>8.4981557928650613</v>
      </c>
      <c r="E543" s="64">
        <v>9.9480171200753116</v>
      </c>
      <c r="F543" s="64">
        <v>9.9480171200753116</v>
      </c>
      <c r="G543" s="64">
        <v>9.9481939200753118</v>
      </c>
      <c r="H543" s="64">
        <v>16.878190031274102</v>
      </c>
      <c r="I543" s="64">
        <v>16.8783668312741</v>
      </c>
      <c r="J543" s="64">
        <v>9.9480171200753116</v>
      </c>
      <c r="K543" s="64">
        <v>9.9481939200753118</v>
      </c>
    </row>
    <row r="544" spans="1:11" ht="15">
      <c r="A544" s="13">
        <v>58196</v>
      </c>
      <c r="B544" s="63">
        <v>8.4895720728650605</v>
      </c>
      <c r="C544" s="63">
        <v>8.4895720728650605</v>
      </c>
      <c r="D544" s="63">
        <v>8.5067357928650598</v>
      </c>
      <c r="E544" s="64">
        <v>9.9823309569891148</v>
      </c>
      <c r="F544" s="64">
        <v>9.9823309569891148</v>
      </c>
      <c r="G544" s="64">
        <v>9.9834827569891154</v>
      </c>
      <c r="H544" s="64">
        <v>16.913352927172593</v>
      </c>
      <c r="I544" s="64">
        <v>16.914504727172591</v>
      </c>
      <c r="J544" s="64">
        <v>9.9823309569891148</v>
      </c>
      <c r="K544" s="64">
        <v>9.9834827569891154</v>
      </c>
    </row>
    <row r="545" spans="1:11" ht="15">
      <c r="A545" s="13">
        <v>58227</v>
      </c>
      <c r="B545" s="63">
        <v>8.4956516183196058</v>
      </c>
      <c r="C545" s="63">
        <v>8.4956516183196058</v>
      </c>
      <c r="D545" s="63">
        <v>8.512815338319605</v>
      </c>
      <c r="E545" s="64">
        <v>9.9522544082109068</v>
      </c>
      <c r="F545" s="64">
        <v>9.952254408210905</v>
      </c>
      <c r="G545" s="64">
        <v>9.9534062082109056</v>
      </c>
      <c r="H545" s="64">
        <v>16.948589079104202</v>
      </c>
      <c r="I545" s="64">
        <v>16.949740879104201</v>
      </c>
      <c r="J545" s="64">
        <v>9.9522544082109068</v>
      </c>
      <c r="K545" s="64">
        <v>9.9534062082109074</v>
      </c>
    </row>
    <row r="546" spans="1:11" ht="15">
      <c r="A546" s="13">
        <v>58257</v>
      </c>
      <c r="B546" s="63">
        <v>8.6327791304752779</v>
      </c>
      <c r="C546" s="63">
        <v>8.6327791304752779</v>
      </c>
      <c r="D546" s="63">
        <v>8.6499428504752771</v>
      </c>
      <c r="E546" s="64">
        <v>10.145777576284102</v>
      </c>
      <c r="F546" s="64">
        <v>10.145777576284102</v>
      </c>
      <c r="G546" s="64">
        <v>10.146929376284103</v>
      </c>
      <c r="H546" s="64">
        <v>16.98389863968567</v>
      </c>
      <c r="I546" s="64">
        <v>16.985050439685669</v>
      </c>
      <c r="J546" s="64">
        <v>10.145777576284102</v>
      </c>
      <c r="K546" s="64">
        <v>10.146929376284103</v>
      </c>
    </row>
    <row r="547" spans="1:11" ht="15">
      <c r="A547" s="13">
        <v>58288</v>
      </c>
      <c r="B547" s="63">
        <v>8.6394666304752779</v>
      </c>
      <c r="C547" s="63">
        <v>8.6394666304752779</v>
      </c>
      <c r="D547" s="63">
        <v>8.6566303504752771</v>
      </c>
      <c r="E547" s="64">
        <v>10.047497082491846</v>
      </c>
      <c r="F547" s="64">
        <v>10.047497082491846</v>
      </c>
      <c r="G547" s="64">
        <v>10.048648882491847</v>
      </c>
      <c r="H547" s="64">
        <v>17.019281761851683</v>
      </c>
      <c r="I547" s="64">
        <v>17.020433561851682</v>
      </c>
      <c r="J547" s="64">
        <v>10.047497082491846</v>
      </c>
      <c r="K547" s="64">
        <v>10.048648882491847</v>
      </c>
    </row>
    <row r="548" spans="1:11" ht="15">
      <c r="A548" s="13">
        <v>58319</v>
      </c>
      <c r="B548" s="63">
        <v>8.6364268577480061</v>
      </c>
      <c r="C548" s="63">
        <v>8.6364268577480061</v>
      </c>
      <c r="D548" s="63">
        <v>8.6535905777480053</v>
      </c>
      <c r="E548" s="64">
        <v>10.033940492786115</v>
      </c>
      <c r="F548" s="64">
        <v>10.033940492786115</v>
      </c>
      <c r="G548" s="64">
        <v>10.035092292786116</v>
      </c>
      <c r="H548" s="64">
        <v>17.054738598855543</v>
      </c>
      <c r="I548" s="64">
        <v>17.055890398855542</v>
      </c>
      <c r="J548" s="64">
        <v>10.033940492786115</v>
      </c>
      <c r="K548" s="64">
        <v>10.035092292786116</v>
      </c>
    </row>
    <row r="549" spans="1:11" ht="15">
      <c r="A549" s="13">
        <v>58349</v>
      </c>
      <c r="B549" s="63">
        <v>8.6470515404707733</v>
      </c>
      <c r="C549" s="63">
        <v>8.6470515404707733</v>
      </c>
      <c r="D549" s="63">
        <v>8.655635260470774</v>
      </c>
      <c r="E549" s="64">
        <v>10.066274196241803</v>
      </c>
      <c r="F549" s="64">
        <v>10.066274196241803</v>
      </c>
      <c r="G549" s="64">
        <v>10.066450996241803</v>
      </c>
      <c r="H549" s="64">
        <v>17.090269304269828</v>
      </c>
      <c r="I549" s="64">
        <v>17.090446104269827</v>
      </c>
      <c r="J549" s="64">
        <v>10.066274196241803</v>
      </c>
      <c r="K549" s="64">
        <v>10.066450996241803</v>
      </c>
    </row>
    <row r="550" spans="1:11" ht="15">
      <c r="A550" s="13">
        <v>58380</v>
      </c>
      <c r="B550" s="63">
        <v>8.6500913131980468</v>
      </c>
      <c r="C550" s="63">
        <v>8.6500913131980468</v>
      </c>
      <c r="D550" s="63">
        <v>8.6586750331980475</v>
      </c>
      <c r="E550" s="64">
        <v>10.091268731585469</v>
      </c>
      <c r="F550" s="64">
        <v>10.091268731585469</v>
      </c>
      <c r="G550" s="64">
        <v>10.091445531585469</v>
      </c>
      <c r="H550" s="64">
        <v>17.12587403198706</v>
      </c>
      <c r="I550" s="64">
        <v>17.126050831987058</v>
      </c>
      <c r="J550" s="64">
        <v>10.091268731585469</v>
      </c>
      <c r="K550" s="64">
        <v>10.091445531585469</v>
      </c>
    </row>
    <row r="551" spans="1:11" ht="15">
      <c r="A551" s="13">
        <v>58410</v>
      </c>
      <c r="B551" s="63">
        <v>8.6500913131980468</v>
      </c>
      <c r="C551" s="63">
        <v>8.6500913131980468</v>
      </c>
      <c r="D551" s="63">
        <v>8.6586750331980475</v>
      </c>
      <c r="E551" s="64">
        <v>10.034079003395798</v>
      </c>
      <c r="F551" s="64">
        <v>10.034079003395798</v>
      </c>
      <c r="G551" s="64">
        <v>10.034255803395798</v>
      </c>
      <c r="H551" s="64">
        <v>17.161552936220367</v>
      </c>
      <c r="I551" s="64">
        <v>17.161729736220366</v>
      </c>
      <c r="J551" s="64">
        <v>10.034079003395798</v>
      </c>
      <c r="K551" s="64">
        <v>10.034255803395798</v>
      </c>
    </row>
    <row r="552" spans="1:11" ht="15">
      <c r="A552" s="13">
        <v>58441</v>
      </c>
      <c r="B552" s="63">
        <v>8.7263847156602736</v>
      </c>
      <c r="C552" s="63">
        <v>8.7263847156602736</v>
      </c>
      <c r="D552" s="63">
        <v>8.7349684356602744</v>
      </c>
      <c r="E552" s="64">
        <v>10.164570436466674</v>
      </c>
      <c r="F552" s="64">
        <v>10.164570436466674</v>
      </c>
      <c r="G552" s="64">
        <v>10.164747236466674</v>
      </c>
      <c r="H552" s="64">
        <v>17.197306171504163</v>
      </c>
      <c r="I552" s="64">
        <v>17.197482971504161</v>
      </c>
      <c r="J552" s="64">
        <v>10.164570436466674</v>
      </c>
      <c r="K552" s="64">
        <v>10.164747236466674</v>
      </c>
    </row>
    <row r="553" spans="1:11" ht="15">
      <c r="A553" s="13">
        <v>58472</v>
      </c>
      <c r="B553" s="63">
        <v>8.7233449429330019</v>
      </c>
      <c r="C553" s="63">
        <v>8.7233449429330019</v>
      </c>
      <c r="D553" s="63">
        <v>8.7319286629330026</v>
      </c>
      <c r="E553" s="64">
        <v>10.051340417936794</v>
      </c>
      <c r="F553" s="64">
        <v>10.051340417936794</v>
      </c>
      <c r="G553" s="64">
        <v>10.051517217936794</v>
      </c>
      <c r="H553" s="64">
        <v>17.233133892694799</v>
      </c>
      <c r="I553" s="64">
        <v>17.233310692694797</v>
      </c>
      <c r="J553" s="64">
        <v>10.051340417936794</v>
      </c>
      <c r="K553" s="64">
        <v>10.051517217936794</v>
      </c>
    </row>
    <row r="554" spans="1:11" ht="15">
      <c r="A554" s="13">
        <v>58501</v>
      </c>
      <c r="B554" s="63">
        <v>8.7203051702057284</v>
      </c>
      <c r="C554" s="63">
        <v>8.7203051702057284</v>
      </c>
      <c r="D554" s="63">
        <v>8.7288888902057291</v>
      </c>
      <c r="E554" s="64">
        <v>10.136815261282196</v>
      </c>
      <c r="F554" s="64">
        <v>10.136815261282196</v>
      </c>
      <c r="G554" s="64">
        <v>10.136992061282196</v>
      </c>
      <c r="H554" s="64">
        <v>17.269036254971248</v>
      </c>
      <c r="I554" s="64">
        <v>17.269213054971246</v>
      </c>
      <c r="J554" s="64">
        <v>10.136815261282196</v>
      </c>
      <c r="K554" s="64">
        <v>10.136992061282196</v>
      </c>
    </row>
    <row r="555" spans="1:11" ht="15">
      <c r="A555" s="13">
        <v>58532</v>
      </c>
      <c r="B555" s="63">
        <v>8.7220743267897394</v>
      </c>
      <c r="C555" s="63">
        <v>8.7220743267897394</v>
      </c>
      <c r="D555" s="63">
        <v>8.7306580467897401</v>
      </c>
      <c r="E555" s="64">
        <v>10.226649521342136</v>
      </c>
      <c r="F555" s="64">
        <v>10.226649521342136</v>
      </c>
      <c r="G555" s="64">
        <v>10.226826321342136</v>
      </c>
      <c r="H555" s="64">
        <v>17.305013413835773</v>
      </c>
      <c r="I555" s="64">
        <v>17.305190213835772</v>
      </c>
      <c r="J555" s="64">
        <v>10.226649521342136</v>
      </c>
      <c r="K555" s="64">
        <v>10.226826321342136</v>
      </c>
    </row>
    <row r="556" spans="1:11" ht="15">
      <c r="A556" s="13">
        <v>58562</v>
      </c>
      <c r="B556" s="63">
        <v>8.7220743267897394</v>
      </c>
      <c r="C556" s="63">
        <v>8.7220743267897394</v>
      </c>
      <c r="D556" s="63">
        <v>8.7392380467897386</v>
      </c>
      <c r="E556" s="64">
        <v>10.261926351915458</v>
      </c>
      <c r="F556" s="64">
        <v>10.261926351915458</v>
      </c>
      <c r="G556" s="64">
        <v>10.263078151915458</v>
      </c>
      <c r="H556" s="64">
        <v>17.341065525114601</v>
      </c>
      <c r="I556" s="64">
        <v>17.3422173251146</v>
      </c>
      <c r="J556" s="64">
        <v>10.261926351915458</v>
      </c>
      <c r="K556" s="64">
        <v>10.263078151915458</v>
      </c>
    </row>
    <row r="557" spans="1:11" ht="15">
      <c r="A557" s="13">
        <v>58593</v>
      </c>
      <c r="B557" s="63">
        <v>8.7281538722442846</v>
      </c>
      <c r="C557" s="63">
        <v>8.7281538722442846</v>
      </c>
      <c r="D557" s="63">
        <v>8.7453175922442838</v>
      </c>
      <c r="E557" s="64">
        <v>10.230886809477727</v>
      </c>
      <c r="F557" s="64">
        <v>10.230886809477727</v>
      </c>
      <c r="G557" s="64">
        <v>10.232038609477728</v>
      </c>
      <c r="H557" s="64">
        <v>17.377192744958592</v>
      </c>
      <c r="I557" s="64">
        <v>17.37834454495859</v>
      </c>
      <c r="J557" s="64">
        <v>10.230886809477727</v>
      </c>
      <c r="K557" s="64">
        <v>10.232038609477728</v>
      </c>
    </row>
    <row r="558" spans="1:11" ht="15">
      <c r="A558" s="13">
        <v>58623</v>
      </c>
      <c r="B558" s="63">
        <v>8.8687693063818394</v>
      </c>
      <c r="C558" s="63">
        <v>8.8687693063818394</v>
      </c>
      <c r="D558" s="63">
        <v>8.8859330263818386</v>
      </c>
      <c r="E558" s="64">
        <v>10.429554609570872</v>
      </c>
      <c r="F558" s="64">
        <v>10.429554609570872</v>
      </c>
      <c r="G558" s="64">
        <v>10.430706409570872</v>
      </c>
      <c r="H558" s="64">
        <v>17.413395229843925</v>
      </c>
      <c r="I558" s="64">
        <v>17.414547029843924</v>
      </c>
      <c r="J558" s="64">
        <v>10.429554609570872</v>
      </c>
      <c r="K558" s="64">
        <v>10.430706409570872</v>
      </c>
    </row>
    <row r="559" spans="1:11" ht="15">
      <c r="A559" s="13">
        <v>58654</v>
      </c>
      <c r="B559" s="63">
        <v>8.8754568063818375</v>
      </c>
      <c r="C559" s="63">
        <v>8.8754568063818375</v>
      </c>
      <c r="D559" s="63">
        <v>8.8926205263818368</v>
      </c>
      <c r="E559" s="64">
        <v>10.328385134800053</v>
      </c>
      <c r="F559" s="64">
        <v>10.328385134800053</v>
      </c>
      <c r="G559" s="64">
        <v>10.329536934800053</v>
      </c>
      <c r="H559" s="64">
        <v>17.44967313657277</v>
      </c>
      <c r="I559" s="64">
        <v>17.450824936572769</v>
      </c>
      <c r="J559" s="64">
        <v>10.328385134800053</v>
      </c>
      <c r="K559" s="64">
        <v>10.329536934800053</v>
      </c>
    </row>
    <row r="560" spans="1:11" ht="15">
      <c r="A560" s="13">
        <v>58685</v>
      </c>
      <c r="B560" s="63">
        <v>8.8724170336545658</v>
      </c>
      <c r="C560" s="63">
        <v>8.8724170336545658</v>
      </c>
      <c r="D560" s="63">
        <v>8.889580753654565</v>
      </c>
      <c r="E560" s="64">
        <v>10.314507547207812</v>
      </c>
      <c r="F560" s="64">
        <v>10.314507547207814</v>
      </c>
      <c r="G560" s="64">
        <v>10.315659347207815</v>
      </c>
      <c r="H560" s="64">
        <v>17.486026622273965</v>
      </c>
      <c r="I560" s="64">
        <v>17.487178422273963</v>
      </c>
      <c r="J560" s="64">
        <v>10.314507547207812</v>
      </c>
      <c r="K560" s="64">
        <v>10.315659347207813</v>
      </c>
    </row>
    <row r="561" spans="1:11" ht="15">
      <c r="A561" s="13">
        <v>58715</v>
      </c>
      <c r="B561" s="63">
        <v>8.8838049283511804</v>
      </c>
      <c r="C561" s="63">
        <v>8.8838049283511804</v>
      </c>
      <c r="D561" s="63">
        <v>8.8923886483511811</v>
      </c>
      <c r="E561" s="64">
        <v>10.348125242209532</v>
      </c>
      <c r="F561" s="64">
        <v>10.348125242209532</v>
      </c>
      <c r="G561" s="64">
        <v>10.348302042209532</v>
      </c>
      <c r="H561" s="64">
        <v>17.522455844403705</v>
      </c>
      <c r="I561" s="64">
        <v>17.522632644403703</v>
      </c>
      <c r="J561" s="64">
        <v>10.348125242209532</v>
      </c>
      <c r="K561" s="64">
        <v>10.348302042209532</v>
      </c>
    </row>
    <row r="562" spans="1:11" ht="15">
      <c r="A562" s="13">
        <v>58746</v>
      </c>
      <c r="B562" s="63">
        <v>8.8868447010784539</v>
      </c>
      <c r="C562" s="63">
        <v>8.8868447010784539</v>
      </c>
      <c r="D562" s="63">
        <v>8.8954284210784547</v>
      </c>
      <c r="E562" s="64">
        <v>10.37376177332621</v>
      </c>
      <c r="F562" s="64">
        <v>10.373761773326212</v>
      </c>
      <c r="G562" s="64">
        <v>10.373938573326212</v>
      </c>
      <c r="H562" s="64">
        <v>17.558960960746216</v>
      </c>
      <c r="I562" s="64">
        <v>17.559137760746214</v>
      </c>
      <c r="J562" s="64">
        <v>10.37376177332621</v>
      </c>
      <c r="K562" s="64">
        <v>10.37393857332621</v>
      </c>
    </row>
    <row r="563" spans="1:11" ht="15">
      <c r="A563" s="13">
        <v>58776</v>
      </c>
      <c r="B563" s="63">
        <v>8.8868447010784539</v>
      </c>
      <c r="C563" s="63">
        <v>8.8868447010784539</v>
      </c>
      <c r="D563" s="63">
        <v>8.8954284210784547</v>
      </c>
      <c r="E563" s="64">
        <v>10.314967055704006</v>
      </c>
      <c r="F563" s="64">
        <v>10.314967055704006</v>
      </c>
      <c r="G563" s="64">
        <v>10.315143855704006</v>
      </c>
      <c r="H563" s="64">
        <v>17.59554212941444</v>
      </c>
      <c r="I563" s="64">
        <v>17.595718929414438</v>
      </c>
      <c r="J563" s="64">
        <v>10.314967055704006</v>
      </c>
      <c r="K563" s="64">
        <v>10.315143855704006</v>
      </c>
    </row>
    <row r="564" spans="1:11" ht="15">
      <c r="A564" s="13">
        <v>58807</v>
      </c>
      <c r="B564" s="63">
        <v>8.9651081969098758</v>
      </c>
      <c r="C564" s="63">
        <v>8.9651081969098758</v>
      </c>
      <c r="D564" s="63">
        <v>8.9736919169098766</v>
      </c>
      <c r="E564" s="64">
        <v>10.449020840483989</v>
      </c>
      <c r="F564" s="64">
        <v>10.449020840483989</v>
      </c>
      <c r="G564" s="64">
        <v>10.449197640483989</v>
      </c>
      <c r="H564" s="64">
        <v>17.632199508850722</v>
      </c>
      <c r="I564" s="64">
        <v>17.63237630885072</v>
      </c>
      <c r="J564" s="64">
        <v>10.449020840483989</v>
      </c>
      <c r="K564" s="64">
        <v>10.449197640483989</v>
      </c>
    </row>
    <row r="565" spans="1:11" ht="15">
      <c r="A565" s="13">
        <v>58838</v>
      </c>
      <c r="B565" s="63">
        <v>8.9620684241826041</v>
      </c>
      <c r="C565" s="63">
        <v>8.9620684241826041</v>
      </c>
      <c r="D565" s="63">
        <v>8.9706521441826048</v>
      </c>
      <c r="E565" s="64">
        <v>10.33267255950574</v>
      </c>
      <c r="F565" s="64">
        <v>10.33267255950574</v>
      </c>
      <c r="G565" s="64">
        <v>10.33284935950574</v>
      </c>
      <c r="H565" s="64">
        <v>17.668933257827497</v>
      </c>
      <c r="I565" s="64">
        <v>17.669110057827496</v>
      </c>
      <c r="J565" s="64">
        <v>10.33267255950574</v>
      </c>
      <c r="K565" s="64">
        <v>10.33284935950574</v>
      </c>
    </row>
    <row r="566" spans="1:11" ht="15">
      <c r="A566" s="13">
        <v>58866</v>
      </c>
      <c r="B566" s="63">
        <v>8.9590286514553323</v>
      </c>
      <c r="C566" s="63">
        <v>8.9590286514553323</v>
      </c>
      <c r="D566" s="63">
        <v>8.9676123714553331</v>
      </c>
      <c r="E566" s="64">
        <v>10.420605652367399</v>
      </c>
      <c r="F566" s="64">
        <v>10.420605652367399</v>
      </c>
      <c r="G566" s="64">
        <v>10.4207824523674</v>
      </c>
      <c r="H566" s="64">
        <v>17.705743535447972</v>
      </c>
      <c r="I566" s="64">
        <v>17.705920335447971</v>
      </c>
      <c r="J566" s="64">
        <v>10.420605652367399</v>
      </c>
      <c r="K566" s="64">
        <v>10.4207824523674</v>
      </c>
    </row>
    <row r="567" spans="1:11" ht="15">
      <c r="A567" s="13">
        <v>58897</v>
      </c>
      <c r="B567" s="63">
        <v>8.9609983070282198</v>
      </c>
      <c r="C567" s="63">
        <v>8.9609983070282198</v>
      </c>
      <c r="D567" s="63">
        <v>8.9695820270282205</v>
      </c>
      <c r="E567" s="64">
        <v>10.513079964155777</v>
      </c>
      <c r="F567" s="64">
        <v>10.513079964155777</v>
      </c>
      <c r="G567" s="64">
        <v>10.513256764155777</v>
      </c>
      <c r="H567" s="64">
        <v>17.742630501146824</v>
      </c>
      <c r="I567" s="64">
        <v>17.742807301146822</v>
      </c>
      <c r="J567" s="64">
        <v>10.513079964155777</v>
      </c>
      <c r="K567" s="64">
        <v>10.513256764155777</v>
      </c>
    </row>
    <row r="568" spans="1:11" ht="15">
      <c r="A568" s="13">
        <v>58927</v>
      </c>
      <c r="B568" s="63">
        <v>8.9609983070282198</v>
      </c>
      <c r="C568" s="63">
        <v>8.9609983070282198</v>
      </c>
      <c r="D568" s="63">
        <v>8.978162027028219</v>
      </c>
      <c r="E568" s="64">
        <v>10.549346814127267</v>
      </c>
      <c r="F568" s="64">
        <v>10.549346814127267</v>
      </c>
      <c r="G568" s="64">
        <v>10.550498614127267</v>
      </c>
      <c r="H568" s="64">
        <v>17.779594314690883</v>
      </c>
      <c r="I568" s="64">
        <v>17.780746114690881</v>
      </c>
      <c r="J568" s="64">
        <v>10.549346814127267</v>
      </c>
      <c r="K568" s="64">
        <v>10.550498614127267</v>
      </c>
    </row>
    <row r="569" spans="1:11" ht="15">
      <c r="A569" s="13">
        <v>58958</v>
      </c>
      <c r="B569" s="63">
        <v>8.9670778524827668</v>
      </c>
      <c r="C569" s="63">
        <v>8.9670778524827668</v>
      </c>
      <c r="D569" s="63">
        <v>8.984241572482766</v>
      </c>
      <c r="E569" s="64">
        <v>10.51731725229137</v>
      </c>
      <c r="F569" s="64">
        <v>10.51731725229137</v>
      </c>
      <c r="G569" s="64">
        <v>10.518469052291371</v>
      </c>
      <c r="H569" s="64">
        <v>17.816635136179823</v>
      </c>
      <c r="I569" s="64">
        <v>17.817786936179822</v>
      </c>
      <c r="J569" s="64">
        <v>10.51731725229137</v>
      </c>
      <c r="K569" s="64">
        <v>10.518469052291371</v>
      </c>
    </row>
    <row r="570" spans="1:11" ht="15">
      <c r="A570" s="13">
        <v>58988</v>
      </c>
      <c r="B570" s="63">
        <v>9.1112809717583136</v>
      </c>
      <c r="C570" s="63">
        <v>9.1112809717583136</v>
      </c>
      <c r="D570" s="63">
        <v>9.1284446917583129</v>
      </c>
      <c r="E570" s="64">
        <v>10.721273630443793</v>
      </c>
      <c r="F570" s="64">
        <v>10.721273630443793</v>
      </c>
      <c r="G570" s="64">
        <v>10.722425430443794</v>
      </c>
      <c r="H570" s="64">
        <v>17.853753126046865</v>
      </c>
      <c r="I570" s="64">
        <v>17.854904926046864</v>
      </c>
      <c r="J570" s="64">
        <v>10.721273630443793</v>
      </c>
      <c r="K570" s="64">
        <v>10.722425430443794</v>
      </c>
    </row>
    <row r="571" spans="1:11" ht="15">
      <c r="A571" s="13">
        <v>59019</v>
      </c>
      <c r="B571" s="63">
        <v>9.1179684717583118</v>
      </c>
      <c r="C571" s="63">
        <v>9.1179684717583118</v>
      </c>
      <c r="D571" s="63">
        <v>9.135132191758311</v>
      </c>
      <c r="E571" s="64">
        <v>10.617134097478479</v>
      </c>
      <c r="F571" s="64">
        <v>10.617134097478479</v>
      </c>
      <c r="G571" s="64">
        <v>10.618285897478479</v>
      </c>
      <c r="H571" s="64">
        <v>17.890948445059465</v>
      </c>
      <c r="I571" s="64">
        <v>17.892100245059464</v>
      </c>
      <c r="J571" s="64">
        <v>10.617134097478479</v>
      </c>
      <c r="K571" s="64">
        <v>10.618285897478479</v>
      </c>
    </row>
    <row r="572" spans="1:11" ht="15">
      <c r="A572" s="13">
        <v>59050</v>
      </c>
      <c r="B572" s="63">
        <v>9.1149286990310401</v>
      </c>
      <c r="C572" s="63">
        <v>9.1149286990310401</v>
      </c>
      <c r="D572" s="63">
        <v>9.1320924190310393</v>
      </c>
      <c r="E572" s="64">
        <v>10.602926503420187</v>
      </c>
      <c r="F572" s="64">
        <v>10.602926503420186</v>
      </c>
      <c r="G572" s="64">
        <v>10.604078303420186</v>
      </c>
      <c r="H572" s="64">
        <v>17.928221254320007</v>
      </c>
      <c r="I572" s="64">
        <v>17.929373054320006</v>
      </c>
      <c r="J572" s="64">
        <v>10.602926503420187</v>
      </c>
      <c r="K572" s="64">
        <v>10.604078303420188</v>
      </c>
    </row>
    <row r="573" spans="1:11" ht="15">
      <c r="A573" s="13">
        <v>59080</v>
      </c>
      <c r="B573" s="63">
        <v>9.1270993023442877</v>
      </c>
      <c r="C573" s="63">
        <v>9.1270993023442877</v>
      </c>
      <c r="D573" s="63">
        <v>9.1356830223442884</v>
      </c>
      <c r="E573" s="64">
        <v>10.637864224286123</v>
      </c>
      <c r="F573" s="64">
        <v>10.637864224286123</v>
      </c>
      <c r="G573" s="64">
        <v>10.638041024286123</v>
      </c>
      <c r="H573" s="64">
        <v>17.96557171526651</v>
      </c>
      <c r="I573" s="64">
        <v>17.965748515266508</v>
      </c>
      <c r="J573" s="64">
        <v>10.637864224286123</v>
      </c>
      <c r="K573" s="64">
        <v>10.638041024286123</v>
      </c>
    </row>
    <row r="574" spans="1:11" ht="15">
      <c r="A574" s="13">
        <v>59111</v>
      </c>
      <c r="B574" s="63">
        <v>9.1301390750715594</v>
      </c>
      <c r="C574" s="63">
        <v>9.1301390750715594</v>
      </c>
      <c r="D574" s="63">
        <v>9.1387227950715602</v>
      </c>
      <c r="E574" s="64">
        <v>10.664160768334915</v>
      </c>
      <c r="F574" s="64">
        <v>10.664160768334915</v>
      </c>
      <c r="G574" s="64">
        <v>10.664337568334915</v>
      </c>
      <c r="H574" s="64">
        <v>18.002999989673317</v>
      </c>
      <c r="I574" s="64">
        <v>18.003176789673315</v>
      </c>
      <c r="J574" s="64">
        <v>10.664160768334915</v>
      </c>
      <c r="K574" s="64">
        <v>10.664337568334915</v>
      </c>
    </row>
    <row r="575" spans="1:11" ht="15">
      <c r="A575" s="13">
        <v>59141</v>
      </c>
      <c r="B575" s="63">
        <v>9.1301390750715594</v>
      </c>
      <c r="C575" s="63">
        <v>9.1301390750715594</v>
      </c>
      <c r="D575" s="63">
        <v>9.1387227950715602</v>
      </c>
      <c r="E575" s="64">
        <v>10.603716018382432</v>
      </c>
      <c r="F575" s="64">
        <v>10.603716018382432</v>
      </c>
      <c r="G575" s="64">
        <v>10.603892818382432</v>
      </c>
      <c r="H575" s="64">
        <v>18.040506239651805</v>
      </c>
      <c r="I575" s="64">
        <v>18.040683039651803</v>
      </c>
      <c r="J575" s="64">
        <v>10.603716018382432</v>
      </c>
      <c r="K575" s="64">
        <v>10.603892818382432</v>
      </c>
    </row>
    <row r="576" spans="1:11" ht="15">
      <c r="A576" s="13">
        <v>59172</v>
      </c>
      <c r="B576" s="63">
        <v>9.2104274902567393</v>
      </c>
      <c r="C576" s="63">
        <v>9.2104274902567393</v>
      </c>
      <c r="D576" s="63">
        <v>9.2190112102567401</v>
      </c>
      <c r="E576" s="64">
        <v>10.741431953092778</v>
      </c>
      <c r="F576" s="64">
        <v>10.741431953092778</v>
      </c>
      <c r="G576" s="64">
        <v>10.741608753092779</v>
      </c>
      <c r="H576" s="64">
        <v>18.078090627651083</v>
      </c>
      <c r="I576" s="64">
        <v>18.078267427651081</v>
      </c>
      <c r="J576" s="64">
        <v>10.741431953092778</v>
      </c>
      <c r="K576" s="64">
        <v>10.741608753092779</v>
      </c>
    </row>
    <row r="577" spans="1:11" ht="15">
      <c r="A577" s="13">
        <v>59203</v>
      </c>
      <c r="B577" s="63">
        <v>9.2073877175294676</v>
      </c>
      <c r="C577" s="63">
        <v>9.2073877175294676</v>
      </c>
      <c r="D577" s="63">
        <v>9.2159714375294683</v>
      </c>
      <c r="E577" s="64">
        <v>10.621877897827309</v>
      </c>
      <c r="F577" s="64">
        <v>10.621877897827311</v>
      </c>
      <c r="G577" s="64">
        <v>10.622054697827311</v>
      </c>
      <c r="H577" s="64">
        <v>18.11575331645869</v>
      </c>
      <c r="I577" s="64">
        <v>18.115930116458689</v>
      </c>
      <c r="J577" s="64">
        <v>10.621877897827309</v>
      </c>
      <c r="K577" s="64">
        <v>10.622054697827309</v>
      </c>
    </row>
    <row r="578" spans="1:11" ht="15">
      <c r="A578" s="13">
        <v>59231</v>
      </c>
      <c r="B578" s="63">
        <v>9.2043479448021941</v>
      </c>
      <c r="C578" s="63">
        <v>9.2043479448021941</v>
      </c>
      <c r="D578" s="63">
        <v>9.2129316648021948</v>
      </c>
      <c r="E578" s="64">
        <v>10.712338229246107</v>
      </c>
      <c r="F578" s="64">
        <v>10.712338229246107</v>
      </c>
      <c r="G578" s="64">
        <v>10.712515029246108</v>
      </c>
      <c r="H578" s="64">
        <v>18.153494469201313</v>
      </c>
      <c r="I578" s="64">
        <v>18.153671269201311</v>
      </c>
      <c r="J578" s="64">
        <v>10.712338229246107</v>
      </c>
      <c r="K578" s="64">
        <v>10.712515029246108</v>
      </c>
    </row>
    <row r="579" spans="1:11" ht="15">
      <c r="A579" s="13">
        <v>59262</v>
      </c>
      <c r="B579" s="63">
        <v>9.2065232212119987</v>
      </c>
      <c r="C579" s="63">
        <v>9.2065232212119987</v>
      </c>
      <c r="D579" s="63">
        <v>9.2151069412119995</v>
      </c>
      <c r="E579" s="64">
        <v>10.807526683954816</v>
      </c>
      <c r="F579" s="64">
        <v>10.807526683954816</v>
      </c>
      <c r="G579" s="64">
        <v>10.807703483954816</v>
      </c>
      <c r="H579" s="64">
        <v>18.191314249345485</v>
      </c>
      <c r="I579" s="64">
        <v>18.191491049345483</v>
      </c>
      <c r="J579" s="64">
        <v>10.807526683954816</v>
      </c>
      <c r="K579" s="64">
        <v>10.807703483954816</v>
      </c>
    </row>
    <row r="580" spans="1:11" ht="15">
      <c r="A580" s="13">
        <v>59292</v>
      </c>
      <c r="B580" s="63">
        <v>9.2065232212119987</v>
      </c>
      <c r="C580" s="63">
        <v>9.2065232212119987</v>
      </c>
      <c r="D580" s="63">
        <v>9.2236869412119979</v>
      </c>
      <c r="E580" s="64">
        <v>10.844811337521428</v>
      </c>
      <c r="F580" s="64">
        <v>10.844811337521428</v>
      </c>
      <c r="G580" s="64">
        <v>10.845963137521428</v>
      </c>
      <c r="H580" s="64">
        <v>18.22921282069829</v>
      </c>
      <c r="I580" s="64">
        <v>18.230364620698289</v>
      </c>
      <c r="J580" s="64">
        <v>10.844811337521428</v>
      </c>
      <c r="K580" s="64">
        <v>10.845963137521428</v>
      </c>
    </row>
    <row r="581" spans="1:11" ht="15">
      <c r="A581" s="13">
        <v>59323</v>
      </c>
      <c r="B581" s="63">
        <v>9.212602766666544</v>
      </c>
      <c r="C581" s="63">
        <v>9.212602766666544</v>
      </c>
      <c r="D581" s="63">
        <v>9.2297664866665432</v>
      </c>
      <c r="E581" s="64">
        <v>10.811763972090409</v>
      </c>
      <c r="F581" s="64">
        <v>10.811763972090409</v>
      </c>
      <c r="G581" s="64">
        <v>10.81291577209041</v>
      </c>
      <c r="H581" s="64">
        <v>18.267190347408079</v>
      </c>
      <c r="I581" s="64">
        <v>18.268342147408077</v>
      </c>
      <c r="J581" s="64">
        <v>10.811763972090409</v>
      </c>
      <c r="K581" s="64">
        <v>10.81291577209041</v>
      </c>
    </row>
    <row r="582" spans="1:11" ht="15">
      <c r="A582" s="13">
        <v>59353</v>
      </c>
      <c r="B582" s="63">
        <v>9.3604962183893061</v>
      </c>
      <c r="C582" s="63">
        <v>9.3604962183893061</v>
      </c>
      <c r="D582" s="63">
        <v>9.3776599383893053</v>
      </c>
      <c r="E582" s="64">
        <v>11.021156916660019</v>
      </c>
      <c r="F582" s="64">
        <v>11.021156916660019</v>
      </c>
      <c r="G582" s="64">
        <v>11.022308716660019</v>
      </c>
      <c r="H582" s="64">
        <v>18.305246993965181</v>
      </c>
      <c r="I582" s="64">
        <v>18.30639879396518</v>
      </c>
      <c r="J582" s="64">
        <v>11.021156916660019</v>
      </c>
      <c r="K582" s="64">
        <v>11.022308716660019</v>
      </c>
    </row>
    <row r="583" spans="1:11" ht="15">
      <c r="A583" s="13">
        <v>59384</v>
      </c>
      <c r="B583" s="63">
        <v>9.3671837183893043</v>
      </c>
      <c r="C583" s="63">
        <v>9.3671837183893043</v>
      </c>
      <c r="D583" s="63">
        <v>9.3843474383893035</v>
      </c>
      <c r="E583" s="64">
        <v>10.913963972909333</v>
      </c>
      <c r="F583" s="64">
        <v>10.913963972909333</v>
      </c>
      <c r="G583" s="64">
        <v>10.915115772909333</v>
      </c>
      <c r="H583" s="64">
        <v>18.343382925202611</v>
      </c>
      <c r="I583" s="64">
        <v>18.34453472520261</v>
      </c>
      <c r="J583" s="64">
        <v>10.913963972909333</v>
      </c>
      <c r="K583" s="64">
        <v>10.915115772909333</v>
      </c>
    </row>
    <row r="584" spans="1:11" ht="15">
      <c r="A584" s="13">
        <v>59415</v>
      </c>
      <c r="B584" s="63">
        <v>9.3641439456620308</v>
      </c>
      <c r="C584" s="63">
        <v>9.3641439456620308</v>
      </c>
      <c r="D584" s="63">
        <v>9.38130766566203</v>
      </c>
      <c r="E584" s="64">
        <v>10.899417110985999</v>
      </c>
      <c r="F584" s="64">
        <v>10.899417110985999</v>
      </c>
      <c r="G584" s="64">
        <v>10.900568910985999</v>
      </c>
      <c r="H584" s="64">
        <v>18.381598306296784</v>
      </c>
      <c r="I584" s="64">
        <v>18.382750106296783</v>
      </c>
      <c r="J584" s="64">
        <v>10.899417110985999</v>
      </c>
      <c r="K584" s="64">
        <v>10.900568910985999</v>
      </c>
    </row>
    <row r="585" spans="1:11" ht="15">
      <c r="A585" s="13">
        <v>59445</v>
      </c>
      <c r="B585" s="63">
        <v>9.3771172522650801</v>
      </c>
      <c r="C585" s="63">
        <v>9.3771172522650801</v>
      </c>
      <c r="D585" s="63">
        <v>9.3857009722650808</v>
      </c>
      <c r="E585" s="64">
        <v>10.935711903312102</v>
      </c>
      <c r="F585" s="64">
        <v>10.935711903312102</v>
      </c>
      <c r="G585" s="64">
        <v>10.935888703312102</v>
      </c>
      <c r="H585" s="64">
        <v>18.419893302768237</v>
      </c>
      <c r="I585" s="64">
        <v>18.420070102768236</v>
      </c>
      <c r="J585" s="64">
        <v>10.935711903312102</v>
      </c>
      <c r="K585" s="64">
        <v>10.935888703312102</v>
      </c>
    </row>
    <row r="586" spans="1:11" ht="15">
      <c r="A586" s="13">
        <v>59476</v>
      </c>
      <c r="B586" s="63">
        <v>9.3801570249923518</v>
      </c>
      <c r="C586" s="63">
        <v>9.3801570249923518</v>
      </c>
      <c r="D586" s="63">
        <v>9.3887407449923526</v>
      </c>
      <c r="E586" s="64">
        <v>10.96268698309097</v>
      </c>
      <c r="F586" s="64">
        <v>10.96268698309097</v>
      </c>
      <c r="G586" s="64">
        <v>10.96286378309097</v>
      </c>
      <c r="H586" s="64">
        <v>18.458268080482341</v>
      </c>
      <c r="I586" s="64">
        <v>18.45844488048234</v>
      </c>
      <c r="J586" s="64">
        <v>10.96268698309097</v>
      </c>
      <c r="K586" s="64">
        <v>10.96286378309097</v>
      </c>
    </row>
    <row r="587" spans="1:11" ht="15">
      <c r="A587" s="13">
        <v>59506</v>
      </c>
      <c r="B587" s="63">
        <v>9.3801570249923518</v>
      </c>
      <c r="C587" s="63">
        <v>9.3801570249923518</v>
      </c>
      <c r="D587" s="63">
        <v>9.3887407449923526</v>
      </c>
      <c r="E587" s="64">
        <v>10.900545893813284</v>
      </c>
      <c r="F587" s="64">
        <v>10.900545893813284</v>
      </c>
      <c r="G587" s="64">
        <v>10.900722693813284</v>
      </c>
      <c r="H587" s="64">
        <v>18.496722805650016</v>
      </c>
      <c r="I587" s="64">
        <v>18.496899605650015</v>
      </c>
      <c r="J587" s="64">
        <v>10.900545893813284</v>
      </c>
      <c r="K587" s="64">
        <v>10.900722693813284</v>
      </c>
    </row>
    <row r="588" spans="1:11" ht="15">
      <c r="A588" s="13">
        <v>59537</v>
      </c>
      <c r="B588" s="63">
        <v>9.4557467836036029</v>
      </c>
      <c r="C588" s="63">
        <v>9.4557467836036029</v>
      </c>
      <c r="D588" s="63">
        <v>9.4643305036036036</v>
      </c>
      <c r="E588" s="64">
        <v>11.033843065701568</v>
      </c>
      <c r="F588" s="64">
        <v>11.033843065701568</v>
      </c>
      <c r="G588" s="64">
        <v>11.034019865701568</v>
      </c>
      <c r="H588" s="64">
        <v>18.523981746451444</v>
      </c>
      <c r="I588" s="64">
        <v>18.524158546451442</v>
      </c>
      <c r="J588" s="64">
        <v>11.033843065701568</v>
      </c>
      <c r="K588" s="64">
        <v>11.034019865701568</v>
      </c>
    </row>
    <row r="589" spans="1:11" ht="15">
      <c r="A589" s="13">
        <v>59568</v>
      </c>
      <c r="B589" s="63">
        <v>9.4527070108763311</v>
      </c>
      <c r="C589" s="63">
        <v>9.4527070108763311</v>
      </c>
      <c r="D589" s="63">
        <v>9.4612907308763319</v>
      </c>
      <c r="E589" s="64">
        <v>10.911083236148878</v>
      </c>
      <c r="F589" s="64">
        <v>10.911083236148881</v>
      </c>
      <c r="G589" s="64">
        <v>10.911260036148882</v>
      </c>
      <c r="H589" s="64">
        <v>18.562573375089883</v>
      </c>
      <c r="I589" s="64">
        <v>18.562750175089882</v>
      </c>
      <c r="J589" s="64">
        <v>10.911083236148878</v>
      </c>
      <c r="K589" s="64">
        <v>10.911260036148878</v>
      </c>
    </row>
    <row r="590" spans="1:11" ht="15">
      <c r="A590" s="13">
        <v>59596</v>
      </c>
      <c r="B590" s="63">
        <v>9.4496672381490558</v>
      </c>
      <c r="C590" s="63">
        <v>9.4496672381490558</v>
      </c>
      <c r="D590" s="63">
        <v>9.4582509581490566</v>
      </c>
      <c r="E590" s="64">
        <v>11.004070806124815</v>
      </c>
      <c r="F590" s="64">
        <v>11.004070806124815</v>
      </c>
      <c r="G590" s="64">
        <v>11.004247606124816</v>
      </c>
      <c r="H590" s="64">
        <v>18.601245402954653</v>
      </c>
      <c r="I590" s="64">
        <v>18.601422202954652</v>
      </c>
      <c r="J590" s="64">
        <v>11.004070806124815</v>
      </c>
      <c r="K590" s="64">
        <v>11.004247606124816</v>
      </c>
    </row>
    <row r="591" spans="1:11" ht="15">
      <c r="A591" s="13">
        <v>59627</v>
      </c>
      <c r="B591" s="63">
        <v>9.4520481353957777</v>
      </c>
      <c r="C591" s="63">
        <v>9.4520481353957777</v>
      </c>
      <c r="D591" s="63">
        <v>9.4606318553957784</v>
      </c>
      <c r="E591" s="64">
        <v>11.101973403753854</v>
      </c>
      <c r="F591" s="64">
        <v>11.101973403753854</v>
      </c>
      <c r="G591" s="64">
        <v>11.102150203753855</v>
      </c>
      <c r="H591" s="64">
        <v>18.639997997544146</v>
      </c>
      <c r="I591" s="64">
        <v>18.640174797544145</v>
      </c>
      <c r="J591" s="64">
        <v>11.101973403753854</v>
      </c>
      <c r="K591" s="64">
        <v>11.102150203753855</v>
      </c>
    </row>
    <row r="592" spans="1:11" ht="15">
      <c r="A592" s="13">
        <v>59657</v>
      </c>
      <c r="B592" s="63">
        <v>9.4520481353957777</v>
      </c>
      <c r="C592" s="63">
        <v>9.4520481353957777</v>
      </c>
      <c r="D592" s="63">
        <v>9.4692118553957769</v>
      </c>
      <c r="E592" s="64">
        <v>11.140275860915589</v>
      </c>
      <c r="F592" s="64">
        <v>11.140275860915589</v>
      </c>
      <c r="G592" s="64">
        <v>11.141427660915589</v>
      </c>
      <c r="H592" s="64">
        <v>18.678831326705698</v>
      </c>
      <c r="I592" s="64">
        <v>18.679983126705697</v>
      </c>
      <c r="J592" s="64">
        <v>11.140275860915589</v>
      </c>
      <c r="K592" s="64">
        <v>11.141427660915589</v>
      </c>
    </row>
    <row r="593" spans="1:11" ht="15">
      <c r="A593" s="13">
        <v>59688</v>
      </c>
      <c r="B593" s="63">
        <v>9.4581276808503212</v>
      </c>
      <c r="C593" s="63">
        <v>9.4581276808503212</v>
      </c>
      <c r="D593" s="63">
        <v>9.4752914008503204</v>
      </c>
      <c r="E593" s="64">
        <v>11.106210691889448</v>
      </c>
      <c r="F593" s="64">
        <v>11.106210691889448</v>
      </c>
      <c r="G593" s="64">
        <v>11.107362491889448</v>
      </c>
      <c r="H593" s="64">
        <v>18.717745558636334</v>
      </c>
      <c r="I593" s="64">
        <v>18.718897358636333</v>
      </c>
      <c r="J593" s="64">
        <v>11.106210691889448</v>
      </c>
      <c r="K593" s="64">
        <v>11.107362491889448</v>
      </c>
    </row>
    <row r="594" spans="1:11" ht="15">
      <c r="A594" s="13">
        <v>59718</v>
      </c>
      <c r="B594" s="63">
        <v>9.6097114650202986</v>
      </c>
      <c r="C594" s="63">
        <v>9.6097114650202986</v>
      </c>
      <c r="D594" s="63">
        <v>9.6268751850202978</v>
      </c>
      <c r="E594" s="64">
        <v>11.321040202876244</v>
      </c>
      <c r="F594" s="64">
        <v>11.321040202876244</v>
      </c>
      <c r="G594" s="64">
        <v>11.322192002876244</v>
      </c>
      <c r="H594" s="64">
        <v>18.756740861883497</v>
      </c>
      <c r="I594" s="64">
        <v>18.757892661883496</v>
      </c>
      <c r="J594" s="64">
        <v>11.321040202876244</v>
      </c>
      <c r="K594" s="64">
        <v>11.322192002876244</v>
      </c>
    </row>
    <row r="595" spans="1:11" ht="15">
      <c r="A595" s="13">
        <v>59749</v>
      </c>
      <c r="B595" s="63">
        <v>9.6163989650202968</v>
      </c>
      <c r="C595" s="63">
        <v>9.6163989650202968</v>
      </c>
      <c r="D595" s="63">
        <v>9.633562685020296</v>
      </c>
      <c r="E595" s="64">
        <v>11.210793848340186</v>
      </c>
      <c r="F595" s="64">
        <v>11.210793848340186</v>
      </c>
      <c r="G595" s="64">
        <v>11.211945648340187</v>
      </c>
      <c r="H595" s="64">
        <v>18.795817405345758</v>
      </c>
      <c r="I595" s="64">
        <v>18.796969205345757</v>
      </c>
      <c r="J595" s="64">
        <v>11.210793848340186</v>
      </c>
      <c r="K595" s="64">
        <v>11.211945648340187</v>
      </c>
    </row>
    <row r="596" spans="1:11" ht="15">
      <c r="A596" s="13">
        <v>59780</v>
      </c>
      <c r="B596" s="63">
        <v>9.6133591922930215</v>
      </c>
      <c r="C596" s="63">
        <v>9.6133591922930215</v>
      </c>
      <c r="D596" s="63">
        <v>9.6305229122930207</v>
      </c>
      <c r="E596" s="64">
        <v>11.19590771855181</v>
      </c>
      <c r="F596" s="64">
        <v>11.195907718551812</v>
      </c>
      <c r="G596" s="64">
        <v>11.197059518551812</v>
      </c>
      <c r="H596" s="64">
        <v>18.83497535827356</v>
      </c>
      <c r="I596" s="64">
        <v>18.836127158273559</v>
      </c>
      <c r="J596" s="64">
        <v>11.19590771855181</v>
      </c>
      <c r="K596" s="64">
        <v>11.197059518551811</v>
      </c>
    </row>
    <row r="597" spans="1:11" ht="15">
      <c r="A597" s="13">
        <v>59810</v>
      </c>
      <c r="B597" s="63">
        <v>9.6271352021858725</v>
      </c>
      <c r="C597" s="63">
        <v>9.6271352021858725</v>
      </c>
      <c r="D597" s="63">
        <v>9.6357189221858732</v>
      </c>
      <c r="E597" s="64">
        <v>11.233559582338081</v>
      </c>
      <c r="F597" s="64">
        <v>11.233559582338081</v>
      </c>
      <c r="G597" s="64">
        <v>11.233736382338082</v>
      </c>
      <c r="H597" s="64">
        <v>18.874214890269965</v>
      </c>
      <c r="I597" s="64">
        <v>18.874391690269963</v>
      </c>
      <c r="J597" s="64">
        <v>11.233559582338081</v>
      </c>
      <c r="K597" s="64">
        <v>11.233736382338082</v>
      </c>
    </row>
    <row r="598" spans="1:11" ht="15">
      <c r="A598" s="13">
        <v>59841</v>
      </c>
      <c r="B598" s="63">
        <v>9.6301749749131442</v>
      </c>
      <c r="C598" s="63">
        <v>9.6301749749131442</v>
      </c>
      <c r="D598" s="63">
        <v>9.638758694913145</v>
      </c>
      <c r="E598" s="64">
        <v>11.261213197847026</v>
      </c>
      <c r="F598" s="64">
        <v>11.261213197847026</v>
      </c>
      <c r="G598" s="64">
        <v>11.261389997847026</v>
      </c>
      <c r="H598" s="64">
        <v>18.913536171291366</v>
      </c>
      <c r="I598" s="64">
        <v>18.913712971291364</v>
      </c>
      <c r="J598" s="64">
        <v>11.261213197847026</v>
      </c>
      <c r="K598" s="64">
        <v>11.261389997847026</v>
      </c>
    </row>
    <row r="599" spans="1:11" ht="15">
      <c r="A599" s="13">
        <v>59871</v>
      </c>
      <c r="B599" s="63">
        <v>9.6301749749131442</v>
      </c>
      <c r="C599" s="63">
        <v>9.6301749749131442</v>
      </c>
      <c r="D599" s="63">
        <v>9.638758694913145</v>
      </c>
      <c r="E599" s="64">
        <v>11.197375769244136</v>
      </c>
      <c r="F599" s="64">
        <v>11.197375769244136</v>
      </c>
      <c r="G599" s="64">
        <v>11.197552569244136</v>
      </c>
      <c r="H599" s="64">
        <v>18.952939371648228</v>
      </c>
      <c r="I599" s="64">
        <v>18.953116171648226</v>
      </c>
      <c r="J599" s="64">
        <v>11.197375769244136</v>
      </c>
      <c r="K599" s="64">
        <v>11.197552569244136</v>
      </c>
    </row>
    <row r="600" spans="1:11" ht="15">
      <c r="A600" s="13">
        <v>59902</v>
      </c>
      <c r="B600" s="63">
        <v>9.7010660769504664</v>
      </c>
      <c r="C600" s="63">
        <v>9.7010660769504664</v>
      </c>
      <c r="D600" s="63">
        <v>9.7096497969504671</v>
      </c>
      <c r="E600" s="64">
        <v>11.326254178310357</v>
      </c>
      <c r="F600" s="64">
        <v>11.326254178310357</v>
      </c>
      <c r="G600" s="64">
        <v>11.326430978310357</v>
      </c>
      <c r="H600" s="64">
        <v>18.969872865251805</v>
      </c>
      <c r="I600" s="64">
        <v>18.970049665251803</v>
      </c>
      <c r="J600" s="64">
        <v>11.326254178310357</v>
      </c>
      <c r="K600" s="64">
        <v>11.326430978310357</v>
      </c>
    </row>
    <row r="601" spans="1:11" ht="15">
      <c r="A601" s="13">
        <v>59933</v>
      </c>
      <c r="B601" s="63">
        <v>9.6980263042231947</v>
      </c>
      <c r="C601" s="63">
        <v>9.6980263042231947</v>
      </c>
      <c r="D601" s="63">
        <v>9.7066100242231954</v>
      </c>
      <c r="E601" s="64">
        <v>11.200288574470447</v>
      </c>
      <c r="F601" s="64">
        <v>11.200288574470452</v>
      </c>
      <c r="G601" s="64">
        <v>11.200465374470452</v>
      </c>
      <c r="H601" s="64">
        <v>19.009393433721076</v>
      </c>
      <c r="I601" s="64">
        <v>19.009570233721075</v>
      </c>
      <c r="J601" s="64">
        <v>11.200288574470447</v>
      </c>
      <c r="K601" s="64">
        <v>11.200465374470447</v>
      </c>
    </row>
    <row r="602" spans="1:11" ht="15">
      <c r="A602" s="13">
        <v>59962</v>
      </c>
      <c r="B602" s="63">
        <v>9.6949865314959176</v>
      </c>
      <c r="C602" s="63">
        <v>9.6949865314959176</v>
      </c>
      <c r="D602" s="63">
        <v>9.7035702514959183</v>
      </c>
      <c r="E602" s="64">
        <v>11.295803383003523</v>
      </c>
      <c r="F602" s="64">
        <v>11.295803383003523</v>
      </c>
      <c r="G602" s="64">
        <v>11.295980183003524</v>
      </c>
      <c r="H602" s="64">
        <v>19.048996336707994</v>
      </c>
      <c r="I602" s="64">
        <v>19.049173136707992</v>
      </c>
      <c r="J602" s="64">
        <v>11.295803383003523</v>
      </c>
      <c r="K602" s="64">
        <v>11.295980183003524</v>
      </c>
    </row>
    <row r="603" spans="1:11" ht="15">
      <c r="A603" s="13">
        <v>59993</v>
      </c>
      <c r="B603" s="63">
        <v>9.6975730495795567</v>
      </c>
      <c r="C603" s="63">
        <v>9.6975730495795567</v>
      </c>
      <c r="D603" s="63">
        <v>9.7061567695795574</v>
      </c>
      <c r="E603" s="64">
        <v>11.396420123552893</v>
      </c>
      <c r="F603" s="64">
        <v>11.396420123552893</v>
      </c>
      <c r="G603" s="64">
        <v>11.396596923552893</v>
      </c>
      <c r="H603" s="64">
        <v>19.088681745742807</v>
      </c>
      <c r="I603" s="64">
        <v>19.088858545742806</v>
      </c>
      <c r="J603" s="64">
        <v>11.396420123552893</v>
      </c>
      <c r="K603" s="64">
        <v>11.396596923552893</v>
      </c>
    </row>
    <row r="604" spans="1:11" ht="15">
      <c r="A604" s="13">
        <v>60023</v>
      </c>
      <c r="B604" s="63">
        <v>9.6975730495795567</v>
      </c>
      <c r="C604" s="63">
        <v>9.6975730495795567</v>
      </c>
      <c r="D604" s="63">
        <v>9.7147367695795559</v>
      </c>
      <c r="E604" s="64">
        <v>11.435740384309749</v>
      </c>
      <c r="F604" s="64">
        <v>11.435740384309749</v>
      </c>
      <c r="G604" s="64">
        <v>11.43689218430975</v>
      </c>
      <c r="H604" s="64">
        <v>19.128449832713105</v>
      </c>
      <c r="I604" s="64">
        <v>19.129601632713104</v>
      </c>
      <c r="J604" s="64">
        <v>11.435740384309749</v>
      </c>
      <c r="K604" s="64">
        <v>11.43689218430975</v>
      </c>
    </row>
    <row r="605" spans="1:11" ht="15">
      <c r="A605" s="13">
        <v>60054</v>
      </c>
      <c r="B605" s="63">
        <v>9.7036525950340984</v>
      </c>
      <c r="C605" s="63">
        <v>9.7036525950340984</v>
      </c>
      <c r="D605" s="63">
        <v>9.7208163150340976</v>
      </c>
      <c r="E605" s="64">
        <v>11.400657411688487</v>
      </c>
      <c r="F605" s="64">
        <v>11.400657411688487</v>
      </c>
      <c r="G605" s="64">
        <v>11.401809211688487</v>
      </c>
      <c r="H605" s="64">
        <v>19.16830076986459</v>
      </c>
      <c r="I605" s="64">
        <v>19.169452569864589</v>
      </c>
      <c r="J605" s="64">
        <v>11.400657411688487</v>
      </c>
      <c r="K605" s="64">
        <v>11.401809211688487</v>
      </c>
    </row>
    <row r="606" spans="1:11" ht="15">
      <c r="A606" s="13">
        <v>60084</v>
      </c>
      <c r="B606" s="63">
        <v>9.8589267116512911</v>
      </c>
      <c r="C606" s="63">
        <v>9.8589267116512911</v>
      </c>
      <c r="D606" s="63">
        <v>9.8760904316512903</v>
      </c>
      <c r="E606" s="64">
        <v>11.620923489092469</v>
      </c>
      <c r="F606" s="64">
        <v>11.620923489092469</v>
      </c>
      <c r="G606" s="64">
        <v>11.62207528909247</v>
      </c>
      <c r="H606" s="64">
        <v>19.208234729801813</v>
      </c>
      <c r="I606" s="64">
        <v>19.209386529801812</v>
      </c>
      <c r="J606" s="64">
        <v>11.620923489092469</v>
      </c>
      <c r="K606" s="64">
        <v>11.62207528909247</v>
      </c>
    </row>
    <row r="607" spans="1:11" ht="15">
      <c r="A607" s="13">
        <v>60115</v>
      </c>
      <c r="B607" s="63">
        <v>9.8656142116512893</v>
      </c>
      <c r="C607" s="63">
        <v>9.8656142116512893</v>
      </c>
      <c r="D607" s="63">
        <v>9.8827779316512885</v>
      </c>
      <c r="E607" s="64">
        <v>11.50762372377104</v>
      </c>
      <c r="F607" s="64">
        <v>11.50762372377104</v>
      </c>
      <c r="G607" s="64">
        <v>11.508775523771041</v>
      </c>
      <c r="H607" s="64">
        <v>19.248251885488905</v>
      </c>
      <c r="I607" s="64">
        <v>19.249403685488904</v>
      </c>
      <c r="J607" s="64">
        <v>11.50762372377104</v>
      </c>
      <c r="K607" s="64">
        <v>11.508775523771041</v>
      </c>
    </row>
    <row r="608" spans="1:11" ht="15">
      <c r="A608" s="13">
        <v>60146</v>
      </c>
      <c r="B608" s="63">
        <v>9.8625744389240122</v>
      </c>
      <c r="C608" s="63">
        <v>9.8625744389240122</v>
      </c>
      <c r="D608" s="63">
        <v>9.8797381589240114</v>
      </c>
      <c r="E608" s="64">
        <v>11.492398326117621</v>
      </c>
      <c r="F608" s="64">
        <v>11.492398326117625</v>
      </c>
      <c r="G608" s="64">
        <v>11.493550126117626</v>
      </c>
      <c r="H608" s="64">
        <v>19.288352410250337</v>
      </c>
      <c r="I608" s="64">
        <v>19.289504210250335</v>
      </c>
      <c r="J608" s="64">
        <v>11.492398326117621</v>
      </c>
      <c r="K608" s="64">
        <v>11.493550126117622</v>
      </c>
    </row>
    <row r="609" spans="1:11" ht="15">
      <c r="A609" s="13">
        <v>60176</v>
      </c>
      <c r="B609" s="63">
        <v>9.8771531521066649</v>
      </c>
      <c r="C609" s="63">
        <v>9.8771531521066649</v>
      </c>
      <c r="D609" s="63">
        <v>9.8857368721066656</v>
      </c>
      <c r="E609" s="64">
        <v>11.531407261364061</v>
      </c>
      <c r="F609" s="64">
        <v>11.531407261364061</v>
      </c>
      <c r="G609" s="64">
        <v>11.531584061364061</v>
      </c>
      <c r="H609" s="64">
        <v>19.328536477771692</v>
      </c>
      <c r="I609" s="64">
        <v>19.328713277771691</v>
      </c>
      <c r="J609" s="64">
        <v>11.531407261364061</v>
      </c>
      <c r="K609" s="64">
        <v>11.531584061364061</v>
      </c>
    </row>
    <row r="610" spans="1:11" ht="15">
      <c r="A610" s="13">
        <v>60207</v>
      </c>
      <c r="B610" s="63">
        <v>9.8801929248339366</v>
      </c>
      <c r="C610" s="63">
        <v>9.8801929248339366</v>
      </c>
      <c r="D610" s="63">
        <v>9.8887766448339374</v>
      </c>
      <c r="E610" s="64">
        <v>11.559739412603081</v>
      </c>
      <c r="F610" s="64">
        <v>11.559739412603081</v>
      </c>
      <c r="G610" s="64">
        <v>11.559916212603081</v>
      </c>
      <c r="H610" s="64">
        <v>19.36880426210039</v>
      </c>
      <c r="I610" s="64">
        <v>19.368981062100389</v>
      </c>
      <c r="J610" s="64">
        <v>11.559739412603081</v>
      </c>
      <c r="K610" s="64">
        <v>11.559916212603081</v>
      </c>
    </row>
    <row r="611" spans="1:11" ht="15">
      <c r="A611" s="13">
        <v>60237</v>
      </c>
      <c r="B611" s="63">
        <v>9.8801929248339366</v>
      </c>
      <c r="C611" s="63">
        <v>9.8801929248339366</v>
      </c>
      <c r="D611" s="63">
        <v>9.8887766448339374</v>
      </c>
      <c r="E611" s="64">
        <v>11.494205644674988</v>
      </c>
      <c r="F611" s="64">
        <v>11.494205644674988</v>
      </c>
      <c r="G611" s="64">
        <v>11.494382444674988</v>
      </c>
      <c r="H611" s="64">
        <v>19.409155937646439</v>
      </c>
      <c r="I611" s="64">
        <v>19.409332737646437</v>
      </c>
      <c r="J611" s="64">
        <v>11.494205644674988</v>
      </c>
      <c r="K611" s="64">
        <v>11.494382444674988</v>
      </c>
    </row>
    <row r="612" spans="1:11" ht="15">
      <c r="A612" s="13">
        <v>60268</v>
      </c>
      <c r="B612" s="63">
        <v>9.9463853702973299</v>
      </c>
      <c r="C612" s="63">
        <v>9.9463853702973299</v>
      </c>
      <c r="D612" s="63">
        <v>9.9549690902973307</v>
      </c>
      <c r="E612" s="64">
        <v>11.618665290919147</v>
      </c>
      <c r="F612" s="64">
        <v>11.618665290919147</v>
      </c>
      <c r="G612" s="64">
        <v>11.618842090919147</v>
      </c>
      <c r="H612" s="64">
        <v>19.415763984052166</v>
      </c>
      <c r="I612" s="64">
        <v>19.415940784052165</v>
      </c>
      <c r="J612" s="64">
        <v>11.618665290919147</v>
      </c>
      <c r="K612" s="64">
        <v>11.618842090919147</v>
      </c>
    </row>
    <row r="613" spans="1:11" ht="15">
      <c r="A613" s="13">
        <v>60299</v>
      </c>
      <c r="B613" s="63">
        <v>9.9433455975700582</v>
      </c>
      <c r="C613" s="63">
        <v>9.9433455975700582</v>
      </c>
      <c r="D613" s="63">
        <v>9.9519293175700589</v>
      </c>
      <c r="E613" s="64">
        <v>11.489493912792016</v>
      </c>
      <c r="F613" s="64">
        <v>11.489493912792023</v>
      </c>
      <c r="G613" s="64">
        <v>11.489670712792023</v>
      </c>
      <c r="H613" s="64">
        <v>19.456213492352269</v>
      </c>
      <c r="I613" s="64">
        <v>19.456390292352268</v>
      </c>
      <c r="J613" s="64">
        <v>11.489493912792016</v>
      </c>
      <c r="K613" s="64">
        <v>11.489670712792016</v>
      </c>
    </row>
    <row r="614" spans="1:11" ht="15">
      <c r="A614" s="13">
        <v>60327</v>
      </c>
      <c r="B614" s="63">
        <v>9.9403058248427794</v>
      </c>
      <c r="C614" s="63">
        <v>9.9403058248427794</v>
      </c>
      <c r="D614" s="63">
        <v>9.9488895448427801</v>
      </c>
      <c r="E614" s="64">
        <v>11.587535959882231</v>
      </c>
      <c r="F614" s="64">
        <v>11.587535959882231</v>
      </c>
      <c r="G614" s="64">
        <v>11.587712759882232</v>
      </c>
      <c r="H614" s="64">
        <v>19.496747270461334</v>
      </c>
      <c r="I614" s="64">
        <v>19.496924070461333</v>
      </c>
      <c r="J614" s="64">
        <v>11.587535959882231</v>
      </c>
      <c r="K614" s="64">
        <v>11.587712759882232</v>
      </c>
    </row>
    <row r="615" spans="1:11" ht="15">
      <c r="A615" s="13">
        <v>60358</v>
      </c>
      <c r="B615" s="63">
        <v>9.9430979637633357</v>
      </c>
      <c r="C615" s="63">
        <v>9.9430979637633357</v>
      </c>
      <c r="D615" s="63">
        <v>9.9516816837633364</v>
      </c>
      <c r="E615" s="64">
        <v>11.690866843351932</v>
      </c>
      <c r="F615" s="64">
        <v>11.690866843351932</v>
      </c>
      <c r="G615" s="64">
        <v>11.691043643351932</v>
      </c>
      <c r="H615" s="64">
        <v>19.537365493941468</v>
      </c>
      <c r="I615" s="64">
        <v>19.537542293941467</v>
      </c>
      <c r="J615" s="64">
        <v>11.690866843351932</v>
      </c>
      <c r="K615" s="64">
        <v>11.691043643351932</v>
      </c>
    </row>
    <row r="616" spans="1:11" ht="15">
      <c r="A616" s="13">
        <v>60388</v>
      </c>
      <c r="B616" s="63">
        <v>9.9430979637633357</v>
      </c>
      <c r="C616" s="63">
        <v>9.9430979637633357</v>
      </c>
      <c r="D616" s="63">
        <v>9.9602616837633349</v>
      </c>
      <c r="E616" s="64">
        <v>11.73120490770391</v>
      </c>
      <c r="F616" s="64">
        <v>11.73120490770391</v>
      </c>
      <c r="G616" s="64">
        <v>11.732356707703911</v>
      </c>
      <c r="H616" s="64">
        <v>19.578068338720513</v>
      </c>
      <c r="I616" s="64">
        <v>19.579220138720512</v>
      </c>
      <c r="J616" s="64">
        <v>11.73120490770391</v>
      </c>
      <c r="K616" s="64">
        <v>11.732356707703911</v>
      </c>
    </row>
    <row r="617" spans="1:11" ht="15">
      <c r="A617" s="13">
        <v>60419</v>
      </c>
      <c r="B617" s="63">
        <v>9.9491775092178756</v>
      </c>
      <c r="C617" s="63">
        <v>9.9491775092178756</v>
      </c>
      <c r="D617" s="63">
        <v>9.9663412292178748</v>
      </c>
      <c r="E617" s="64">
        <v>11.695104131487525</v>
      </c>
      <c r="F617" s="64">
        <v>11.695104131487525</v>
      </c>
      <c r="G617" s="64">
        <v>11.696255931487526</v>
      </c>
      <c r="H617" s="64">
        <v>19.618855981092846</v>
      </c>
      <c r="I617" s="64">
        <v>19.620007781092845</v>
      </c>
      <c r="J617" s="64">
        <v>11.695104131487525</v>
      </c>
      <c r="K617" s="64">
        <v>11.696255931487526</v>
      </c>
    </row>
    <row r="618" spans="1:11" ht="15">
      <c r="A618" s="13">
        <v>60449</v>
      </c>
      <c r="B618" s="63">
        <v>10.108141958282284</v>
      </c>
      <c r="C618" s="63">
        <v>10.108141958282284</v>
      </c>
      <c r="D618" s="63">
        <v>10.125305678282283</v>
      </c>
      <c r="E618" s="64">
        <v>11.920806775308694</v>
      </c>
      <c r="F618" s="64">
        <v>11.920806775308694</v>
      </c>
      <c r="G618" s="64">
        <v>11.921958575308695</v>
      </c>
      <c r="H618" s="64">
        <v>19.659728597720129</v>
      </c>
      <c r="I618" s="64">
        <v>19.660880397720128</v>
      </c>
      <c r="J618" s="64">
        <v>11.920806775308694</v>
      </c>
      <c r="K618" s="64">
        <v>11.921958575308695</v>
      </c>
    </row>
    <row r="619" spans="1:11" ht="15">
      <c r="A619" s="13">
        <v>60480</v>
      </c>
      <c r="B619" s="63">
        <v>10.114829458282282</v>
      </c>
      <c r="C619" s="63">
        <v>10.114829458282282</v>
      </c>
      <c r="D619" s="63">
        <v>10.131993178282281</v>
      </c>
      <c r="E619" s="64">
        <v>11.804453599201894</v>
      </c>
      <c r="F619" s="64">
        <v>11.804453599201894</v>
      </c>
      <c r="G619" s="64">
        <v>11.805605399201895</v>
      </c>
      <c r="H619" s="64">
        <v>19.700686365632052</v>
      </c>
      <c r="I619" s="64">
        <v>19.701838165632051</v>
      </c>
      <c r="J619" s="64">
        <v>11.804453599201894</v>
      </c>
      <c r="K619" s="64">
        <v>11.805605399201895</v>
      </c>
    </row>
    <row r="620" spans="1:11" ht="15">
      <c r="A620" s="13">
        <v>60511</v>
      </c>
      <c r="B620" s="63">
        <v>10.111789685555003</v>
      </c>
      <c r="C620" s="63">
        <v>10.111789685555003</v>
      </c>
      <c r="D620" s="63">
        <v>10.128953405555002</v>
      </c>
      <c r="E620" s="64">
        <v>11.788888933683433</v>
      </c>
      <c r="F620" s="64">
        <v>11.788888933683438</v>
      </c>
      <c r="G620" s="64">
        <v>11.790040733683439</v>
      </c>
      <c r="H620" s="64">
        <v>19.741729462227113</v>
      </c>
      <c r="I620" s="64">
        <v>19.742881262227112</v>
      </c>
      <c r="J620" s="64">
        <v>11.788888933683433</v>
      </c>
      <c r="K620" s="64">
        <v>11.790040733683433</v>
      </c>
    </row>
    <row r="621" spans="1:11" ht="15">
      <c r="A621" s="13">
        <v>60541</v>
      </c>
      <c r="B621" s="63">
        <v>10.127171102027457</v>
      </c>
      <c r="C621" s="63">
        <v>10.127171102027457</v>
      </c>
      <c r="D621" s="63">
        <v>10.135754822027458</v>
      </c>
      <c r="E621" s="64">
        <v>11.82925494039004</v>
      </c>
      <c r="F621" s="64">
        <v>11.82925494039004</v>
      </c>
      <c r="G621" s="64">
        <v>11.82943174039004</v>
      </c>
      <c r="H621" s="64">
        <v>19.78285806527342</v>
      </c>
      <c r="I621" s="64">
        <v>19.783034865273418</v>
      </c>
      <c r="J621" s="64">
        <v>11.82925494039004</v>
      </c>
      <c r="K621" s="64">
        <v>11.82943174039004</v>
      </c>
    </row>
    <row r="622" spans="1:11" ht="15">
      <c r="A622" s="13">
        <v>60572</v>
      </c>
      <c r="B622" s="63">
        <v>10.130210874754729</v>
      </c>
      <c r="C622" s="63">
        <v>10.130210874754729</v>
      </c>
      <c r="D622" s="63">
        <v>10.13879459475473</v>
      </c>
      <c r="E622" s="64">
        <v>11.858265627359136</v>
      </c>
      <c r="F622" s="64">
        <v>11.858265627359136</v>
      </c>
      <c r="G622" s="64">
        <v>11.858442427359137</v>
      </c>
      <c r="H622" s="64">
        <v>19.824072352909415</v>
      </c>
      <c r="I622" s="64">
        <v>19.824249152909413</v>
      </c>
      <c r="J622" s="64">
        <v>11.858265627359136</v>
      </c>
      <c r="K622" s="64">
        <v>11.858442427359137</v>
      </c>
    </row>
    <row r="623" spans="1:11" ht="15">
      <c r="A623" s="13">
        <v>60602</v>
      </c>
      <c r="B623" s="63">
        <v>10.130210874754729</v>
      </c>
      <c r="C623" s="63">
        <v>10.130210874754729</v>
      </c>
      <c r="D623" s="63">
        <v>10.13879459475473</v>
      </c>
      <c r="E623" s="64">
        <v>11.79103552010584</v>
      </c>
      <c r="F623" s="64">
        <v>11.79103552010584</v>
      </c>
      <c r="G623" s="64">
        <v>11.79121232010584</v>
      </c>
      <c r="H623" s="64">
        <v>19.86537250364465</v>
      </c>
      <c r="I623" s="64">
        <v>19.865549303644649</v>
      </c>
      <c r="J623" s="64">
        <v>11.79103552010584</v>
      </c>
      <c r="K623" s="64">
        <v>11.79121232010584</v>
      </c>
    </row>
    <row r="624" spans="1:11" ht="15">
      <c r="A624" s="13">
        <v>60633</v>
      </c>
      <c r="B624" s="63">
        <v>10.191704663644193</v>
      </c>
      <c r="C624" s="63">
        <v>10.191704663644193</v>
      </c>
      <c r="D624" s="63">
        <v>10.200288383644194</v>
      </c>
      <c r="E624" s="64">
        <v>11.911076403527936</v>
      </c>
      <c r="F624" s="64">
        <v>11.911076403527936</v>
      </c>
      <c r="G624" s="64">
        <v>11.911253203527936</v>
      </c>
      <c r="H624" s="64">
        <v>19.861655102852527</v>
      </c>
      <c r="I624" s="64">
        <v>19.861831902852526</v>
      </c>
      <c r="J624" s="64">
        <v>11.911076403527936</v>
      </c>
      <c r="K624" s="64">
        <v>11.911253203527936</v>
      </c>
    </row>
    <row r="625" spans="1:11" ht="15">
      <c r="A625" s="13">
        <v>60664</v>
      </c>
      <c r="B625" s="63">
        <v>10.188664890916922</v>
      </c>
      <c r="C625" s="63">
        <v>10.188664890916922</v>
      </c>
      <c r="D625" s="63">
        <v>10.197248610916922</v>
      </c>
      <c r="E625" s="64">
        <v>11.778699251113585</v>
      </c>
      <c r="F625" s="64">
        <v>11.778699251113594</v>
      </c>
      <c r="G625" s="64">
        <v>11.778876051113594</v>
      </c>
      <c r="H625" s="64">
        <v>19.903033550983462</v>
      </c>
      <c r="I625" s="64">
        <v>19.903210350983461</v>
      </c>
      <c r="J625" s="64">
        <v>11.778699251113585</v>
      </c>
      <c r="K625" s="64">
        <v>11.778876051113585</v>
      </c>
    </row>
    <row r="626" spans="1:11" ht="15">
      <c r="A626" s="13">
        <v>60692</v>
      </c>
      <c r="B626" s="63">
        <v>10.185625118189641</v>
      </c>
      <c r="C626" s="63">
        <v>10.185625118189641</v>
      </c>
      <c r="D626" s="63">
        <v>10.194208838189642</v>
      </c>
      <c r="E626" s="64">
        <v>11.879268536760939</v>
      </c>
      <c r="F626" s="64">
        <v>11.879268536760939</v>
      </c>
      <c r="G626" s="64">
        <v>11.87944533676094</v>
      </c>
      <c r="H626" s="64">
        <v>19.944498204214675</v>
      </c>
      <c r="I626" s="64">
        <v>19.944675004214673</v>
      </c>
      <c r="J626" s="64">
        <v>11.879268536760939</v>
      </c>
      <c r="K626" s="64">
        <v>11.87944533676094</v>
      </c>
    </row>
    <row r="627" spans="1:11" ht="15">
      <c r="A627" s="13">
        <v>60723</v>
      </c>
      <c r="B627" s="63">
        <v>10.188622877947115</v>
      </c>
      <c r="C627" s="63">
        <v>10.188622877947115</v>
      </c>
      <c r="D627" s="63">
        <v>10.197206597947115</v>
      </c>
      <c r="E627" s="64">
        <v>11.985313563150971</v>
      </c>
      <c r="F627" s="64">
        <v>11.985313563150971</v>
      </c>
      <c r="G627" s="64">
        <v>11.985490363150971</v>
      </c>
      <c r="H627" s="64">
        <v>19.98604924214013</v>
      </c>
      <c r="I627" s="64">
        <v>19.986226042140128</v>
      </c>
      <c r="J627" s="64">
        <v>11.985313563150971</v>
      </c>
      <c r="K627" s="64">
        <v>11.985490363150971</v>
      </c>
    </row>
    <row r="628" spans="1:11" ht="15">
      <c r="A628" s="13">
        <v>60753</v>
      </c>
      <c r="B628" s="63">
        <v>10.188622877947115</v>
      </c>
      <c r="C628" s="63">
        <v>10.188622877947115</v>
      </c>
      <c r="D628" s="63">
        <v>10.205786597947114</v>
      </c>
      <c r="E628" s="64">
        <v>12.026669431098071</v>
      </c>
      <c r="F628" s="64">
        <v>12.026669431098071</v>
      </c>
      <c r="G628" s="64">
        <v>12.027821231098072</v>
      </c>
      <c r="H628" s="64">
        <v>20.027686844727921</v>
      </c>
      <c r="I628" s="64">
        <v>20.028838644727919</v>
      </c>
      <c r="J628" s="64">
        <v>12.026669431098071</v>
      </c>
      <c r="K628" s="64">
        <v>12.027821231098072</v>
      </c>
    </row>
    <row r="629" spans="1:11" ht="15">
      <c r="A629" s="13">
        <v>60784</v>
      </c>
      <c r="B629" s="63">
        <v>10.194702423401653</v>
      </c>
      <c r="C629" s="63">
        <v>10.194702423401653</v>
      </c>
      <c r="D629" s="63">
        <v>10.211866143401652</v>
      </c>
      <c r="E629" s="64">
        <v>11.989550851286564</v>
      </c>
      <c r="F629" s="64">
        <v>11.989550851286564</v>
      </c>
      <c r="G629" s="64">
        <v>11.990702651286565</v>
      </c>
      <c r="H629" s="64">
        <v>20.069411192321102</v>
      </c>
      <c r="I629" s="64">
        <v>20.070562992321101</v>
      </c>
      <c r="J629" s="64">
        <v>11.989550851286564</v>
      </c>
      <c r="K629" s="64">
        <v>11.990702651286565</v>
      </c>
    </row>
    <row r="630" spans="1:11" ht="15">
      <c r="A630" s="13">
        <v>60814</v>
      </c>
      <c r="B630" s="63">
        <v>10.357357204913276</v>
      </c>
      <c r="C630" s="63">
        <v>10.357357204913276</v>
      </c>
      <c r="D630" s="63">
        <v>10.374520924913275</v>
      </c>
      <c r="E630" s="64">
        <v>12.22069006152492</v>
      </c>
      <c r="F630" s="64">
        <v>12.22069006152492</v>
      </c>
      <c r="G630" s="64">
        <v>12.22184186152492</v>
      </c>
      <c r="H630" s="64">
        <v>20.111222465638445</v>
      </c>
      <c r="I630" s="64">
        <v>20.112374265638444</v>
      </c>
      <c r="J630" s="64">
        <v>12.22069006152492</v>
      </c>
      <c r="K630" s="64">
        <v>12.22184186152492</v>
      </c>
    </row>
    <row r="631" spans="1:11" ht="15">
      <c r="A631" s="13">
        <v>60845</v>
      </c>
      <c r="B631" s="63">
        <v>10.364044704913274</v>
      </c>
      <c r="C631" s="63">
        <v>10.364044704913274</v>
      </c>
      <c r="D631" s="63">
        <v>10.381208424913273</v>
      </c>
      <c r="E631" s="64">
        <v>12.101283474632748</v>
      </c>
      <c r="F631" s="64">
        <v>12.101283474632748</v>
      </c>
      <c r="G631" s="64">
        <v>12.102435274632748</v>
      </c>
      <c r="H631" s="64">
        <v>20.153120845775199</v>
      </c>
      <c r="I631" s="64">
        <v>20.154272645775198</v>
      </c>
      <c r="J631" s="64">
        <v>12.101283474632748</v>
      </c>
      <c r="K631" s="64">
        <v>12.102435274632748</v>
      </c>
    </row>
    <row r="632" spans="1:11" ht="15">
      <c r="A632" s="13">
        <v>60876</v>
      </c>
      <c r="B632" s="63">
        <v>10.361004932185994</v>
      </c>
      <c r="C632" s="63">
        <v>10.361004932185994</v>
      </c>
      <c r="D632" s="63">
        <v>10.378168652185993</v>
      </c>
      <c r="E632" s="64">
        <v>12.085379541249244</v>
      </c>
      <c r="F632" s="64">
        <v>12.085379541249251</v>
      </c>
      <c r="G632" s="64">
        <v>12.086531341249252</v>
      </c>
      <c r="H632" s="64">
        <v>20.195106514203889</v>
      </c>
      <c r="I632" s="64">
        <v>20.196258314203888</v>
      </c>
      <c r="J632" s="64">
        <v>12.085379541249244</v>
      </c>
      <c r="K632" s="64">
        <v>12.086531341249245</v>
      </c>
    </row>
    <row r="633" spans="1:11" ht="15">
      <c r="A633" s="13">
        <v>60906</v>
      </c>
      <c r="B633" s="63">
        <v>10.37718905194825</v>
      </c>
      <c r="C633" s="63">
        <v>10.37718905194825</v>
      </c>
      <c r="D633" s="63">
        <v>10.38577277194825</v>
      </c>
      <c r="E633" s="64">
        <v>12.12710261941602</v>
      </c>
      <c r="F633" s="64">
        <v>12.12710261941602</v>
      </c>
      <c r="G633" s="64">
        <v>12.12727941941602</v>
      </c>
      <c r="H633" s="64">
        <v>20.237179652775147</v>
      </c>
      <c r="I633" s="64">
        <v>20.237356452775145</v>
      </c>
      <c r="J633" s="64">
        <v>12.12710261941602</v>
      </c>
      <c r="K633" s="64">
        <v>12.12727941941602</v>
      </c>
    </row>
    <row r="634" spans="1:11" ht="15">
      <c r="A634" s="13">
        <v>60937</v>
      </c>
      <c r="B634" s="63">
        <v>10.380228824675521</v>
      </c>
      <c r="C634" s="63">
        <v>10.380228824675521</v>
      </c>
      <c r="D634" s="63">
        <v>10.388812544675522</v>
      </c>
      <c r="E634" s="64">
        <v>12.156791842115192</v>
      </c>
      <c r="F634" s="64">
        <v>12.156791842115192</v>
      </c>
      <c r="G634" s="64">
        <v>12.156968642115192</v>
      </c>
      <c r="H634" s="64">
        <v>20.279340443718439</v>
      </c>
      <c r="I634" s="64">
        <v>20.279517243718438</v>
      </c>
      <c r="J634" s="64">
        <v>12.156791842115192</v>
      </c>
      <c r="K634" s="64">
        <v>12.156968642115192</v>
      </c>
    </row>
    <row r="635" spans="1:11" ht="15">
      <c r="A635" s="13">
        <v>60967</v>
      </c>
      <c r="B635" s="63">
        <v>10.380228824675521</v>
      </c>
      <c r="C635" s="63">
        <v>10.380228824675521</v>
      </c>
      <c r="D635" s="63">
        <v>10.388812544675522</v>
      </c>
      <c r="E635" s="64">
        <v>12.087865395536692</v>
      </c>
      <c r="F635" s="64">
        <v>12.087865395536692</v>
      </c>
      <c r="G635" s="64">
        <v>12.088042195536692</v>
      </c>
      <c r="H635" s="64">
        <v>20.321589069642862</v>
      </c>
      <c r="I635" s="64">
        <v>20.32176586964286</v>
      </c>
      <c r="J635" s="64">
        <v>12.087865395536692</v>
      </c>
      <c r="K635" s="64">
        <v>12.088042195536692</v>
      </c>
    </row>
    <row r="636" spans="1:11" ht="15">
      <c r="A636" s="13">
        <v>60998</v>
      </c>
      <c r="B636" s="63">
        <v>10.437023956991057</v>
      </c>
      <c r="C636" s="63">
        <v>10.437023956991057</v>
      </c>
      <c r="D636" s="63">
        <v>10.445607676991058</v>
      </c>
      <c r="E636" s="64">
        <v>12.203487516136725</v>
      </c>
      <c r="F636" s="64">
        <v>12.203487516136725</v>
      </c>
      <c r="G636" s="64">
        <v>12.203664316136726</v>
      </c>
      <c r="H636" s="64">
        <v>20.307546221652888</v>
      </c>
      <c r="I636" s="64">
        <v>20.307723021652887</v>
      </c>
      <c r="J636" s="64">
        <v>12.203487516136725</v>
      </c>
      <c r="K636" s="64">
        <v>12.203664316136726</v>
      </c>
    </row>
    <row r="637" spans="1:11" ht="15">
      <c r="A637" s="13">
        <v>61029</v>
      </c>
      <c r="B637" s="63">
        <v>10.433984184263785</v>
      </c>
      <c r="C637" s="63">
        <v>10.433984184263785</v>
      </c>
      <c r="D637" s="63">
        <v>10.442567904263786</v>
      </c>
      <c r="E637" s="64">
        <v>12.067904589435154</v>
      </c>
      <c r="F637" s="64">
        <v>12.067904589435164</v>
      </c>
      <c r="G637" s="64">
        <v>12.068081389435164</v>
      </c>
      <c r="H637" s="64">
        <v>20.349853609614655</v>
      </c>
      <c r="I637" s="64">
        <v>20.350030409614654</v>
      </c>
      <c r="J637" s="64">
        <v>12.067904589435154</v>
      </c>
      <c r="K637" s="64">
        <v>12.068081389435154</v>
      </c>
    </row>
    <row r="638" spans="1:11" ht="15">
      <c r="A638" s="13">
        <v>61057</v>
      </c>
      <c r="B638" s="63">
        <v>10.430944411536503</v>
      </c>
      <c r="C638" s="63">
        <v>10.430944411536503</v>
      </c>
      <c r="D638" s="63">
        <v>10.439528131536504</v>
      </c>
      <c r="E638" s="64">
        <v>12.171001113639647</v>
      </c>
      <c r="F638" s="64">
        <v>12.171001113639647</v>
      </c>
      <c r="G638" s="64">
        <v>12.171177913639648</v>
      </c>
      <c r="H638" s="64">
        <v>20.392249137968015</v>
      </c>
      <c r="I638" s="64">
        <v>20.392425937968014</v>
      </c>
      <c r="J638" s="64">
        <v>12.171001113639647</v>
      </c>
      <c r="K638" s="64">
        <v>12.171177913639648</v>
      </c>
    </row>
    <row r="639" spans="1:11" ht="15">
      <c r="A639" s="13">
        <v>61088</v>
      </c>
      <c r="B639" s="63">
        <v>10.434147792130894</v>
      </c>
      <c r="C639" s="63">
        <v>10.434147792130894</v>
      </c>
      <c r="D639" s="63">
        <v>10.442731512130894</v>
      </c>
      <c r="E639" s="64">
        <v>12.27976028295001</v>
      </c>
      <c r="F639" s="64">
        <v>12.27976028295001</v>
      </c>
      <c r="G639" s="64">
        <v>12.27993708295001</v>
      </c>
      <c r="H639" s="64">
        <v>20.434732990338791</v>
      </c>
      <c r="I639" s="64">
        <v>20.434909790338789</v>
      </c>
      <c r="J639" s="64">
        <v>12.27976028295001</v>
      </c>
      <c r="K639" s="64">
        <v>12.27993708295001</v>
      </c>
    </row>
    <row r="640" spans="1:11" ht="15">
      <c r="A640" s="13">
        <v>61118</v>
      </c>
      <c r="B640" s="63">
        <v>10.434147792130894</v>
      </c>
      <c r="C640" s="63">
        <v>10.434147792130894</v>
      </c>
      <c r="D640" s="63">
        <v>10.451311512130893</v>
      </c>
      <c r="E640" s="64">
        <v>12.322133954492232</v>
      </c>
      <c r="F640" s="64">
        <v>12.322133954492232</v>
      </c>
      <c r="G640" s="64">
        <v>12.323285754492233</v>
      </c>
      <c r="H640" s="64">
        <v>20.477305350735328</v>
      </c>
      <c r="I640" s="64">
        <v>20.478457150735327</v>
      </c>
      <c r="J640" s="64">
        <v>12.322133954492232</v>
      </c>
      <c r="K640" s="64">
        <v>12.323285754492233</v>
      </c>
    </row>
    <row r="641" spans="1:11" ht="15">
      <c r="A641" s="13">
        <v>61149</v>
      </c>
      <c r="B641" s="63">
        <v>10.44022733758543</v>
      </c>
      <c r="C641" s="63">
        <v>10.44022733758543</v>
      </c>
      <c r="D641" s="63">
        <v>10.457391057585429</v>
      </c>
      <c r="E641" s="64">
        <v>12.283997571085603</v>
      </c>
      <c r="F641" s="64">
        <v>12.283997571085603</v>
      </c>
      <c r="G641" s="64">
        <v>12.285149371085604</v>
      </c>
      <c r="H641" s="64">
        <v>20.519966403549358</v>
      </c>
      <c r="I641" s="64">
        <v>20.521118203549356</v>
      </c>
      <c r="J641" s="64">
        <v>12.283997571085603</v>
      </c>
      <c r="K641" s="64">
        <v>12.285149371085604</v>
      </c>
    </row>
    <row r="642" spans="1:11" ht="15">
      <c r="A642" s="13">
        <v>61179</v>
      </c>
      <c r="B642" s="63">
        <v>10.606572451544269</v>
      </c>
      <c r="C642" s="63">
        <v>10.606572451544269</v>
      </c>
      <c r="D642" s="63">
        <v>10.623736171544268</v>
      </c>
      <c r="E642" s="64">
        <v>12.520573347741145</v>
      </c>
      <c r="F642" s="64">
        <v>12.520573347741145</v>
      </c>
      <c r="G642" s="64">
        <v>12.521725147741146</v>
      </c>
      <c r="H642" s="64">
        <v>20.562716333556761</v>
      </c>
      <c r="I642" s="64">
        <v>20.56386813355676</v>
      </c>
      <c r="J642" s="64">
        <v>12.520573347741145</v>
      </c>
      <c r="K642" s="64">
        <v>12.521725147741146</v>
      </c>
    </row>
    <row r="643" spans="1:11" ht="15">
      <c r="A643" s="13">
        <v>61210</v>
      </c>
      <c r="B643" s="63">
        <v>10.613259951544267</v>
      </c>
      <c r="C643" s="63">
        <v>10.613259951544267</v>
      </c>
      <c r="D643" s="63">
        <v>10.630423671544266</v>
      </c>
      <c r="E643" s="64">
        <v>12.398113350063602</v>
      </c>
      <c r="F643" s="64">
        <v>12.398113350063602</v>
      </c>
      <c r="G643" s="64">
        <v>12.399265150063602</v>
      </c>
      <c r="H643" s="64">
        <v>20.605555325918345</v>
      </c>
      <c r="I643" s="64">
        <v>20.606707125918344</v>
      </c>
      <c r="J643" s="64">
        <v>12.398113350063602</v>
      </c>
      <c r="K643" s="64">
        <v>12.399265150063602</v>
      </c>
    </row>
    <row r="644" spans="1:11" ht="15">
      <c r="A644" s="13">
        <v>61241</v>
      </c>
      <c r="B644" s="63">
        <v>10.610220178816984</v>
      </c>
      <c r="C644" s="63">
        <v>10.610220178816984</v>
      </c>
      <c r="D644" s="63">
        <v>10.627383898816984</v>
      </c>
      <c r="E644" s="64">
        <v>12.381870148815056</v>
      </c>
      <c r="F644" s="64">
        <v>12.381870148815064</v>
      </c>
      <c r="G644" s="64">
        <v>12.383021948815065</v>
      </c>
      <c r="H644" s="64">
        <v>20.648483566180666</v>
      </c>
      <c r="I644" s="64">
        <v>20.649635366180664</v>
      </c>
      <c r="J644" s="64">
        <v>12.381870148815056</v>
      </c>
      <c r="K644" s="64">
        <v>12.383021948815056</v>
      </c>
    </row>
    <row r="645" spans="1:11" ht="15">
      <c r="A645" s="13">
        <v>61271</v>
      </c>
      <c r="B645" s="63">
        <v>10.627207001869042</v>
      </c>
      <c r="C645" s="63">
        <v>10.627207001869042</v>
      </c>
      <c r="D645" s="63">
        <v>10.635790721869043</v>
      </c>
      <c r="E645" s="64">
        <v>12.424950298441999</v>
      </c>
      <c r="F645" s="64">
        <v>12.424950298441999</v>
      </c>
      <c r="G645" s="64">
        <v>12.425127098441999</v>
      </c>
      <c r="H645" s="64">
        <v>20.691501240276875</v>
      </c>
      <c r="I645" s="64">
        <v>20.691678040276873</v>
      </c>
      <c r="J645" s="64">
        <v>12.424950298441999</v>
      </c>
      <c r="K645" s="64">
        <v>12.425127098441999</v>
      </c>
    </row>
    <row r="646" spans="1:11" ht="15">
      <c r="A646" s="13">
        <v>61302</v>
      </c>
      <c r="B646" s="63">
        <v>10.630246774596314</v>
      </c>
      <c r="C646" s="63">
        <v>10.630246774596314</v>
      </c>
      <c r="D646" s="63">
        <v>10.638830494596315</v>
      </c>
      <c r="E646" s="64">
        <v>12.455318056871247</v>
      </c>
      <c r="F646" s="64">
        <v>12.455318056871247</v>
      </c>
      <c r="G646" s="64">
        <v>12.455494856871248</v>
      </c>
      <c r="H646" s="64">
        <v>20.734608534527464</v>
      </c>
      <c r="I646" s="64">
        <v>20.734785334527462</v>
      </c>
      <c r="J646" s="64">
        <v>12.455318056871247</v>
      </c>
      <c r="K646" s="64">
        <v>12.455494856871248</v>
      </c>
    </row>
    <row r="647" spans="1:11" ht="15">
      <c r="A647" s="13">
        <v>61332</v>
      </c>
      <c r="B647" s="63">
        <v>10.630246774596314</v>
      </c>
      <c r="C647" s="63">
        <v>10.630246774596314</v>
      </c>
      <c r="D647" s="63">
        <v>10.638830494596315</v>
      </c>
      <c r="E647" s="64">
        <v>12.384695270967544</v>
      </c>
      <c r="F647" s="64">
        <v>12.384695270967544</v>
      </c>
      <c r="G647" s="64">
        <v>12.384872070967544</v>
      </c>
      <c r="H647" s="64">
        <v>20.777805635641073</v>
      </c>
      <c r="I647" s="64">
        <v>20.777982435641071</v>
      </c>
      <c r="J647" s="64">
        <v>12.384695270967544</v>
      </c>
      <c r="K647" s="64">
        <v>12.384872070967544</v>
      </c>
    </row>
    <row r="648" spans="1:11" ht="15">
      <c r="A648" s="13">
        <v>61363</v>
      </c>
      <c r="B648" s="63">
        <v>10.682343250337921</v>
      </c>
      <c r="C648" s="63">
        <v>10.682343250337921</v>
      </c>
      <c r="D648" s="63">
        <v>10.690926970337921</v>
      </c>
      <c r="E648" s="64">
        <v>12.495898628745515</v>
      </c>
      <c r="F648" s="64">
        <v>12.495898628745515</v>
      </c>
      <c r="G648" s="64">
        <v>12.496075428745515</v>
      </c>
      <c r="H648" s="64">
        <v>20.75343734045325</v>
      </c>
      <c r="I648" s="64">
        <v>20.753614140453248</v>
      </c>
      <c r="J648" s="64">
        <v>12.495898628745515</v>
      </c>
      <c r="K648" s="64">
        <v>12.496075428745515</v>
      </c>
    </row>
    <row r="649" spans="1:11" ht="15">
      <c r="A649" s="13">
        <v>61394</v>
      </c>
      <c r="B649" s="63">
        <v>10.679303477610649</v>
      </c>
      <c r="C649" s="63">
        <v>10.679303477610649</v>
      </c>
      <c r="D649" s="63">
        <v>10.68788719761065</v>
      </c>
      <c r="E649" s="64">
        <v>12.357109927756722</v>
      </c>
      <c r="F649" s="64">
        <v>12.357109927756735</v>
      </c>
      <c r="G649" s="64">
        <v>12.357286727756735</v>
      </c>
      <c r="H649" s="64">
        <v>20.796673668245848</v>
      </c>
      <c r="I649" s="64">
        <v>20.796850468245847</v>
      </c>
      <c r="J649" s="64">
        <v>12.357109927756722</v>
      </c>
      <c r="K649" s="64">
        <v>12.357286727756723</v>
      </c>
    </row>
    <row r="650" spans="1:11" ht="15">
      <c r="A650" s="13">
        <v>61423</v>
      </c>
      <c r="B650" s="63">
        <v>10.676263704883365</v>
      </c>
      <c r="C650" s="63">
        <v>10.676263704883365</v>
      </c>
      <c r="D650" s="63">
        <v>10.684847424883365</v>
      </c>
      <c r="E650" s="64">
        <v>12.462733690518355</v>
      </c>
      <c r="F650" s="64">
        <v>12.462733690518355</v>
      </c>
      <c r="G650" s="64">
        <v>12.462910490518356</v>
      </c>
      <c r="H650" s="64">
        <v>20.840000071721356</v>
      </c>
      <c r="I650" s="64">
        <v>20.840176871721354</v>
      </c>
      <c r="J650" s="64">
        <v>12.462733690518355</v>
      </c>
      <c r="K650" s="64">
        <v>12.462910490518356</v>
      </c>
    </row>
    <row r="651" spans="1:11" ht="15">
      <c r="A651" s="13">
        <v>61454</v>
      </c>
      <c r="B651" s="63">
        <v>10.679672706314673</v>
      </c>
      <c r="C651" s="63">
        <v>10.679672706314673</v>
      </c>
      <c r="D651" s="63">
        <v>10.688256426314673</v>
      </c>
      <c r="E651" s="64">
        <v>12.574207002749048</v>
      </c>
      <c r="F651" s="64">
        <v>12.574207002749048</v>
      </c>
      <c r="G651" s="64">
        <v>12.574383802749049</v>
      </c>
      <c r="H651" s="64">
        <v>20.883416738537452</v>
      </c>
      <c r="I651" s="64">
        <v>20.88359353853745</v>
      </c>
      <c r="J651" s="64">
        <v>12.574207002749048</v>
      </c>
      <c r="K651" s="64">
        <v>12.574383802749049</v>
      </c>
    </row>
    <row r="652" spans="1:11" ht="15">
      <c r="A652" s="13">
        <v>61484</v>
      </c>
      <c r="B652" s="63">
        <v>10.679672706314673</v>
      </c>
      <c r="C652" s="63">
        <v>10.679672706314673</v>
      </c>
      <c r="D652" s="63">
        <v>10.696836426314672</v>
      </c>
      <c r="E652" s="64">
        <v>12.617598477886393</v>
      </c>
      <c r="F652" s="64">
        <v>12.617598477886393</v>
      </c>
      <c r="G652" s="64">
        <v>12.618750277886393</v>
      </c>
      <c r="H652" s="64">
        <v>20.926923856742736</v>
      </c>
      <c r="I652" s="64">
        <v>20.928075656742735</v>
      </c>
      <c r="J652" s="64">
        <v>12.617598477886393</v>
      </c>
      <c r="K652" s="64">
        <v>12.618750277886393</v>
      </c>
    </row>
    <row r="653" spans="1:11" ht="15">
      <c r="A653" s="13">
        <v>61515</v>
      </c>
      <c r="B653" s="63">
        <v>10.685752251769207</v>
      </c>
      <c r="C653" s="63">
        <v>10.685752251769207</v>
      </c>
      <c r="D653" s="63">
        <v>10.702915971769206</v>
      </c>
      <c r="E653" s="64">
        <v>12.578444290884642</v>
      </c>
      <c r="F653" s="64">
        <v>12.578444290884642</v>
      </c>
      <c r="G653" s="64">
        <v>12.579596090884642</v>
      </c>
      <c r="H653" s="64">
        <v>20.970521614777613</v>
      </c>
      <c r="I653" s="64">
        <v>20.971673414777612</v>
      </c>
      <c r="J653" s="64">
        <v>12.578444290884642</v>
      </c>
      <c r="K653" s="64">
        <v>12.579596090884642</v>
      </c>
    </row>
    <row r="654" spans="1:11" ht="15">
      <c r="A654" s="13">
        <v>61545</v>
      </c>
      <c r="B654" s="63">
        <v>10.855787698175261</v>
      </c>
      <c r="C654" s="63">
        <v>10.855787698175261</v>
      </c>
      <c r="D654" s="63">
        <v>10.87295141817526</v>
      </c>
      <c r="E654" s="64">
        <v>12.82045663395737</v>
      </c>
      <c r="F654" s="64">
        <v>12.82045663395737</v>
      </c>
      <c r="G654" s="64">
        <v>12.821608433957371</v>
      </c>
      <c r="H654" s="64">
        <v>21.014210201475077</v>
      </c>
      <c r="I654" s="64">
        <v>21.015362001475076</v>
      </c>
      <c r="J654" s="64">
        <v>12.82045663395737</v>
      </c>
      <c r="K654" s="64">
        <v>12.821608433957371</v>
      </c>
    </row>
    <row r="655" spans="1:11" ht="15">
      <c r="A655" s="13">
        <v>61576</v>
      </c>
      <c r="B655" s="63">
        <v>10.862475198175259</v>
      </c>
      <c r="C655" s="63">
        <v>10.862475198175259</v>
      </c>
      <c r="D655" s="63">
        <v>10.879638918175258</v>
      </c>
      <c r="E655" s="64">
        <v>12.694943225494455</v>
      </c>
      <c r="F655" s="64">
        <v>12.694943225494455</v>
      </c>
      <c r="G655" s="64">
        <v>12.696095025494456</v>
      </c>
      <c r="H655" s="64">
        <v>21.057989806061492</v>
      </c>
      <c r="I655" s="64">
        <v>21.059141606061491</v>
      </c>
      <c r="J655" s="64">
        <v>12.694943225494455</v>
      </c>
      <c r="K655" s="64">
        <v>12.696095025494456</v>
      </c>
    </row>
    <row r="656" spans="1:11" ht="15">
      <c r="A656" s="13">
        <v>61607</v>
      </c>
      <c r="B656" s="63">
        <v>10.859435425447975</v>
      </c>
      <c r="C656" s="63">
        <v>10.859435425447975</v>
      </c>
      <c r="D656" s="63">
        <v>10.876599145447974</v>
      </c>
      <c r="E656" s="64">
        <v>12.678360756380867</v>
      </c>
      <c r="F656" s="64">
        <v>12.678360756380878</v>
      </c>
      <c r="G656" s="64">
        <v>12.679512556380878</v>
      </c>
      <c r="H656" s="64">
        <v>21.101860618157442</v>
      </c>
      <c r="I656" s="64">
        <v>21.103012418157441</v>
      </c>
      <c r="J656" s="64">
        <v>12.678360756380867</v>
      </c>
      <c r="K656" s="64">
        <v>12.679512556380867</v>
      </c>
    </row>
    <row r="657" spans="1:11" ht="15">
      <c r="A657" s="13">
        <v>61637</v>
      </c>
      <c r="B657" s="63">
        <v>10.877224951789835</v>
      </c>
      <c r="C657" s="63">
        <v>10.877224951789835</v>
      </c>
      <c r="D657" s="63">
        <v>10.885808671789835</v>
      </c>
      <c r="E657" s="64">
        <v>12.722797977467978</v>
      </c>
      <c r="F657" s="64">
        <v>12.722797977467978</v>
      </c>
      <c r="G657" s="64">
        <v>12.722974777467979</v>
      </c>
      <c r="H657" s="64">
        <v>21.145822827778602</v>
      </c>
      <c r="I657" s="64">
        <v>21.1459996277786</v>
      </c>
      <c r="J657" s="64">
        <v>12.722797977467978</v>
      </c>
      <c r="K657" s="64">
        <v>12.722974777467979</v>
      </c>
    </row>
    <row r="658" spans="1:11" ht="15">
      <c r="A658" s="13">
        <v>61668</v>
      </c>
      <c r="B658" s="63">
        <v>10.880264724517106</v>
      </c>
      <c r="C658" s="63">
        <v>10.880264724517106</v>
      </c>
      <c r="D658" s="63">
        <v>10.888848444517107</v>
      </c>
      <c r="E658" s="64">
        <v>12.753844271627303</v>
      </c>
      <c r="F658" s="64">
        <v>12.753844271627303</v>
      </c>
      <c r="G658" s="64">
        <v>12.754021071627303</v>
      </c>
      <c r="H658" s="64">
        <v>21.189876625336488</v>
      </c>
      <c r="I658" s="64">
        <v>21.190053425336487</v>
      </c>
      <c r="J658" s="64">
        <v>12.753844271627303</v>
      </c>
      <c r="K658" s="64">
        <v>12.754021071627303</v>
      </c>
    </row>
    <row r="659" spans="1:11" ht="15">
      <c r="A659" s="13">
        <v>61698</v>
      </c>
      <c r="B659" s="63">
        <v>10.880264724517106</v>
      </c>
      <c r="C659" s="63">
        <v>10.880264724517106</v>
      </c>
      <c r="D659" s="63">
        <v>10.888848444517107</v>
      </c>
      <c r="E659" s="64">
        <v>12.681525146398396</v>
      </c>
      <c r="F659" s="64">
        <v>12.681525146398396</v>
      </c>
      <c r="G659" s="64">
        <v>12.681701946398396</v>
      </c>
      <c r="H659" s="64">
        <v>21.234022201639284</v>
      </c>
      <c r="I659" s="64">
        <v>21.234199001639283</v>
      </c>
      <c r="J659" s="64">
        <v>12.681525146398396</v>
      </c>
      <c r="K659" s="64">
        <v>12.681701946398396</v>
      </c>
    </row>
    <row r="660" spans="1:11" ht="15">
      <c r="A660" s="13">
        <v>61729</v>
      </c>
      <c r="B660" s="63">
        <v>10.927662543684784</v>
      </c>
      <c r="C660" s="63">
        <v>10.927662543684784</v>
      </c>
      <c r="D660" s="63">
        <v>10.936246263684785</v>
      </c>
      <c r="E660" s="64">
        <v>12.788309741354304</v>
      </c>
      <c r="F660" s="64">
        <v>12.788309741354304</v>
      </c>
      <c r="G660" s="64">
        <v>12.788486541354304</v>
      </c>
      <c r="H660" s="64">
        <v>21.199328459253611</v>
      </c>
      <c r="I660" s="64">
        <v>21.199505259253609</v>
      </c>
      <c r="J660" s="64">
        <v>12.788309741354304</v>
      </c>
      <c r="K660" s="64">
        <v>12.788486541354304</v>
      </c>
    </row>
    <row r="661" spans="1:11" ht="15">
      <c r="A661" s="13">
        <v>61760</v>
      </c>
      <c r="B661" s="63">
        <v>10.924622770957512</v>
      </c>
      <c r="C661" s="63">
        <v>10.924622770957512</v>
      </c>
      <c r="D661" s="63">
        <v>10.933206490957513</v>
      </c>
      <c r="E661" s="64">
        <v>12.646315266078291</v>
      </c>
      <c r="F661" s="64">
        <v>12.646315266078306</v>
      </c>
      <c r="G661" s="64">
        <v>12.646492066078306</v>
      </c>
      <c r="H661" s="64">
        <v>21.243493726877041</v>
      </c>
      <c r="I661" s="64">
        <v>21.24367052687704</v>
      </c>
      <c r="J661" s="64">
        <v>12.646315266078291</v>
      </c>
      <c r="K661" s="64">
        <v>12.646492066078292</v>
      </c>
    </row>
    <row r="662" spans="1:11" ht="15">
      <c r="A662" s="13">
        <v>61788</v>
      </c>
      <c r="B662" s="63">
        <v>10.921582998230226</v>
      </c>
      <c r="C662" s="63">
        <v>10.921582998230226</v>
      </c>
      <c r="D662" s="63">
        <v>10.930166718230227</v>
      </c>
      <c r="E662" s="64">
        <v>12.754466267397063</v>
      </c>
      <c r="F662" s="64">
        <v>12.754466267397063</v>
      </c>
      <c r="G662" s="64">
        <v>12.754643067397064</v>
      </c>
      <c r="H662" s="64">
        <v>21.287751005474696</v>
      </c>
      <c r="I662" s="64">
        <v>21.287927805474695</v>
      </c>
      <c r="J662" s="64">
        <v>12.754466267397063</v>
      </c>
      <c r="K662" s="64">
        <v>12.754643067397064</v>
      </c>
    </row>
    <row r="663" spans="1:11" ht="15">
      <c r="A663" s="13">
        <v>61819</v>
      </c>
      <c r="B663" s="63">
        <v>10.925197620498452</v>
      </c>
      <c r="C663" s="63">
        <v>10.925197620498452</v>
      </c>
      <c r="D663" s="63">
        <v>10.933781340498452</v>
      </c>
      <c r="E663" s="64">
        <v>12.868653722548087</v>
      </c>
      <c r="F663" s="64">
        <v>12.868653722548087</v>
      </c>
      <c r="G663" s="64">
        <v>12.868830522548087</v>
      </c>
      <c r="H663" s="64">
        <v>21.332100486736113</v>
      </c>
      <c r="I663" s="64">
        <v>21.332277286736112</v>
      </c>
      <c r="J663" s="64">
        <v>12.868653722548087</v>
      </c>
      <c r="K663" s="64">
        <v>12.868830522548087</v>
      </c>
    </row>
    <row r="664" spans="1:11" ht="15">
      <c r="A664" s="13">
        <v>61849</v>
      </c>
      <c r="B664" s="63">
        <v>10.925197620498452</v>
      </c>
      <c r="C664" s="63">
        <v>10.925197620498452</v>
      </c>
      <c r="D664" s="63">
        <v>10.942361340498451</v>
      </c>
      <c r="E664" s="64">
        <v>12.913063001280554</v>
      </c>
      <c r="F664" s="64">
        <v>12.913063001280554</v>
      </c>
      <c r="G664" s="64">
        <v>12.914214801280554</v>
      </c>
      <c r="H664" s="64">
        <v>21.376542362750143</v>
      </c>
      <c r="I664" s="64">
        <v>21.377694162750142</v>
      </c>
      <c r="J664" s="64">
        <v>12.913063001280554</v>
      </c>
      <c r="K664" s="64">
        <v>12.914214801280554</v>
      </c>
    </row>
    <row r="665" spans="1:11" ht="15">
      <c r="A665" s="13">
        <v>61880</v>
      </c>
      <c r="B665" s="63">
        <v>10.931277165952984</v>
      </c>
      <c r="C665" s="63">
        <v>10.931277165952984</v>
      </c>
      <c r="D665" s="63">
        <v>10.948440885952984</v>
      </c>
      <c r="E665" s="64">
        <v>12.872891010683681</v>
      </c>
      <c r="F665" s="64">
        <v>12.872891010683681</v>
      </c>
      <c r="G665" s="64">
        <v>12.874042810683681</v>
      </c>
      <c r="H665" s="64">
        <v>21.421076826005869</v>
      </c>
      <c r="I665" s="64">
        <v>21.422228626005868</v>
      </c>
      <c r="J665" s="64">
        <v>12.872891010683681</v>
      </c>
      <c r="K665" s="64">
        <v>12.874042810683681</v>
      </c>
    </row>
    <row r="666" spans="1:11" ht="15">
      <c r="A666" s="13">
        <v>61910</v>
      </c>
      <c r="B666" s="63">
        <v>11.105002944806253</v>
      </c>
      <c r="C666" s="63">
        <v>11.105002944806253</v>
      </c>
      <c r="D666" s="63">
        <v>11.122166664806253</v>
      </c>
      <c r="E666" s="64">
        <v>13.120339920173596</v>
      </c>
      <c r="F666" s="64">
        <v>13.120339920173596</v>
      </c>
      <c r="G666" s="64">
        <v>13.121491720173596</v>
      </c>
      <c r="H666" s="64">
        <v>21.465704069393393</v>
      </c>
      <c r="I666" s="64">
        <v>21.466855869393392</v>
      </c>
      <c r="J666" s="64">
        <v>13.120339920173596</v>
      </c>
      <c r="K666" s="64">
        <v>13.121491720173596</v>
      </c>
    </row>
    <row r="667" spans="1:11" ht="15">
      <c r="A667" s="13">
        <v>61941</v>
      </c>
      <c r="B667" s="63">
        <v>11.111690444806252</v>
      </c>
      <c r="C667" s="63">
        <v>11.111690444806252</v>
      </c>
      <c r="D667" s="63">
        <v>11.128854164806251</v>
      </c>
      <c r="E667" s="64">
        <v>12.991773100925309</v>
      </c>
      <c r="F667" s="64">
        <v>12.991773100925309</v>
      </c>
      <c r="G667" s="64">
        <v>12.99292490092531</v>
      </c>
      <c r="H667" s="64">
        <v>21.510424286204639</v>
      </c>
      <c r="I667" s="64">
        <v>21.511576086204638</v>
      </c>
      <c r="J667" s="64">
        <v>12.991773100925309</v>
      </c>
      <c r="K667" s="64">
        <v>12.99292490092531</v>
      </c>
    </row>
    <row r="668" spans="1:11" ht="15">
      <c r="A668" s="13">
        <v>61972</v>
      </c>
      <c r="B668" s="63">
        <v>11.108650672078966</v>
      </c>
      <c r="C668" s="63">
        <v>11.108650672078966</v>
      </c>
      <c r="D668" s="63">
        <v>11.125814392078965</v>
      </c>
      <c r="E668" s="64">
        <v>12.974851363946678</v>
      </c>
      <c r="F668" s="64">
        <v>12.974851363946691</v>
      </c>
      <c r="G668" s="64">
        <v>12.976003163946691</v>
      </c>
      <c r="H668" s="64">
        <v>21.555237670134218</v>
      </c>
      <c r="I668" s="64">
        <v>21.556389470134217</v>
      </c>
      <c r="J668" s="64">
        <v>12.974851363946678</v>
      </c>
      <c r="K668" s="64">
        <v>12.976003163946679</v>
      </c>
    </row>
    <row r="669" spans="1:11" ht="15">
      <c r="A669" s="13">
        <v>62002</v>
      </c>
      <c r="B669" s="63">
        <v>11.127242901710627</v>
      </c>
      <c r="C669" s="63">
        <v>11.127242901710627</v>
      </c>
      <c r="D669" s="63">
        <v>11.135826621710628</v>
      </c>
      <c r="E669" s="64">
        <v>13.020645656493958</v>
      </c>
      <c r="F669" s="64">
        <v>13.020645656493958</v>
      </c>
      <c r="G669" s="64">
        <v>13.020822456493958</v>
      </c>
      <c r="H669" s="64">
        <v>21.600144415280329</v>
      </c>
      <c r="I669" s="64">
        <v>21.600321215280328</v>
      </c>
      <c r="J669" s="64">
        <v>13.020645656493958</v>
      </c>
      <c r="K669" s="64">
        <v>13.020822456493958</v>
      </c>
    </row>
    <row r="670" spans="1:11" ht="15">
      <c r="A670" s="13">
        <v>62033</v>
      </c>
      <c r="B670" s="63">
        <v>11.130282674437899</v>
      </c>
      <c r="C670" s="63">
        <v>11.130282674437899</v>
      </c>
      <c r="D670" s="63">
        <v>11.138866394437899</v>
      </c>
      <c r="E670" s="64">
        <v>13.052370486383358</v>
      </c>
      <c r="F670" s="64">
        <v>13.052370486383358</v>
      </c>
      <c r="G670" s="64">
        <v>13.052547286383358</v>
      </c>
      <c r="H670" s="64">
        <v>21.645144716145513</v>
      </c>
      <c r="I670" s="64">
        <v>21.645321516145511</v>
      </c>
      <c r="J670" s="64">
        <v>13.052370486383358</v>
      </c>
      <c r="K670" s="64">
        <v>13.052547286383358</v>
      </c>
    </row>
    <row r="671" spans="1:11" ht="15">
      <c r="A671" s="13">
        <v>62063</v>
      </c>
      <c r="B671" s="63">
        <v>11.130282674437899</v>
      </c>
      <c r="C671" s="63">
        <v>11.130282674437899</v>
      </c>
      <c r="D671" s="63">
        <v>11.138866394437899</v>
      </c>
      <c r="E671" s="64">
        <v>12.978355021829248</v>
      </c>
      <c r="F671" s="64">
        <v>12.978355021829248</v>
      </c>
      <c r="G671" s="64">
        <v>12.978531821829248</v>
      </c>
      <c r="H671" s="64">
        <v>21.690238767637496</v>
      </c>
      <c r="I671" s="64">
        <v>21.690415567637494</v>
      </c>
      <c r="J671" s="64">
        <v>12.978355021829248</v>
      </c>
      <c r="K671" s="64">
        <v>12.978531821829248</v>
      </c>
    </row>
    <row r="672" spans="1:11" ht="15">
      <c r="A672" s="13">
        <v>62094</v>
      </c>
      <c r="B672" s="63">
        <v>11.172981837031648</v>
      </c>
      <c r="C672" s="63">
        <v>11.172981837031648</v>
      </c>
      <c r="D672" s="63">
        <v>11.181565557031648</v>
      </c>
      <c r="E672" s="64">
        <v>13.080720853963093</v>
      </c>
      <c r="F672" s="64">
        <v>13.080720853963093</v>
      </c>
      <c r="G672" s="64">
        <v>13.080897653963094</v>
      </c>
      <c r="H672" s="64">
        <v>21.645219578053972</v>
      </c>
      <c r="I672" s="64">
        <v>21.64539637805397</v>
      </c>
      <c r="J672" s="64">
        <v>13.080720853963093</v>
      </c>
      <c r="K672" s="64">
        <v>13.080897653963094</v>
      </c>
    </row>
    <row r="673" spans="1:11" ht="15">
      <c r="A673" s="13">
        <v>62125</v>
      </c>
      <c r="B673" s="63">
        <v>11.169942064304376</v>
      </c>
      <c r="C673" s="63">
        <v>11.169942064304376</v>
      </c>
      <c r="D673" s="63">
        <v>11.178525784304377</v>
      </c>
      <c r="E673" s="64">
        <v>12.93552060439986</v>
      </c>
      <c r="F673" s="64">
        <v>12.935520604399876</v>
      </c>
      <c r="G673" s="64">
        <v>12.935697404399876</v>
      </c>
      <c r="H673" s="64">
        <v>21.690313785508234</v>
      </c>
      <c r="I673" s="64">
        <v>21.690490585508233</v>
      </c>
      <c r="J673" s="64">
        <v>12.93552060439986</v>
      </c>
      <c r="K673" s="64">
        <v>12.93569740439986</v>
      </c>
    </row>
    <row r="674" spans="1:11" ht="15">
      <c r="A674" s="13">
        <v>62153</v>
      </c>
      <c r="B674" s="63">
        <v>11.166902291577088</v>
      </c>
      <c r="C674" s="63">
        <v>11.166902291577088</v>
      </c>
      <c r="D674" s="63">
        <v>11.175486011577089</v>
      </c>
      <c r="E674" s="64">
        <v>13.046198844275771</v>
      </c>
      <c r="F674" s="64">
        <v>13.046198844275771</v>
      </c>
      <c r="G674" s="64">
        <v>13.046375644275772</v>
      </c>
      <c r="H674" s="64">
        <v>21.735501939228037</v>
      </c>
      <c r="I674" s="64">
        <v>21.735678739228035</v>
      </c>
      <c r="J674" s="64">
        <v>13.046198844275771</v>
      </c>
      <c r="K674" s="64">
        <v>13.046375644275772</v>
      </c>
    </row>
    <row r="675" spans="1:11" ht="15">
      <c r="A675" s="13">
        <v>62184</v>
      </c>
      <c r="B675" s="63">
        <v>11.170722534682231</v>
      </c>
      <c r="C675" s="63">
        <v>11.170722534682231</v>
      </c>
      <c r="D675" s="63">
        <v>11.179306254682231</v>
      </c>
      <c r="E675" s="64">
        <v>13.163100442347126</v>
      </c>
      <c r="F675" s="64">
        <v>13.163100442347126</v>
      </c>
      <c r="G675" s="64">
        <v>13.163277242347126</v>
      </c>
      <c r="H675" s="64">
        <v>21.780784234934774</v>
      </c>
      <c r="I675" s="64">
        <v>21.780961034934773</v>
      </c>
      <c r="J675" s="64">
        <v>13.163100442347126</v>
      </c>
      <c r="K675" s="64">
        <v>13.163277242347126</v>
      </c>
    </row>
    <row r="676" spans="1:11" ht="15">
      <c r="A676" s="13">
        <v>62214</v>
      </c>
      <c r="B676" s="63">
        <v>11.170722534682231</v>
      </c>
      <c r="C676" s="63">
        <v>11.170722534682231</v>
      </c>
      <c r="D676" s="63">
        <v>11.18788625468223</v>
      </c>
      <c r="E676" s="64">
        <v>13.208527524674714</v>
      </c>
      <c r="F676" s="64">
        <v>13.208527524674714</v>
      </c>
      <c r="G676" s="64">
        <v>13.209679324674715</v>
      </c>
      <c r="H676" s="64">
        <v>21.826160868757551</v>
      </c>
      <c r="I676" s="64">
        <v>21.82731266875755</v>
      </c>
      <c r="J676" s="64">
        <v>13.208527524674714</v>
      </c>
      <c r="K676" s="64">
        <v>13.209679324674715</v>
      </c>
    </row>
    <row r="677" spans="1:11" ht="15">
      <c r="A677" s="13">
        <v>62245</v>
      </c>
      <c r="B677" s="63">
        <v>11.176802080136762</v>
      </c>
      <c r="C677" s="63">
        <v>11.176802080136762</v>
      </c>
      <c r="D677" s="63">
        <v>11.193965800136761</v>
      </c>
      <c r="E677" s="64">
        <v>13.167337730482719</v>
      </c>
      <c r="F677" s="64">
        <v>13.167337730482719</v>
      </c>
      <c r="G677" s="64">
        <v>13.16848953048272</v>
      </c>
      <c r="H677" s="64">
        <v>21.871632037234125</v>
      </c>
      <c r="I677" s="64">
        <v>21.872783837234124</v>
      </c>
      <c r="J677" s="64">
        <v>13.167337730482719</v>
      </c>
      <c r="K677" s="64">
        <v>13.16848953048272</v>
      </c>
    </row>
    <row r="678" spans="1:11" ht="15">
      <c r="A678" s="13">
        <v>62275</v>
      </c>
      <c r="B678" s="63">
        <v>11.354218191437246</v>
      </c>
      <c r="C678" s="63">
        <v>11.354218191437246</v>
      </c>
      <c r="D678" s="63">
        <v>11.371381911437245</v>
      </c>
      <c r="E678" s="64">
        <v>13.420223206389821</v>
      </c>
      <c r="F678" s="64">
        <v>13.420223206389821</v>
      </c>
      <c r="G678" s="64">
        <v>13.421375006389821</v>
      </c>
      <c r="H678" s="64">
        <v>21.917197937311709</v>
      </c>
      <c r="I678" s="64">
        <v>21.918349737311708</v>
      </c>
      <c r="J678" s="64">
        <v>13.420223206389821</v>
      </c>
      <c r="K678" s="64">
        <v>13.421375006389821</v>
      </c>
    </row>
    <row r="679" spans="1:11" ht="15">
      <c r="A679" s="13">
        <v>62306</v>
      </c>
      <c r="B679" s="63">
        <v>11.360905691437244</v>
      </c>
      <c r="C679" s="63">
        <v>11.360905691437244</v>
      </c>
      <c r="D679" s="63">
        <v>11.378069411437243</v>
      </c>
      <c r="E679" s="64">
        <v>13.288602976356163</v>
      </c>
      <c r="F679" s="64">
        <v>13.288602976356163</v>
      </c>
      <c r="G679" s="64">
        <v>13.289754776356164</v>
      </c>
      <c r="H679" s="64">
        <v>21.962858766347786</v>
      </c>
      <c r="I679" s="64">
        <v>21.964010566347785</v>
      </c>
      <c r="J679" s="64">
        <v>13.288602976356163</v>
      </c>
      <c r="K679" s="64">
        <v>13.289754776356164</v>
      </c>
    </row>
    <row r="680" spans="1:11" ht="15">
      <c r="A680" s="13">
        <v>62337</v>
      </c>
      <c r="B680" s="63">
        <v>11.357865918709956</v>
      </c>
      <c r="C680" s="63">
        <v>11.357865918709956</v>
      </c>
      <c r="D680" s="63">
        <v>11.375029638709956</v>
      </c>
      <c r="E680" s="64">
        <v>13.27134197151249</v>
      </c>
      <c r="F680" s="64">
        <v>13.271341971512504</v>
      </c>
      <c r="G680" s="64">
        <v>13.272493771512504</v>
      </c>
      <c r="H680" s="64">
        <v>22.008614722110995</v>
      </c>
      <c r="I680" s="64">
        <v>22.009766522110993</v>
      </c>
      <c r="J680" s="64">
        <v>13.27134197151249</v>
      </c>
      <c r="K680" s="64">
        <v>13.27249377151249</v>
      </c>
    </row>
    <row r="681" spans="1:11" ht="15">
      <c r="A681" s="13">
        <v>62367</v>
      </c>
      <c r="B681" s="63">
        <v>11.377260851631419</v>
      </c>
      <c r="C681" s="63">
        <v>11.377260851631419</v>
      </c>
      <c r="D681" s="63">
        <v>11.38584457163142</v>
      </c>
      <c r="E681" s="64">
        <v>13.318493335519937</v>
      </c>
      <c r="F681" s="64">
        <v>13.318493335519937</v>
      </c>
      <c r="G681" s="64">
        <v>13.318670135519938</v>
      </c>
      <c r="H681" s="64">
        <v>22.054466002782057</v>
      </c>
      <c r="I681" s="64">
        <v>22.054642802782055</v>
      </c>
      <c r="J681" s="64">
        <v>13.318493335519937</v>
      </c>
      <c r="K681" s="64">
        <v>13.318670135519938</v>
      </c>
    </row>
    <row r="682" spans="1:11" ht="15">
      <c r="A682" s="13">
        <v>62398</v>
      </c>
      <c r="B682" s="63">
        <v>11.380300624358691</v>
      </c>
      <c r="C682" s="63">
        <v>11.380300624358691</v>
      </c>
      <c r="D682" s="63">
        <v>11.388884344358692</v>
      </c>
      <c r="E682" s="64">
        <v>13.350896701139414</v>
      </c>
      <c r="F682" s="64">
        <v>13.350896701139414</v>
      </c>
      <c r="G682" s="64">
        <v>13.351073501139414</v>
      </c>
      <c r="H682" s="64">
        <v>22.100412806954537</v>
      </c>
      <c r="I682" s="64">
        <v>22.100589606954536</v>
      </c>
      <c r="J682" s="64">
        <v>13.350896701139414</v>
      </c>
      <c r="K682" s="64">
        <v>13.351073501139414</v>
      </c>
    </row>
    <row r="683" spans="1:11" ht="15">
      <c r="A683" s="13">
        <v>62428</v>
      </c>
      <c r="B683" s="63">
        <v>11.380300624358691</v>
      </c>
      <c r="C683" s="63">
        <v>11.380300624358691</v>
      </c>
      <c r="D683" s="63">
        <v>11.388884344358692</v>
      </c>
      <c r="E683" s="64">
        <v>13.2751848972601</v>
      </c>
      <c r="F683" s="64">
        <v>13.2751848972601</v>
      </c>
      <c r="G683" s="64">
        <v>13.275361697260101</v>
      </c>
      <c r="H683" s="64">
        <v>22.146455333635707</v>
      </c>
      <c r="I683" s="64">
        <v>22.146632133635705</v>
      </c>
      <c r="J683" s="64">
        <v>13.2751848972601</v>
      </c>
      <c r="K683" s="64">
        <v>13.275361697260101</v>
      </c>
    </row>
    <row r="684" spans="1:11" ht="15">
      <c r="A684" s="13">
        <v>62459</v>
      </c>
      <c r="B684" s="63">
        <v>11.418301130378511</v>
      </c>
      <c r="C684" s="63">
        <v>11.418301130378511</v>
      </c>
      <c r="D684" s="63">
        <v>11.426884850378512</v>
      </c>
      <c r="E684" s="64">
        <v>13.373131966571883</v>
      </c>
      <c r="F684" s="64">
        <v>13.373131966571883</v>
      </c>
      <c r="G684" s="64">
        <v>13.373308766571883</v>
      </c>
      <c r="H684" s="64">
        <v>22.091110696854333</v>
      </c>
      <c r="I684" s="64">
        <v>22.091287496854331</v>
      </c>
      <c r="J684" s="64">
        <v>13.373131966571883</v>
      </c>
      <c r="K684" s="64">
        <v>13.373308766571883</v>
      </c>
    </row>
    <row r="685" spans="1:11" ht="15">
      <c r="A685" s="13">
        <v>62490</v>
      </c>
      <c r="B685" s="63">
        <v>11.415261357651239</v>
      </c>
      <c r="C685" s="63">
        <v>11.415261357651239</v>
      </c>
      <c r="D685" s="63">
        <v>11.42384507765124</v>
      </c>
      <c r="E685" s="64">
        <v>13.224725942721429</v>
      </c>
      <c r="F685" s="64">
        <v>13.224725942721447</v>
      </c>
      <c r="G685" s="64">
        <v>13.224902742721447</v>
      </c>
      <c r="H685" s="64">
        <v>22.137133844139427</v>
      </c>
      <c r="I685" s="64">
        <v>22.137310644139426</v>
      </c>
      <c r="J685" s="64">
        <v>13.224725942721429</v>
      </c>
      <c r="K685" s="64">
        <v>13.224902742721429</v>
      </c>
    </row>
    <row r="686" spans="1:11" ht="15">
      <c r="A686" s="13">
        <v>62518</v>
      </c>
      <c r="B686" s="63">
        <v>11.41222158492395</v>
      </c>
      <c r="C686" s="63">
        <v>11.41222158492395</v>
      </c>
      <c r="D686" s="63">
        <v>11.420805304923951</v>
      </c>
      <c r="E686" s="64">
        <v>13.337931421154479</v>
      </c>
      <c r="F686" s="64">
        <v>13.337931421154479</v>
      </c>
      <c r="G686" s="64">
        <v>13.33810822115448</v>
      </c>
      <c r="H686" s="64">
        <v>22.183252872981377</v>
      </c>
      <c r="I686" s="64">
        <v>22.183429672981376</v>
      </c>
      <c r="J686" s="64">
        <v>13.337931421154479</v>
      </c>
      <c r="K686" s="64">
        <v>13.33810822115448</v>
      </c>
    </row>
    <row r="687" spans="1:11" ht="15">
      <c r="A687" s="13">
        <v>62549</v>
      </c>
      <c r="B687" s="63">
        <v>11.41624744886601</v>
      </c>
      <c r="C687" s="63">
        <v>11.41624744886601</v>
      </c>
      <c r="D687" s="63">
        <v>11.42483116886601</v>
      </c>
      <c r="E687" s="64">
        <v>13.457547162146165</v>
      </c>
      <c r="F687" s="64">
        <v>13.457547162146165</v>
      </c>
      <c r="G687" s="64">
        <v>13.457723962146165</v>
      </c>
      <c r="H687" s="64">
        <v>22.229467983133436</v>
      </c>
      <c r="I687" s="64">
        <v>22.229644783133434</v>
      </c>
      <c r="J687" s="64">
        <v>13.457547162146165</v>
      </c>
      <c r="K687" s="64">
        <v>13.457723962146165</v>
      </c>
    </row>
    <row r="688" spans="1:11" ht="15">
      <c r="A688" s="13">
        <v>62579</v>
      </c>
      <c r="B688" s="63">
        <v>11.41624744886601</v>
      </c>
      <c r="C688" s="63">
        <v>11.41624744886601</v>
      </c>
      <c r="D688" s="63">
        <v>11.433411168866009</v>
      </c>
      <c r="E688" s="64">
        <v>13.503992048068875</v>
      </c>
      <c r="F688" s="64">
        <v>13.503992048068875</v>
      </c>
      <c r="G688" s="64">
        <v>13.505143848068876</v>
      </c>
      <c r="H688" s="64">
        <v>22.275779374764959</v>
      </c>
      <c r="I688" s="64">
        <v>22.276931174764957</v>
      </c>
      <c r="J688" s="64">
        <v>13.503992048068875</v>
      </c>
      <c r="K688" s="64">
        <v>13.505143848068876</v>
      </c>
    </row>
    <row r="689" spans="1:11" ht="15">
      <c r="A689" s="13">
        <v>62610</v>
      </c>
      <c r="B689" s="63">
        <v>11.422326994320539</v>
      </c>
      <c r="C689" s="63">
        <v>11.422326994320539</v>
      </c>
      <c r="D689" s="63">
        <v>11.439490714320538</v>
      </c>
      <c r="E689" s="64">
        <v>13.461784450281758</v>
      </c>
      <c r="F689" s="64">
        <v>13.461784450281758</v>
      </c>
      <c r="G689" s="64">
        <v>13.462936250281759</v>
      </c>
      <c r="H689" s="64">
        <v>22.322187248462381</v>
      </c>
      <c r="I689" s="64">
        <v>22.32333904846238</v>
      </c>
      <c r="J689" s="64">
        <v>13.461784450281758</v>
      </c>
      <c r="K689" s="64">
        <v>13.462936250281759</v>
      </c>
    </row>
    <row r="690" spans="1:11" ht="15">
      <c r="A690" s="13">
        <v>62640</v>
      </c>
      <c r="B690" s="63">
        <v>11.603433438068238</v>
      </c>
      <c r="C690" s="63">
        <v>11.603433438068238</v>
      </c>
      <c r="D690" s="63">
        <v>11.620597158068238</v>
      </c>
      <c r="E690" s="64">
        <v>13.720106492606046</v>
      </c>
      <c r="F690" s="64">
        <v>13.720106492606046</v>
      </c>
      <c r="G690" s="64">
        <v>13.721258292606047</v>
      </c>
      <c r="H690" s="64">
        <v>22.368691805230025</v>
      </c>
      <c r="I690" s="64">
        <v>22.369843605230024</v>
      </c>
      <c r="J690" s="64">
        <v>13.720106492606046</v>
      </c>
      <c r="K690" s="64">
        <v>13.721258292606047</v>
      </c>
    </row>
    <row r="691" spans="1:11" ht="15">
      <c r="A691" s="13">
        <v>62671</v>
      </c>
      <c r="B691" s="63">
        <v>11.610120938068237</v>
      </c>
      <c r="C691" s="63">
        <v>11.610120938068237</v>
      </c>
      <c r="D691" s="63">
        <v>11.627284658068236</v>
      </c>
      <c r="E691" s="64">
        <v>13.585432851787017</v>
      </c>
      <c r="F691" s="64">
        <v>13.585432851787017</v>
      </c>
      <c r="G691" s="64">
        <v>13.586584651787017</v>
      </c>
      <c r="H691" s="64">
        <v>22.415293246490933</v>
      </c>
      <c r="I691" s="64">
        <v>22.416445046490932</v>
      </c>
      <c r="J691" s="64">
        <v>13.585432851787017</v>
      </c>
      <c r="K691" s="64">
        <v>13.586584651787017</v>
      </c>
    </row>
    <row r="692" spans="1:11" ht="15">
      <c r="A692" s="13">
        <v>62702</v>
      </c>
      <c r="B692" s="63">
        <v>11.607081165340947</v>
      </c>
      <c r="C692" s="63">
        <v>11.607081165340947</v>
      </c>
      <c r="D692" s="63">
        <v>11.624244885340946</v>
      </c>
      <c r="E692" s="64">
        <v>13.567832579078301</v>
      </c>
      <c r="F692" s="64">
        <v>13.567832579078317</v>
      </c>
      <c r="G692" s="64">
        <v>13.568984379078318</v>
      </c>
      <c r="H692" s="64">
        <v>22.461991774087771</v>
      </c>
      <c r="I692" s="64">
        <v>22.46314357408777</v>
      </c>
      <c r="J692" s="64">
        <v>13.567832579078301</v>
      </c>
      <c r="K692" s="64">
        <v>13.568984379078302</v>
      </c>
    </row>
    <row r="693" spans="1:11" ht="15">
      <c r="A693" s="13">
        <v>62732</v>
      </c>
      <c r="B693" s="63">
        <v>11.627278801552212</v>
      </c>
      <c r="C693" s="63">
        <v>11.627278801552212</v>
      </c>
      <c r="D693" s="63">
        <v>11.635862521552212</v>
      </c>
      <c r="E693" s="64">
        <v>13.616341014545917</v>
      </c>
      <c r="F693" s="64">
        <v>13.616341014545917</v>
      </c>
      <c r="G693" s="64">
        <v>13.616517814545917</v>
      </c>
      <c r="H693" s="64">
        <v>22.508787590283784</v>
      </c>
      <c r="I693" s="64">
        <v>22.508964390283783</v>
      </c>
      <c r="J693" s="64">
        <v>13.616341014545917</v>
      </c>
      <c r="K693" s="64">
        <v>13.616517814545917</v>
      </c>
    </row>
    <row r="694" spans="1:11" ht="15">
      <c r="A694" s="13">
        <v>62763</v>
      </c>
      <c r="B694" s="63">
        <v>11.630318574279483</v>
      </c>
      <c r="C694" s="63">
        <v>11.630318574279483</v>
      </c>
      <c r="D694" s="63">
        <v>11.638902294279484</v>
      </c>
      <c r="E694" s="64">
        <v>13.649422915895469</v>
      </c>
      <c r="F694" s="64">
        <v>13.649422915895469</v>
      </c>
      <c r="G694" s="64">
        <v>13.649599715895469</v>
      </c>
      <c r="H694" s="64">
        <v>22.555680897763562</v>
      </c>
      <c r="I694" s="64">
        <v>22.55585769776356</v>
      </c>
      <c r="J694" s="64">
        <v>13.649422915895469</v>
      </c>
      <c r="K694" s="64">
        <v>13.649599715895469</v>
      </c>
    </row>
    <row r="695" spans="1:11" ht="15">
      <c r="A695" s="13">
        <v>62793</v>
      </c>
      <c r="B695" s="63">
        <v>11.630318574279483</v>
      </c>
      <c r="C695" s="63">
        <v>11.630318574279483</v>
      </c>
      <c r="D695" s="63">
        <v>11.638902294279484</v>
      </c>
      <c r="E695" s="64">
        <v>13.572014772690952</v>
      </c>
      <c r="F695" s="64">
        <v>13.572014772690952</v>
      </c>
      <c r="G695" s="64">
        <v>13.572191572690953</v>
      </c>
      <c r="H695" s="64">
        <v>22.602671899633918</v>
      </c>
      <c r="I695" s="64">
        <v>22.602848699633917</v>
      </c>
      <c r="J695" s="64">
        <v>13.572014772690952</v>
      </c>
      <c r="K695" s="64">
        <v>13.572191572690953</v>
      </c>
    </row>
    <row r="696" spans="1:11" ht="15">
      <c r="A696" s="13">
        <v>62824</v>
      </c>
      <c r="B696" s="63">
        <v>11.663620423725375</v>
      </c>
      <c r="C696" s="63">
        <v>11.663620423725375</v>
      </c>
      <c r="D696" s="63">
        <v>11.672204143725375</v>
      </c>
      <c r="E696" s="64">
        <v>13.665543079180672</v>
      </c>
      <c r="F696" s="64">
        <v>13.665543079180672</v>
      </c>
      <c r="G696" s="64">
        <v>13.665719879180672</v>
      </c>
      <c r="H696" s="64">
        <v>22.537001815654694</v>
      </c>
      <c r="I696" s="64">
        <v>22.537178615654692</v>
      </c>
      <c r="J696" s="64">
        <v>13.665543079180672</v>
      </c>
      <c r="K696" s="64">
        <v>13.665719879180672</v>
      </c>
    </row>
    <row r="697" spans="1:11" ht="15">
      <c r="A697" s="13">
        <v>62855</v>
      </c>
      <c r="B697" s="63">
        <v>11.660580650998103</v>
      </c>
      <c r="C697" s="63">
        <v>11.660580650998103</v>
      </c>
      <c r="D697" s="63">
        <v>11.669164370998104</v>
      </c>
      <c r="E697" s="64">
        <v>13.513931281042998</v>
      </c>
      <c r="F697" s="64">
        <v>13.513931281043018</v>
      </c>
      <c r="G697" s="64">
        <v>13.514108081043018</v>
      </c>
      <c r="H697" s="64">
        <v>22.58395390277062</v>
      </c>
      <c r="I697" s="64">
        <v>22.584130702770619</v>
      </c>
      <c r="J697" s="64">
        <v>13.513931281042998</v>
      </c>
      <c r="K697" s="64">
        <v>13.514108081042998</v>
      </c>
    </row>
    <row r="698" spans="1:11" ht="15">
      <c r="A698" s="13">
        <v>62884</v>
      </c>
      <c r="B698" s="63">
        <v>11.657540878270812</v>
      </c>
      <c r="C698" s="63">
        <v>11.657540878270812</v>
      </c>
      <c r="D698" s="63">
        <v>11.666124598270812</v>
      </c>
      <c r="E698" s="64">
        <v>13.629663998033188</v>
      </c>
      <c r="F698" s="64">
        <v>13.629663998033188</v>
      </c>
      <c r="G698" s="64">
        <v>13.629840798033188</v>
      </c>
      <c r="H698" s="64">
        <v>22.631003806734718</v>
      </c>
      <c r="I698" s="64">
        <v>22.631180606734716</v>
      </c>
      <c r="J698" s="64">
        <v>13.629663998033188</v>
      </c>
      <c r="K698" s="64">
        <v>13.629840798033188</v>
      </c>
    </row>
    <row r="699" spans="1:11" ht="15">
      <c r="A699" s="13">
        <v>62915</v>
      </c>
      <c r="B699" s="63">
        <v>11.661772363049788</v>
      </c>
      <c r="C699" s="63">
        <v>11.661772363049788</v>
      </c>
      <c r="D699" s="63">
        <v>11.670356083049789</v>
      </c>
      <c r="E699" s="64">
        <v>13.751993881945204</v>
      </c>
      <c r="F699" s="64">
        <v>13.751993881945204</v>
      </c>
      <c r="G699" s="64">
        <v>13.752170681945204</v>
      </c>
      <c r="H699" s="64">
        <v>22.678151731332097</v>
      </c>
      <c r="I699" s="64">
        <v>22.678328531332095</v>
      </c>
      <c r="J699" s="64">
        <v>13.751993881945204</v>
      </c>
      <c r="K699" s="64">
        <v>13.752170681945204</v>
      </c>
    </row>
    <row r="700" spans="1:11" ht="15">
      <c r="A700" s="13">
        <v>62945</v>
      </c>
      <c r="B700" s="63">
        <v>11.661772363049788</v>
      </c>
      <c r="C700" s="63">
        <v>11.661772363049788</v>
      </c>
      <c r="D700" s="63">
        <v>11.678936083049788</v>
      </c>
      <c r="E700" s="64">
        <v>13.799456571463036</v>
      </c>
      <c r="F700" s="64">
        <v>13.799456571463036</v>
      </c>
      <c r="G700" s="64">
        <v>13.800608371463037</v>
      </c>
      <c r="H700" s="64">
        <v>22.725397880772366</v>
      </c>
      <c r="I700" s="64">
        <v>22.726549680772365</v>
      </c>
      <c r="J700" s="64">
        <v>13.799456571463036</v>
      </c>
      <c r="K700" s="64">
        <v>13.800608371463037</v>
      </c>
    </row>
    <row r="701" spans="1:11" ht="15">
      <c r="A701" s="13">
        <v>62976</v>
      </c>
      <c r="B701" s="63">
        <v>11.667851908504316</v>
      </c>
      <c r="C701" s="63">
        <v>11.667851908504316</v>
      </c>
      <c r="D701" s="63">
        <v>11.685015628504315</v>
      </c>
      <c r="E701" s="64">
        <v>13.756231170080797</v>
      </c>
      <c r="F701" s="64">
        <v>13.756231170080797</v>
      </c>
      <c r="G701" s="64">
        <v>13.757382970080798</v>
      </c>
      <c r="H701" s="64">
        <v>22.772742459690637</v>
      </c>
      <c r="I701" s="64">
        <v>22.773894259690636</v>
      </c>
      <c r="J701" s="64">
        <v>13.756231170080797</v>
      </c>
      <c r="K701" s="64">
        <v>13.757382970080798</v>
      </c>
    </row>
    <row r="702" spans="1:11" ht="15">
      <c r="A702" s="13">
        <v>63006</v>
      </c>
      <c r="B702" s="63">
        <v>11.852648684699231</v>
      </c>
      <c r="C702" s="63">
        <v>11.852648684699231</v>
      </c>
      <c r="D702" s="63">
        <v>11.86981240469923</v>
      </c>
      <c r="E702" s="64">
        <v>14.019989778822271</v>
      </c>
      <c r="F702" s="64">
        <v>14.019989778822271</v>
      </c>
      <c r="G702" s="64">
        <v>14.021141578822272</v>
      </c>
      <c r="H702" s="64">
        <v>22.820185673148341</v>
      </c>
      <c r="I702" s="64">
        <v>22.82133747314834</v>
      </c>
      <c r="J702" s="64">
        <v>14.019989778822271</v>
      </c>
      <c r="K702" s="64">
        <v>14.021141578822272</v>
      </c>
    </row>
    <row r="703" spans="1:11" ht="15">
      <c r="A703" s="13">
        <v>63037</v>
      </c>
      <c r="B703" s="63">
        <v>11.859336184699229</v>
      </c>
      <c r="C703" s="63">
        <v>11.859336184699229</v>
      </c>
      <c r="D703" s="63">
        <v>11.876499904699228</v>
      </c>
      <c r="E703" s="64">
        <v>13.882262727217871</v>
      </c>
      <c r="F703" s="64">
        <v>13.882262727217871</v>
      </c>
      <c r="G703" s="64">
        <v>13.883414527217871</v>
      </c>
      <c r="H703" s="64">
        <v>22.867727726634079</v>
      </c>
      <c r="I703" s="64">
        <v>22.868879526634078</v>
      </c>
      <c r="J703" s="64">
        <v>13.882262727217871</v>
      </c>
      <c r="K703" s="64">
        <v>13.883414527217871</v>
      </c>
    </row>
    <row r="704" spans="1:11" ht="15">
      <c r="A704" s="13">
        <v>63068</v>
      </c>
      <c r="B704" s="63">
        <v>11.856296411971938</v>
      </c>
      <c r="C704" s="63">
        <v>11.856296411971938</v>
      </c>
      <c r="D704" s="63">
        <v>11.873460131971937</v>
      </c>
      <c r="E704" s="64">
        <v>13.864323186644112</v>
      </c>
      <c r="F704" s="64">
        <v>13.86432318664413</v>
      </c>
      <c r="G704" s="64">
        <v>13.865474986644131</v>
      </c>
      <c r="H704" s="64">
        <v>22.915368826064547</v>
      </c>
      <c r="I704" s="64">
        <v>22.916520626064546</v>
      </c>
      <c r="J704" s="64">
        <v>13.864323186644112</v>
      </c>
      <c r="K704" s="64">
        <v>13.865474986644113</v>
      </c>
    </row>
    <row r="705" spans="1:11" ht="15">
      <c r="A705" s="13">
        <v>63098</v>
      </c>
      <c r="B705" s="63">
        <v>11.877296751473004</v>
      </c>
      <c r="C705" s="63">
        <v>11.877296751473004</v>
      </c>
      <c r="D705" s="63">
        <v>11.885880471473005</v>
      </c>
      <c r="E705" s="64">
        <v>13.914188693571896</v>
      </c>
      <c r="F705" s="64">
        <v>13.914188693571896</v>
      </c>
      <c r="G705" s="64">
        <v>13.914365493571896</v>
      </c>
      <c r="H705" s="64">
        <v>22.963109177785512</v>
      </c>
      <c r="I705" s="64">
        <v>22.96328597778551</v>
      </c>
      <c r="J705" s="64">
        <v>13.914188693571896</v>
      </c>
      <c r="K705" s="64">
        <v>13.914365493571896</v>
      </c>
    </row>
    <row r="706" spans="1:11" ht="15">
      <c r="A706" s="13">
        <v>63129</v>
      </c>
      <c r="B706" s="63">
        <v>11.880336524200276</v>
      </c>
      <c r="C706" s="63">
        <v>11.880336524200276</v>
      </c>
      <c r="D706" s="63">
        <v>11.888920244200277</v>
      </c>
      <c r="E706" s="64">
        <v>13.947949130651525</v>
      </c>
      <c r="F706" s="64">
        <v>13.947949130651525</v>
      </c>
      <c r="G706" s="64">
        <v>13.948125930651525</v>
      </c>
      <c r="H706" s="64">
        <v>23.010948988572586</v>
      </c>
      <c r="I706" s="64">
        <v>23.011125788572585</v>
      </c>
      <c r="J706" s="64">
        <v>13.947949130651525</v>
      </c>
      <c r="K706" s="64">
        <v>13.948125930651525</v>
      </c>
    </row>
    <row r="707" spans="1:11" ht="15">
      <c r="A707" s="13">
        <v>63159</v>
      </c>
      <c r="B707" s="63">
        <v>11.880336524200276</v>
      </c>
      <c r="C707" s="63">
        <v>11.880336524200276</v>
      </c>
      <c r="D707" s="63">
        <v>11.888920244200277</v>
      </c>
      <c r="E707" s="64">
        <v>13.868844648121804</v>
      </c>
      <c r="F707" s="64">
        <v>13.868844648121804</v>
      </c>
      <c r="G707" s="64">
        <v>13.869021448121805</v>
      </c>
      <c r="H707" s="64">
        <v>23.05888846563213</v>
      </c>
      <c r="I707" s="64">
        <v>23.059065265632128</v>
      </c>
      <c r="J707" s="64">
        <v>13.868844648121804</v>
      </c>
      <c r="K707" s="64">
        <v>13.869021448121805</v>
      </c>
    </row>
    <row r="708" spans="1:11" ht="15">
      <c r="A708" s="13">
        <v>63190</v>
      </c>
      <c r="B708" s="63">
        <v>11.908939717072238</v>
      </c>
      <c r="C708" s="63">
        <v>11.908939717072238</v>
      </c>
      <c r="D708" s="63">
        <v>11.917523437072239</v>
      </c>
      <c r="E708" s="64">
        <v>13.957954191789462</v>
      </c>
      <c r="F708" s="64">
        <v>13.957954191789462</v>
      </c>
      <c r="G708" s="64">
        <v>13.958130991789462</v>
      </c>
      <c r="H708" s="64">
        <v>22.982892934455055</v>
      </c>
      <c r="I708" s="64">
        <v>22.983069734455054</v>
      </c>
      <c r="J708" s="64">
        <v>13.957954191789462</v>
      </c>
      <c r="K708" s="64">
        <v>13.958130991789462</v>
      </c>
    </row>
    <row r="709" spans="1:11" ht="15">
      <c r="A709" s="13">
        <v>63221</v>
      </c>
      <c r="B709" s="63">
        <v>11.905899944344966</v>
      </c>
      <c r="C709" s="63">
        <v>11.905899944344966</v>
      </c>
      <c r="D709" s="63">
        <v>11.914483664344967</v>
      </c>
      <c r="E709" s="64">
        <v>13.803136619364567</v>
      </c>
      <c r="F709" s="64">
        <v>13.803136619364588</v>
      </c>
      <c r="G709" s="64">
        <v>13.803313419364589</v>
      </c>
      <c r="H709" s="64">
        <v>23.030773961401813</v>
      </c>
      <c r="I709" s="64">
        <v>23.030950761401812</v>
      </c>
      <c r="J709" s="64">
        <v>13.803136619364567</v>
      </c>
      <c r="K709" s="64">
        <v>13.803313419364567</v>
      </c>
    </row>
    <row r="710" spans="1:11" ht="15">
      <c r="A710" s="13">
        <v>63249</v>
      </c>
      <c r="B710" s="63">
        <v>11.902860171617673</v>
      </c>
      <c r="C710" s="63">
        <v>11.902860171617673</v>
      </c>
      <c r="D710" s="63">
        <v>11.911443891617674</v>
      </c>
      <c r="E710" s="64">
        <v>13.921396574911896</v>
      </c>
      <c r="F710" s="64">
        <v>13.921396574911896</v>
      </c>
      <c r="G710" s="64">
        <v>13.921573374911896</v>
      </c>
      <c r="H710" s="64">
        <v>23.078754740488058</v>
      </c>
      <c r="I710" s="64">
        <v>23.078931540488057</v>
      </c>
      <c r="J710" s="64">
        <v>13.921396574911896</v>
      </c>
      <c r="K710" s="64">
        <v>13.921573374911896</v>
      </c>
    </row>
    <row r="711" spans="1:11" ht="15">
      <c r="A711" s="13">
        <v>63280</v>
      </c>
      <c r="B711" s="63">
        <v>11.907297277233567</v>
      </c>
      <c r="C711" s="63">
        <v>11.907297277233567</v>
      </c>
      <c r="D711" s="63">
        <v>11.915880997233568</v>
      </c>
      <c r="E711" s="64">
        <v>14.046440601744242</v>
      </c>
      <c r="F711" s="64">
        <v>14.046440601744242</v>
      </c>
      <c r="G711" s="64">
        <v>14.046617401744243</v>
      </c>
      <c r="H711" s="64">
        <v>23.126835479530758</v>
      </c>
      <c r="I711" s="64">
        <v>23.127012279530756</v>
      </c>
      <c r="J711" s="64">
        <v>14.046440601744242</v>
      </c>
      <c r="K711" s="64">
        <v>14.046617401744243</v>
      </c>
    </row>
    <row r="712" spans="1:11" ht="15">
      <c r="A712" s="13">
        <v>63310</v>
      </c>
      <c r="B712" s="63">
        <v>11.907297277233567</v>
      </c>
      <c r="C712" s="63">
        <v>11.907297277233567</v>
      </c>
      <c r="D712" s="63">
        <v>11.924460997233567</v>
      </c>
      <c r="E712" s="64">
        <v>14.094921094857197</v>
      </c>
      <c r="F712" s="64">
        <v>14.094921094857197</v>
      </c>
      <c r="G712" s="64">
        <v>14.096072894857198</v>
      </c>
      <c r="H712" s="64">
        <v>23.175016386779774</v>
      </c>
      <c r="I712" s="64">
        <v>23.176168186779773</v>
      </c>
      <c r="J712" s="64">
        <v>14.094921094857197</v>
      </c>
      <c r="K712" s="64">
        <v>14.096072894857198</v>
      </c>
    </row>
    <row r="713" spans="1:11" ht="15">
      <c r="A713" s="13">
        <v>63341</v>
      </c>
      <c r="B713" s="63">
        <v>11.913376822688093</v>
      </c>
      <c r="C713" s="63">
        <v>11.913376822688093</v>
      </c>
      <c r="D713" s="63">
        <v>11.930540542688092</v>
      </c>
      <c r="E713" s="64">
        <v>14.050677889879836</v>
      </c>
      <c r="F713" s="64">
        <v>14.050677889879836</v>
      </c>
      <c r="G713" s="64">
        <v>14.051829689879836</v>
      </c>
      <c r="H713" s="64">
        <v>23.223297670918893</v>
      </c>
      <c r="I713" s="64">
        <v>23.224449470918891</v>
      </c>
      <c r="J713" s="64">
        <v>14.050677889879836</v>
      </c>
      <c r="K713" s="64">
        <v>14.051829689879836</v>
      </c>
    </row>
    <row r="714" spans="1:11" ht="15">
      <c r="A714" s="13">
        <v>63371</v>
      </c>
      <c r="B714" s="63">
        <v>12.101863931330223</v>
      </c>
      <c r="C714" s="63">
        <v>12.101863931330223</v>
      </c>
      <c r="D714" s="63">
        <v>12.119027651330223</v>
      </c>
      <c r="E714" s="64">
        <v>14.319873065038497</v>
      </c>
      <c r="F714" s="64">
        <v>14.319873065038497</v>
      </c>
      <c r="G714" s="64">
        <v>14.321024865038497</v>
      </c>
      <c r="H714" s="64">
        <v>23.271679541066657</v>
      </c>
      <c r="I714" s="64">
        <v>23.272831341066656</v>
      </c>
      <c r="J714" s="64">
        <v>14.319873065038497</v>
      </c>
      <c r="K714" s="64">
        <v>14.321024865038497</v>
      </c>
    </row>
    <row r="715" spans="1:11" ht="15">
      <c r="A715" s="13">
        <v>63402</v>
      </c>
      <c r="B715" s="63">
        <v>12.108551431330222</v>
      </c>
      <c r="C715" s="63">
        <v>12.108551431330222</v>
      </c>
      <c r="D715" s="63">
        <v>12.125715151330221</v>
      </c>
      <c r="E715" s="64">
        <v>14.179092602648725</v>
      </c>
      <c r="F715" s="64">
        <v>14.179092602648725</v>
      </c>
      <c r="G715" s="64">
        <v>14.180244402648725</v>
      </c>
      <c r="H715" s="64">
        <v>23.320162206777226</v>
      </c>
      <c r="I715" s="64">
        <v>23.321314006777225</v>
      </c>
      <c r="J715" s="64">
        <v>14.179092602648725</v>
      </c>
      <c r="K715" s="64">
        <v>14.180244402648725</v>
      </c>
    </row>
    <row r="716" spans="1:11" ht="15">
      <c r="A716" s="13">
        <v>63433</v>
      </c>
      <c r="B716" s="63">
        <v>12.105511658602929</v>
      </c>
      <c r="C716" s="63">
        <v>12.105511658602929</v>
      </c>
      <c r="D716" s="63">
        <v>12.122675378602928</v>
      </c>
      <c r="E716" s="64">
        <v>14.160813794209924</v>
      </c>
      <c r="F716" s="64">
        <v>14.160813794209943</v>
      </c>
      <c r="G716" s="64">
        <v>14.161965594209944</v>
      </c>
      <c r="H716" s="64">
        <v>23.368745878041324</v>
      </c>
      <c r="I716" s="64">
        <v>23.369897678041323</v>
      </c>
      <c r="J716" s="64">
        <v>14.160813794209924</v>
      </c>
      <c r="K716" s="64">
        <v>14.161965594209924</v>
      </c>
    </row>
    <row r="717" spans="1:11" ht="15">
      <c r="A717" s="13">
        <v>63463</v>
      </c>
      <c r="B717" s="63">
        <v>12.127314701393797</v>
      </c>
      <c r="C717" s="63">
        <v>12.127314701393797</v>
      </c>
      <c r="D717" s="63">
        <v>12.135898421393797</v>
      </c>
      <c r="E717" s="64">
        <v>14.212036372597876</v>
      </c>
      <c r="F717" s="64">
        <v>14.212036372597876</v>
      </c>
      <c r="G717" s="64">
        <v>14.212213172597876</v>
      </c>
      <c r="H717" s="64">
        <v>23.417430765287239</v>
      </c>
      <c r="I717" s="64">
        <v>23.417607565287238</v>
      </c>
      <c r="J717" s="64">
        <v>14.212036372597876</v>
      </c>
      <c r="K717" s="64">
        <v>14.212213172597876</v>
      </c>
    </row>
    <row r="718" spans="1:11" ht="15">
      <c r="A718" s="13">
        <v>63494</v>
      </c>
      <c r="B718" s="63">
        <v>12.130354474121068</v>
      </c>
      <c r="C718" s="63">
        <v>12.130354474121068</v>
      </c>
      <c r="D718" s="63">
        <v>12.138938194121069</v>
      </c>
      <c r="E718" s="64">
        <v>14.24647534540758</v>
      </c>
      <c r="F718" s="64">
        <v>14.24647534540758</v>
      </c>
      <c r="G718" s="64">
        <v>14.24665214540758</v>
      </c>
      <c r="H718" s="64">
        <v>23.466217079381611</v>
      </c>
      <c r="I718" s="64">
        <v>23.466393879381609</v>
      </c>
      <c r="J718" s="64">
        <v>14.24647534540758</v>
      </c>
      <c r="K718" s="64">
        <v>14.24665214540758</v>
      </c>
    </row>
    <row r="719" spans="1:11" ht="15">
      <c r="A719" s="13">
        <v>63524</v>
      </c>
      <c r="B719" s="63">
        <v>12.130354474121068</v>
      </c>
      <c r="C719" s="63">
        <v>12.130354474121068</v>
      </c>
      <c r="D719" s="63">
        <v>12.138938194121069</v>
      </c>
      <c r="E719" s="64">
        <v>14.165674523552656</v>
      </c>
      <c r="F719" s="64">
        <v>14.165674523552656</v>
      </c>
      <c r="G719" s="64">
        <v>14.165851323552657</v>
      </c>
      <c r="H719" s="64">
        <v>23.515105031630341</v>
      </c>
      <c r="I719" s="64">
        <v>23.51528183163034</v>
      </c>
      <c r="J719" s="64">
        <v>14.165674523552656</v>
      </c>
      <c r="K719" s="64">
        <v>14.165851323552657</v>
      </c>
    </row>
    <row r="720" spans="1:11" ht="15">
      <c r="A720" s="13">
        <v>63555</v>
      </c>
      <c r="B720" s="63">
        <v>12.154259010419102</v>
      </c>
      <c r="C720" s="63">
        <v>12.154259010419102</v>
      </c>
      <c r="D720" s="63">
        <v>12.162842730419102</v>
      </c>
      <c r="E720" s="64">
        <v>14.250365304398251</v>
      </c>
      <c r="F720" s="64">
        <v>14.250365304398251</v>
      </c>
      <c r="G720" s="64">
        <v>14.250542104398251</v>
      </c>
      <c r="H720" s="64">
        <v>23.428784053255416</v>
      </c>
      <c r="I720" s="64">
        <v>23.428960853255415</v>
      </c>
      <c r="J720" s="64">
        <v>14.250365304398251</v>
      </c>
      <c r="K720" s="64">
        <v>14.250542104398251</v>
      </c>
    </row>
    <row r="721" spans="1:11" ht="15">
      <c r="A721" s="13">
        <v>63586</v>
      </c>
      <c r="B721" s="63">
        <v>12.15121923769183</v>
      </c>
      <c r="C721" s="63">
        <v>12.15121923769183</v>
      </c>
      <c r="D721" s="63">
        <v>12.159802957691831</v>
      </c>
      <c r="E721" s="64">
        <v>14.092341957686136</v>
      </c>
      <c r="F721" s="64">
        <v>14.092341957686159</v>
      </c>
      <c r="G721" s="64">
        <v>14.092518757686159</v>
      </c>
      <c r="H721" s="64">
        <v>23.477594020033006</v>
      </c>
      <c r="I721" s="64">
        <v>23.477770820033005</v>
      </c>
      <c r="J721" s="64">
        <v>14.092341957686136</v>
      </c>
      <c r="K721" s="64">
        <v>14.092518757686136</v>
      </c>
    </row>
    <row r="722" spans="1:11" ht="15">
      <c r="A722" s="13">
        <v>63614</v>
      </c>
      <c r="B722" s="63">
        <v>12.148179464964535</v>
      </c>
      <c r="C722" s="63">
        <v>12.148179464964535</v>
      </c>
      <c r="D722" s="63">
        <v>12.156763184964536</v>
      </c>
      <c r="E722" s="64">
        <v>14.213129151790604</v>
      </c>
      <c r="F722" s="64">
        <v>14.213129151790604</v>
      </c>
      <c r="G722" s="64">
        <v>14.213305951790604</v>
      </c>
      <c r="H722" s="64">
        <v>23.526505674241399</v>
      </c>
      <c r="I722" s="64">
        <v>23.526682474241397</v>
      </c>
      <c r="J722" s="64">
        <v>14.213129151790604</v>
      </c>
      <c r="K722" s="64">
        <v>14.213305951790604</v>
      </c>
    </row>
    <row r="723" spans="1:11" ht="15">
      <c r="A723" s="13">
        <v>63645</v>
      </c>
      <c r="B723" s="63">
        <v>12.152822191417346</v>
      </c>
      <c r="C723" s="63">
        <v>12.152822191417346</v>
      </c>
      <c r="D723" s="63">
        <v>12.161405911417347</v>
      </c>
      <c r="E723" s="64">
        <v>14.340887321543281</v>
      </c>
      <c r="F723" s="64">
        <v>14.340887321543281</v>
      </c>
      <c r="G723" s="64">
        <v>14.341064121543281</v>
      </c>
      <c r="H723" s="64">
        <v>23.575519227729419</v>
      </c>
      <c r="I723" s="64">
        <v>23.575696027729418</v>
      </c>
      <c r="J723" s="64">
        <v>14.340887321543281</v>
      </c>
      <c r="K723" s="64">
        <v>14.341064121543281</v>
      </c>
    </row>
    <row r="724" spans="1:11" ht="15">
      <c r="A724" s="13">
        <v>63675</v>
      </c>
      <c r="B724" s="63">
        <v>12.152822191417346</v>
      </c>
      <c r="C724" s="63">
        <v>12.152822191417346</v>
      </c>
      <c r="D724" s="63">
        <v>12.169985911417346</v>
      </c>
      <c r="E724" s="64">
        <v>14.390385618251358</v>
      </c>
      <c r="F724" s="64">
        <v>14.390385618251358</v>
      </c>
      <c r="G724" s="64">
        <v>14.391537418251358</v>
      </c>
      <c r="H724" s="64">
        <v>23.624634892787181</v>
      </c>
      <c r="I724" s="64">
        <v>23.62578669278718</v>
      </c>
      <c r="J724" s="64">
        <v>14.390385618251358</v>
      </c>
      <c r="K724" s="64">
        <v>14.391537418251358</v>
      </c>
    </row>
    <row r="725" spans="1:11" ht="15">
      <c r="A725" s="13">
        <v>63706</v>
      </c>
      <c r="B725" s="63">
        <v>12.15890173687187</v>
      </c>
      <c r="C725" s="63">
        <v>12.15890173687187</v>
      </c>
      <c r="D725" s="63">
        <v>12.17606545687187</v>
      </c>
      <c r="E725" s="64">
        <v>14.345124609678875</v>
      </c>
      <c r="F725" s="64">
        <v>14.345124609678875</v>
      </c>
      <c r="G725" s="64">
        <v>14.346276409678875</v>
      </c>
      <c r="H725" s="64">
        <v>23.673852882147148</v>
      </c>
      <c r="I725" s="64">
        <v>23.675004682147147</v>
      </c>
      <c r="J725" s="64">
        <v>14.345124609678875</v>
      </c>
      <c r="K725" s="64">
        <v>14.346276409678875</v>
      </c>
    </row>
    <row r="726" spans="1:11" ht="15">
      <c r="A726" s="13">
        <v>63736</v>
      </c>
      <c r="B726" s="63">
        <v>12.351079177961216</v>
      </c>
      <c r="C726" s="63">
        <v>12.351079177961216</v>
      </c>
      <c r="D726" s="63">
        <v>12.368242897961215</v>
      </c>
      <c r="E726" s="64">
        <v>14.619756351254722</v>
      </c>
      <c r="F726" s="64">
        <v>14.619756351254722</v>
      </c>
      <c r="G726" s="64">
        <v>14.620908151254723</v>
      </c>
      <c r="H726" s="64">
        <v>23.723173408984973</v>
      </c>
      <c r="I726" s="64">
        <v>23.724325208984972</v>
      </c>
      <c r="J726" s="64">
        <v>14.619756351254722</v>
      </c>
      <c r="K726" s="64">
        <v>14.620908151254723</v>
      </c>
    </row>
    <row r="727" spans="1:11" ht="15">
      <c r="A727" s="13">
        <v>63767</v>
      </c>
      <c r="B727" s="63">
        <v>12.357766677961214</v>
      </c>
      <c r="C727" s="63">
        <v>12.357766677961214</v>
      </c>
      <c r="D727" s="63">
        <v>12.374930397961213</v>
      </c>
      <c r="E727" s="64">
        <v>14.475922478079578</v>
      </c>
      <c r="F727" s="64">
        <v>14.475922478079578</v>
      </c>
      <c r="G727" s="64">
        <v>14.477074278079579</v>
      </c>
      <c r="H727" s="64">
        <v>23.772596686920373</v>
      </c>
      <c r="I727" s="64">
        <v>23.773748486920372</v>
      </c>
      <c r="J727" s="64">
        <v>14.475922478079578</v>
      </c>
      <c r="K727" s="64">
        <v>14.477074278079579</v>
      </c>
    </row>
    <row r="728" spans="1:11" ht="15">
      <c r="A728" s="13">
        <v>63798</v>
      </c>
      <c r="B728" s="63">
        <v>12.354726905233919</v>
      </c>
      <c r="C728" s="63">
        <v>12.354726905233919</v>
      </c>
      <c r="D728" s="63">
        <v>12.371890625233918</v>
      </c>
      <c r="E728" s="64">
        <v>14.457304401775735</v>
      </c>
      <c r="F728" s="64">
        <v>14.457304401775756</v>
      </c>
      <c r="G728" s="64">
        <v>14.458456201775757</v>
      </c>
      <c r="H728" s="64">
        <v>23.8221229300181</v>
      </c>
      <c r="I728" s="64">
        <v>23.823274730018099</v>
      </c>
      <c r="J728" s="64">
        <v>14.457304401775735</v>
      </c>
      <c r="K728" s="64">
        <v>14.458456201775736</v>
      </c>
    </row>
    <row r="729" spans="1:11" ht="15">
      <c r="A729" s="13">
        <v>63828</v>
      </c>
      <c r="B729" s="63">
        <v>12.377332651314589</v>
      </c>
      <c r="C729" s="63">
        <v>12.377332651314589</v>
      </c>
      <c r="D729" s="63">
        <v>12.38591637131459</v>
      </c>
      <c r="E729" s="64">
        <v>14.509884051623855</v>
      </c>
      <c r="F729" s="64">
        <v>14.509884051623855</v>
      </c>
      <c r="G729" s="64">
        <v>14.510060851623855</v>
      </c>
      <c r="H729" s="64">
        <v>23.871752352788967</v>
      </c>
      <c r="I729" s="64">
        <v>23.871929152788965</v>
      </c>
      <c r="J729" s="64">
        <v>14.509884051623855</v>
      </c>
      <c r="K729" s="64">
        <v>14.510060851623855</v>
      </c>
    </row>
    <row r="730" spans="1:11" ht="15">
      <c r="A730" s="13">
        <v>63859</v>
      </c>
      <c r="B730" s="63">
        <v>12.380372424041861</v>
      </c>
      <c r="C730" s="63">
        <v>12.380372424041861</v>
      </c>
      <c r="D730" s="63">
        <v>12.388956144041861</v>
      </c>
      <c r="E730" s="64">
        <v>14.545001560163636</v>
      </c>
      <c r="F730" s="64">
        <v>14.545001560163636</v>
      </c>
      <c r="G730" s="64">
        <v>14.545178360163636</v>
      </c>
      <c r="H730" s="64">
        <v>23.921485170190635</v>
      </c>
      <c r="I730" s="64">
        <v>23.921661970190634</v>
      </c>
      <c r="J730" s="64">
        <v>14.545001560163636</v>
      </c>
      <c r="K730" s="64">
        <v>14.545178360163636</v>
      </c>
    </row>
    <row r="731" spans="1:11" ht="15">
      <c r="A731" s="13">
        <v>63889</v>
      </c>
      <c r="B731" s="63">
        <v>12.380372424041861</v>
      </c>
      <c r="C731" s="63">
        <v>12.380372424041861</v>
      </c>
      <c r="D731" s="63">
        <v>12.388956144041861</v>
      </c>
      <c r="E731" s="64">
        <v>14.462504398983508</v>
      </c>
      <c r="F731" s="64">
        <v>14.462504398983508</v>
      </c>
      <c r="G731" s="64">
        <v>14.462681198983509</v>
      </c>
      <c r="H731" s="64">
        <v>23.971321597628553</v>
      </c>
      <c r="I731" s="64">
        <v>23.971498397628551</v>
      </c>
      <c r="J731" s="64">
        <v>14.462504398983508</v>
      </c>
      <c r="K731" s="64">
        <v>14.462681198983509</v>
      </c>
    </row>
    <row r="732" spans="1:11" ht="15">
      <c r="A732" s="13">
        <v>63920</v>
      </c>
      <c r="B732" s="63">
        <v>12.399578303765965</v>
      </c>
      <c r="C732" s="63">
        <v>12.399578303765965</v>
      </c>
      <c r="D732" s="63">
        <v>12.408162023765966</v>
      </c>
      <c r="E732" s="64">
        <v>14.54277641700704</v>
      </c>
      <c r="F732" s="64">
        <v>14.54277641700704</v>
      </c>
      <c r="G732" s="64">
        <v>14.542953217007041</v>
      </c>
      <c r="H732" s="64">
        <v>23.874675172055777</v>
      </c>
      <c r="I732" s="64">
        <v>23.874851972055776</v>
      </c>
      <c r="J732" s="64">
        <v>14.54277641700704</v>
      </c>
      <c r="K732" s="64">
        <v>14.542953217007041</v>
      </c>
    </row>
    <row r="733" spans="1:11" ht="15">
      <c r="A733" s="13">
        <v>63951</v>
      </c>
      <c r="B733" s="63">
        <v>12.396538531038694</v>
      </c>
      <c r="C733" s="63">
        <v>12.396538531038694</v>
      </c>
      <c r="D733" s="63">
        <v>12.405122251038694</v>
      </c>
      <c r="E733" s="64">
        <v>14.381547296007705</v>
      </c>
      <c r="F733" s="64">
        <v>14.38154729600773</v>
      </c>
      <c r="G733" s="64">
        <v>14.38172409600773</v>
      </c>
      <c r="H733" s="64">
        <v>23.924414078664199</v>
      </c>
      <c r="I733" s="64">
        <v>23.924590878664198</v>
      </c>
      <c r="J733" s="64">
        <v>14.381547296007705</v>
      </c>
      <c r="K733" s="64">
        <v>14.381724096007705</v>
      </c>
    </row>
    <row r="734" spans="1:11" ht="15">
      <c r="A734" s="13">
        <v>63979</v>
      </c>
      <c r="B734" s="63">
        <v>12.393498758311397</v>
      </c>
      <c r="C734" s="63">
        <v>12.393498758311397</v>
      </c>
      <c r="D734" s="63">
        <v>12.402082478311398</v>
      </c>
      <c r="E734" s="64">
        <v>14.504861728669312</v>
      </c>
      <c r="F734" s="64">
        <v>14.504861728669312</v>
      </c>
      <c r="G734" s="64">
        <v>14.505038528669312</v>
      </c>
      <c r="H734" s="64">
        <v>23.974256607994739</v>
      </c>
      <c r="I734" s="64">
        <v>23.974433407994738</v>
      </c>
      <c r="J734" s="64">
        <v>14.504861728669312</v>
      </c>
      <c r="K734" s="64">
        <v>14.505038528669312</v>
      </c>
    </row>
    <row r="735" spans="1:11" ht="15">
      <c r="A735" s="13">
        <v>64010</v>
      </c>
      <c r="B735" s="63">
        <v>12.398347105601125</v>
      </c>
      <c r="C735" s="63">
        <v>12.398347105601125</v>
      </c>
      <c r="D735" s="63">
        <v>12.406930825601126</v>
      </c>
      <c r="E735" s="64">
        <v>14.63533404134232</v>
      </c>
      <c r="F735" s="64">
        <v>14.63533404134232</v>
      </c>
      <c r="G735" s="64">
        <v>14.63551084134232</v>
      </c>
      <c r="H735" s="64">
        <v>24.02420297592808</v>
      </c>
      <c r="I735" s="64">
        <v>24.024379775928079</v>
      </c>
      <c r="J735" s="64">
        <v>14.63533404134232</v>
      </c>
      <c r="K735" s="64">
        <v>14.63551084134232</v>
      </c>
    </row>
    <row r="736" spans="1:11" ht="15">
      <c r="A736" s="13">
        <v>64040</v>
      </c>
      <c r="B736" s="63">
        <v>12.398347105601125</v>
      </c>
      <c r="C736" s="63">
        <v>12.398347105601125</v>
      </c>
      <c r="D736" s="63">
        <v>12.415510825601125</v>
      </c>
      <c r="E736" s="64">
        <v>14.685850141645519</v>
      </c>
      <c r="F736" s="64">
        <v>14.685850141645519</v>
      </c>
      <c r="G736" s="64">
        <v>14.687001941645519</v>
      </c>
      <c r="H736" s="64">
        <v>24.074253398794589</v>
      </c>
      <c r="I736" s="64">
        <v>24.075405198794588</v>
      </c>
      <c r="J736" s="64">
        <v>14.685850141645519</v>
      </c>
      <c r="K736" s="64">
        <v>14.687001941645519</v>
      </c>
    </row>
    <row r="737" spans="1:11" ht="15">
      <c r="A737" s="13">
        <v>64071</v>
      </c>
      <c r="B737" s="63">
        <v>12.404426651055648</v>
      </c>
      <c r="C737" s="63">
        <v>12.404426651055648</v>
      </c>
      <c r="D737" s="63">
        <v>12.421590371055647</v>
      </c>
      <c r="E737" s="64">
        <v>14.639571329477914</v>
      </c>
      <c r="F737" s="64">
        <v>14.639571329477914</v>
      </c>
      <c r="G737" s="64">
        <v>14.640723129477914</v>
      </c>
      <c r="H737" s="64">
        <v>24.124408093375404</v>
      </c>
      <c r="I737" s="64">
        <v>24.125559893375403</v>
      </c>
      <c r="J737" s="64">
        <v>14.639571329477914</v>
      </c>
      <c r="K737" s="64">
        <v>14.640723129477914</v>
      </c>
    </row>
    <row r="738" spans="1:11" ht="15">
      <c r="A738" s="13">
        <v>64101</v>
      </c>
      <c r="B738" s="63">
        <v>12.600294424592208</v>
      </c>
      <c r="C738" s="63">
        <v>12.600294424592208</v>
      </c>
      <c r="D738" s="63">
        <v>12.617458144592208</v>
      </c>
      <c r="E738" s="64">
        <v>14.919639637470947</v>
      </c>
      <c r="F738" s="64">
        <v>14.919639637470947</v>
      </c>
      <c r="G738" s="64">
        <v>14.920791437470948</v>
      </c>
      <c r="H738" s="64">
        <v>24.174667276903289</v>
      </c>
      <c r="I738" s="64">
        <v>24.175819076903288</v>
      </c>
      <c r="J738" s="64">
        <v>14.919639637470947</v>
      </c>
      <c r="K738" s="64">
        <v>14.920791437470948</v>
      </c>
    </row>
    <row r="739" spans="1:11" ht="15">
      <c r="A739" s="13">
        <v>64132</v>
      </c>
      <c r="B739" s="63">
        <v>12.606981924592207</v>
      </c>
      <c r="C739" s="63">
        <v>12.606981924592207</v>
      </c>
      <c r="D739" s="63">
        <v>12.624145644592206</v>
      </c>
      <c r="E739" s="64">
        <v>14.772752353510432</v>
      </c>
      <c r="F739" s="64">
        <v>14.772752353510432</v>
      </c>
      <c r="G739" s="64">
        <v>14.773904153510433</v>
      </c>
      <c r="H739" s="64">
        <v>24.22503116706352</v>
      </c>
      <c r="I739" s="64">
        <v>24.226182967063519</v>
      </c>
      <c r="J739" s="64">
        <v>14.772752353510432</v>
      </c>
      <c r="K739" s="64">
        <v>14.773904153510433</v>
      </c>
    </row>
    <row r="740" spans="1:11" ht="15">
      <c r="A740" s="13">
        <v>64163</v>
      </c>
      <c r="B740" s="63">
        <v>12.60394215186491</v>
      </c>
      <c r="C740" s="63">
        <v>12.60394215186491</v>
      </c>
      <c r="D740" s="63">
        <v>12.621105871864909</v>
      </c>
      <c r="E740" s="64">
        <v>14.753795009341546</v>
      </c>
      <c r="F740" s="64">
        <v>14.75379500934157</v>
      </c>
      <c r="G740" s="64">
        <v>14.75494680934157</v>
      </c>
      <c r="H740" s="64">
        <v>24.275499981994876</v>
      </c>
      <c r="I740" s="64">
        <v>24.276651781994875</v>
      </c>
      <c r="J740" s="64">
        <v>14.753795009341546</v>
      </c>
      <c r="K740" s="64">
        <v>14.754946809341547</v>
      </c>
    </row>
    <row r="741" spans="1:11" ht="15">
      <c r="A741" s="13">
        <v>64193</v>
      </c>
      <c r="B741" s="63">
        <v>12.627350601235381</v>
      </c>
      <c r="C741" s="63">
        <v>12.627350601235381</v>
      </c>
      <c r="D741" s="63">
        <v>12.635934321235382</v>
      </c>
      <c r="E741" s="64">
        <v>14.807731730649834</v>
      </c>
      <c r="F741" s="64">
        <v>14.807731730649834</v>
      </c>
      <c r="G741" s="64">
        <v>14.807908530649835</v>
      </c>
      <c r="H741" s="64">
        <v>24.326073940290694</v>
      </c>
      <c r="I741" s="64">
        <v>24.326250740290693</v>
      </c>
      <c r="J741" s="64">
        <v>14.807731730649834</v>
      </c>
      <c r="K741" s="64">
        <v>14.807908530649835</v>
      </c>
    </row>
    <row r="742" spans="1:11" ht="15">
      <c r="A742" s="13">
        <v>64224</v>
      </c>
      <c r="B742" s="63">
        <v>12.630390373962653</v>
      </c>
      <c r="C742" s="63">
        <v>12.630390373962653</v>
      </c>
      <c r="D742" s="63">
        <v>12.638974093962654</v>
      </c>
      <c r="E742" s="64">
        <v>14.843527774919691</v>
      </c>
      <c r="F742" s="64">
        <v>14.843527774919691</v>
      </c>
      <c r="G742" s="64">
        <v>14.843704574919691</v>
      </c>
      <c r="H742" s="64">
        <v>24.37675326099966</v>
      </c>
      <c r="I742" s="64">
        <v>24.376930060999658</v>
      </c>
      <c r="J742" s="64">
        <v>14.843527774919691</v>
      </c>
      <c r="K742" s="64">
        <v>14.843704574919691</v>
      </c>
    </row>
    <row r="743" spans="1:11" ht="15">
      <c r="A743" s="13">
        <v>64254</v>
      </c>
      <c r="B743" s="63">
        <v>12.630390373962653</v>
      </c>
      <c r="C743" s="63">
        <v>12.630390373962653</v>
      </c>
      <c r="D743" s="63">
        <v>12.638974093962654</v>
      </c>
      <c r="E743" s="64">
        <v>14.759334274414361</v>
      </c>
      <c r="F743" s="64">
        <v>14.759334274414361</v>
      </c>
      <c r="G743" s="64">
        <v>14.759511074414361</v>
      </c>
      <c r="H743" s="64">
        <v>24.427538163626764</v>
      </c>
      <c r="I743" s="64">
        <v>24.427714963626762</v>
      </c>
      <c r="J743" s="64">
        <v>14.759334274414361</v>
      </c>
      <c r="K743" s="64">
        <v>14.759511074414361</v>
      </c>
    </row>
    <row r="744" spans="1:11" ht="15">
      <c r="A744" s="13">
        <v>64285</v>
      </c>
      <c r="B744" s="63">
        <v>12.644897597112829</v>
      </c>
      <c r="C744" s="63">
        <v>12.644897597112829</v>
      </c>
      <c r="D744" s="63">
        <v>12.65348131711283</v>
      </c>
      <c r="E744" s="64">
        <v>14.83518752961583</v>
      </c>
      <c r="F744" s="64">
        <v>14.83518752961583</v>
      </c>
      <c r="G744" s="64">
        <v>14.83536432961583</v>
      </c>
      <c r="H744" s="64">
        <v>24.320566290856139</v>
      </c>
      <c r="I744" s="64">
        <v>24.320743090856137</v>
      </c>
      <c r="J744" s="64">
        <v>14.83518752961583</v>
      </c>
      <c r="K744" s="64">
        <v>14.83536432961583</v>
      </c>
    </row>
    <row r="745" spans="1:11" ht="15">
      <c r="A745" s="13">
        <v>64316</v>
      </c>
      <c r="B745" s="63">
        <v>12.641857824385557</v>
      </c>
      <c r="C745" s="63">
        <v>12.641857824385557</v>
      </c>
      <c r="D745" s="63">
        <v>12.650441544385558</v>
      </c>
      <c r="E745" s="64">
        <v>14.670752634329274</v>
      </c>
      <c r="F745" s="64">
        <v>14.6707526343293</v>
      </c>
      <c r="G745" s="64">
        <v>14.670929434329301</v>
      </c>
      <c r="H745" s="64">
        <v>24.371234137295392</v>
      </c>
      <c r="I745" s="64">
        <v>24.371410937295391</v>
      </c>
      <c r="J745" s="64">
        <v>14.670752634329274</v>
      </c>
      <c r="K745" s="64">
        <v>14.670929434329274</v>
      </c>
    </row>
    <row r="746" spans="1:11" ht="15">
      <c r="A746" s="13">
        <v>64345</v>
      </c>
      <c r="B746" s="63">
        <v>12.638818051658259</v>
      </c>
      <c r="C746" s="63">
        <v>12.638818051658259</v>
      </c>
      <c r="D746" s="63">
        <v>12.647401771658259</v>
      </c>
      <c r="E746" s="64">
        <v>14.79659430554802</v>
      </c>
      <c r="F746" s="64">
        <v>14.79659430554802</v>
      </c>
      <c r="G746" s="64">
        <v>14.79677110554802</v>
      </c>
      <c r="H746" s="64">
        <v>24.42200754174808</v>
      </c>
      <c r="I746" s="64">
        <v>24.422184341748078</v>
      </c>
      <c r="J746" s="64">
        <v>14.79659430554802</v>
      </c>
      <c r="K746" s="64">
        <v>14.79677110554802</v>
      </c>
    </row>
    <row r="747" spans="1:11" ht="15">
      <c r="A747" s="13">
        <v>64376</v>
      </c>
      <c r="B747" s="63">
        <v>12.643872019784904</v>
      </c>
      <c r="C747" s="63">
        <v>12.643872019784904</v>
      </c>
      <c r="D747" s="63">
        <v>12.652455739784905</v>
      </c>
      <c r="E747" s="64">
        <v>14.929780761141359</v>
      </c>
      <c r="F747" s="64">
        <v>14.929780761141359</v>
      </c>
      <c r="G747" s="64">
        <v>14.929957561141359</v>
      </c>
      <c r="H747" s="64">
        <v>24.472886724126742</v>
      </c>
      <c r="I747" s="64">
        <v>24.47306352412674</v>
      </c>
      <c r="J747" s="64">
        <v>14.929780761141359</v>
      </c>
      <c r="K747" s="64">
        <v>14.929957561141359</v>
      </c>
    </row>
    <row r="748" spans="1:11" ht="15">
      <c r="A748" s="13">
        <v>64406</v>
      </c>
      <c r="B748" s="63">
        <v>12.643872019784904</v>
      </c>
      <c r="C748" s="63">
        <v>12.643872019784904</v>
      </c>
      <c r="D748" s="63">
        <v>12.661035739784904</v>
      </c>
      <c r="E748" s="64">
        <v>14.98131466503968</v>
      </c>
      <c r="F748" s="64">
        <v>14.98131466503968</v>
      </c>
      <c r="G748" s="64">
        <v>14.98246646503968</v>
      </c>
      <c r="H748" s="64">
        <v>24.523871904801997</v>
      </c>
      <c r="I748" s="64">
        <v>24.525023704801995</v>
      </c>
      <c r="J748" s="64">
        <v>14.98131466503968</v>
      </c>
      <c r="K748" s="64">
        <v>14.98246646503968</v>
      </c>
    </row>
    <row r="749" spans="1:11" ht="15">
      <c r="A749" s="13">
        <v>64437</v>
      </c>
      <c r="B749" s="63">
        <v>12.649951565239425</v>
      </c>
      <c r="C749" s="63">
        <v>12.649951565239425</v>
      </c>
      <c r="D749" s="63">
        <v>12.667115285239424</v>
      </c>
      <c r="E749" s="64">
        <v>14.934018049276952</v>
      </c>
      <c r="F749" s="64">
        <v>14.934018049276952</v>
      </c>
      <c r="G749" s="64">
        <v>14.935169849276953</v>
      </c>
      <c r="H749" s="64">
        <v>24.57496330460366</v>
      </c>
      <c r="I749" s="64">
        <v>24.576115104603659</v>
      </c>
      <c r="J749" s="64">
        <v>14.934018049276952</v>
      </c>
      <c r="K749" s="64">
        <v>14.935169849276953</v>
      </c>
    </row>
    <row r="750" spans="1:11" ht="15">
      <c r="A750" s="13">
        <v>64467</v>
      </c>
      <c r="B750" s="63">
        <v>12.849509671223201</v>
      </c>
      <c r="C750" s="63">
        <v>12.849509671223201</v>
      </c>
      <c r="D750" s="63">
        <v>12.8666733912232</v>
      </c>
      <c r="E750" s="64">
        <v>15.219522923687173</v>
      </c>
      <c r="F750" s="64">
        <v>15.219522923687173</v>
      </c>
      <c r="G750" s="64">
        <v>15.220674723687173</v>
      </c>
      <c r="H750" s="64">
        <v>24.626161144821605</v>
      </c>
      <c r="I750" s="64">
        <v>24.627312944821604</v>
      </c>
      <c r="J750" s="64">
        <v>15.219522923687173</v>
      </c>
      <c r="K750" s="64">
        <v>15.220674723687173</v>
      </c>
    </row>
    <row r="751" spans="1:11" ht="15">
      <c r="A751" s="13">
        <v>64498</v>
      </c>
      <c r="B751" s="63">
        <v>12.856197171223199</v>
      </c>
      <c r="C751" s="63">
        <v>12.856197171223199</v>
      </c>
      <c r="D751" s="63">
        <v>12.873360891223198</v>
      </c>
      <c r="E751" s="64">
        <v>15.069582228941286</v>
      </c>
      <c r="F751" s="64">
        <v>15.069582228941286</v>
      </c>
      <c r="G751" s="64">
        <v>15.070734028941287</v>
      </c>
      <c r="H751" s="64">
        <v>24.677465647206667</v>
      </c>
      <c r="I751" s="64">
        <v>24.678617447206666</v>
      </c>
      <c r="J751" s="64">
        <v>15.069582228941286</v>
      </c>
      <c r="K751" s="64">
        <v>15.070734028941287</v>
      </c>
    </row>
    <row r="752" spans="1:11" ht="15">
      <c r="A752" s="13">
        <v>64529</v>
      </c>
      <c r="B752" s="63">
        <v>12.853157398495901</v>
      </c>
      <c r="C752" s="63">
        <v>12.853157398495901</v>
      </c>
      <c r="D752" s="63">
        <v>12.8703211184959</v>
      </c>
      <c r="E752" s="64">
        <v>15.050285616907358</v>
      </c>
      <c r="F752" s="64">
        <v>15.050285616907383</v>
      </c>
      <c r="G752" s="64">
        <v>15.051437416907383</v>
      </c>
      <c r="H752" s="64">
        <v>24.728877033971653</v>
      </c>
      <c r="I752" s="64">
        <v>24.730028833971652</v>
      </c>
      <c r="J752" s="64">
        <v>15.050285616907358</v>
      </c>
      <c r="K752" s="64">
        <v>15.051437416907358</v>
      </c>
    </row>
    <row r="753" spans="1:11" ht="15">
      <c r="A753" s="13">
        <v>64559</v>
      </c>
      <c r="B753" s="63">
        <v>12.877368551156174</v>
      </c>
      <c r="C753" s="63">
        <v>12.877368551156174</v>
      </c>
      <c r="D753" s="63">
        <v>12.885952271156174</v>
      </c>
      <c r="E753" s="64">
        <v>15.105579409675814</v>
      </c>
      <c r="F753" s="64">
        <v>15.105579409675814</v>
      </c>
      <c r="G753" s="64">
        <v>15.105756209675814</v>
      </c>
      <c r="H753" s="64">
        <v>24.780395527792422</v>
      </c>
      <c r="I753" s="64">
        <v>24.78057232779242</v>
      </c>
      <c r="J753" s="64">
        <v>15.105579409675814</v>
      </c>
      <c r="K753" s="64">
        <v>15.105756209675814</v>
      </c>
    </row>
    <row r="754" spans="1:11" ht="15">
      <c r="A754" s="13">
        <v>64590</v>
      </c>
      <c r="B754" s="63">
        <v>12.880408323883445</v>
      </c>
      <c r="C754" s="63">
        <v>12.880408323883445</v>
      </c>
      <c r="D754" s="63">
        <v>12.888992043883446</v>
      </c>
      <c r="E754" s="64">
        <v>15.142053989675746</v>
      </c>
      <c r="F754" s="64">
        <v>15.142053989675746</v>
      </c>
      <c r="G754" s="64">
        <v>15.142230789675747</v>
      </c>
      <c r="H754" s="64">
        <v>24.832021351808685</v>
      </c>
      <c r="I754" s="64">
        <v>24.832198151808683</v>
      </c>
      <c r="J754" s="64">
        <v>15.142053989675746</v>
      </c>
      <c r="K754" s="64">
        <v>15.142230789675747</v>
      </c>
    </row>
    <row r="755" spans="1:11" ht="15">
      <c r="A755" s="13">
        <v>64620</v>
      </c>
      <c r="B755" s="63">
        <v>12.880408323883445</v>
      </c>
      <c r="C755" s="63">
        <v>12.880408323883445</v>
      </c>
      <c r="D755" s="63">
        <v>12.888992043883446</v>
      </c>
      <c r="E755" s="64">
        <v>15.056164149845213</v>
      </c>
      <c r="F755" s="64">
        <v>15.056164149845213</v>
      </c>
      <c r="G755" s="64">
        <v>15.056340949845213</v>
      </c>
      <c r="H755" s="64">
        <v>24.883754729624975</v>
      </c>
      <c r="I755" s="64">
        <v>24.883931529624974</v>
      </c>
      <c r="J755" s="64">
        <v>15.056164149845213</v>
      </c>
      <c r="K755" s="64">
        <v>15.056340949845213</v>
      </c>
    </row>
    <row r="756" spans="1:11" ht="15">
      <c r="A756" s="13">
        <v>64651</v>
      </c>
      <c r="B756" s="63">
        <v>12.890216890459692</v>
      </c>
      <c r="C756" s="63">
        <v>12.890216890459692</v>
      </c>
      <c r="D756" s="63">
        <v>12.898800610459693</v>
      </c>
      <c r="E756" s="64">
        <v>15.127598642224619</v>
      </c>
      <c r="F756" s="64">
        <v>15.127598642224619</v>
      </c>
      <c r="G756" s="64">
        <v>15.127775442224619</v>
      </c>
      <c r="H756" s="64">
        <v>24.7664574096565</v>
      </c>
      <c r="I756" s="64">
        <v>24.766634209656498</v>
      </c>
      <c r="J756" s="64">
        <v>15.127598642224619</v>
      </c>
      <c r="K756" s="64">
        <v>15.127775442224619</v>
      </c>
    </row>
    <row r="757" spans="1:11" ht="15">
      <c r="A757" s="13">
        <v>64682</v>
      </c>
      <c r="B757" s="63">
        <v>12.887177117732421</v>
      </c>
      <c r="C757" s="63">
        <v>12.887177117732421</v>
      </c>
      <c r="D757" s="63">
        <v>12.895760837732421</v>
      </c>
      <c r="E757" s="64">
        <v>14.959957972650843</v>
      </c>
      <c r="F757" s="64">
        <v>14.959957972650871</v>
      </c>
      <c r="G757" s="64">
        <v>14.960134772650871</v>
      </c>
      <c r="H757" s="64">
        <v>24.818054195926585</v>
      </c>
      <c r="I757" s="64">
        <v>24.818230995926584</v>
      </c>
      <c r="J757" s="64">
        <v>14.959957972650843</v>
      </c>
      <c r="K757" s="64">
        <v>14.960134772650843</v>
      </c>
    </row>
    <row r="758" spans="1:11" ht="15">
      <c r="A758" s="13">
        <v>64710</v>
      </c>
      <c r="B758" s="63">
        <v>12.88413734500512</v>
      </c>
      <c r="C758" s="63">
        <v>12.88413734500512</v>
      </c>
      <c r="D758" s="63">
        <v>12.892721065005121</v>
      </c>
      <c r="E758" s="64">
        <v>15.088326882426728</v>
      </c>
      <c r="F758" s="64">
        <v>15.088326882426728</v>
      </c>
      <c r="G758" s="64">
        <v>15.088503682426728</v>
      </c>
      <c r="H758" s="64">
        <v>24.86975847550142</v>
      </c>
      <c r="I758" s="64">
        <v>24.869935275501419</v>
      </c>
      <c r="J758" s="64">
        <v>15.088326882426728</v>
      </c>
      <c r="K758" s="64">
        <v>15.088503682426728</v>
      </c>
    </row>
    <row r="759" spans="1:11" ht="15">
      <c r="A759" s="13">
        <v>64741</v>
      </c>
      <c r="B759" s="63">
        <v>12.889396933968683</v>
      </c>
      <c r="C759" s="63">
        <v>12.889396933968683</v>
      </c>
      <c r="D759" s="63">
        <v>12.897980653968684</v>
      </c>
      <c r="E759" s="64">
        <v>15.224227480940398</v>
      </c>
      <c r="F759" s="64">
        <v>15.224227480940398</v>
      </c>
      <c r="G759" s="64">
        <v>15.224404280940398</v>
      </c>
      <c r="H759" s="64">
        <v>24.921570472325403</v>
      </c>
      <c r="I759" s="64">
        <v>24.921747272325401</v>
      </c>
      <c r="J759" s="64">
        <v>15.224227480940398</v>
      </c>
      <c r="K759" s="64">
        <v>15.224404280940398</v>
      </c>
    </row>
    <row r="760" spans="1:11" ht="15">
      <c r="A760" s="13">
        <v>64771</v>
      </c>
      <c r="B760" s="63">
        <v>12.889396933968683</v>
      </c>
      <c r="C760" s="63">
        <v>12.889396933968683</v>
      </c>
      <c r="D760" s="63">
        <v>12.906560653968683</v>
      </c>
      <c r="E760" s="64">
        <v>15.27677918843384</v>
      </c>
      <c r="F760" s="64">
        <v>15.27677918843384</v>
      </c>
      <c r="G760" s="64">
        <v>15.277930988433841</v>
      </c>
      <c r="H760" s="64">
        <v>24.973490410809404</v>
      </c>
      <c r="I760" s="64">
        <v>24.974642210809403</v>
      </c>
      <c r="J760" s="64">
        <v>15.27677918843384</v>
      </c>
      <c r="K760" s="64">
        <v>15.277930988433841</v>
      </c>
    </row>
    <row r="761" spans="1:11" ht="15">
      <c r="A761" s="13">
        <v>64802</v>
      </c>
      <c r="B761" s="63">
        <v>12.895476479423202</v>
      </c>
      <c r="C761" s="63">
        <v>12.895476479423202</v>
      </c>
      <c r="D761" s="63">
        <v>12.912640199423201</v>
      </c>
      <c r="E761" s="64">
        <v>15.228464769075991</v>
      </c>
      <c r="F761" s="64">
        <v>15.228464769075991</v>
      </c>
      <c r="G761" s="64">
        <v>15.229616569075992</v>
      </c>
      <c r="H761" s="64">
        <v>25.025518515831916</v>
      </c>
      <c r="I761" s="64">
        <v>25.026670315831915</v>
      </c>
      <c r="J761" s="64">
        <v>15.228464769075991</v>
      </c>
      <c r="K761" s="64">
        <v>15.229616569075992</v>
      </c>
    </row>
    <row r="762" spans="1:11" ht="15">
      <c r="A762" s="13">
        <v>64832</v>
      </c>
      <c r="B762" s="63">
        <v>13.098724917854193</v>
      </c>
      <c r="C762" s="63">
        <v>13.098724917854193</v>
      </c>
      <c r="D762" s="63">
        <v>13.115888637854193</v>
      </c>
      <c r="E762" s="64">
        <v>15.519406209903398</v>
      </c>
      <c r="F762" s="64">
        <v>15.519406209903398</v>
      </c>
      <c r="G762" s="64">
        <v>15.520558009903398</v>
      </c>
      <c r="H762" s="64">
        <v>25.077655012739921</v>
      </c>
      <c r="I762" s="64">
        <v>25.07880681273992</v>
      </c>
      <c r="J762" s="64">
        <v>15.519406209903398</v>
      </c>
      <c r="K762" s="64">
        <v>15.520558009903398</v>
      </c>
    </row>
    <row r="763" spans="1:11" ht="15">
      <c r="A763" s="13">
        <v>64863</v>
      </c>
      <c r="B763" s="63">
        <v>13.105412417854192</v>
      </c>
      <c r="C763" s="63">
        <v>13.105412417854192</v>
      </c>
      <c r="D763" s="63">
        <v>13.122576137854191</v>
      </c>
      <c r="E763" s="64">
        <v>15.36641210437214</v>
      </c>
      <c r="F763" s="64">
        <v>15.36641210437214</v>
      </c>
      <c r="G763" s="64">
        <v>15.36756390437214</v>
      </c>
      <c r="H763" s="64">
        <v>25.129900127349813</v>
      </c>
      <c r="I763" s="64">
        <v>25.131051927349812</v>
      </c>
      <c r="J763" s="64">
        <v>15.36641210437214</v>
      </c>
      <c r="K763" s="64">
        <v>15.36756390437214</v>
      </c>
    </row>
    <row r="764" spans="1:11" ht="15">
      <c r="A764" s="13">
        <v>64894</v>
      </c>
      <c r="B764" s="63">
        <v>13.102372645126891</v>
      </c>
      <c r="C764" s="63">
        <v>13.102372645126891</v>
      </c>
      <c r="D764" s="63">
        <v>13.119536365126891</v>
      </c>
      <c r="E764" s="64">
        <v>15.346776224473169</v>
      </c>
      <c r="F764" s="64">
        <v>15.346776224473196</v>
      </c>
      <c r="G764" s="64">
        <v>15.347928024473196</v>
      </c>
      <c r="H764" s="64">
        <v>25.182254085948429</v>
      </c>
      <c r="I764" s="64">
        <v>25.183405885948428</v>
      </c>
      <c r="J764" s="64">
        <v>15.346776224473169</v>
      </c>
      <c r="K764" s="64">
        <v>15.34792802447317</v>
      </c>
    </row>
    <row r="765" spans="1:11" ht="15">
      <c r="A765" s="13">
        <v>64924</v>
      </c>
      <c r="B765" s="63">
        <v>13.127386501076966</v>
      </c>
      <c r="C765" s="63">
        <v>13.127386501076966</v>
      </c>
      <c r="D765" s="63">
        <v>13.135970221076967</v>
      </c>
      <c r="E765" s="64">
        <v>15.403427088701793</v>
      </c>
      <c r="F765" s="64">
        <v>15.403427088701793</v>
      </c>
      <c r="G765" s="64">
        <v>15.403603888701793</v>
      </c>
      <c r="H765" s="64">
        <v>25.234717115294149</v>
      </c>
      <c r="I765" s="64">
        <v>25.234893915294148</v>
      </c>
      <c r="J765" s="64">
        <v>15.403427088701793</v>
      </c>
      <c r="K765" s="64">
        <v>15.403603888701793</v>
      </c>
    </row>
    <row r="766" spans="1:11" ht="15">
      <c r="A766" s="13">
        <v>64955</v>
      </c>
      <c r="B766" s="63">
        <v>13.130426273804238</v>
      </c>
      <c r="C766" s="63">
        <v>13.130426273804238</v>
      </c>
      <c r="D766" s="63">
        <v>13.139009993804239</v>
      </c>
      <c r="E766" s="64">
        <v>15.440580204431802</v>
      </c>
      <c r="F766" s="64">
        <v>15.440580204431802</v>
      </c>
      <c r="G766" s="64">
        <v>15.440757004431802</v>
      </c>
      <c r="H766" s="64">
        <v>25.287289442617709</v>
      </c>
      <c r="I766" s="64">
        <v>25.287466242617707</v>
      </c>
      <c r="J766" s="64">
        <v>15.440580204431802</v>
      </c>
      <c r="K766" s="64">
        <v>15.440757004431802</v>
      </c>
    </row>
    <row r="767" spans="1:11" ht="15">
      <c r="A767" s="13">
        <v>64985</v>
      </c>
      <c r="B767" s="63">
        <v>13.130426273804238</v>
      </c>
      <c r="C767" s="63">
        <v>13.130426273804238</v>
      </c>
      <c r="D767" s="63">
        <v>13.139009993804239</v>
      </c>
      <c r="E767" s="64">
        <v>15.352994025276065</v>
      </c>
      <c r="F767" s="64">
        <v>15.352994025276065</v>
      </c>
      <c r="G767" s="64">
        <v>15.353170825276065</v>
      </c>
      <c r="H767" s="64">
        <v>25.339971295623187</v>
      </c>
      <c r="I767" s="64">
        <v>25.340148095623185</v>
      </c>
      <c r="J767" s="64">
        <v>15.352994025276065</v>
      </c>
      <c r="K767" s="64">
        <v>15.353170825276065</v>
      </c>
    </row>
    <row r="768" spans="1:11" ht="15">
      <c r="A768" s="13">
        <v>65016</v>
      </c>
      <c r="B768" s="63">
        <v>13.135536183806556</v>
      </c>
      <c r="C768" s="63">
        <v>13.135536183806556</v>
      </c>
      <c r="D768" s="63">
        <v>13.144119903806557</v>
      </c>
      <c r="E768" s="64">
        <v>15.420009754833409</v>
      </c>
      <c r="F768" s="64">
        <v>15.420009754833409</v>
      </c>
      <c r="G768" s="64">
        <v>15.420186554833409</v>
      </c>
      <c r="H768" s="64">
        <v>25.212348528456861</v>
      </c>
      <c r="I768" s="64">
        <v>25.212525328456859</v>
      </c>
      <c r="J768" s="64">
        <v>15.420009754833409</v>
      </c>
      <c r="K768" s="64">
        <v>15.420186554833409</v>
      </c>
    </row>
    <row r="769" spans="1:11" ht="15">
      <c r="A769" s="13">
        <v>65047</v>
      </c>
      <c r="B769" s="63">
        <v>13.132496411079284</v>
      </c>
      <c r="C769" s="63">
        <v>13.132496411079284</v>
      </c>
      <c r="D769" s="63">
        <v>13.141080131079285</v>
      </c>
      <c r="E769" s="64">
        <v>15.249163310972412</v>
      </c>
      <c r="F769" s="64">
        <v>15.249163310972442</v>
      </c>
      <c r="G769" s="64">
        <v>15.249340110972442</v>
      </c>
      <c r="H769" s="64">
        <v>25.264874254557778</v>
      </c>
      <c r="I769" s="64">
        <v>25.265051054557777</v>
      </c>
      <c r="J769" s="64">
        <v>15.249163310972412</v>
      </c>
      <c r="K769" s="64">
        <v>15.249340110972412</v>
      </c>
    </row>
    <row r="770" spans="1:11" ht="15">
      <c r="A770" s="13">
        <v>65075</v>
      </c>
      <c r="B770" s="63">
        <v>13.129456638351982</v>
      </c>
      <c r="C770" s="63">
        <v>13.129456638351982</v>
      </c>
      <c r="D770" s="63">
        <v>13.138040358351983</v>
      </c>
      <c r="E770" s="64">
        <v>15.380059459305436</v>
      </c>
      <c r="F770" s="64">
        <v>15.380059459305436</v>
      </c>
      <c r="G770" s="64">
        <v>15.380236259305436</v>
      </c>
      <c r="H770" s="64">
        <v>25.317509409254761</v>
      </c>
      <c r="I770" s="64">
        <v>25.317686209254759</v>
      </c>
      <c r="J770" s="64">
        <v>15.380059459305436</v>
      </c>
      <c r="K770" s="64">
        <v>15.380236259305436</v>
      </c>
    </row>
    <row r="771" spans="1:11" ht="15">
      <c r="A771" s="13">
        <v>65106</v>
      </c>
      <c r="B771" s="63">
        <v>13.134921848152462</v>
      </c>
      <c r="C771" s="63">
        <v>13.134921848152462</v>
      </c>
      <c r="D771" s="63">
        <v>13.143505568152463</v>
      </c>
      <c r="E771" s="64">
        <v>15.518674200739436</v>
      </c>
      <c r="F771" s="64">
        <v>15.518674200739436</v>
      </c>
      <c r="G771" s="64">
        <v>15.518851000739437</v>
      </c>
      <c r="H771" s="64">
        <v>25.370254220524064</v>
      </c>
      <c r="I771" s="64">
        <v>25.370431020524062</v>
      </c>
      <c r="J771" s="64">
        <v>15.518674200739436</v>
      </c>
      <c r="K771" s="64">
        <v>15.518851000739437</v>
      </c>
    </row>
    <row r="772" spans="1:11" ht="15">
      <c r="A772" s="13">
        <v>65136</v>
      </c>
      <c r="B772" s="63">
        <v>13.134921848152462</v>
      </c>
      <c r="C772" s="63">
        <v>13.134921848152462</v>
      </c>
      <c r="D772" s="63">
        <v>13.152085568152462</v>
      </c>
      <c r="E772" s="64">
        <v>15.572243711828001</v>
      </c>
      <c r="F772" s="64">
        <v>15.572243711828001</v>
      </c>
      <c r="G772" s="64">
        <v>15.573395511828002</v>
      </c>
      <c r="H772" s="64">
        <v>25.423108916816812</v>
      </c>
      <c r="I772" s="64">
        <v>25.424260716816811</v>
      </c>
      <c r="J772" s="64">
        <v>15.572243711828001</v>
      </c>
      <c r="K772" s="64">
        <v>15.573395511828002</v>
      </c>
    </row>
    <row r="773" spans="1:11" ht="15">
      <c r="A773" s="13">
        <v>65167</v>
      </c>
      <c r="B773" s="63">
        <v>13.141001393606979</v>
      </c>
      <c r="C773" s="63">
        <v>13.141001393606979</v>
      </c>
      <c r="D773" s="63">
        <v>13.158165113606978</v>
      </c>
      <c r="E773" s="64">
        <v>15.52291148887503</v>
      </c>
      <c r="F773" s="64">
        <v>15.52291148887503</v>
      </c>
      <c r="G773" s="64">
        <v>15.524063288875031</v>
      </c>
      <c r="H773" s="64">
        <v>25.476073727060172</v>
      </c>
      <c r="I773" s="64">
        <v>25.47722552706017</v>
      </c>
      <c r="J773" s="64">
        <v>15.52291148887503</v>
      </c>
      <c r="K773" s="64">
        <v>15.524063288875031</v>
      </c>
    </row>
    <row r="774" spans="1:11" ht="15">
      <c r="A774" s="13">
        <v>65197</v>
      </c>
      <c r="B774" s="63">
        <v>13.347940164485186</v>
      </c>
      <c r="C774" s="63">
        <v>13.347940164485186</v>
      </c>
      <c r="D774" s="63">
        <v>13.365103884485185</v>
      </c>
      <c r="E774" s="64">
        <v>15.819289496119623</v>
      </c>
      <c r="F774" s="64">
        <v>15.819289496119623</v>
      </c>
      <c r="G774" s="64">
        <v>15.820441296119624</v>
      </c>
      <c r="H774" s="64">
        <v>25.529148880658237</v>
      </c>
      <c r="I774" s="64">
        <v>25.530300680658236</v>
      </c>
      <c r="J774" s="64">
        <v>15.819289496119623</v>
      </c>
      <c r="K774" s="64">
        <v>15.820441296119624</v>
      </c>
    </row>
    <row r="775" spans="1:11" ht="15">
      <c r="A775" s="13">
        <v>65228</v>
      </c>
      <c r="B775" s="63">
        <v>13.354627664485184</v>
      </c>
      <c r="C775" s="63">
        <v>13.354627664485184</v>
      </c>
      <c r="D775" s="63">
        <v>13.371791384485183</v>
      </c>
      <c r="E775" s="64">
        <v>15.663241979802994</v>
      </c>
      <c r="F775" s="64">
        <v>15.663241979802994</v>
      </c>
      <c r="G775" s="64">
        <v>15.664393779802994</v>
      </c>
      <c r="H775" s="64">
        <v>25.58233460749296</v>
      </c>
      <c r="I775" s="64">
        <v>25.583486407492959</v>
      </c>
      <c r="J775" s="64">
        <v>15.663241979802994</v>
      </c>
      <c r="K775" s="64">
        <v>15.664393779802994</v>
      </c>
    </row>
    <row r="776" spans="1:11" ht="15">
      <c r="A776" s="13">
        <v>65259</v>
      </c>
      <c r="B776" s="63">
        <v>13.351587891757882</v>
      </c>
      <c r="C776" s="63">
        <v>13.351587891757882</v>
      </c>
      <c r="D776" s="63">
        <v>13.368751611757881</v>
      </c>
      <c r="E776" s="64">
        <v>15.64326683203898</v>
      </c>
      <c r="F776" s="64">
        <v>15.643266832039009</v>
      </c>
      <c r="G776" s="64">
        <v>15.64441863203901</v>
      </c>
      <c r="H776" s="64">
        <v>25.635631137925206</v>
      </c>
      <c r="I776" s="64">
        <v>25.636782937925204</v>
      </c>
      <c r="J776" s="64">
        <v>15.64326683203898</v>
      </c>
      <c r="K776" s="64">
        <v>15.644418632038981</v>
      </c>
    </row>
    <row r="777" spans="1:11" ht="15">
      <c r="A777" s="13">
        <v>65289</v>
      </c>
      <c r="B777" s="63">
        <v>13.377404450997759</v>
      </c>
      <c r="C777" s="63">
        <v>13.377404450997759</v>
      </c>
      <c r="D777" s="63">
        <v>13.385988170997759</v>
      </c>
      <c r="E777" s="64">
        <v>15.701274767727773</v>
      </c>
      <c r="F777" s="64">
        <v>15.701274767727773</v>
      </c>
      <c r="G777" s="64">
        <v>15.701451567727773</v>
      </c>
      <c r="H777" s="64">
        <v>25.689038702795877</v>
      </c>
      <c r="I777" s="64">
        <v>25.689215502795875</v>
      </c>
      <c r="J777" s="64">
        <v>15.701274767727773</v>
      </c>
      <c r="K777" s="64">
        <v>15.701451567727773</v>
      </c>
    </row>
    <row r="778" spans="1:11" ht="15">
      <c r="A778" s="13">
        <v>65320</v>
      </c>
      <c r="B778" s="63">
        <v>13.38044422372503</v>
      </c>
      <c r="C778" s="63">
        <v>13.38044422372503</v>
      </c>
      <c r="D778" s="63">
        <v>13.389027943725031</v>
      </c>
      <c r="E778" s="64">
        <v>15.739106419187857</v>
      </c>
      <c r="F778" s="64">
        <v>15.739106419187857</v>
      </c>
      <c r="G778" s="64">
        <v>15.739283219187858</v>
      </c>
      <c r="H778" s="64">
        <v>25.742557533426734</v>
      </c>
      <c r="I778" s="64">
        <v>25.742734333426732</v>
      </c>
      <c r="J778" s="64">
        <v>15.739106419187857</v>
      </c>
      <c r="K778" s="64">
        <v>15.739283219187858</v>
      </c>
    </row>
    <row r="779" spans="1:11" ht="15">
      <c r="A779" s="13">
        <v>65350</v>
      </c>
      <c r="B779" s="63">
        <v>13.38044422372503</v>
      </c>
      <c r="C779" s="63">
        <v>13.38044422372503</v>
      </c>
      <c r="D779" s="63">
        <v>13.389027943725031</v>
      </c>
      <c r="E779" s="64">
        <v>15.649823900706917</v>
      </c>
      <c r="F779" s="64">
        <v>15.649823900706917</v>
      </c>
      <c r="G779" s="64">
        <v>15.650000700706917</v>
      </c>
      <c r="H779" s="64">
        <v>25.796187861621398</v>
      </c>
      <c r="I779" s="64">
        <v>25.796364661621396</v>
      </c>
      <c r="J779" s="64">
        <v>15.649823900706917</v>
      </c>
      <c r="K779" s="64">
        <v>15.650000700706917</v>
      </c>
    </row>
    <row r="780" spans="1:11" ht="15">
      <c r="A780" s="13">
        <v>65381</v>
      </c>
      <c r="B780" s="63">
        <v>13.380855477153419</v>
      </c>
      <c r="C780" s="63">
        <v>13.380855477153419</v>
      </c>
      <c r="D780" s="63">
        <v>13.38943919715342</v>
      </c>
      <c r="E780" s="64">
        <v>15.712420867442198</v>
      </c>
      <c r="F780" s="64">
        <v>15.712420867442198</v>
      </c>
      <c r="G780" s="64">
        <v>15.712597667442198</v>
      </c>
      <c r="H780" s="64">
        <v>25.658239647257222</v>
      </c>
      <c r="I780" s="64">
        <v>25.65841644725722</v>
      </c>
      <c r="J780" s="64">
        <v>15.712420867442198</v>
      </c>
      <c r="K780" s="64">
        <v>15.712597667442198</v>
      </c>
    </row>
    <row r="781" spans="1:11" ht="15">
      <c r="A781" s="13">
        <v>65412</v>
      </c>
      <c r="B781" s="63">
        <v>13.377815704426148</v>
      </c>
      <c r="C781" s="63">
        <v>13.377815704426148</v>
      </c>
      <c r="D781" s="63">
        <v>13.386399424426148</v>
      </c>
      <c r="E781" s="64">
        <v>15.538368649293981</v>
      </c>
      <c r="F781" s="64">
        <v>15.538368649294013</v>
      </c>
      <c r="G781" s="64">
        <v>15.538545449294013</v>
      </c>
      <c r="H781" s="64">
        <v>25.711694313188971</v>
      </c>
      <c r="I781" s="64">
        <v>25.71187111318897</v>
      </c>
      <c r="J781" s="64">
        <v>15.538368649293981</v>
      </c>
      <c r="K781" s="64">
        <v>15.538545449293981</v>
      </c>
    </row>
    <row r="782" spans="1:11" ht="15">
      <c r="A782" s="13">
        <v>65440</v>
      </c>
      <c r="B782" s="63">
        <v>13.374775931698844</v>
      </c>
      <c r="C782" s="63">
        <v>13.374775931698844</v>
      </c>
      <c r="D782" s="63">
        <v>13.383359651698845</v>
      </c>
      <c r="E782" s="64">
        <v>15.671792036184144</v>
      </c>
      <c r="F782" s="64">
        <v>15.671792036184144</v>
      </c>
      <c r="G782" s="64">
        <v>15.671968836184144</v>
      </c>
      <c r="H782" s="64">
        <v>25.765260343008102</v>
      </c>
      <c r="I782" s="64">
        <v>25.7654371430081</v>
      </c>
      <c r="J782" s="64">
        <v>15.671792036184144</v>
      </c>
      <c r="K782" s="64">
        <v>15.671968836184144</v>
      </c>
    </row>
    <row r="783" spans="1:11" ht="15">
      <c r="A783" s="13">
        <v>65471</v>
      </c>
      <c r="B783" s="63">
        <v>13.380446762336241</v>
      </c>
      <c r="C783" s="63">
        <v>13.380446762336241</v>
      </c>
      <c r="D783" s="63">
        <v>13.389030482336242</v>
      </c>
      <c r="E783" s="64">
        <v>15.813120920538475</v>
      </c>
      <c r="F783" s="64">
        <v>15.813120920538475</v>
      </c>
      <c r="G783" s="64">
        <v>15.813297720538475</v>
      </c>
      <c r="H783" s="64">
        <v>25.818937968722725</v>
      </c>
      <c r="I783" s="64">
        <v>25.819114768722724</v>
      </c>
      <c r="J783" s="64">
        <v>15.813120920538475</v>
      </c>
      <c r="K783" s="64">
        <v>15.813297720538475</v>
      </c>
    </row>
    <row r="784" spans="1:11" ht="15">
      <c r="A784" s="13">
        <v>65501</v>
      </c>
      <c r="B784" s="63">
        <v>13.380446762336241</v>
      </c>
      <c r="C784" s="63">
        <v>13.380446762336241</v>
      </c>
      <c r="D784" s="63">
        <v>13.397610482336241</v>
      </c>
      <c r="E784" s="64">
        <v>15.867708235222162</v>
      </c>
      <c r="F784" s="64">
        <v>15.867708235222162</v>
      </c>
      <c r="G784" s="64">
        <v>15.868860035222163</v>
      </c>
      <c r="H784" s="64">
        <v>25.872727422824219</v>
      </c>
      <c r="I784" s="64">
        <v>25.873879222824218</v>
      </c>
      <c r="J784" s="64">
        <v>15.867708235222162</v>
      </c>
      <c r="K784" s="64">
        <v>15.868860035222163</v>
      </c>
    </row>
    <row r="785" spans="1:11" ht="15">
      <c r="A785" s="13">
        <v>65532</v>
      </c>
      <c r="B785" s="63">
        <v>13.386526307790756</v>
      </c>
      <c r="C785" s="63">
        <v>13.386526307790756</v>
      </c>
      <c r="D785" s="63">
        <v>13.403690027790756</v>
      </c>
      <c r="E785" s="64">
        <v>15.817358208674069</v>
      </c>
      <c r="F785" s="64">
        <v>15.817358208674069</v>
      </c>
      <c r="G785" s="64">
        <v>15.818510008674069</v>
      </c>
      <c r="H785" s="64">
        <v>25.926628938288427</v>
      </c>
      <c r="I785" s="64">
        <v>25.927780738288426</v>
      </c>
      <c r="J785" s="64">
        <v>15.817358208674069</v>
      </c>
      <c r="K785" s="64">
        <v>15.818510008674069</v>
      </c>
    </row>
    <row r="786" spans="1:11" ht="15">
      <c r="A786" s="13">
        <v>65562</v>
      </c>
      <c r="B786" s="63">
        <v>13.597155411116178</v>
      </c>
      <c r="C786" s="63">
        <v>13.597155411116178</v>
      </c>
      <c r="D786" s="63">
        <v>13.614319131116178</v>
      </c>
      <c r="E786" s="64">
        <v>16.119172782335848</v>
      </c>
      <c r="F786" s="64">
        <v>16.119172782335848</v>
      </c>
      <c r="G786" s="64">
        <v>16.120324582335847</v>
      </c>
      <c r="H786" s="64">
        <v>25.980642748576553</v>
      </c>
      <c r="I786" s="64">
        <v>25.981794548576552</v>
      </c>
      <c r="J786" s="64">
        <v>16.119172782335848</v>
      </c>
      <c r="K786" s="64">
        <v>16.120324582335847</v>
      </c>
    </row>
    <row r="787" spans="1:11" ht="15">
      <c r="A787" s="13">
        <v>65593</v>
      </c>
      <c r="B787" s="63">
        <v>13.603842911116176</v>
      </c>
      <c r="C787" s="63">
        <v>13.603842911116176</v>
      </c>
      <c r="D787" s="63">
        <v>13.621006631116176</v>
      </c>
      <c r="E787" s="64">
        <v>15.960071855233847</v>
      </c>
      <c r="F787" s="64">
        <v>15.960071855233847</v>
      </c>
      <c r="G787" s="64">
        <v>15.961223655233848</v>
      </c>
      <c r="H787" s="64">
        <v>26.034769087636107</v>
      </c>
      <c r="I787" s="64">
        <v>26.035920887636106</v>
      </c>
      <c r="J787" s="64">
        <v>15.960071855233847</v>
      </c>
      <c r="K787" s="64">
        <v>15.961223655233848</v>
      </c>
    </row>
    <row r="788" spans="1:11" ht="15">
      <c r="A788" s="13">
        <v>65624</v>
      </c>
      <c r="B788" s="63">
        <v>13.600803138388873</v>
      </c>
      <c r="C788" s="63">
        <v>13.600803138388873</v>
      </c>
      <c r="D788" s="63">
        <v>13.617966858388872</v>
      </c>
      <c r="E788" s="64">
        <v>15.939757439604792</v>
      </c>
      <c r="F788" s="64">
        <v>15.939757439604822</v>
      </c>
      <c r="G788" s="64">
        <v>15.940909239604823</v>
      </c>
      <c r="H788" s="64">
        <v>26.089008189901982</v>
      </c>
      <c r="I788" s="64">
        <v>26.090159989901981</v>
      </c>
      <c r="J788" s="64">
        <v>15.939757439604792</v>
      </c>
      <c r="K788" s="64">
        <v>15.940909239604792</v>
      </c>
    </row>
    <row r="789" spans="1:11" ht="15">
      <c r="A789" s="13">
        <v>65654</v>
      </c>
      <c r="B789" s="63">
        <v>13.627422400918551</v>
      </c>
      <c r="C789" s="63">
        <v>13.627422400918551</v>
      </c>
      <c r="D789" s="63">
        <v>13.636006120918552</v>
      </c>
      <c r="E789" s="64">
        <v>15.999122446753752</v>
      </c>
      <c r="F789" s="64">
        <v>15.999122446753752</v>
      </c>
      <c r="G789" s="64">
        <v>15.999299246753752</v>
      </c>
      <c r="H789" s="64">
        <v>26.143360290297604</v>
      </c>
      <c r="I789" s="64">
        <v>26.143537090297603</v>
      </c>
      <c r="J789" s="64">
        <v>15.999122446753752</v>
      </c>
      <c r="K789" s="64">
        <v>15.999299246753752</v>
      </c>
    </row>
    <row r="790" spans="1:11" ht="15">
      <c r="A790" s="13">
        <v>65685</v>
      </c>
      <c r="B790" s="63">
        <v>13.630462173645823</v>
      </c>
      <c r="C790" s="63">
        <v>13.630462173645823</v>
      </c>
      <c r="D790" s="63">
        <v>13.639045893645823</v>
      </c>
      <c r="E790" s="64">
        <v>16.037632633943915</v>
      </c>
      <c r="F790" s="64">
        <v>16.037632633943915</v>
      </c>
      <c r="G790" s="64">
        <v>16.037809433943913</v>
      </c>
      <c r="H790" s="64">
        <v>26.197825624235758</v>
      </c>
      <c r="I790" s="64">
        <v>26.198002424235757</v>
      </c>
      <c r="J790" s="64">
        <v>16.037632633943915</v>
      </c>
      <c r="K790" s="64">
        <v>16.037809433943913</v>
      </c>
    </row>
    <row r="791" spans="1:11" ht="15">
      <c r="A791" s="13">
        <v>65715</v>
      </c>
      <c r="B791" s="63">
        <v>13.630462173645823</v>
      </c>
      <c r="C791" s="63">
        <v>13.630462173645823</v>
      </c>
      <c r="D791" s="63">
        <v>13.639045893645823</v>
      </c>
      <c r="E791" s="64">
        <v>15.946653776137769</v>
      </c>
      <c r="F791" s="64">
        <v>15.946653776137769</v>
      </c>
      <c r="G791" s="64">
        <v>15.946830576137769</v>
      </c>
      <c r="H791" s="64">
        <v>26.252404427619609</v>
      </c>
      <c r="I791" s="64">
        <v>26.252581227619608</v>
      </c>
      <c r="J791" s="64">
        <v>15.946653776137769</v>
      </c>
      <c r="K791" s="64">
        <v>15.946830576137769</v>
      </c>
    </row>
    <row r="792" spans="1:11" ht="15">
      <c r="A792" s="13">
        <v>65746</v>
      </c>
      <c r="B792" s="63">
        <v>13.626174770500283</v>
      </c>
      <c r="C792" s="63">
        <v>13.626174770500283</v>
      </c>
      <c r="D792" s="63">
        <v>13.634758490500284</v>
      </c>
      <c r="E792" s="64">
        <v>16.004831980050987</v>
      </c>
      <c r="F792" s="64">
        <v>16.004831980050987</v>
      </c>
      <c r="G792" s="64">
        <v>16.005008780050986</v>
      </c>
      <c r="H792" s="64">
        <v>26.104130766057583</v>
      </c>
      <c r="I792" s="64">
        <v>26.104307566057582</v>
      </c>
      <c r="J792" s="64">
        <v>16.004831980050987</v>
      </c>
      <c r="K792" s="64">
        <v>16.005008780050986</v>
      </c>
    </row>
    <row r="793" spans="1:11" ht="15">
      <c r="A793" s="13">
        <v>65777</v>
      </c>
      <c r="B793" s="63">
        <v>13.623134997773011</v>
      </c>
      <c r="C793" s="63">
        <v>13.623134997773011</v>
      </c>
      <c r="D793" s="63">
        <v>13.631718717773012</v>
      </c>
      <c r="E793" s="64">
        <v>15.827573987615549</v>
      </c>
      <c r="F793" s="64">
        <v>15.827573987615583</v>
      </c>
      <c r="G793" s="64">
        <v>15.827750787615583</v>
      </c>
      <c r="H793" s="64">
        <v>26.158514371820164</v>
      </c>
      <c r="I793" s="64">
        <v>26.158691171820163</v>
      </c>
      <c r="J793" s="64">
        <v>15.827573987615549</v>
      </c>
      <c r="K793" s="64">
        <v>15.82775078761555</v>
      </c>
    </row>
    <row r="794" spans="1:11" ht="15">
      <c r="A794" s="13">
        <v>65806</v>
      </c>
      <c r="B794" s="63">
        <v>13.620095225045706</v>
      </c>
      <c r="C794" s="63">
        <v>13.620095225045706</v>
      </c>
      <c r="D794" s="63">
        <v>13.628678945045706</v>
      </c>
      <c r="E794" s="64">
        <v>15.963524613062852</v>
      </c>
      <c r="F794" s="64">
        <v>15.963524613062852</v>
      </c>
      <c r="G794" s="64">
        <v>15.963701413062852</v>
      </c>
      <c r="H794" s="64">
        <v>26.213011276761442</v>
      </c>
      <c r="I794" s="64">
        <v>26.21318807676144</v>
      </c>
      <c r="J794" s="64">
        <v>15.963524613062852</v>
      </c>
      <c r="K794" s="64">
        <v>15.963701413062852</v>
      </c>
    </row>
    <row r="795" spans="1:11" ht="15">
      <c r="A795" s="13">
        <v>65837</v>
      </c>
      <c r="B795" s="63">
        <v>13.62597167652002</v>
      </c>
      <c r="C795" s="63">
        <v>13.62597167652002</v>
      </c>
      <c r="D795" s="63">
        <v>13.634555396520021</v>
      </c>
      <c r="E795" s="64">
        <v>16.107567640337514</v>
      </c>
      <c r="F795" s="64">
        <v>16.107567640337514</v>
      </c>
      <c r="G795" s="64">
        <v>16.107744440337513</v>
      </c>
      <c r="H795" s="64">
        <v>26.267621716921386</v>
      </c>
      <c r="I795" s="64">
        <v>26.267798516921385</v>
      </c>
      <c r="J795" s="64">
        <v>16.107567640337514</v>
      </c>
      <c r="K795" s="64">
        <v>16.107744440337513</v>
      </c>
    </row>
    <row r="796" spans="1:11" ht="15">
      <c r="A796" s="13">
        <v>65867</v>
      </c>
      <c r="B796" s="63">
        <v>13.62597167652002</v>
      </c>
      <c r="C796" s="63">
        <v>13.62597167652002</v>
      </c>
      <c r="D796" s="63">
        <v>13.643135396520019</v>
      </c>
      <c r="E796" s="64">
        <v>16.163172758616323</v>
      </c>
      <c r="F796" s="64">
        <v>16.163172758616323</v>
      </c>
      <c r="G796" s="64">
        <v>16.164324558616322</v>
      </c>
      <c r="H796" s="64">
        <v>26.322345928831627</v>
      </c>
      <c r="I796" s="64">
        <v>26.323497728831626</v>
      </c>
      <c r="J796" s="64">
        <v>16.163172758616323</v>
      </c>
      <c r="K796" s="64">
        <v>16.164324558616322</v>
      </c>
    </row>
    <row r="797" spans="1:11" ht="15">
      <c r="A797" s="13">
        <v>65898</v>
      </c>
      <c r="B797" s="63">
        <v>13.632051221974534</v>
      </c>
      <c r="C797" s="63">
        <v>13.632051221974534</v>
      </c>
      <c r="D797" s="63">
        <v>13.649214941974533</v>
      </c>
      <c r="E797" s="64">
        <v>16.111804928473106</v>
      </c>
      <c r="F797" s="64">
        <v>16.111804928473106</v>
      </c>
      <c r="G797" s="64">
        <v>16.112956728473105</v>
      </c>
      <c r="H797" s="64">
        <v>26.377184149516683</v>
      </c>
      <c r="I797" s="64">
        <v>26.378335949516682</v>
      </c>
      <c r="J797" s="64">
        <v>16.111804928473106</v>
      </c>
      <c r="K797" s="64">
        <v>16.112956728473105</v>
      </c>
    </row>
    <row r="798" spans="1:11" ht="15">
      <c r="A798" s="13">
        <v>65928</v>
      </c>
      <c r="B798" s="63">
        <v>13.846370657747171</v>
      </c>
      <c r="C798" s="63">
        <v>13.846370657747171</v>
      </c>
      <c r="D798" s="63">
        <v>13.86353437774717</v>
      </c>
      <c r="E798" s="64">
        <v>16.419056068552074</v>
      </c>
      <c r="F798" s="64">
        <v>16.419056068552074</v>
      </c>
      <c r="G798" s="64">
        <v>16.420207868552072</v>
      </c>
      <c r="H798" s="64">
        <v>26.432136616494869</v>
      </c>
      <c r="I798" s="64">
        <v>26.433288416494868</v>
      </c>
      <c r="J798" s="64">
        <v>16.419056068552074</v>
      </c>
      <c r="K798" s="64">
        <v>16.420207868552072</v>
      </c>
    </row>
    <row r="799" spans="1:11" ht="15">
      <c r="A799" s="13">
        <v>65959</v>
      </c>
      <c r="B799" s="63">
        <v>13.853058157747169</v>
      </c>
      <c r="C799" s="63">
        <v>13.853058157747169</v>
      </c>
      <c r="D799" s="63">
        <v>13.870221877747168</v>
      </c>
      <c r="E799" s="64">
        <v>16.256901730664701</v>
      </c>
      <c r="F799" s="64">
        <v>16.256901730664701</v>
      </c>
      <c r="G799" s="64">
        <v>16.2580535306647</v>
      </c>
      <c r="H799" s="64">
        <v>26.487203567779254</v>
      </c>
      <c r="I799" s="64">
        <v>26.488355367779253</v>
      </c>
      <c r="J799" s="64">
        <v>16.256901730664701</v>
      </c>
      <c r="K799" s="64">
        <v>16.2580535306647</v>
      </c>
    </row>
    <row r="800" spans="1:11" ht="15">
      <c r="A800" s="13">
        <v>65990</v>
      </c>
      <c r="B800" s="63">
        <v>13.850018385019863</v>
      </c>
      <c r="C800" s="63">
        <v>13.850018385019863</v>
      </c>
      <c r="D800" s="63">
        <v>13.867182105019863</v>
      </c>
      <c r="E800" s="64">
        <v>16.236248047170605</v>
      </c>
      <c r="F800" s="64">
        <v>16.236248047170633</v>
      </c>
      <c r="G800" s="64">
        <v>16.237399847170632</v>
      </c>
      <c r="H800" s="64">
        <v>26.542385241878758</v>
      </c>
      <c r="I800" s="64">
        <v>26.543537041878757</v>
      </c>
      <c r="J800" s="64">
        <v>16.236248047170605</v>
      </c>
      <c r="K800" s="64">
        <v>16.237399847170604</v>
      </c>
    </row>
    <row r="801" spans="1:11" ht="15">
      <c r="A801" s="13">
        <v>66020</v>
      </c>
      <c r="B801" s="63">
        <v>13.877440350839343</v>
      </c>
      <c r="C801" s="63">
        <v>13.877440350839343</v>
      </c>
      <c r="D801" s="63">
        <v>13.886024070839344</v>
      </c>
      <c r="E801" s="64">
        <v>16.29697012577973</v>
      </c>
      <c r="F801" s="64">
        <v>16.29697012577973</v>
      </c>
      <c r="G801" s="64">
        <v>16.297146925779728</v>
      </c>
      <c r="H801" s="64">
        <v>26.597681877799332</v>
      </c>
      <c r="I801" s="64">
        <v>26.59785867779933</v>
      </c>
      <c r="J801" s="64">
        <v>16.29697012577973</v>
      </c>
      <c r="K801" s="64">
        <v>16.297146925779728</v>
      </c>
    </row>
    <row r="802" spans="1:11" ht="15">
      <c r="A802" s="13">
        <v>66051</v>
      </c>
      <c r="B802" s="63">
        <v>13.880480123566615</v>
      </c>
      <c r="C802" s="63">
        <v>13.880480123566615</v>
      </c>
      <c r="D802" s="63">
        <v>13.889063843566616</v>
      </c>
      <c r="E802" s="64">
        <v>16.336158848699974</v>
      </c>
      <c r="F802" s="64">
        <v>16.336158848699974</v>
      </c>
      <c r="G802" s="64">
        <v>16.336335648699972</v>
      </c>
      <c r="H802" s="64">
        <v>26.653093715044783</v>
      </c>
      <c r="I802" s="64">
        <v>26.653270515044781</v>
      </c>
      <c r="J802" s="64">
        <v>16.336158848699974</v>
      </c>
      <c r="K802" s="64">
        <v>16.336335648699972</v>
      </c>
    </row>
    <row r="803" spans="1:11" ht="15">
      <c r="A803" s="13">
        <v>66081</v>
      </c>
      <c r="B803" s="63">
        <v>13.880480123566615</v>
      </c>
      <c r="C803" s="63">
        <v>13.880480123566615</v>
      </c>
      <c r="D803" s="63">
        <v>13.889063843566616</v>
      </c>
      <c r="E803" s="64">
        <v>16.243483651568621</v>
      </c>
      <c r="F803" s="64">
        <v>16.243483651568621</v>
      </c>
      <c r="G803" s="64">
        <v>16.243660451568619</v>
      </c>
      <c r="H803" s="64">
        <v>26.708620993617821</v>
      </c>
      <c r="I803" s="64">
        <v>26.708797793617819</v>
      </c>
      <c r="J803" s="64">
        <v>16.243483651568621</v>
      </c>
      <c r="K803" s="64">
        <v>16.243660451568619</v>
      </c>
    </row>
    <row r="804" spans="1:11" ht="15">
      <c r="A804" s="13">
        <v>66112</v>
      </c>
      <c r="B804" s="63">
        <v>13.871494063847146</v>
      </c>
      <c r="C804" s="63">
        <v>13.871494063847146</v>
      </c>
      <c r="D804" s="63">
        <v>13.880077783847147</v>
      </c>
      <c r="E804" s="64">
        <v>16.297243092659777</v>
      </c>
      <c r="F804" s="64">
        <v>16.297243092659777</v>
      </c>
      <c r="G804" s="64">
        <v>16.297419892659775</v>
      </c>
      <c r="H804" s="64">
        <v>26.550021884857944</v>
      </c>
      <c r="I804" s="64">
        <v>26.550198684857943</v>
      </c>
      <c r="J804" s="64">
        <v>16.297243092659777</v>
      </c>
      <c r="K804" s="64">
        <v>16.297419892659775</v>
      </c>
    </row>
    <row r="805" spans="1:11" ht="15">
      <c r="A805" s="13">
        <v>66143</v>
      </c>
      <c r="B805" s="63">
        <v>13.868454291119875</v>
      </c>
      <c r="C805" s="63">
        <v>13.868454291119875</v>
      </c>
      <c r="D805" s="63">
        <v>13.877038011119875</v>
      </c>
      <c r="E805" s="64">
        <v>16.116779325937117</v>
      </c>
      <c r="F805" s="64">
        <v>16.116779325937152</v>
      </c>
      <c r="G805" s="64">
        <v>16.116956125937151</v>
      </c>
      <c r="H805" s="64">
        <v>26.605334430451357</v>
      </c>
      <c r="I805" s="64">
        <v>26.605511230451356</v>
      </c>
      <c r="J805" s="64">
        <v>16.116779325937117</v>
      </c>
      <c r="K805" s="64">
        <v>16.116956125937115</v>
      </c>
    </row>
    <row r="806" spans="1:11" ht="15">
      <c r="A806" s="13">
        <v>66171</v>
      </c>
      <c r="B806" s="63">
        <v>13.865414518392567</v>
      </c>
      <c r="C806" s="63">
        <v>13.865414518392567</v>
      </c>
      <c r="D806" s="63">
        <v>13.873998238392568</v>
      </c>
      <c r="E806" s="64">
        <v>16.25525718994156</v>
      </c>
      <c r="F806" s="64">
        <v>16.25525718994156</v>
      </c>
      <c r="G806" s="64">
        <v>16.255433989941558</v>
      </c>
      <c r="H806" s="64">
        <v>26.660762210514783</v>
      </c>
      <c r="I806" s="64">
        <v>26.660939010514781</v>
      </c>
      <c r="J806" s="64">
        <v>16.25525718994156</v>
      </c>
      <c r="K806" s="64">
        <v>16.255433989941558</v>
      </c>
    </row>
    <row r="807" spans="1:11" ht="15">
      <c r="A807" s="13">
        <v>66202</v>
      </c>
      <c r="B807" s="63">
        <v>13.871496590703799</v>
      </c>
      <c r="C807" s="63">
        <v>13.871496590703799</v>
      </c>
      <c r="D807" s="63">
        <v>13.8800803107038</v>
      </c>
      <c r="E807" s="64">
        <v>16.402014360136555</v>
      </c>
      <c r="F807" s="64">
        <v>16.402014360136555</v>
      </c>
      <c r="G807" s="64">
        <v>16.402191160136553</v>
      </c>
      <c r="H807" s="64">
        <v>26.716305465120048</v>
      </c>
      <c r="I807" s="64">
        <v>26.716482265120046</v>
      </c>
      <c r="J807" s="64">
        <v>16.402014360136555</v>
      </c>
      <c r="K807" s="64">
        <v>16.402191160136553</v>
      </c>
    </row>
    <row r="808" spans="1:11" ht="15">
      <c r="A808" s="13">
        <v>66232</v>
      </c>
      <c r="B808" s="63">
        <v>13.871496590703799</v>
      </c>
      <c r="C808" s="63">
        <v>13.871496590703799</v>
      </c>
      <c r="D808" s="63">
        <v>13.888660310703798</v>
      </c>
      <c r="E808" s="64">
        <v>16.458637282010486</v>
      </c>
      <c r="F808" s="64">
        <v>16.458637282010486</v>
      </c>
      <c r="G808" s="64">
        <v>16.459789082010484</v>
      </c>
      <c r="H808" s="64">
        <v>26.771964434839035</v>
      </c>
      <c r="I808" s="64">
        <v>26.773116234839033</v>
      </c>
      <c r="J808" s="64">
        <v>16.458637282010486</v>
      </c>
      <c r="K808" s="64">
        <v>16.459789082010484</v>
      </c>
    </row>
    <row r="809" spans="1:11" ht="15">
      <c r="A809" s="13">
        <v>66263</v>
      </c>
      <c r="B809" s="63">
        <v>13.877576136158311</v>
      </c>
      <c r="C809" s="63">
        <v>13.877576136158311</v>
      </c>
      <c r="D809" s="63">
        <v>13.89473985615831</v>
      </c>
      <c r="E809" s="64">
        <v>16.406251648272143</v>
      </c>
      <c r="F809" s="64">
        <v>16.406251648272143</v>
      </c>
      <c r="G809" s="64">
        <v>16.407403448272142</v>
      </c>
      <c r="H809" s="64">
        <v>26.827739360744939</v>
      </c>
      <c r="I809" s="64">
        <v>26.828891160744938</v>
      </c>
      <c r="J809" s="64">
        <v>16.406251648272143</v>
      </c>
      <c r="K809" s="64">
        <v>16.407403448272142</v>
      </c>
    </row>
    <row r="810" spans="1:11" ht="15">
      <c r="A810" s="13">
        <v>66293</v>
      </c>
      <c r="B810" s="63">
        <v>14.095585904378163</v>
      </c>
      <c r="C810" s="63">
        <v>14.095585904378163</v>
      </c>
      <c r="D810" s="63">
        <v>14.112749624378162</v>
      </c>
      <c r="E810" s="64">
        <v>16.718939354768299</v>
      </c>
      <c r="F810" s="64">
        <v>16.718939354768299</v>
      </c>
      <c r="G810" s="64">
        <v>16.720091154768298</v>
      </c>
      <c r="H810" s="64">
        <v>26.883630484413185</v>
      </c>
      <c r="I810" s="64">
        <v>26.884782284413184</v>
      </c>
      <c r="J810" s="64">
        <v>16.718939354768299</v>
      </c>
      <c r="K810" s="64">
        <v>16.720091154768298</v>
      </c>
    </row>
    <row r="811" spans="1:11" ht="15">
      <c r="A811" s="13">
        <v>66324</v>
      </c>
      <c r="B811" s="63">
        <v>14.102273404378161</v>
      </c>
      <c r="C811" s="63">
        <v>14.102273404378161</v>
      </c>
      <c r="D811" s="63">
        <v>14.119437124378161</v>
      </c>
      <c r="E811" s="64">
        <v>16.553731606095553</v>
      </c>
      <c r="F811" s="64">
        <v>16.553731606095553</v>
      </c>
      <c r="G811" s="64">
        <v>16.554883406095552</v>
      </c>
      <c r="H811" s="64">
        <v>26.939638047922401</v>
      </c>
      <c r="I811" s="64">
        <v>26.9407898479224</v>
      </c>
      <c r="J811" s="64">
        <v>16.553731606095553</v>
      </c>
      <c r="K811" s="64">
        <v>16.554883406095552</v>
      </c>
    </row>
    <row r="812" spans="1:11" ht="15">
      <c r="A812" s="13">
        <v>66355</v>
      </c>
      <c r="B812" s="63">
        <v>14.099233631650854</v>
      </c>
      <c r="C812" s="63">
        <v>14.099233631650854</v>
      </c>
      <c r="D812" s="63">
        <v>14.116397351650853</v>
      </c>
      <c r="E812" s="64">
        <v>16.53273865473642</v>
      </c>
      <c r="F812" s="64">
        <v>16.532738654736445</v>
      </c>
      <c r="G812" s="64">
        <v>16.533890454736444</v>
      </c>
      <c r="H812" s="64">
        <v>26.995762293855535</v>
      </c>
      <c r="I812" s="64">
        <v>26.996914093855533</v>
      </c>
      <c r="J812" s="64">
        <v>16.53273865473642</v>
      </c>
      <c r="K812" s="64">
        <v>16.533890454736419</v>
      </c>
    </row>
    <row r="813" spans="1:11" ht="15">
      <c r="A813" s="13">
        <v>66385</v>
      </c>
      <c r="B813" s="63">
        <v>14.127458300760136</v>
      </c>
      <c r="C813" s="63">
        <v>14.127458300760136</v>
      </c>
      <c r="D813" s="63">
        <v>14.136042020760136</v>
      </c>
      <c r="E813" s="64">
        <v>16.594817804805707</v>
      </c>
      <c r="F813" s="64">
        <v>16.594817804805707</v>
      </c>
      <c r="G813" s="64">
        <v>16.594994604805706</v>
      </c>
      <c r="H813" s="64">
        <v>27.052003465301059</v>
      </c>
      <c r="I813" s="64">
        <v>27.052180265301057</v>
      </c>
      <c r="J813" s="64">
        <v>16.594817804805707</v>
      </c>
      <c r="K813" s="64">
        <v>16.594994604805706</v>
      </c>
    </row>
    <row r="814" spans="1:11" ht="15">
      <c r="A814" s="13">
        <v>66416</v>
      </c>
      <c r="B814" s="63">
        <v>14.130498073487407</v>
      </c>
      <c r="C814" s="63">
        <v>14.130498073487407</v>
      </c>
      <c r="D814" s="63">
        <v>14.139081793487408</v>
      </c>
      <c r="E814" s="64">
        <v>16.634685063456033</v>
      </c>
      <c r="F814" s="64">
        <v>16.634685063456033</v>
      </c>
      <c r="G814" s="64">
        <v>16.634861863456031</v>
      </c>
      <c r="H814" s="64">
        <v>27.108361805853807</v>
      </c>
      <c r="I814" s="64">
        <v>27.108538605853806</v>
      </c>
      <c r="J814" s="64">
        <v>16.634685063456033</v>
      </c>
      <c r="K814" s="64">
        <v>16.634861863456031</v>
      </c>
    </row>
    <row r="815" spans="1:11" ht="15">
      <c r="A815" s="13">
        <v>66446</v>
      </c>
      <c r="B815" s="63">
        <v>14.130498073487407</v>
      </c>
      <c r="C815" s="63">
        <v>14.130498073487407</v>
      </c>
      <c r="D815" s="63">
        <v>14.139081793487408</v>
      </c>
      <c r="E815" s="64">
        <v>16.540313526999473</v>
      </c>
      <c r="F815" s="64">
        <v>16.540313526999473</v>
      </c>
      <c r="G815" s="64">
        <v>16.540490326999471</v>
      </c>
      <c r="H815" s="64">
        <v>27.164837559616032</v>
      </c>
      <c r="I815" s="64">
        <v>27.165014359616031</v>
      </c>
      <c r="J815" s="64">
        <v>16.540313526999473</v>
      </c>
      <c r="K815" s="64">
        <v>16.540490326999471</v>
      </c>
    </row>
    <row r="816" spans="1:11" ht="15">
      <c r="A816" s="13">
        <v>66477</v>
      </c>
      <c r="B816" s="63">
        <v>14.11681335719401</v>
      </c>
      <c r="C816" s="63">
        <v>14.11681335719401</v>
      </c>
      <c r="D816" s="63">
        <v>14.125397077194011</v>
      </c>
      <c r="E816" s="64">
        <v>16.589654205268566</v>
      </c>
      <c r="F816" s="64">
        <v>16.589654205268566</v>
      </c>
      <c r="G816" s="64">
        <v>16.589831005268564</v>
      </c>
      <c r="H816" s="64">
        <v>26.995913003658305</v>
      </c>
      <c r="I816" s="64">
        <v>26.996089803658304</v>
      </c>
      <c r="J816" s="64">
        <v>16.589654205268566</v>
      </c>
      <c r="K816" s="64">
        <v>16.589831005268564</v>
      </c>
    </row>
    <row r="817" spans="1:11" ht="15">
      <c r="A817" s="13">
        <v>66508</v>
      </c>
      <c r="B817" s="63">
        <v>14.113773584466738</v>
      </c>
      <c r="C817" s="63">
        <v>14.113773584466738</v>
      </c>
      <c r="D817" s="63">
        <v>14.122357304466739</v>
      </c>
      <c r="E817" s="64">
        <v>16.405984664258682</v>
      </c>
      <c r="F817" s="64">
        <v>16.405984664258721</v>
      </c>
      <c r="G817" s="64">
        <v>16.406161464258719</v>
      </c>
      <c r="H817" s="64">
        <v>27.05215448908255</v>
      </c>
      <c r="I817" s="64">
        <v>27.052331289082549</v>
      </c>
      <c r="J817" s="64">
        <v>16.405984664258682</v>
      </c>
      <c r="K817" s="64">
        <v>16.40616146425868</v>
      </c>
    </row>
    <row r="818" spans="1:11" ht="15">
      <c r="A818" s="13">
        <v>66536</v>
      </c>
      <c r="B818" s="63">
        <v>14.110733811739429</v>
      </c>
      <c r="C818" s="63">
        <v>14.110733811739429</v>
      </c>
      <c r="D818" s="63">
        <v>14.11931753173943</v>
      </c>
      <c r="E818" s="64">
        <v>16.546989766820268</v>
      </c>
      <c r="F818" s="64">
        <v>16.546989766820268</v>
      </c>
      <c r="G818" s="64">
        <v>16.547166566820266</v>
      </c>
      <c r="H818" s="64">
        <v>27.108513144268123</v>
      </c>
      <c r="I818" s="64">
        <v>27.108689944268122</v>
      </c>
      <c r="J818" s="64">
        <v>16.546989766820268</v>
      </c>
      <c r="K818" s="64">
        <v>16.547166566820266</v>
      </c>
    </row>
    <row r="819" spans="1:11" ht="15">
      <c r="A819" s="13">
        <v>66567</v>
      </c>
      <c r="B819" s="63">
        <v>14.117021504887578</v>
      </c>
      <c r="C819" s="63">
        <v>14.117021504887578</v>
      </c>
      <c r="D819" s="63">
        <v>14.125605224887579</v>
      </c>
      <c r="E819" s="64">
        <v>16.696461079935595</v>
      </c>
      <c r="F819" s="64">
        <v>16.696461079935595</v>
      </c>
      <c r="G819" s="64">
        <v>16.696637879935594</v>
      </c>
      <c r="H819" s="64">
        <v>27.164989213318709</v>
      </c>
      <c r="I819" s="64">
        <v>27.165166013318707</v>
      </c>
      <c r="J819" s="64">
        <v>16.696461079935595</v>
      </c>
      <c r="K819" s="64">
        <v>16.696637879935594</v>
      </c>
    </row>
    <row r="820" spans="1:11" ht="15">
      <c r="A820" s="13">
        <v>66597</v>
      </c>
      <c r="B820" s="63">
        <v>14.117021504887578</v>
      </c>
      <c r="C820" s="63">
        <v>14.117021504887578</v>
      </c>
      <c r="D820" s="63">
        <v>14.134185224887577</v>
      </c>
      <c r="E820" s="64">
        <v>16.754101805404648</v>
      </c>
      <c r="F820" s="64">
        <v>16.754101805404648</v>
      </c>
      <c r="G820" s="64">
        <v>16.755253605404647</v>
      </c>
      <c r="H820" s="64">
        <v>27.221582940846442</v>
      </c>
      <c r="I820" s="64">
        <v>27.222734740846441</v>
      </c>
      <c r="J820" s="64">
        <v>16.754101805404648</v>
      </c>
      <c r="K820" s="64">
        <v>16.755253605404647</v>
      </c>
    </row>
    <row r="821" spans="1:11" ht="15">
      <c r="A821" s="13">
        <v>66628</v>
      </c>
      <c r="B821" s="63">
        <v>14.123101050342088</v>
      </c>
      <c r="C821" s="63">
        <v>14.123101050342088</v>
      </c>
      <c r="D821" s="63">
        <v>14.140264770342087</v>
      </c>
      <c r="E821" s="64">
        <v>16.70069836807118</v>
      </c>
      <c r="F821" s="64">
        <v>16.70069836807118</v>
      </c>
      <c r="G821" s="64">
        <v>16.701850168071179</v>
      </c>
      <c r="H821" s="64">
        <v>27.278294571973195</v>
      </c>
      <c r="I821" s="64">
        <v>27.279446371973194</v>
      </c>
      <c r="J821" s="64">
        <v>16.70069836807118</v>
      </c>
      <c r="K821" s="64">
        <v>16.701850168071179</v>
      </c>
    </row>
    <row r="822" spans="1:11" ht="15">
      <c r="A822" s="13">
        <v>66658</v>
      </c>
      <c r="B822" s="63">
        <v>14.344801151009156</v>
      </c>
      <c r="C822" s="63">
        <v>14.344801151009156</v>
      </c>
      <c r="D822" s="63">
        <v>14.361964871009155</v>
      </c>
      <c r="E822" s="64">
        <v>17.018822640984524</v>
      </c>
      <c r="F822" s="64">
        <v>17.018822640984524</v>
      </c>
      <c r="G822" s="64">
        <v>17.019974440984523</v>
      </c>
      <c r="H822" s="64">
        <v>27.335124352331501</v>
      </c>
      <c r="I822" s="64">
        <v>27.3362761523315</v>
      </c>
      <c r="J822" s="64">
        <v>17.018822640984524</v>
      </c>
      <c r="K822" s="64">
        <v>17.019974440984523</v>
      </c>
    </row>
    <row r="823" spans="1:11" ht="15">
      <c r="A823" s="13">
        <v>66689</v>
      </c>
      <c r="B823" s="63">
        <v>14.351488651009154</v>
      </c>
      <c r="C823" s="63">
        <v>14.351488651009154</v>
      </c>
      <c r="D823" s="63">
        <v>14.368652371009153</v>
      </c>
      <c r="E823" s="64">
        <v>16.850561481526405</v>
      </c>
      <c r="F823" s="64">
        <v>16.850561481526405</v>
      </c>
      <c r="G823" s="64">
        <v>16.851713281526404</v>
      </c>
      <c r="H823" s="64">
        <v>27.392072528065547</v>
      </c>
      <c r="I823" s="64">
        <v>27.393224328065546</v>
      </c>
      <c r="J823" s="64">
        <v>16.850561481526405</v>
      </c>
      <c r="K823" s="64">
        <v>16.851713281526404</v>
      </c>
    </row>
    <row r="824" spans="1:11" ht="15">
      <c r="A824" s="13">
        <v>66720</v>
      </c>
      <c r="B824" s="63">
        <v>14.348448878281845</v>
      </c>
      <c r="C824" s="63">
        <v>14.348448878281845</v>
      </c>
      <c r="D824" s="63">
        <v>14.365612598281844</v>
      </c>
      <c r="E824" s="64">
        <v>16.829229262302235</v>
      </c>
      <c r="F824" s="64">
        <v>16.829229262302256</v>
      </c>
      <c r="G824" s="64">
        <v>16.830381062302255</v>
      </c>
      <c r="H824" s="64">
        <v>27.449139345832311</v>
      </c>
      <c r="I824" s="64">
        <v>27.45029114583231</v>
      </c>
      <c r="J824" s="64">
        <v>16.829229262302235</v>
      </c>
      <c r="K824" s="64">
        <v>16.830381062302234</v>
      </c>
    </row>
    <row r="825" spans="1:11" ht="15">
      <c r="A825" s="13">
        <v>66750</v>
      </c>
      <c r="B825" s="63">
        <v>14.377476250680928</v>
      </c>
      <c r="C825" s="63">
        <v>14.377476250680928</v>
      </c>
      <c r="D825" s="63">
        <v>14.386059970680929</v>
      </c>
      <c r="E825" s="64">
        <v>16.892665483831685</v>
      </c>
      <c r="F825" s="64">
        <v>16.892665483831685</v>
      </c>
      <c r="G825" s="64">
        <v>16.892842283831683</v>
      </c>
      <c r="H825" s="64">
        <v>27.506325052802787</v>
      </c>
      <c r="I825" s="64">
        <v>27.506501852802785</v>
      </c>
      <c r="J825" s="64">
        <v>16.892665483831685</v>
      </c>
      <c r="K825" s="64">
        <v>16.892842283831683</v>
      </c>
    </row>
    <row r="826" spans="1:11" ht="15">
      <c r="A826" s="13">
        <v>66781</v>
      </c>
      <c r="B826" s="63">
        <v>14.3805160234082</v>
      </c>
      <c r="C826" s="63">
        <v>14.3805160234082</v>
      </c>
      <c r="D826" s="63">
        <v>14.389099743408201</v>
      </c>
      <c r="E826" s="64">
        <v>16.933211278212092</v>
      </c>
      <c r="F826" s="64">
        <v>16.933211278212092</v>
      </c>
      <c r="G826" s="64">
        <v>16.93338807821209</v>
      </c>
      <c r="H826" s="64">
        <v>27.563629896662832</v>
      </c>
      <c r="I826" s="64">
        <v>27.56380669666283</v>
      </c>
      <c r="J826" s="64">
        <v>16.933211278212092</v>
      </c>
      <c r="K826" s="64">
        <v>16.93338807821209</v>
      </c>
    </row>
    <row r="827" spans="1:11" ht="15">
      <c r="A827" s="13">
        <v>66811</v>
      </c>
      <c r="B827" s="63">
        <v>14.3805160234082</v>
      </c>
      <c r="C827" s="63">
        <v>14.3805160234082</v>
      </c>
      <c r="D827" s="63">
        <v>14.389099743408201</v>
      </c>
      <c r="E827" s="64">
        <v>16.837143402430325</v>
      </c>
      <c r="F827" s="64">
        <v>16.837143402430325</v>
      </c>
      <c r="G827" s="64">
        <v>16.837320202430323</v>
      </c>
      <c r="H827" s="64">
        <v>27.621054125614243</v>
      </c>
      <c r="I827" s="64">
        <v>27.621230925614242</v>
      </c>
      <c r="J827" s="64">
        <v>16.837143402430325</v>
      </c>
      <c r="K827" s="64">
        <v>16.837320202430323</v>
      </c>
    </row>
    <row r="828" spans="1:11" ht="15">
      <c r="A828" s="13">
        <v>66842</v>
      </c>
      <c r="B828" s="63">
        <v>14.362132650540874</v>
      </c>
      <c r="C828" s="63">
        <v>14.362132650540874</v>
      </c>
      <c r="D828" s="63">
        <v>14.370716370540874</v>
      </c>
      <c r="E828" s="64">
        <v>16.882065317877355</v>
      </c>
      <c r="F828" s="64">
        <v>16.882065317877355</v>
      </c>
      <c r="G828" s="64">
        <v>16.882242117877354</v>
      </c>
      <c r="H828" s="64">
        <v>27.441804122458667</v>
      </c>
      <c r="I828" s="64">
        <v>27.441980922458665</v>
      </c>
      <c r="J828" s="64">
        <v>16.882065317877355</v>
      </c>
      <c r="K828" s="64">
        <v>16.882242117877354</v>
      </c>
    </row>
    <row r="829" spans="1:11" ht="15">
      <c r="A829" s="13">
        <v>66873</v>
      </c>
      <c r="B829" s="63">
        <v>14.359092877813602</v>
      </c>
      <c r="C829" s="63">
        <v>14.359092877813602</v>
      </c>
      <c r="D829" s="63">
        <v>14.367676597813603</v>
      </c>
      <c r="E829" s="64">
        <v>16.695190002580247</v>
      </c>
      <c r="F829" s="64">
        <v>16.69519000258029</v>
      </c>
      <c r="G829" s="64">
        <v>16.695366802580288</v>
      </c>
      <c r="H829" s="64">
        <v>27.498974547713743</v>
      </c>
      <c r="I829" s="64">
        <v>27.499151347713742</v>
      </c>
      <c r="J829" s="64">
        <v>16.695190002580247</v>
      </c>
      <c r="K829" s="64">
        <v>16.695366802580246</v>
      </c>
    </row>
    <row r="830" spans="1:11" ht="15">
      <c r="A830" s="13">
        <v>66901</v>
      </c>
      <c r="B830" s="63">
        <v>14.356053105086291</v>
      </c>
      <c r="C830" s="63">
        <v>14.356053105086291</v>
      </c>
      <c r="D830" s="63">
        <v>14.364636825086292</v>
      </c>
      <c r="E830" s="64">
        <v>16.838722343698976</v>
      </c>
      <c r="F830" s="64">
        <v>16.838722343698976</v>
      </c>
      <c r="G830" s="64">
        <v>16.838899143698974</v>
      </c>
      <c r="H830" s="64">
        <v>27.556264078021464</v>
      </c>
      <c r="I830" s="64">
        <v>27.556440878021462</v>
      </c>
      <c r="J830" s="64">
        <v>16.838722343698976</v>
      </c>
      <c r="K830" s="64">
        <v>16.838899143698974</v>
      </c>
    </row>
    <row r="831" spans="1:11" ht="15">
      <c r="A831" s="13">
        <v>66932</v>
      </c>
      <c r="B831" s="63">
        <v>14.362546419071357</v>
      </c>
      <c r="C831" s="63">
        <v>14.362546419071357</v>
      </c>
      <c r="D831" s="63">
        <v>14.371130139071358</v>
      </c>
      <c r="E831" s="64">
        <v>16.990907799734636</v>
      </c>
      <c r="F831" s="64">
        <v>16.990907799734636</v>
      </c>
      <c r="G831" s="64">
        <v>16.991084599734634</v>
      </c>
      <c r="H831" s="64">
        <v>27.61367296151737</v>
      </c>
      <c r="I831" s="64">
        <v>27.613849761517368</v>
      </c>
      <c r="J831" s="64">
        <v>16.990907799734636</v>
      </c>
      <c r="K831" s="64">
        <v>16.991084599734634</v>
      </c>
    </row>
    <row r="832" spans="1:11" ht="15">
      <c r="A832" s="13">
        <v>66962</v>
      </c>
      <c r="B832" s="63">
        <v>14.362546419071357</v>
      </c>
      <c r="C832" s="63">
        <v>14.362546419071357</v>
      </c>
      <c r="D832" s="63">
        <v>14.379710139071356</v>
      </c>
      <c r="E832" s="64">
        <v>17.049566328798811</v>
      </c>
      <c r="F832" s="64">
        <v>17.049566328798811</v>
      </c>
      <c r="G832" s="64">
        <v>17.05071812879881</v>
      </c>
      <c r="H832" s="64">
        <v>27.67120144685385</v>
      </c>
      <c r="I832" s="64">
        <v>27.672353246853849</v>
      </c>
      <c r="J832" s="64">
        <v>17.049566328798811</v>
      </c>
      <c r="K832" s="64">
        <v>17.05071812879881</v>
      </c>
    </row>
    <row r="833" spans="1:11" ht="15">
      <c r="A833" s="13">
        <v>66993</v>
      </c>
      <c r="B833" s="63">
        <v>14.368625964525865</v>
      </c>
      <c r="C833" s="63">
        <v>14.368625964525865</v>
      </c>
      <c r="D833" s="63">
        <v>14.385789684525864</v>
      </c>
      <c r="E833" s="64">
        <v>16.995145087870217</v>
      </c>
      <c r="F833" s="64">
        <v>16.995145087870217</v>
      </c>
      <c r="G833" s="64">
        <v>16.996296887870216</v>
      </c>
      <c r="H833" s="64">
        <v>27.728849783201451</v>
      </c>
      <c r="I833" s="64">
        <v>27.730001583201449</v>
      </c>
      <c r="J833" s="64">
        <v>16.995145087870217</v>
      </c>
      <c r="K833" s="64">
        <v>16.996296887870216</v>
      </c>
    </row>
    <row r="834" spans="1:11" ht="15">
      <c r="A834" s="13">
        <v>67023</v>
      </c>
      <c r="B834" s="63">
        <v>14.594016397640148</v>
      </c>
      <c r="C834" s="63">
        <v>14.594016397640148</v>
      </c>
      <c r="D834" s="63">
        <v>14.611180117640147</v>
      </c>
      <c r="E834" s="64">
        <v>17.31870592720075</v>
      </c>
      <c r="F834" s="64">
        <v>17.31870592720075</v>
      </c>
      <c r="G834" s="64">
        <v>17.319857727200748</v>
      </c>
      <c r="H834" s="64">
        <v>27.786618220249817</v>
      </c>
      <c r="I834" s="64">
        <v>27.787770020249816</v>
      </c>
      <c r="J834" s="64">
        <v>17.31870592720075</v>
      </c>
      <c r="K834" s="64">
        <v>17.319857727200748</v>
      </c>
    </row>
    <row r="835" spans="1:11" ht="15">
      <c r="A835" s="13">
        <v>67054</v>
      </c>
      <c r="B835" s="63">
        <v>14.600703897640146</v>
      </c>
      <c r="C835" s="63">
        <v>14.600703897640146</v>
      </c>
      <c r="D835" s="63">
        <v>14.617867617640146</v>
      </c>
      <c r="E835" s="64">
        <v>17.147391356957257</v>
      </c>
      <c r="F835" s="64">
        <v>17.147391356957257</v>
      </c>
      <c r="G835" s="64">
        <v>17.148543156957256</v>
      </c>
      <c r="H835" s="64">
        <v>27.844507008208694</v>
      </c>
      <c r="I835" s="64">
        <v>27.845658808208693</v>
      </c>
      <c r="J835" s="64">
        <v>17.147391356957257</v>
      </c>
      <c r="K835" s="64">
        <v>17.148543156957256</v>
      </c>
    </row>
    <row r="836" spans="1:11" ht="15">
      <c r="A836" s="13">
        <v>67085</v>
      </c>
      <c r="B836" s="63">
        <v>14.597664124912836</v>
      </c>
      <c r="C836" s="63">
        <v>14.597664124912836</v>
      </c>
      <c r="D836" s="63">
        <v>14.614827844912835</v>
      </c>
      <c r="E836" s="64">
        <v>17.12571986986805</v>
      </c>
      <c r="F836" s="64">
        <v>17.125719869868067</v>
      </c>
      <c r="G836" s="64">
        <v>17.126871669868066</v>
      </c>
      <c r="H836" s="64">
        <v>27.902516397809087</v>
      </c>
      <c r="I836" s="64">
        <v>27.903668197809086</v>
      </c>
      <c r="J836" s="64">
        <v>17.12571986986805</v>
      </c>
      <c r="K836" s="64">
        <v>17.126871669868049</v>
      </c>
    </row>
    <row r="837" spans="1:11" ht="15">
      <c r="A837" s="13">
        <v>67115</v>
      </c>
      <c r="B837" s="63">
        <v>14.627494200601721</v>
      </c>
      <c r="C837" s="63">
        <v>14.627494200601721</v>
      </c>
      <c r="D837" s="63">
        <v>14.636077920601721</v>
      </c>
      <c r="E837" s="64">
        <v>17.190513162857663</v>
      </c>
      <c r="F837" s="64">
        <v>17.190513162857663</v>
      </c>
      <c r="G837" s="64">
        <v>17.190689962857661</v>
      </c>
      <c r="H837" s="64">
        <v>27.960646640304514</v>
      </c>
      <c r="I837" s="64">
        <v>27.960823440304512</v>
      </c>
      <c r="J837" s="64">
        <v>17.190513162857663</v>
      </c>
      <c r="K837" s="64">
        <v>17.190689962857661</v>
      </c>
    </row>
    <row r="838" spans="1:11" ht="15">
      <c r="A838" s="13">
        <v>67146</v>
      </c>
      <c r="B838" s="63">
        <v>14.630533973328992</v>
      </c>
      <c r="C838" s="63">
        <v>14.630533973328992</v>
      </c>
      <c r="D838" s="63">
        <v>14.639117693328993</v>
      </c>
      <c r="E838" s="64">
        <v>17.231737492968151</v>
      </c>
      <c r="F838" s="64">
        <v>17.231737492968151</v>
      </c>
      <c r="G838" s="64">
        <v>17.231914292968149</v>
      </c>
      <c r="H838" s="64">
        <v>28.018897987471856</v>
      </c>
      <c r="I838" s="64">
        <v>28.019074787471855</v>
      </c>
      <c r="J838" s="64">
        <v>17.231737492968151</v>
      </c>
      <c r="K838" s="64">
        <v>17.231914292968149</v>
      </c>
    </row>
    <row r="839" spans="1:11" ht="15">
      <c r="A839" s="13">
        <v>67176</v>
      </c>
      <c r="B839" s="63">
        <v>14.630533973328992</v>
      </c>
      <c r="C839" s="63">
        <v>14.630533973328992</v>
      </c>
      <c r="D839" s="63">
        <v>14.639117693328993</v>
      </c>
      <c r="E839" s="64">
        <v>17.133973277861177</v>
      </c>
      <c r="F839" s="64">
        <v>17.133973277861177</v>
      </c>
      <c r="G839" s="64">
        <v>17.134150077861175</v>
      </c>
      <c r="H839" s="64">
        <v>28.077270691612455</v>
      </c>
      <c r="I839" s="64">
        <v>28.077447491612453</v>
      </c>
      <c r="J839" s="64">
        <v>17.133973277861177</v>
      </c>
      <c r="K839" s="64">
        <v>17.134150077861175</v>
      </c>
    </row>
    <row r="840" spans="1:11" ht="15">
      <c r="A840" s="13">
        <v>67207</v>
      </c>
      <c r="B840" s="63">
        <v>14.607451943887737</v>
      </c>
      <c r="C840" s="63">
        <v>14.607451943887737</v>
      </c>
      <c r="D840" s="63">
        <v>14.616035663887738</v>
      </c>
      <c r="E840" s="64">
        <v>17.174476430486145</v>
      </c>
      <c r="F840" s="64">
        <v>17.174476430486145</v>
      </c>
      <c r="G840" s="64">
        <v>17.174653230486143</v>
      </c>
      <c r="H840" s="64">
        <v>27.887695241259028</v>
      </c>
      <c r="I840" s="64">
        <v>27.887872041259026</v>
      </c>
      <c r="J840" s="64">
        <v>17.174476430486145</v>
      </c>
      <c r="K840" s="64">
        <v>17.174653230486143</v>
      </c>
    </row>
    <row r="841" spans="1:11" ht="15">
      <c r="A841" s="13">
        <v>67238</v>
      </c>
      <c r="B841" s="63">
        <v>14.604412171160465</v>
      </c>
      <c r="C841" s="63">
        <v>14.604412171160465</v>
      </c>
      <c r="D841" s="63">
        <v>14.612995891160466</v>
      </c>
      <c r="E841" s="64">
        <v>16.984395340901813</v>
      </c>
      <c r="F841" s="64">
        <v>16.984395340901859</v>
      </c>
      <c r="G841" s="64">
        <v>16.984572140901857</v>
      </c>
      <c r="H841" s="64">
        <v>27.945794606344936</v>
      </c>
      <c r="I841" s="64">
        <v>27.945971406344935</v>
      </c>
      <c r="J841" s="64">
        <v>16.984395340901813</v>
      </c>
      <c r="K841" s="64">
        <v>16.984572140901811</v>
      </c>
    </row>
    <row r="842" spans="1:11" ht="15">
      <c r="A842" s="13">
        <v>67267</v>
      </c>
      <c r="B842" s="63">
        <v>14.601372398433153</v>
      </c>
      <c r="C842" s="63">
        <v>14.601372398433153</v>
      </c>
      <c r="D842" s="63">
        <v>14.609956118433153</v>
      </c>
      <c r="E842" s="64">
        <v>17.130454920577684</v>
      </c>
      <c r="F842" s="64">
        <v>17.130454920577684</v>
      </c>
      <c r="G842" s="64">
        <v>17.130631720577682</v>
      </c>
      <c r="H842" s="64">
        <v>28.004015011774804</v>
      </c>
      <c r="I842" s="64">
        <v>28.004191811774803</v>
      </c>
      <c r="J842" s="64">
        <v>17.130454920577684</v>
      </c>
      <c r="K842" s="64">
        <v>17.130631720577682</v>
      </c>
    </row>
    <row r="843" spans="1:11" ht="15">
      <c r="A843" s="13">
        <v>67298</v>
      </c>
      <c r="B843" s="63">
        <v>14.608071333255136</v>
      </c>
      <c r="C843" s="63">
        <v>14.608071333255136</v>
      </c>
      <c r="D843" s="63">
        <v>14.616655053255137</v>
      </c>
      <c r="E843" s="64">
        <v>17.285354519533676</v>
      </c>
      <c r="F843" s="64">
        <v>17.285354519533676</v>
      </c>
      <c r="G843" s="64">
        <v>17.285531319533675</v>
      </c>
      <c r="H843" s="64">
        <v>28.062356709716031</v>
      </c>
      <c r="I843" s="64">
        <v>28.06253350971603</v>
      </c>
      <c r="J843" s="64">
        <v>17.285354519533676</v>
      </c>
      <c r="K843" s="64">
        <v>17.285531319533675</v>
      </c>
    </row>
    <row r="844" spans="1:11" ht="15">
      <c r="A844" s="13">
        <v>67328</v>
      </c>
      <c r="B844" s="63">
        <v>14.608071333255136</v>
      </c>
      <c r="C844" s="63">
        <v>14.608071333255136</v>
      </c>
      <c r="D844" s="63">
        <v>14.625235053255135</v>
      </c>
      <c r="E844" s="64">
        <v>17.345030852192973</v>
      </c>
      <c r="F844" s="64">
        <v>17.345030852192973</v>
      </c>
      <c r="G844" s="64">
        <v>17.346182652192972</v>
      </c>
      <c r="H844" s="64">
        <v>28.120819952861257</v>
      </c>
      <c r="I844" s="64">
        <v>28.121971752861256</v>
      </c>
      <c r="J844" s="64">
        <v>17.345030852192973</v>
      </c>
      <c r="K844" s="64">
        <v>17.346182652192972</v>
      </c>
    </row>
    <row r="845" spans="1:11" ht="15">
      <c r="A845" s="13">
        <v>67359</v>
      </c>
      <c r="B845" s="63">
        <v>14.614150878709642</v>
      </c>
      <c r="C845" s="63">
        <v>14.614150878709642</v>
      </c>
      <c r="D845" s="63">
        <v>14.631314598709642</v>
      </c>
      <c r="E845" s="64">
        <v>17.289591807669254</v>
      </c>
      <c r="F845" s="64">
        <v>17.289591807669254</v>
      </c>
      <c r="G845" s="64">
        <v>17.290743607669253</v>
      </c>
      <c r="H845" s="64">
        <v>28.179404994429706</v>
      </c>
      <c r="I845" s="64">
        <v>28.180556794429705</v>
      </c>
      <c r="J845" s="64">
        <v>17.289591807669254</v>
      </c>
      <c r="K845" s="64">
        <v>17.290743607669253</v>
      </c>
    </row>
    <row r="846" spans="1:11" ht="15">
      <c r="A846" s="13">
        <v>67389</v>
      </c>
      <c r="B846" s="63">
        <v>14.843231644271141</v>
      </c>
      <c r="C846" s="63">
        <v>14.843231644271141</v>
      </c>
      <c r="D846" s="63">
        <v>14.86039536427114</v>
      </c>
      <c r="E846" s="64">
        <v>17.618589213416975</v>
      </c>
      <c r="F846" s="64">
        <v>17.618589213416975</v>
      </c>
      <c r="G846" s="64">
        <v>17.619741013416974</v>
      </c>
      <c r="H846" s="64">
        <v>28.238112088168133</v>
      </c>
      <c r="I846" s="64">
        <v>28.239263888168132</v>
      </c>
      <c r="J846" s="64">
        <v>17.618589213416975</v>
      </c>
      <c r="K846" s="64">
        <v>17.619741013416974</v>
      </c>
    </row>
    <row r="847" spans="1:11" ht="15">
      <c r="A847" s="13">
        <v>67420</v>
      </c>
      <c r="B847" s="63">
        <v>14.849919144271139</v>
      </c>
      <c r="C847" s="63">
        <v>14.849919144271139</v>
      </c>
      <c r="D847" s="63">
        <v>14.867082864271138</v>
      </c>
      <c r="E847" s="64">
        <v>17.444221232388109</v>
      </c>
      <c r="F847" s="64">
        <v>17.444221232388109</v>
      </c>
      <c r="G847" s="64">
        <v>17.445373032388108</v>
      </c>
      <c r="H847" s="64">
        <v>28.296941488351841</v>
      </c>
      <c r="I847" s="64">
        <v>28.29809328835184</v>
      </c>
      <c r="J847" s="64">
        <v>17.444221232388109</v>
      </c>
      <c r="K847" s="64">
        <v>17.445373032388108</v>
      </c>
    </row>
    <row r="848" spans="1:11" ht="15">
      <c r="A848" s="13">
        <v>67451</v>
      </c>
      <c r="B848" s="63">
        <v>14.846879371543826</v>
      </c>
      <c r="C848" s="63">
        <v>14.846879371543826</v>
      </c>
      <c r="D848" s="63">
        <v>14.864043091543826</v>
      </c>
      <c r="E848" s="64">
        <v>17.422210477433865</v>
      </c>
      <c r="F848" s="64">
        <v>17.422210477433879</v>
      </c>
      <c r="G848" s="64">
        <v>17.423362277433878</v>
      </c>
      <c r="H848" s="64">
        <v>28.355893449785864</v>
      </c>
      <c r="I848" s="64">
        <v>28.357045249785862</v>
      </c>
      <c r="J848" s="64">
        <v>17.422210477433865</v>
      </c>
      <c r="K848" s="64">
        <v>17.423362277433863</v>
      </c>
    </row>
    <row r="849" spans="1:11" ht="15">
      <c r="A849" s="13">
        <v>67481</v>
      </c>
      <c r="B849" s="63">
        <v>14.877512150522513</v>
      </c>
      <c r="C849" s="63">
        <v>14.877512150522513</v>
      </c>
      <c r="D849" s="63">
        <v>14.886095870522514</v>
      </c>
      <c r="E849" s="64">
        <v>17.48836084188364</v>
      </c>
      <c r="F849" s="64">
        <v>17.48836084188364</v>
      </c>
      <c r="G849" s="64">
        <v>17.488537641883639</v>
      </c>
      <c r="H849" s="64">
        <v>28.414968227806241</v>
      </c>
      <c r="I849" s="64">
        <v>28.41514502780624</v>
      </c>
      <c r="J849" s="64">
        <v>17.48836084188364</v>
      </c>
      <c r="K849" s="64">
        <v>17.488537641883639</v>
      </c>
    </row>
    <row r="850" spans="1:11" ht="15">
      <c r="A850" s="13">
        <v>67512</v>
      </c>
      <c r="B850" s="63">
        <v>14.880551923249785</v>
      </c>
      <c r="C850" s="63">
        <v>14.880551923249785</v>
      </c>
      <c r="D850" s="63">
        <v>14.889135643249785</v>
      </c>
      <c r="E850" s="64">
        <v>17.53026370772421</v>
      </c>
      <c r="F850" s="64">
        <v>17.53026370772421</v>
      </c>
      <c r="G850" s="64">
        <v>17.530440507724208</v>
      </c>
      <c r="H850" s="64">
        <v>28.474166078280881</v>
      </c>
      <c r="I850" s="64">
        <v>28.474342878280879</v>
      </c>
      <c r="J850" s="64">
        <v>17.53026370772421</v>
      </c>
      <c r="K850" s="64">
        <v>17.530440507724208</v>
      </c>
    </row>
    <row r="851" spans="1:11" ht="15">
      <c r="A851" s="13">
        <v>67542</v>
      </c>
      <c r="B851" s="63">
        <v>14.880551923249785</v>
      </c>
      <c r="C851" s="63">
        <v>14.880551923249785</v>
      </c>
      <c r="D851" s="63">
        <v>14.889135643249785</v>
      </c>
      <c r="E851" s="64">
        <v>17.430803153292029</v>
      </c>
      <c r="F851" s="64">
        <v>17.430803153292029</v>
      </c>
      <c r="G851" s="64">
        <v>17.430979953292027</v>
      </c>
      <c r="H851" s="64">
        <v>28.533487257610666</v>
      </c>
      <c r="I851" s="64">
        <v>28.533664057610665</v>
      </c>
      <c r="J851" s="64">
        <v>17.430803153292029</v>
      </c>
      <c r="K851" s="64">
        <v>17.430979953292027</v>
      </c>
    </row>
    <row r="852" spans="1:11" ht="15">
      <c r="A852" s="13">
        <v>67573</v>
      </c>
      <c r="B852" s="63">
        <v>14.852771237234601</v>
      </c>
      <c r="C852" s="63">
        <v>14.852771237234601</v>
      </c>
      <c r="D852" s="63">
        <v>14.861354957234601</v>
      </c>
      <c r="E852" s="64">
        <v>17.466887543094934</v>
      </c>
      <c r="F852" s="64">
        <v>17.466887543094934</v>
      </c>
      <c r="G852" s="64">
        <v>17.467064343094933</v>
      </c>
      <c r="H852" s="64">
        <v>28.333586360059389</v>
      </c>
      <c r="I852" s="64">
        <v>28.333763160059387</v>
      </c>
      <c r="J852" s="64">
        <v>17.466887543094934</v>
      </c>
      <c r="K852" s="64">
        <v>17.467064343094933</v>
      </c>
    </row>
    <row r="853" spans="1:11" ht="15">
      <c r="A853" s="13">
        <v>67604</v>
      </c>
      <c r="B853" s="63">
        <v>14.849731464507329</v>
      </c>
      <c r="C853" s="63">
        <v>14.849731464507329</v>
      </c>
      <c r="D853" s="63">
        <v>14.85831518450733</v>
      </c>
      <c r="E853" s="64">
        <v>17.273600679223378</v>
      </c>
      <c r="F853" s="64">
        <v>17.273600679223428</v>
      </c>
      <c r="G853" s="64">
        <v>17.273777479223426</v>
      </c>
      <c r="H853" s="64">
        <v>28.392614664976129</v>
      </c>
      <c r="I853" s="64">
        <v>28.392791464976128</v>
      </c>
      <c r="J853" s="64">
        <v>17.273600679223378</v>
      </c>
      <c r="K853" s="64">
        <v>17.273777479223376</v>
      </c>
    </row>
    <row r="854" spans="1:11" ht="15">
      <c r="A854" s="13">
        <v>67632</v>
      </c>
      <c r="B854" s="63">
        <v>14.846691691780014</v>
      </c>
      <c r="C854" s="63">
        <v>14.846691691780014</v>
      </c>
      <c r="D854" s="63">
        <v>14.855275411780015</v>
      </c>
      <c r="E854" s="64">
        <v>17.422187497456392</v>
      </c>
      <c r="F854" s="64">
        <v>17.422187497456392</v>
      </c>
      <c r="G854" s="64">
        <v>17.42236429745639</v>
      </c>
      <c r="H854" s="64">
        <v>28.451765945528145</v>
      </c>
      <c r="I854" s="64">
        <v>28.451942745528143</v>
      </c>
      <c r="J854" s="64">
        <v>17.422187497456392</v>
      </c>
      <c r="K854" s="64">
        <v>17.42236429745639</v>
      </c>
    </row>
    <row r="855" spans="1:11" ht="15">
      <c r="A855" s="13">
        <v>67663</v>
      </c>
      <c r="B855" s="63">
        <v>14.853596247438915</v>
      </c>
      <c r="C855" s="63">
        <v>14.853596247438915</v>
      </c>
      <c r="D855" s="63">
        <v>14.862179967438916</v>
      </c>
      <c r="E855" s="64">
        <v>17.579801239332717</v>
      </c>
      <c r="F855" s="64">
        <v>17.579801239332717</v>
      </c>
      <c r="G855" s="64">
        <v>17.579978039332715</v>
      </c>
      <c r="H855" s="64">
        <v>28.511040457914692</v>
      </c>
      <c r="I855" s="64">
        <v>28.511217257914691</v>
      </c>
      <c r="J855" s="64">
        <v>17.579801239332717</v>
      </c>
      <c r="K855" s="64">
        <v>17.579978039332715</v>
      </c>
    </row>
    <row r="856" spans="1:11" ht="15">
      <c r="A856" s="13">
        <v>67693</v>
      </c>
      <c r="B856" s="63">
        <v>14.853596247438915</v>
      </c>
      <c r="C856" s="63">
        <v>14.853596247438915</v>
      </c>
      <c r="D856" s="63">
        <v>14.870759967438914</v>
      </c>
      <c r="E856" s="64">
        <v>17.640495375587136</v>
      </c>
      <c r="F856" s="64">
        <v>17.640495375587136</v>
      </c>
      <c r="G856" s="64">
        <v>17.641647175587135</v>
      </c>
      <c r="H856" s="64">
        <v>28.570438458868665</v>
      </c>
      <c r="I856" s="64">
        <v>28.571590258868664</v>
      </c>
      <c r="J856" s="64">
        <v>17.640495375587136</v>
      </c>
      <c r="K856" s="64">
        <v>17.641647175587135</v>
      </c>
    </row>
    <row r="857" spans="1:11" ht="15">
      <c r="A857" s="13">
        <v>67724</v>
      </c>
      <c r="B857" s="63">
        <v>14.85967579289342</v>
      </c>
      <c r="C857" s="63">
        <v>14.85967579289342</v>
      </c>
      <c r="D857" s="63">
        <v>14.876839512893419</v>
      </c>
      <c r="E857" s="64">
        <v>17.584038527468291</v>
      </c>
      <c r="F857" s="64">
        <v>17.584038527468291</v>
      </c>
      <c r="G857" s="64">
        <v>17.58519032746829</v>
      </c>
      <c r="H857" s="64">
        <v>28.629960205657962</v>
      </c>
      <c r="I857" s="64">
        <v>28.631112005657961</v>
      </c>
      <c r="J857" s="64">
        <v>17.584038527468291</v>
      </c>
      <c r="K857" s="64">
        <v>17.58519032746829</v>
      </c>
    </row>
    <row r="858" spans="1:11" ht="15">
      <c r="A858" s="13">
        <v>67754</v>
      </c>
      <c r="B858" s="63">
        <v>15.092446890902133</v>
      </c>
      <c r="C858" s="63">
        <v>15.092446890902133</v>
      </c>
      <c r="D858" s="63">
        <v>15.109610610902132</v>
      </c>
      <c r="E858" s="64">
        <v>17.9184724996332</v>
      </c>
      <c r="F858" s="64">
        <v>17.9184724996332</v>
      </c>
      <c r="G858" s="64">
        <v>17.919624299633199</v>
      </c>
      <c r="H858" s="64">
        <v>28.689605956086449</v>
      </c>
      <c r="I858" s="64">
        <v>28.690757756086448</v>
      </c>
      <c r="J858" s="64">
        <v>17.9184724996332</v>
      </c>
      <c r="K858" s="64">
        <v>17.919624299633199</v>
      </c>
    </row>
    <row r="859" spans="1:11" ht="15">
      <c r="A859" s="13">
        <v>67785</v>
      </c>
      <c r="B859" s="63">
        <v>15.099134390902131</v>
      </c>
      <c r="C859" s="63">
        <v>15.099134390902131</v>
      </c>
      <c r="D859" s="63">
        <v>15.116298110902131</v>
      </c>
      <c r="E859" s="64">
        <v>17.741051107818961</v>
      </c>
      <c r="F859" s="64">
        <v>17.741051107818961</v>
      </c>
      <c r="G859" s="64">
        <v>17.74220290781896</v>
      </c>
      <c r="H859" s="64">
        <v>28.749375968494988</v>
      </c>
      <c r="I859" s="64">
        <v>28.750527768494987</v>
      </c>
      <c r="J859" s="64">
        <v>17.741051107818961</v>
      </c>
      <c r="K859" s="64">
        <v>17.74220290781896</v>
      </c>
    </row>
    <row r="860" spans="1:11" ht="15">
      <c r="A860" s="13">
        <v>67816</v>
      </c>
      <c r="B860" s="63">
        <v>15.096094618174817</v>
      </c>
      <c r="C860" s="63">
        <v>15.096094618174817</v>
      </c>
      <c r="D860" s="63">
        <v>15.113258338174816</v>
      </c>
      <c r="E860" s="64">
        <v>17.71870108499968</v>
      </c>
      <c r="F860" s="64">
        <v>17.71870108499969</v>
      </c>
      <c r="G860" s="64">
        <v>17.719852884999689</v>
      </c>
      <c r="H860" s="64">
        <v>28.80927050176264</v>
      </c>
      <c r="I860" s="64">
        <v>28.810422301762639</v>
      </c>
      <c r="J860" s="64">
        <v>17.71870108499968</v>
      </c>
      <c r="K860" s="64">
        <v>17.719852884999678</v>
      </c>
    </row>
    <row r="861" spans="1:11" ht="15">
      <c r="A861" s="13">
        <v>67846</v>
      </c>
      <c r="B861" s="63">
        <v>15.127530100443305</v>
      </c>
      <c r="C861" s="63">
        <v>15.127530100443305</v>
      </c>
      <c r="D861" s="63">
        <v>15.136113820443306</v>
      </c>
      <c r="E861" s="64">
        <v>17.786208520909618</v>
      </c>
      <c r="F861" s="64">
        <v>17.786208520909618</v>
      </c>
      <c r="G861" s="64">
        <v>17.786385320909616</v>
      </c>
      <c r="H861" s="64">
        <v>28.869289815307969</v>
      </c>
      <c r="I861" s="64">
        <v>28.869466615307967</v>
      </c>
      <c r="J861" s="64">
        <v>17.786208520909618</v>
      </c>
      <c r="K861" s="64">
        <v>17.786385320909616</v>
      </c>
    </row>
    <row r="862" spans="1:11" ht="15">
      <c r="A862" s="13">
        <v>67877</v>
      </c>
      <c r="B862" s="63">
        <v>15.130569873170577</v>
      </c>
      <c r="C862" s="63">
        <v>15.130569873170577</v>
      </c>
      <c r="D862" s="63">
        <v>15.139153593170578</v>
      </c>
      <c r="E862" s="64">
        <v>17.828789922480269</v>
      </c>
      <c r="F862" s="64">
        <v>17.828789922480269</v>
      </c>
      <c r="G862" s="64">
        <v>17.828966722480267</v>
      </c>
      <c r="H862" s="64">
        <v>28.929434169089905</v>
      </c>
      <c r="I862" s="64">
        <v>28.929610969089904</v>
      </c>
      <c r="J862" s="64">
        <v>17.828789922480269</v>
      </c>
      <c r="K862" s="64">
        <v>17.828966722480267</v>
      </c>
    </row>
    <row r="863" spans="1:11" ht="15">
      <c r="A863" s="13">
        <v>67907</v>
      </c>
      <c r="B863" s="63">
        <v>15.130569873170577</v>
      </c>
      <c r="C863" s="63">
        <v>15.130569873170577</v>
      </c>
      <c r="D863" s="63">
        <v>15.139153593170578</v>
      </c>
      <c r="E863" s="64">
        <v>17.727633028722881</v>
      </c>
      <c r="F863" s="64">
        <v>17.727633028722881</v>
      </c>
      <c r="G863" s="64">
        <v>17.727809828722879</v>
      </c>
      <c r="H863" s="64">
        <v>28.989703823608878</v>
      </c>
      <c r="I863" s="64">
        <v>28.989880623608876</v>
      </c>
      <c r="J863" s="64">
        <v>17.727633028722881</v>
      </c>
      <c r="K863" s="64">
        <v>17.727809828722879</v>
      </c>
    </row>
    <row r="864" spans="1:11" ht="15">
      <c r="A864" s="13">
        <v>67938</v>
      </c>
      <c r="B864" s="63">
        <v>15.098090530581464</v>
      </c>
      <c r="C864" s="63">
        <v>15.098090530581464</v>
      </c>
      <c r="D864" s="63">
        <v>15.106674250581465</v>
      </c>
      <c r="E864" s="64">
        <v>17.759298655703724</v>
      </c>
      <c r="F864" s="64">
        <v>17.759298655703724</v>
      </c>
      <c r="G864" s="64">
        <v>17.759475455703722</v>
      </c>
      <c r="H864" s="64">
        <v>28.77947747885975</v>
      </c>
      <c r="I864" s="64">
        <v>28.779654278859748</v>
      </c>
      <c r="J864" s="64">
        <v>17.759298655703724</v>
      </c>
      <c r="K864" s="64">
        <v>17.759475455703722</v>
      </c>
    </row>
    <row r="865" spans="1:11" ht="15">
      <c r="A865" s="13">
        <v>67969</v>
      </c>
      <c r="B865" s="63">
        <v>15.095050757854192</v>
      </c>
      <c r="C865" s="63">
        <v>15.095050757854192</v>
      </c>
      <c r="D865" s="63">
        <v>15.103634477854193</v>
      </c>
      <c r="E865" s="64">
        <v>17.562806017544943</v>
      </c>
      <c r="F865" s="64">
        <v>17.562806017544997</v>
      </c>
      <c r="G865" s="64">
        <v>17.562982817544995</v>
      </c>
      <c r="H865" s="64">
        <v>28.839434723607322</v>
      </c>
      <c r="I865" s="64">
        <v>28.839611523607321</v>
      </c>
      <c r="J865" s="64">
        <v>17.562806017544943</v>
      </c>
      <c r="K865" s="64">
        <v>17.562982817544942</v>
      </c>
    </row>
    <row r="866" spans="1:11" ht="15">
      <c r="A866" s="13">
        <v>67997</v>
      </c>
      <c r="B866" s="63">
        <v>15.092010985126876</v>
      </c>
      <c r="C866" s="63">
        <v>15.092010985126876</v>
      </c>
      <c r="D866" s="63">
        <v>15.100594705126877</v>
      </c>
      <c r="E866" s="64">
        <v>17.7139200743351</v>
      </c>
      <c r="F866" s="64">
        <v>17.7139200743351</v>
      </c>
      <c r="G866" s="64">
        <v>17.714096874335098</v>
      </c>
      <c r="H866" s="64">
        <v>28.899516879281485</v>
      </c>
      <c r="I866" s="64">
        <v>28.899693679281484</v>
      </c>
      <c r="J866" s="64">
        <v>17.7139200743351</v>
      </c>
      <c r="K866" s="64">
        <v>17.714096874335098</v>
      </c>
    </row>
    <row r="867" spans="1:11" ht="15">
      <c r="A867" s="13">
        <v>68028</v>
      </c>
      <c r="B867" s="63">
        <v>15.099121161622694</v>
      </c>
      <c r="C867" s="63">
        <v>15.099121161622694</v>
      </c>
      <c r="D867" s="63">
        <v>15.107704881622695</v>
      </c>
      <c r="E867" s="64">
        <v>17.874247959131758</v>
      </c>
      <c r="F867" s="64">
        <v>17.874247959131758</v>
      </c>
      <c r="G867" s="64">
        <v>17.874424759131756</v>
      </c>
      <c r="H867" s="64">
        <v>28.959724206113354</v>
      </c>
      <c r="I867" s="64">
        <v>28.959901006113352</v>
      </c>
      <c r="J867" s="64">
        <v>17.874247959131758</v>
      </c>
      <c r="K867" s="64">
        <v>17.874424759131756</v>
      </c>
    </row>
    <row r="868" spans="1:11" ht="15">
      <c r="A868" s="13">
        <v>68058</v>
      </c>
      <c r="B868" s="63">
        <v>15.099121161622694</v>
      </c>
      <c r="C868" s="63">
        <v>15.099121161622694</v>
      </c>
      <c r="D868" s="63">
        <v>15.116284881622693</v>
      </c>
      <c r="E868" s="64">
        <v>17.935959898981299</v>
      </c>
      <c r="F868" s="64">
        <v>17.935959898981299</v>
      </c>
      <c r="G868" s="64">
        <v>17.937111698981298</v>
      </c>
      <c r="H868" s="64">
        <v>29.020056964876073</v>
      </c>
      <c r="I868" s="64">
        <v>29.021208764876071</v>
      </c>
      <c r="J868" s="64">
        <v>17.935959898981299</v>
      </c>
      <c r="K868" s="64">
        <v>17.937111698981298</v>
      </c>
    </row>
    <row r="869" spans="1:11" ht="15">
      <c r="A869" s="13">
        <v>68089</v>
      </c>
      <c r="B869" s="63">
        <v>15.105200707077197</v>
      </c>
      <c r="C869" s="63">
        <v>15.105200707077197</v>
      </c>
      <c r="D869" s="63">
        <v>15.122364427077196</v>
      </c>
      <c r="E869" s="64">
        <v>17.878485247267328</v>
      </c>
      <c r="F869" s="64">
        <v>17.878485247267328</v>
      </c>
      <c r="G869" s="64">
        <v>17.879637047267327</v>
      </c>
      <c r="H869" s="64">
        <v>29.080515416886218</v>
      </c>
      <c r="I869" s="64">
        <v>29.081667216886217</v>
      </c>
      <c r="J869" s="64">
        <v>17.878485247267328</v>
      </c>
      <c r="K869" s="64">
        <v>17.879637047267327</v>
      </c>
    </row>
    <row r="870" spans="1:11" ht="15">
      <c r="A870" s="13">
        <v>68119</v>
      </c>
      <c r="B870" s="63">
        <v>15.341662137533126</v>
      </c>
      <c r="C870" s="63">
        <v>15.341662137533126</v>
      </c>
      <c r="D870" s="63">
        <v>15.358825857533125</v>
      </c>
      <c r="E870" s="64">
        <v>18.218355785849425</v>
      </c>
      <c r="F870" s="64">
        <v>18.218355785849425</v>
      </c>
      <c r="G870" s="64">
        <v>18.219507585849424</v>
      </c>
      <c r="H870" s="64">
        <v>29.141099824004765</v>
      </c>
      <c r="I870" s="64">
        <v>29.142251624004764</v>
      </c>
      <c r="J870" s="64">
        <v>18.218355785849425</v>
      </c>
      <c r="K870" s="64">
        <v>18.219507585849424</v>
      </c>
    </row>
    <row r="871" spans="1:11" ht="15">
      <c r="A871" s="13">
        <v>68150</v>
      </c>
      <c r="B871" s="63">
        <v>15.348349637533124</v>
      </c>
      <c r="C871" s="63">
        <v>15.348349637533124</v>
      </c>
      <c r="D871" s="63">
        <v>15.365513357533123</v>
      </c>
      <c r="E871" s="64">
        <v>18.037880983249813</v>
      </c>
      <c r="F871" s="64">
        <v>18.037880983249813</v>
      </c>
      <c r="G871" s="64">
        <v>18.039032783249812</v>
      </c>
      <c r="H871" s="64">
        <v>29.201810448638135</v>
      </c>
      <c r="I871" s="64">
        <v>29.202962248638134</v>
      </c>
      <c r="J871" s="64">
        <v>18.037880983249813</v>
      </c>
      <c r="K871" s="64">
        <v>18.039032783249812</v>
      </c>
    </row>
    <row r="872" spans="1:11" ht="15">
      <c r="A872" s="13">
        <v>68181</v>
      </c>
      <c r="B872" s="63">
        <v>15.345309864805808</v>
      </c>
      <c r="C872" s="63">
        <v>15.345309864805808</v>
      </c>
      <c r="D872" s="63">
        <v>15.362473584805807</v>
      </c>
      <c r="E872" s="64">
        <v>18.015191692565494</v>
      </c>
      <c r="F872" s="64">
        <v>18.015191692565502</v>
      </c>
      <c r="G872" s="64">
        <v>18.0163434925655</v>
      </c>
      <c r="H872" s="64">
        <v>29.262647553739416</v>
      </c>
      <c r="I872" s="64">
        <v>29.263799353739415</v>
      </c>
      <c r="J872" s="64">
        <v>18.015191692565494</v>
      </c>
      <c r="K872" s="64">
        <v>18.016343492565493</v>
      </c>
    </row>
    <row r="873" spans="1:11" ht="15">
      <c r="A873" s="13">
        <v>68211</v>
      </c>
      <c r="B873" s="63">
        <v>15.377548050364098</v>
      </c>
      <c r="C873" s="63">
        <v>15.377548050364098</v>
      </c>
      <c r="D873" s="63">
        <v>15.386131770364099</v>
      </c>
      <c r="E873" s="64">
        <v>18.084056199935596</v>
      </c>
      <c r="F873" s="64">
        <v>18.084056199935596</v>
      </c>
      <c r="G873" s="64">
        <v>18.084232999935594</v>
      </c>
      <c r="H873" s="64">
        <v>29.323611402809696</v>
      </c>
      <c r="I873" s="64">
        <v>29.323788202809695</v>
      </c>
      <c r="J873" s="64">
        <v>18.084056199935596</v>
      </c>
      <c r="K873" s="64">
        <v>18.084232999935594</v>
      </c>
    </row>
    <row r="874" spans="1:11" ht="15">
      <c r="A874" s="13">
        <v>68242</v>
      </c>
      <c r="B874" s="63">
        <v>15.38058782309137</v>
      </c>
      <c r="C874" s="63">
        <v>15.38058782309137</v>
      </c>
      <c r="D874" s="63">
        <v>15.38917154309137</v>
      </c>
      <c r="E874" s="64">
        <v>18.127316137236328</v>
      </c>
      <c r="F874" s="64">
        <v>18.127316137236328</v>
      </c>
      <c r="G874" s="64">
        <v>18.127492937236326</v>
      </c>
      <c r="H874" s="64">
        <v>29.38470225989893</v>
      </c>
      <c r="I874" s="64">
        <v>29.384879059898928</v>
      </c>
      <c r="J874" s="64">
        <v>18.127316137236328</v>
      </c>
      <c r="K874" s="64">
        <v>18.127492937236326</v>
      </c>
    </row>
    <row r="875" spans="1:11" ht="15">
      <c r="A875" s="13">
        <v>68272</v>
      </c>
      <c r="B875" s="63">
        <v>15.38058782309137</v>
      </c>
      <c r="C875" s="63">
        <v>15.38058782309137</v>
      </c>
      <c r="D875" s="63">
        <v>15.38917154309137</v>
      </c>
      <c r="E875" s="64">
        <v>18.024462904153733</v>
      </c>
      <c r="F875" s="64">
        <v>18.024462904153733</v>
      </c>
      <c r="G875" s="64">
        <v>18.024639704153731</v>
      </c>
      <c r="H875" s="64">
        <v>29.445920389607089</v>
      </c>
      <c r="I875" s="64">
        <v>29.446097189607087</v>
      </c>
      <c r="J875" s="64">
        <v>18.024462904153733</v>
      </c>
      <c r="K875" s="64">
        <v>18.024639704153731</v>
      </c>
    </row>
    <row r="876" spans="1:11" ht="15">
      <c r="A876" s="13">
        <v>68303</v>
      </c>
      <c r="B876" s="63">
        <v>15.343409823928328</v>
      </c>
      <c r="C876" s="63">
        <v>15.343409823928328</v>
      </c>
      <c r="D876" s="63">
        <v>15.351993543928328</v>
      </c>
      <c r="E876" s="64">
        <v>18.051709768312513</v>
      </c>
      <c r="F876" s="64">
        <v>18.051709768312513</v>
      </c>
      <c r="G876" s="64">
        <v>18.051886568312511</v>
      </c>
      <c r="H876" s="64">
        <v>29.225368597660111</v>
      </c>
      <c r="I876" s="64">
        <v>29.22554539766011</v>
      </c>
      <c r="J876" s="64">
        <v>18.051709768312513</v>
      </c>
      <c r="K876" s="64">
        <v>18.051886568312511</v>
      </c>
    </row>
    <row r="877" spans="1:11" ht="15">
      <c r="A877" s="13">
        <v>68334</v>
      </c>
      <c r="B877" s="63">
        <v>15.340370051201056</v>
      </c>
      <c r="C877" s="63">
        <v>15.340370051201056</v>
      </c>
      <c r="D877" s="63">
        <v>15.348953771201057</v>
      </c>
      <c r="E877" s="64">
        <v>17.852011355866509</v>
      </c>
      <c r="F877" s="64">
        <v>17.852011355866566</v>
      </c>
      <c r="G877" s="64">
        <v>17.852188155866564</v>
      </c>
      <c r="H877" s="64">
        <v>29.286254782238515</v>
      </c>
      <c r="I877" s="64">
        <v>29.286431582238514</v>
      </c>
      <c r="J877" s="64">
        <v>17.852011355866509</v>
      </c>
      <c r="K877" s="64">
        <v>17.852188155866507</v>
      </c>
    </row>
    <row r="878" spans="1:11" ht="15">
      <c r="A878" s="13">
        <v>68362</v>
      </c>
      <c r="B878" s="63">
        <v>15.337330278473738</v>
      </c>
      <c r="C878" s="63">
        <v>15.337330278473738</v>
      </c>
      <c r="D878" s="63">
        <v>15.345913998473739</v>
      </c>
      <c r="E878" s="64">
        <v>18.005652651213808</v>
      </c>
      <c r="F878" s="64">
        <v>18.005652651213808</v>
      </c>
      <c r="G878" s="64">
        <v>18.005829451213806</v>
      </c>
      <c r="H878" s="64">
        <v>29.347267813034826</v>
      </c>
      <c r="I878" s="64">
        <v>29.347444613034824</v>
      </c>
      <c r="J878" s="64">
        <v>18.005652651213808</v>
      </c>
      <c r="K878" s="64">
        <v>18.005829451213806</v>
      </c>
    </row>
    <row r="879" spans="1:11" ht="15">
      <c r="A879" s="13">
        <v>68393</v>
      </c>
      <c r="B879" s="63">
        <v>15.344646075806473</v>
      </c>
      <c r="C879" s="63">
        <v>15.344646075806473</v>
      </c>
      <c r="D879" s="63">
        <v>15.353229795806474</v>
      </c>
      <c r="E879" s="64">
        <v>18.168694678930798</v>
      </c>
      <c r="F879" s="64">
        <v>18.168694678930798</v>
      </c>
      <c r="G879" s="64">
        <v>18.168871478930797</v>
      </c>
      <c r="H879" s="64">
        <v>29.408407954312015</v>
      </c>
      <c r="I879" s="64">
        <v>29.408584754312013</v>
      </c>
      <c r="J879" s="64">
        <v>18.168694678930798</v>
      </c>
      <c r="K879" s="64">
        <v>18.168871478930797</v>
      </c>
    </row>
    <row r="880" spans="1:11" ht="15">
      <c r="A880" s="13">
        <v>68423</v>
      </c>
      <c r="B880" s="63">
        <v>15.344646075806473</v>
      </c>
      <c r="C880" s="63">
        <v>15.344646075806473</v>
      </c>
      <c r="D880" s="63">
        <v>15.361809795806472</v>
      </c>
      <c r="E880" s="64">
        <v>18.231424422375461</v>
      </c>
      <c r="F880" s="64">
        <v>18.231424422375461</v>
      </c>
      <c r="G880" s="64">
        <v>18.23257622237546</v>
      </c>
      <c r="H880" s="64">
        <v>29.46967547088348</v>
      </c>
      <c r="I880" s="64">
        <v>29.470827270883479</v>
      </c>
      <c r="J880" s="64">
        <v>18.231424422375461</v>
      </c>
      <c r="K880" s="64">
        <v>18.23257622237546</v>
      </c>
    </row>
    <row r="881" spans="1:11" ht="15">
      <c r="A881" s="13">
        <v>68454</v>
      </c>
      <c r="B881" s="63">
        <v>15.350725621260974</v>
      </c>
      <c r="C881" s="63">
        <v>15.350725621260974</v>
      </c>
      <c r="D881" s="63">
        <v>15.367889341260973</v>
      </c>
      <c r="E881" s="64">
        <v>18.172931967066365</v>
      </c>
      <c r="F881" s="64">
        <v>18.172931967066365</v>
      </c>
      <c r="G881" s="64">
        <v>18.174083767066364</v>
      </c>
      <c r="H881" s="64">
        <v>29.531070628114474</v>
      </c>
      <c r="I881" s="64">
        <v>29.532222428114473</v>
      </c>
      <c r="J881" s="64">
        <v>18.172931967066365</v>
      </c>
      <c r="K881" s="64">
        <v>18.174083767066364</v>
      </c>
    </row>
    <row r="882" spans="1:11" ht="15">
      <c r="A882" s="13">
        <v>68484</v>
      </c>
      <c r="B882" s="63">
        <v>15.590877384164118</v>
      </c>
      <c r="C882" s="63">
        <v>15.590877384164118</v>
      </c>
      <c r="D882" s="63">
        <v>15.608041104164117</v>
      </c>
      <c r="E882" s="64">
        <v>18.518239072065651</v>
      </c>
      <c r="F882" s="64">
        <v>18.518239072065651</v>
      </c>
      <c r="G882" s="64">
        <v>18.519390872065649</v>
      </c>
      <c r="H882" s="64">
        <v>29.592593691923081</v>
      </c>
      <c r="I882" s="64">
        <v>29.59374549192308</v>
      </c>
      <c r="J882" s="64">
        <v>18.518239072065651</v>
      </c>
      <c r="K882" s="64">
        <v>18.519390872065649</v>
      </c>
    </row>
    <row r="883" spans="1:11" ht="15">
      <c r="A883" s="13">
        <v>68515</v>
      </c>
      <c r="B883" s="63">
        <v>15.597564884164116</v>
      </c>
      <c r="C883" s="63">
        <v>15.597564884164116</v>
      </c>
      <c r="D883" s="63">
        <v>15.614728604164116</v>
      </c>
      <c r="E883" s="64">
        <v>18.334710858680666</v>
      </c>
      <c r="F883" s="64">
        <v>18.334710858680666</v>
      </c>
      <c r="G883" s="64">
        <v>18.335862658680664</v>
      </c>
      <c r="H883" s="64">
        <v>29.654244928781281</v>
      </c>
      <c r="I883" s="64">
        <v>29.65539672878128</v>
      </c>
      <c r="J883" s="64">
        <v>18.334710858680666</v>
      </c>
      <c r="K883" s="64">
        <v>18.335862658680664</v>
      </c>
    </row>
    <row r="884" spans="1:11" ht="15">
      <c r="A884" s="13">
        <v>68546</v>
      </c>
      <c r="B884" s="63">
        <v>15.594525111436798</v>
      </c>
      <c r="C884" s="63">
        <v>15.594525111436798</v>
      </c>
      <c r="D884" s="63">
        <v>15.611688831436798</v>
      </c>
      <c r="E884" s="64">
        <v>18.311682300131309</v>
      </c>
      <c r="F884" s="64">
        <v>18.311682300131313</v>
      </c>
      <c r="G884" s="64">
        <v>18.312834100131312</v>
      </c>
      <c r="H884" s="64">
        <v>29.716024605716193</v>
      </c>
      <c r="I884" s="64">
        <v>29.717176405716192</v>
      </c>
      <c r="J884" s="64">
        <v>18.311682300131309</v>
      </c>
      <c r="K884" s="64">
        <v>18.312834100131308</v>
      </c>
    </row>
    <row r="885" spans="1:11" ht="15">
      <c r="A885" s="13">
        <v>68576</v>
      </c>
      <c r="B885" s="63">
        <v>15.62756600028489</v>
      </c>
      <c r="C885" s="63">
        <v>15.62756600028489</v>
      </c>
      <c r="D885" s="63">
        <v>15.636149720284891</v>
      </c>
      <c r="E885" s="64">
        <v>18.381903878961573</v>
      </c>
      <c r="F885" s="64">
        <v>18.381903878961573</v>
      </c>
      <c r="G885" s="64">
        <v>18.382080678961572</v>
      </c>
      <c r="H885" s="64">
        <v>29.777932990311424</v>
      </c>
      <c r="I885" s="64">
        <v>29.778109790311422</v>
      </c>
      <c r="J885" s="64">
        <v>18.381903878961573</v>
      </c>
      <c r="K885" s="64">
        <v>18.382080678961572</v>
      </c>
    </row>
    <row r="886" spans="1:11" ht="15">
      <c r="A886" s="13">
        <v>68607</v>
      </c>
      <c r="B886" s="63">
        <v>15.630605773012162</v>
      </c>
      <c r="C886" s="63">
        <v>15.630605773012162</v>
      </c>
      <c r="D886" s="63">
        <v>15.639189493012163</v>
      </c>
      <c r="E886" s="64">
        <v>18.425842351992387</v>
      </c>
      <c r="F886" s="64">
        <v>18.425842351992387</v>
      </c>
      <c r="G886" s="64">
        <v>18.426019151992385</v>
      </c>
      <c r="H886" s="64">
        <v>29.839970350707954</v>
      </c>
      <c r="I886" s="64">
        <v>29.840147150707953</v>
      </c>
      <c r="J886" s="64">
        <v>18.425842351992387</v>
      </c>
      <c r="K886" s="64">
        <v>18.426019151992385</v>
      </c>
    </row>
    <row r="887" spans="1:11" ht="15">
      <c r="A887" s="13">
        <v>68637</v>
      </c>
      <c r="B887" s="63">
        <v>15.630605773012162</v>
      </c>
      <c r="C887" s="63">
        <v>15.630605773012162</v>
      </c>
      <c r="D887" s="63">
        <v>15.639189493012163</v>
      </c>
      <c r="E887" s="64">
        <v>18.321292779584585</v>
      </c>
      <c r="F887" s="64">
        <v>18.321292779584585</v>
      </c>
      <c r="G887" s="64">
        <v>18.321469579584583</v>
      </c>
      <c r="H887" s="64">
        <v>29.9021369556053</v>
      </c>
      <c r="I887" s="64">
        <v>29.902313755605299</v>
      </c>
      <c r="J887" s="64">
        <v>18.321292779584585</v>
      </c>
      <c r="K887" s="64">
        <v>18.321469579584583</v>
      </c>
    </row>
    <row r="888" spans="1:11" ht="15">
      <c r="A888" s="13">
        <v>68668</v>
      </c>
      <c r="B888" s="63">
        <v>15.588729117275191</v>
      </c>
      <c r="C888" s="63">
        <v>15.588729117275191</v>
      </c>
      <c r="D888" s="63">
        <v>15.597312837275192</v>
      </c>
      <c r="E888" s="64">
        <v>18.344120880921302</v>
      </c>
      <c r="F888" s="64">
        <v>18.344120880921302</v>
      </c>
      <c r="G888" s="64">
        <v>18.344297680921301</v>
      </c>
      <c r="H888" s="64">
        <v>29.671259716460472</v>
      </c>
      <c r="I888" s="64">
        <v>29.671436516460471</v>
      </c>
      <c r="J888" s="64">
        <v>18.344120880921302</v>
      </c>
      <c r="K888" s="64">
        <v>18.344297680921301</v>
      </c>
    </row>
    <row r="889" spans="1:11" ht="15">
      <c r="A889" s="13">
        <v>68699</v>
      </c>
      <c r="B889" s="63">
        <v>15.585689344547919</v>
      </c>
      <c r="C889" s="63">
        <v>15.585689344547919</v>
      </c>
      <c r="D889" s="63">
        <v>15.59427306454792</v>
      </c>
      <c r="E889" s="64">
        <v>18.141216694188074</v>
      </c>
      <c r="F889" s="64">
        <v>18.141216694188135</v>
      </c>
      <c r="G889" s="64">
        <v>18.141393494188133</v>
      </c>
      <c r="H889" s="64">
        <v>29.733074840869708</v>
      </c>
      <c r="I889" s="64">
        <v>29.733251640869707</v>
      </c>
      <c r="J889" s="64">
        <v>18.141216694188074</v>
      </c>
      <c r="K889" s="64">
        <v>18.141393494188073</v>
      </c>
    </row>
    <row r="890" spans="1:11" ht="15">
      <c r="A890" s="13">
        <v>68728</v>
      </c>
      <c r="B890" s="63">
        <v>15.5826495718206</v>
      </c>
      <c r="C890" s="63">
        <v>15.5826495718206</v>
      </c>
      <c r="D890" s="63">
        <v>15.5912332918206</v>
      </c>
      <c r="E890" s="64">
        <v>18.297385228092516</v>
      </c>
      <c r="F890" s="64">
        <v>18.297385228092516</v>
      </c>
      <c r="G890" s="64">
        <v>18.297562028092514</v>
      </c>
      <c r="H890" s="64">
        <v>29.795018746788166</v>
      </c>
      <c r="I890" s="64">
        <v>29.795195546788165</v>
      </c>
      <c r="J890" s="64">
        <v>18.297385228092516</v>
      </c>
      <c r="K890" s="64">
        <v>18.297562028092514</v>
      </c>
    </row>
    <row r="891" spans="1:11" ht="15">
      <c r="A891" s="13">
        <v>68759</v>
      </c>
      <c r="B891" s="63">
        <v>15.590170989990252</v>
      </c>
      <c r="C891" s="63">
        <v>15.590170989990252</v>
      </c>
      <c r="D891" s="63">
        <v>15.598754709990253</v>
      </c>
      <c r="E891" s="64">
        <v>18.463141398729839</v>
      </c>
      <c r="F891" s="64">
        <v>18.463141398729839</v>
      </c>
      <c r="G891" s="64">
        <v>18.463318198729837</v>
      </c>
      <c r="H891" s="64">
        <v>29.857091702510676</v>
      </c>
      <c r="I891" s="64">
        <v>29.857268502510674</v>
      </c>
      <c r="J891" s="64">
        <v>18.463141398729839</v>
      </c>
      <c r="K891" s="64">
        <v>18.463318198729837</v>
      </c>
    </row>
    <row r="892" spans="1:11" ht="15">
      <c r="A892" s="13">
        <v>68789</v>
      </c>
      <c r="B892" s="63">
        <v>15.590170989990252</v>
      </c>
      <c r="C892" s="63">
        <v>15.590170989990252</v>
      </c>
      <c r="D892" s="63">
        <v>15.607334709990251</v>
      </c>
      <c r="E892" s="64">
        <v>18.526888945769624</v>
      </c>
      <c r="F892" s="64">
        <v>18.526888945769624</v>
      </c>
      <c r="G892" s="64">
        <v>18.528040745769623</v>
      </c>
      <c r="H892" s="64">
        <v>29.919293976890888</v>
      </c>
      <c r="I892" s="64">
        <v>29.920445776890887</v>
      </c>
      <c r="J892" s="64">
        <v>18.526888945769624</v>
      </c>
      <c r="K892" s="64">
        <v>18.528040745769623</v>
      </c>
    </row>
    <row r="893" spans="1:11" ht="15">
      <c r="A893" s="13">
        <v>68820</v>
      </c>
      <c r="B893" s="63">
        <v>15.596250535444751</v>
      </c>
      <c r="C893" s="63">
        <v>15.596250535444751</v>
      </c>
      <c r="D893" s="63">
        <v>15.61341425544475</v>
      </c>
      <c r="E893" s="64">
        <v>18.467378686865402</v>
      </c>
      <c r="F893" s="64">
        <v>18.467378686865402</v>
      </c>
      <c r="G893" s="64">
        <v>18.468530486865401</v>
      </c>
      <c r="H893" s="64">
        <v>29.98162583934273</v>
      </c>
      <c r="I893" s="64">
        <v>29.982777639342729</v>
      </c>
      <c r="J893" s="64">
        <v>18.467378686865402</v>
      </c>
      <c r="K893" s="64">
        <v>18.468530486865401</v>
      </c>
    </row>
    <row r="894" spans="1:11" ht="15">
      <c r="A894" s="13">
        <v>68850</v>
      </c>
      <c r="B894" s="63">
        <v>15.840092630795111</v>
      </c>
      <c r="C894" s="63">
        <v>15.840092630795111</v>
      </c>
      <c r="D894" s="63">
        <v>15.85725635079511</v>
      </c>
      <c r="E894" s="64">
        <v>18.818122358281876</v>
      </c>
      <c r="F894" s="64">
        <v>18.818122358281876</v>
      </c>
      <c r="G894" s="64">
        <v>18.819274158281875</v>
      </c>
      <c r="H894" s="64">
        <v>30.044087559841397</v>
      </c>
      <c r="I894" s="64">
        <v>30.045239359841396</v>
      </c>
      <c r="J894" s="64">
        <v>18.818122358281876</v>
      </c>
      <c r="K894" s="64">
        <v>18.819274158281875</v>
      </c>
    </row>
    <row r="895" spans="1:11" ht="15">
      <c r="A895" s="13">
        <v>68881</v>
      </c>
      <c r="B895" s="63">
        <v>15.846780130795109</v>
      </c>
      <c r="C895" s="63">
        <v>15.846780130795109</v>
      </c>
      <c r="D895" s="63">
        <v>15.863943850795108</v>
      </c>
      <c r="E895" s="64">
        <v>18.631540734111518</v>
      </c>
      <c r="F895" s="64">
        <v>18.631540734111518</v>
      </c>
      <c r="G895" s="64">
        <v>18.632692534111516</v>
      </c>
      <c r="H895" s="64">
        <v>30.106679408924428</v>
      </c>
      <c r="I895" s="64">
        <v>30.107831208924427</v>
      </c>
      <c r="J895" s="64">
        <v>18.631540734111518</v>
      </c>
      <c r="K895" s="64">
        <v>18.632692534111516</v>
      </c>
    </row>
    <row r="896" spans="1:11" ht="15">
      <c r="A896" s="13">
        <v>68912</v>
      </c>
      <c r="B896" s="63">
        <v>15.843740358067789</v>
      </c>
      <c r="C896" s="63">
        <v>15.843740358067789</v>
      </c>
      <c r="D896" s="63">
        <v>15.860904078067788</v>
      </c>
      <c r="E896" s="64">
        <v>18.608172907697124</v>
      </c>
      <c r="F896" s="64">
        <v>18.608172907697124</v>
      </c>
      <c r="G896" s="64">
        <v>18.609324707697123</v>
      </c>
      <c r="H896" s="64">
        <v>30.169401657692969</v>
      </c>
      <c r="I896" s="64">
        <v>30.170553457692968</v>
      </c>
      <c r="J896" s="64">
        <v>18.608172907697124</v>
      </c>
      <c r="K896" s="64">
        <v>18.609324707697123</v>
      </c>
    </row>
    <row r="897" spans="1:11" ht="15">
      <c r="A897" s="13">
        <v>68942</v>
      </c>
      <c r="B897" s="63">
        <v>15.877583950205683</v>
      </c>
      <c r="C897" s="63">
        <v>15.877583950205683</v>
      </c>
      <c r="D897" s="63">
        <v>15.886167670205683</v>
      </c>
      <c r="E897" s="64">
        <v>18.679751557987551</v>
      </c>
      <c r="F897" s="64">
        <v>18.679751557987551</v>
      </c>
      <c r="G897" s="64">
        <v>18.679928357987549</v>
      </c>
      <c r="H897" s="64">
        <v>30.232254577813151</v>
      </c>
      <c r="I897" s="64">
        <v>30.23243137781315</v>
      </c>
      <c r="J897" s="64">
        <v>18.679751557987551</v>
      </c>
      <c r="K897" s="64">
        <v>18.679928357987549</v>
      </c>
    </row>
    <row r="898" spans="1:11" ht="15">
      <c r="A898" s="13">
        <v>68973</v>
      </c>
      <c r="B898" s="63">
        <v>15.880623722932954</v>
      </c>
      <c r="C898" s="63">
        <v>15.880623722932954</v>
      </c>
      <c r="D898" s="63">
        <v>15.889207442932955</v>
      </c>
      <c r="E898" s="64">
        <v>18.724368566748446</v>
      </c>
      <c r="F898" s="64">
        <v>18.724368566748446</v>
      </c>
      <c r="G898" s="64">
        <v>18.724545366748444</v>
      </c>
      <c r="H898" s="64">
        <v>30.295238441516979</v>
      </c>
      <c r="I898" s="64">
        <v>30.295415241516977</v>
      </c>
      <c r="J898" s="64">
        <v>18.724368566748446</v>
      </c>
      <c r="K898" s="64">
        <v>18.724545366748444</v>
      </c>
    </row>
    <row r="899" spans="1:11" ht="15">
      <c r="A899" s="13">
        <v>69003</v>
      </c>
      <c r="B899" s="63">
        <v>15.880623722932954</v>
      </c>
      <c r="C899" s="63">
        <v>15.880623722932954</v>
      </c>
      <c r="D899" s="63">
        <v>15.889207442932955</v>
      </c>
      <c r="E899" s="64">
        <v>18.618122655015437</v>
      </c>
      <c r="F899" s="64">
        <v>18.618122655015437</v>
      </c>
      <c r="G899" s="64">
        <v>18.618299455015435</v>
      </c>
      <c r="H899" s="64">
        <v>30.358353521603512</v>
      </c>
      <c r="I899" s="64">
        <v>30.35853032160351</v>
      </c>
      <c r="J899" s="64">
        <v>18.618122655015437</v>
      </c>
      <c r="K899" s="64">
        <v>18.618299455015435</v>
      </c>
    </row>
    <row r="900" spans="1:11" ht="15">
      <c r="A900" s="13">
        <v>69034</v>
      </c>
      <c r="B900" s="63">
        <v>15.834048410622055</v>
      </c>
      <c r="C900" s="63">
        <v>15.834048410622055</v>
      </c>
      <c r="D900" s="63">
        <v>15.842632130622055</v>
      </c>
      <c r="E900" s="64">
        <v>18.636531993530092</v>
      </c>
      <c r="F900" s="64">
        <v>18.636531993530092</v>
      </c>
      <c r="G900" s="64">
        <v>18.63670879353009</v>
      </c>
      <c r="H900" s="64">
        <v>30.117150835260833</v>
      </c>
      <c r="I900" s="64">
        <v>30.117327635260832</v>
      </c>
      <c r="J900" s="64">
        <v>18.636531993530092</v>
      </c>
      <c r="K900" s="64">
        <v>18.63670879353009</v>
      </c>
    </row>
    <row r="901" spans="1:11" ht="15">
      <c r="A901" s="13">
        <v>69065</v>
      </c>
      <c r="B901" s="63">
        <v>15.831008637894783</v>
      </c>
      <c r="C901" s="63">
        <v>15.831008637894783</v>
      </c>
      <c r="D901" s="63">
        <v>15.839592357894784</v>
      </c>
      <c r="E901" s="64">
        <v>18.43042203250964</v>
      </c>
      <c r="F901" s="64">
        <v>18.430422032509703</v>
      </c>
      <c r="G901" s="64">
        <v>18.430598832509702</v>
      </c>
      <c r="H901" s="64">
        <v>30.179894899500901</v>
      </c>
      <c r="I901" s="64">
        <v>30.1800716995009</v>
      </c>
      <c r="J901" s="64">
        <v>18.43042203250964</v>
      </c>
      <c r="K901" s="64">
        <v>18.430598832509638</v>
      </c>
    </row>
    <row r="902" spans="1:11" ht="15">
      <c r="A902" s="13">
        <v>69093</v>
      </c>
      <c r="B902" s="63">
        <v>15.827968865167461</v>
      </c>
      <c r="C902" s="63">
        <v>15.827968865167461</v>
      </c>
      <c r="D902" s="63">
        <v>15.836552585167462</v>
      </c>
      <c r="E902" s="64">
        <v>18.589117804971224</v>
      </c>
      <c r="F902" s="64">
        <v>18.589117804971224</v>
      </c>
      <c r="G902" s="64">
        <v>18.589294604971222</v>
      </c>
      <c r="H902" s="64">
        <v>30.242769680541507</v>
      </c>
      <c r="I902" s="64">
        <v>30.242946480541505</v>
      </c>
      <c r="J902" s="64">
        <v>18.589117804971224</v>
      </c>
      <c r="K902" s="64">
        <v>18.589294604971222</v>
      </c>
    </row>
    <row r="903" spans="1:11" ht="15">
      <c r="A903" s="13">
        <v>69124</v>
      </c>
      <c r="B903" s="63">
        <v>15.835695904174031</v>
      </c>
      <c r="C903" s="63">
        <v>15.835695904174031</v>
      </c>
      <c r="D903" s="63">
        <v>15.844279624174032</v>
      </c>
      <c r="E903" s="64">
        <v>18.757588118528879</v>
      </c>
      <c r="F903" s="64">
        <v>18.757588118528879</v>
      </c>
      <c r="G903" s="64">
        <v>18.757764918528878</v>
      </c>
      <c r="H903" s="64">
        <v>30.305775450709337</v>
      </c>
      <c r="I903" s="64">
        <v>30.305952250709336</v>
      </c>
      <c r="J903" s="64">
        <v>18.757588118528879</v>
      </c>
      <c r="K903" s="64">
        <v>18.757764918528878</v>
      </c>
    </row>
    <row r="904" spans="1:11" ht="15">
      <c r="A904" s="13">
        <v>69154</v>
      </c>
      <c r="B904" s="63">
        <v>15.835695904174031</v>
      </c>
      <c r="C904" s="63">
        <v>15.835695904174031</v>
      </c>
      <c r="D904" s="63">
        <v>15.85285962417403</v>
      </c>
      <c r="E904" s="64">
        <v>18.822353469163787</v>
      </c>
      <c r="F904" s="64">
        <v>18.822353469163787</v>
      </c>
      <c r="G904" s="64">
        <v>18.823505269163785</v>
      </c>
      <c r="H904" s="64">
        <v>30.368912482898295</v>
      </c>
      <c r="I904" s="64">
        <v>30.370064282898294</v>
      </c>
      <c r="J904" s="64">
        <v>18.822353469163787</v>
      </c>
      <c r="K904" s="64">
        <v>18.823505269163785</v>
      </c>
    </row>
    <row r="905" spans="1:11" ht="15">
      <c r="A905" s="13">
        <v>69185</v>
      </c>
      <c r="B905" s="63">
        <v>15.841775449628528</v>
      </c>
      <c r="C905" s="63">
        <v>15.841775449628528</v>
      </c>
      <c r="D905" s="63">
        <v>15.858939169628528</v>
      </c>
      <c r="E905" s="64">
        <v>18.761825406664439</v>
      </c>
      <c r="F905" s="64">
        <v>18.761825406664439</v>
      </c>
      <c r="G905" s="64">
        <v>18.762977206664438</v>
      </c>
      <c r="H905" s="64">
        <v>30.432181050570986</v>
      </c>
      <c r="I905" s="64">
        <v>30.433332850570984</v>
      </c>
      <c r="J905" s="64">
        <v>18.761825406664439</v>
      </c>
      <c r="K905" s="64">
        <v>18.762977206664438</v>
      </c>
    </row>
    <row r="906" spans="1:11" ht="15">
      <c r="A906" s="13">
        <v>69215</v>
      </c>
      <c r="B906" s="63">
        <v>16.089307877426101</v>
      </c>
      <c r="C906" s="63">
        <v>16.089307877426101</v>
      </c>
      <c r="D906" s="63">
        <v>16.106471597426101</v>
      </c>
      <c r="E906" s="64">
        <v>19.118005644498101</v>
      </c>
      <c r="F906" s="64">
        <v>19.118005644498101</v>
      </c>
      <c r="G906" s="64">
        <v>19.1191574444981</v>
      </c>
      <c r="H906" s="64">
        <v>30.495581427759713</v>
      </c>
      <c r="I906" s="64">
        <v>30.496733227759712</v>
      </c>
      <c r="J906" s="64">
        <v>19.118005644498101</v>
      </c>
      <c r="K906" s="64">
        <v>19.1191574444981</v>
      </c>
    </row>
    <row r="907" spans="1:11" ht="15">
      <c r="A907" s="13">
        <v>69246</v>
      </c>
      <c r="B907" s="63">
        <v>16.0959953774261</v>
      </c>
      <c r="C907" s="63">
        <v>16.0959953774261</v>
      </c>
      <c r="D907" s="63">
        <v>16.113159097426099</v>
      </c>
      <c r="E907" s="64">
        <v>18.92837060954237</v>
      </c>
      <c r="F907" s="64">
        <v>18.92837060954237</v>
      </c>
      <c r="G907" s="64">
        <v>18.929522409542368</v>
      </c>
      <c r="H907" s="64">
        <v>30.559113889067575</v>
      </c>
      <c r="I907" s="64">
        <v>30.560265689067574</v>
      </c>
      <c r="J907" s="64">
        <v>18.92837060954237</v>
      </c>
      <c r="K907" s="64">
        <v>18.929522409542368</v>
      </c>
    </row>
    <row r="908" spans="1:11" ht="15">
      <c r="A908" s="13">
        <v>69277</v>
      </c>
      <c r="B908" s="63">
        <v>16.09295560469878</v>
      </c>
      <c r="C908" s="63">
        <v>16.09295560469878</v>
      </c>
      <c r="D908" s="63">
        <v>16.110119324698779</v>
      </c>
      <c r="E908" s="64">
        <v>18.904663515262939</v>
      </c>
      <c r="F908" s="64">
        <v>18.904663515262936</v>
      </c>
      <c r="G908" s="64">
        <v>18.905815315262934</v>
      </c>
      <c r="H908" s="64">
        <v>30.622778709669745</v>
      </c>
      <c r="I908" s="64">
        <v>30.623930509669744</v>
      </c>
      <c r="J908" s="64">
        <v>18.904663515262939</v>
      </c>
      <c r="K908" s="64">
        <v>18.905815315262938</v>
      </c>
    </row>
    <row r="909" spans="1:11" ht="15">
      <c r="A909" s="13">
        <v>69307</v>
      </c>
      <c r="B909" s="63">
        <v>16.127601900126475</v>
      </c>
      <c r="C909" s="63">
        <v>16.127601900126475</v>
      </c>
      <c r="D909" s="63">
        <v>16.136185620126476</v>
      </c>
      <c r="E909" s="64">
        <v>18.977599237013528</v>
      </c>
      <c r="F909" s="64">
        <v>18.977599237013528</v>
      </c>
      <c r="G909" s="64">
        <v>18.977776037013527</v>
      </c>
      <c r="H909" s="64">
        <v>30.686576165314879</v>
      </c>
      <c r="I909" s="64">
        <v>30.686752965314877</v>
      </c>
      <c r="J909" s="64">
        <v>18.977599237013528</v>
      </c>
      <c r="K909" s="64">
        <v>18.977776037013527</v>
      </c>
    </row>
    <row r="910" spans="1:11" ht="15">
      <c r="A910" s="13">
        <v>69338</v>
      </c>
      <c r="B910" s="63">
        <v>16.130641672853749</v>
      </c>
      <c r="C910" s="63">
        <v>16.130641672853749</v>
      </c>
      <c r="D910" s="63">
        <v>16.139225392853749</v>
      </c>
      <c r="E910" s="64">
        <v>19.022894781504505</v>
      </c>
      <c r="F910" s="64">
        <v>19.022894781504505</v>
      </c>
      <c r="G910" s="64">
        <v>19.023071581504503</v>
      </c>
      <c r="H910" s="64">
        <v>30.750506532326003</v>
      </c>
      <c r="I910" s="64">
        <v>30.750683332326002</v>
      </c>
      <c r="J910" s="64">
        <v>19.022894781504505</v>
      </c>
      <c r="K910" s="64">
        <v>19.023071581504503</v>
      </c>
    </row>
    <row r="911" spans="1:11" ht="15">
      <c r="A911" s="13">
        <v>69368</v>
      </c>
      <c r="B911" s="63">
        <v>16.130641672853749</v>
      </c>
      <c r="C911" s="63">
        <v>16.130641672853749</v>
      </c>
      <c r="D911" s="63">
        <v>16.139225392853749</v>
      </c>
      <c r="E911" s="64">
        <v>18.914952530446289</v>
      </c>
      <c r="F911" s="64">
        <v>18.914952530446289</v>
      </c>
      <c r="G911" s="64">
        <v>18.915129330446288</v>
      </c>
      <c r="H911" s="64">
        <v>30.814570087601723</v>
      </c>
      <c r="I911" s="64">
        <v>30.814746887601721</v>
      </c>
      <c r="J911" s="64">
        <v>18.914952530446289</v>
      </c>
      <c r="K911" s="64">
        <v>18.915129330446288</v>
      </c>
    </row>
    <row r="912" spans="1:11" ht="15">
      <c r="A912" s="13">
        <v>69399</v>
      </c>
      <c r="B912" s="63">
        <v>16.07936770396892</v>
      </c>
      <c r="C912" s="63">
        <v>16.07936770396892</v>
      </c>
      <c r="D912" s="63">
        <v>16.087951423968921</v>
      </c>
      <c r="E912" s="64">
        <v>18.928943106138881</v>
      </c>
      <c r="F912" s="64">
        <v>18.928943106138881</v>
      </c>
      <c r="G912" s="64">
        <v>18.92911990613888</v>
      </c>
      <c r="H912" s="64">
        <v>30.563041954061195</v>
      </c>
      <c r="I912" s="64">
        <v>30.563218754061193</v>
      </c>
      <c r="J912" s="64">
        <v>18.928943106138881</v>
      </c>
      <c r="K912" s="64">
        <v>18.92911990613888</v>
      </c>
    </row>
    <row r="913" spans="1:11" ht="15">
      <c r="A913" s="13">
        <v>69430</v>
      </c>
      <c r="B913" s="63">
        <v>16.076327931241646</v>
      </c>
      <c r="C913" s="63">
        <v>16.076327931241646</v>
      </c>
      <c r="D913" s="63">
        <v>16.084911651241647</v>
      </c>
      <c r="E913" s="64">
        <v>18.719627370831205</v>
      </c>
      <c r="F913" s="64">
        <v>18.719627370831272</v>
      </c>
      <c r="G913" s="64">
        <v>18.719804170831271</v>
      </c>
      <c r="H913" s="64">
        <v>30.626714958132094</v>
      </c>
      <c r="I913" s="64">
        <v>30.626891758132093</v>
      </c>
      <c r="J913" s="64">
        <v>18.719627370831205</v>
      </c>
      <c r="K913" s="64">
        <v>18.719804170831203</v>
      </c>
    </row>
    <row r="914" spans="1:11" ht="15">
      <c r="A914" s="13">
        <v>69458</v>
      </c>
      <c r="B914" s="63">
        <v>16.073288158514323</v>
      </c>
      <c r="C914" s="63">
        <v>16.073288158514323</v>
      </c>
      <c r="D914" s="63">
        <v>16.081871878514324</v>
      </c>
      <c r="E914" s="64">
        <v>18.880850381849932</v>
      </c>
      <c r="F914" s="64">
        <v>18.880850381849932</v>
      </c>
      <c r="G914" s="64">
        <v>18.88102718184993</v>
      </c>
      <c r="H914" s="64">
        <v>30.690520614294847</v>
      </c>
      <c r="I914" s="64">
        <v>30.690697414294846</v>
      </c>
      <c r="J914" s="64">
        <v>18.880850381849932</v>
      </c>
      <c r="K914" s="64">
        <v>18.88102718184993</v>
      </c>
    </row>
    <row r="915" spans="1:11" ht="15">
      <c r="A915" s="13">
        <v>69489</v>
      </c>
      <c r="B915" s="63">
        <v>16.08122081835781</v>
      </c>
      <c r="C915" s="63">
        <v>16.08122081835781</v>
      </c>
      <c r="D915" s="63">
        <v>16.089804538357811</v>
      </c>
      <c r="E915" s="64">
        <v>19.05203483832792</v>
      </c>
      <c r="F915" s="64">
        <v>19.05203483832792</v>
      </c>
      <c r="G915" s="64">
        <v>19.052211638327918</v>
      </c>
      <c r="H915" s="64">
        <v>30.754459198907998</v>
      </c>
      <c r="I915" s="64">
        <v>30.754635998907997</v>
      </c>
      <c r="J915" s="64">
        <v>19.05203483832792</v>
      </c>
      <c r="K915" s="64">
        <v>19.052211638327918</v>
      </c>
    </row>
    <row r="916" spans="1:11" ht="15">
      <c r="A916" s="13">
        <v>69519</v>
      </c>
      <c r="B916" s="63">
        <v>16.08122081835781</v>
      </c>
      <c r="C916" s="63">
        <v>16.08122081835781</v>
      </c>
      <c r="D916" s="63">
        <v>16.098384538357809</v>
      </c>
      <c r="E916" s="64">
        <v>19.117817992557949</v>
      </c>
      <c r="F916" s="64">
        <v>19.117817992557949</v>
      </c>
      <c r="G916" s="64">
        <v>19.118969792557948</v>
      </c>
      <c r="H916" s="64">
        <v>30.818530988905703</v>
      </c>
      <c r="I916" s="64">
        <v>30.819682788905702</v>
      </c>
      <c r="J916" s="64">
        <v>19.117817992557949</v>
      </c>
      <c r="K916" s="64">
        <v>19.118969792557948</v>
      </c>
    </row>
    <row r="917" spans="1:11" ht="15">
      <c r="A917" s="13">
        <v>69550</v>
      </c>
      <c r="B917" s="63">
        <v>16.087300363812304</v>
      </c>
      <c r="C917" s="63">
        <v>16.087300363812304</v>
      </c>
      <c r="D917" s="63">
        <v>16.104464083812303</v>
      </c>
      <c r="E917" s="64">
        <v>19.056272126463476</v>
      </c>
      <c r="F917" s="64">
        <v>19.056272126463476</v>
      </c>
      <c r="G917" s="64">
        <v>19.057423926463475</v>
      </c>
      <c r="H917" s="64">
        <v>30.882736261799241</v>
      </c>
      <c r="I917" s="64">
        <v>30.88388806179924</v>
      </c>
      <c r="J917" s="64">
        <v>19.056272126463476</v>
      </c>
      <c r="K917" s="64">
        <v>19.057423926463475</v>
      </c>
    </row>
    <row r="918" spans="1:11" ht="15">
      <c r="A918" s="13">
        <v>69580</v>
      </c>
      <c r="B918" s="63">
        <v>16.33852312405709</v>
      </c>
      <c r="C918" s="63">
        <v>16.33852312405709</v>
      </c>
      <c r="D918" s="63">
        <v>16.35568684405709</v>
      </c>
      <c r="E918" s="64">
        <v>19.417888930714327</v>
      </c>
      <c r="F918" s="64">
        <v>19.417888930714327</v>
      </c>
      <c r="G918" s="64">
        <v>19.419040730714325</v>
      </c>
      <c r="H918" s="64">
        <v>30.94707529567803</v>
      </c>
      <c r="I918" s="64">
        <v>30.948227095678028</v>
      </c>
      <c r="J918" s="64">
        <v>19.417888930714327</v>
      </c>
      <c r="K918" s="64">
        <v>19.419040730714325</v>
      </c>
    </row>
    <row r="919" spans="1:11" ht="15">
      <c r="A919" s="13">
        <v>69611</v>
      </c>
      <c r="B919" s="63">
        <v>16.345210624057088</v>
      </c>
      <c r="C919" s="63">
        <v>16.345210624057088</v>
      </c>
      <c r="D919" s="63">
        <v>16.362374344057088</v>
      </c>
      <c r="E919" s="64">
        <v>19.225200484973222</v>
      </c>
      <c r="F919" s="64">
        <v>19.225200484973222</v>
      </c>
      <c r="G919" s="64">
        <v>19.22635228497322</v>
      </c>
      <c r="H919" s="64">
        <v>31.011548369210722</v>
      </c>
      <c r="I919" s="64">
        <v>31.012700169210721</v>
      </c>
      <c r="J919" s="64">
        <v>19.225200484973222</v>
      </c>
      <c r="K919" s="64">
        <v>19.22635228497322</v>
      </c>
    </row>
    <row r="920" spans="1:11" ht="15">
      <c r="A920" s="13">
        <v>69642</v>
      </c>
      <c r="B920" s="63">
        <v>16.342170851329769</v>
      </c>
      <c r="C920" s="63">
        <v>16.342170851329769</v>
      </c>
      <c r="D920" s="63">
        <v>16.359334571329768</v>
      </c>
      <c r="E920" s="64">
        <v>19.201154122828754</v>
      </c>
      <c r="F920" s="64">
        <v>19.201154122828747</v>
      </c>
      <c r="G920" s="64">
        <v>19.202305922828746</v>
      </c>
      <c r="H920" s="64">
        <v>31.076155761646522</v>
      </c>
      <c r="I920" s="64">
        <v>31.077307561646521</v>
      </c>
      <c r="J920" s="64">
        <v>19.201154122828754</v>
      </c>
      <c r="K920" s="64">
        <v>19.202305922828753</v>
      </c>
    </row>
    <row r="921" spans="1:11" ht="15">
      <c r="A921" s="13">
        <v>69672</v>
      </c>
      <c r="B921" s="63">
        <v>16.377619850047267</v>
      </c>
      <c r="C921" s="63">
        <v>16.377619850047267</v>
      </c>
      <c r="D921" s="63">
        <v>16.386203570047268</v>
      </c>
      <c r="E921" s="64">
        <v>19.275446916039506</v>
      </c>
      <c r="F921" s="64">
        <v>19.275446916039506</v>
      </c>
      <c r="G921" s="64">
        <v>19.275623716039505</v>
      </c>
      <c r="H921" s="64">
        <v>31.140897752816606</v>
      </c>
      <c r="I921" s="64">
        <v>31.141074552816605</v>
      </c>
      <c r="J921" s="64">
        <v>19.275446916039506</v>
      </c>
      <c r="K921" s="64">
        <v>19.275623716039505</v>
      </c>
    </row>
    <row r="922" spans="1:11" ht="15">
      <c r="A922" s="13">
        <v>69703</v>
      </c>
      <c r="B922" s="63">
        <v>16.380659622774544</v>
      </c>
      <c r="C922" s="63">
        <v>16.380659622774544</v>
      </c>
      <c r="D922" s="63">
        <v>16.389243342774545</v>
      </c>
      <c r="E922" s="64">
        <v>19.321420996260564</v>
      </c>
      <c r="F922" s="64">
        <v>19.321420996260564</v>
      </c>
      <c r="G922" s="64">
        <v>19.321597796260562</v>
      </c>
      <c r="H922" s="64">
        <v>31.205774623135028</v>
      </c>
      <c r="I922" s="64">
        <v>31.205951423135026</v>
      </c>
      <c r="J922" s="64">
        <v>19.321420996260564</v>
      </c>
      <c r="K922" s="64">
        <v>19.321597796260562</v>
      </c>
    </row>
    <row r="923" spans="1:11" ht="15">
      <c r="A923" s="13">
        <v>69733</v>
      </c>
      <c r="B923" s="63">
        <v>16.380659622774544</v>
      </c>
      <c r="C923" s="63">
        <v>16.380659622774544</v>
      </c>
      <c r="D923" s="63">
        <v>16.389243342774545</v>
      </c>
      <c r="E923" s="64">
        <v>19.211782405877141</v>
      </c>
      <c r="F923" s="64">
        <v>19.211782405877141</v>
      </c>
      <c r="G923" s="64">
        <v>19.21195920587714</v>
      </c>
      <c r="H923" s="64">
        <v>31.270786653599934</v>
      </c>
      <c r="I923" s="64">
        <v>31.270963453599933</v>
      </c>
      <c r="J923" s="64">
        <v>19.211782405877141</v>
      </c>
      <c r="K923" s="64">
        <v>19.21195920587714</v>
      </c>
    </row>
    <row r="924" spans="1:11" ht="15">
      <c r="A924" s="13">
        <v>69764</v>
      </c>
      <c r="B924" s="63">
        <v>16.324686997315787</v>
      </c>
      <c r="C924" s="63">
        <v>16.324686997315787</v>
      </c>
      <c r="D924" s="63">
        <v>16.333270717315788</v>
      </c>
      <c r="E924" s="64">
        <v>19.22135421874767</v>
      </c>
      <c r="F924" s="64">
        <v>19.22135421874767</v>
      </c>
      <c r="G924" s="64">
        <v>19.221531018747669</v>
      </c>
      <c r="H924" s="64">
        <v>31.008933072861556</v>
      </c>
      <c r="I924" s="64">
        <v>31.009109872861554</v>
      </c>
      <c r="J924" s="64">
        <v>19.22135421874767</v>
      </c>
      <c r="K924" s="64">
        <v>19.221531018747669</v>
      </c>
    </row>
    <row r="925" spans="1:11" ht="15">
      <c r="A925" s="13">
        <v>69795</v>
      </c>
      <c r="B925" s="63">
        <v>16.32164722458851</v>
      </c>
      <c r="C925" s="63">
        <v>16.32164722458851</v>
      </c>
      <c r="D925" s="63">
        <v>16.330230944588511</v>
      </c>
      <c r="E925" s="64">
        <v>19.00883270915277</v>
      </c>
      <c r="F925" s="64">
        <v>19.008832709152841</v>
      </c>
      <c r="G925" s="64">
        <v>19.00900950915284</v>
      </c>
      <c r="H925" s="64">
        <v>31.073535016763287</v>
      </c>
      <c r="I925" s="64">
        <v>31.073711816763286</v>
      </c>
      <c r="J925" s="64">
        <v>19.00883270915277</v>
      </c>
      <c r="K925" s="64">
        <v>19.009009509152769</v>
      </c>
    </row>
    <row r="926" spans="1:11" ht="15">
      <c r="A926" s="13">
        <v>69823</v>
      </c>
      <c r="B926" s="63">
        <v>16.318607451861183</v>
      </c>
      <c r="C926" s="63">
        <v>16.318607451861183</v>
      </c>
      <c r="D926" s="63">
        <v>16.327191171861184</v>
      </c>
      <c r="E926" s="64">
        <v>19.17258295872864</v>
      </c>
      <c r="F926" s="64">
        <v>19.17258295872864</v>
      </c>
      <c r="G926" s="64">
        <v>19.172759758728638</v>
      </c>
      <c r="H926" s="64">
        <v>31.138271548048188</v>
      </c>
      <c r="I926" s="64">
        <v>31.138448348048186</v>
      </c>
      <c r="J926" s="64">
        <v>19.17258295872864</v>
      </c>
      <c r="K926" s="64">
        <v>19.172759758728638</v>
      </c>
    </row>
    <row r="927" spans="1:11" ht="15">
      <c r="A927" s="13">
        <v>69854</v>
      </c>
      <c r="B927" s="63">
        <v>16.326745732541589</v>
      </c>
      <c r="C927" s="63">
        <v>16.326745732541589</v>
      </c>
      <c r="D927" s="63">
        <v>16.33532945254159</v>
      </c>
      <c r="E927" s="64">
        <v>19.34648155812696</v>
      </c>
      <c r="F927" s="64">
        <v>19.34648155812696</v>
      </c>
      <c r="G927" s="64">
        <v>19.346658358126959</v>
      </c>
      <c r="H927" s="64">
        <v>31.203142947106659</v>
      </c>
      <c r="I927" s="64">
        <v>31.203319747106658</v>
      </c>
      <c r="J927" s="64">
        <v>19.34648155812696</v>
      </c>
      <c r="K927" s="64">
        <v>19.346658358126959</v>
      </c>
    </row>
    <row r="928" spans="1:11" ht="15">
      <c r="A928" s="13">
        <v>69884</v>
      </c>
      <c r="B928" s="63">
        <v>16.326745732541589</v>
      </c>
      <c r="C928" s="63">
        <v>16.326745732541589</v>
      </c>
      <c r="D928" s="63">
        <v>16.343909452541588</v>
      </c>
      <c r="E928" s="64">
        <v>19.413282515952112</v>
      </c>
      <c r="F928" s="64">
        <v>19.413282515952112</v>
      </c>
      <c r="G928" s="64">
        <v>19.414434315952111</v>
      </c>
      <c r="H928" s="64">
        <v>31.268149494913111</v>
      </c>
      <c r="I928" s="64">
        <v>31.26930129491311</v>
      </c>
      <c r="J928" s="64">
        <v>19.413282515952112</v>
      </c>
      <c r="K928" s="64">
        <v>19.414434315952111</v>
      </c>
    </row>
    <row r="929" spans="1:11" ht="15">
      <c r="A929" s="13">
        <v>69915</v>
      </c>
      <c r="B929" s="63">
        <v>16.332825277996079</v>
      </c>
      <c r="C929" s="63">
        <v>16.332825277996079</v>
      </c>
      <c r="D929" s="63">
        <v>16.349988997996078</v>
      </c>
      <c r="E929" s="64">
        <v>19.350718846262513</v>
      </c>
      <c r="F929" s="64">
        <v>19.350718846262513</v>
      </c>
      <c r="G929" s="64">
        <v>19.351870646262512</v>
      </c>
      <c r="H929" s="64">
        <v>31.333291473027497</v>
      </c>
      <c r="I929" s="64">
        <v>31.334443273027496</v>
      </c>
      <c r="J929" s="64">
        <v>19.350718846262513</v>
      </c>
      <c r="K929" s="64">
        <v>19.351870646262512</v>
      </c>
    </row>
    <row r="930" spans="1:11" ht="15">
      <c r="A930" s="13">
        <v>69945</v>
      </c>
      <c r="B930" s="63">
        <v>16.587738370688079</v>
      </c>
      <c r="C930" s="63">
        <v>16.587738370688079</v>
      </c>
      <c r="D930" s="63">
        <v>16.604902090688078</v>
      </c>
      <c r="E930" s="64">
        <v>19.717772216930552</v>
      </c>
      <c r="F930" s="64">
        <v>19.717772216930552</v>
      </c>
      <c r="G930" s="64">
        <v>19.718924016930551</v>
      </c>
      <c r="H930" s="64">
        <v>31.398569163596346</v>
      </c>
      <c r="I930" s="64">
        <v>31.399720963596344</v>
      </c>
      <c r="J930" s="64">
        <v>19.717772216930552</v>
      </c>
      <c r="K930" s="64">
        <v>19.718924016930551</v>
      </c>
    </row>
    <row r="931" spans="1:11" ht="15">
      <c r="A931" s="13">
        <v>69976</v>
      </c>
      <c r="B931" s="63">
        <v>16.594425870688077</v>
      </c>
      <c r="C931" s="63">
        <v>16.594425870688077</v>
      </c>
      <c r="D931" s="63">
        <v>16.611589590688077</v>
      </c>
      <c r="E931" s="64">
        <v>19.522030360404074</v>
      </c>
      <c r="F931" s="64">
        <v>19.522030360404074</v>
      </c>
      <c r="G931" s="64">
        <v>19.523182160404073</v>
      </c>
      <c r="H931" s="64">
        <v>31.463982849353869</v>
      </c>
      <c r="I931" s="64">
        <v>31.465134649353868</v>
      </c>
      <c r="J931" s="64">
        <v>19.522030360404074</v>
      </c>
      <c r="K931" s="64">
        <v>19.523182160404073</v>
      </c>
    </row>
    <row r="932" spans="1:11" ht="15">
      <c r="A932" s="13">
        <v>70007</v>
      </c>
      <c r="B932" s="63">
        <v>16.591386097960758</v>
      </c>
      <c r="C932" s="63">
        <v>16.591386097960758</v>
      </c>
      <c r="D932" s="63">
        <v>16.608549817960757</v>
      </c>
      <c r="E932" s="64">
        <v>19.497644730394569</v>
      </c>
      <c r="F932" s="64">
        <v>19.497644730394558</v>
      </c>
      <c r="G932" s="64">
        <v>19.498796530394557</v>
      </c>
      <c r="H932" s="64">
        <v>31.529532813623298</v>
      </c>
      <c r="I932" s="64">
        <v>31.530684613623297</v>
      </c>
      <c r="J932" s="64">
        <v>19.497644730394569</v>
      </c>
      <c r="K932" s="64">
        <v>19.498796530394568</v>
      </c>
    </row>
    <row r="933" spans="1:11" ht="15">
      <c r="A933" s="13">
        <v>70037</v>
      </c>
      <c r="B933" s="63">
        <v>16.62763779996806</v>
      </c>
      <c r="C933" s="63">
        <v>16.62763779996806</v>
      </c>
      <c r="D933" s="63">
        <v>16.636221519968061</v>
      </c>
      <c r="E933" s="64">
        <v>19.573294595065484</v>
      </c>
      <c r="F933" s="64">
        <v>19.573294595065484</v>
      </c>
      <c r="G933" s="64">
        <v>19.573471395065482</v>
      </c>
      <c r="H933" s="64">
        <v>31.595219340318334</v>
      </c>
      <c r="I933" s="64">
        <v>31.595396140318332</v>
      </c>
      <c r="J933" s="64">
        <v>19.573294595065484</v>
      </c>
      <c r="K933" s="64">
        <v>19.573471395065482</v>
      </c>
    </row>
    <row r="934" spans="1:11" ht="15">
      <c r="A934" s="13">
        <v>70068</v>
      </c>
      <c r="B934" s="63">
        <v>16.63067757269534</v>
      </c>
      <c r="C934" s="63">
        <v>16.63067757269534</v>
      </c>
      <c r="D934" s="63">
        <v>16.639261292695341</v>
      </c>
      <c r="E934" s="64">
        <v>19.619947211016623</v>
      </c>
      <c r="F934" s="64">
        <v>19.619947211016623</v>
      </c>
      <c r="G934" s="64">
        <v>19.620124011016621</v>
      </c>
      <c r="H934" s="64">
        <v>31.661042713944052</v>
      </c>
      <c r="I934" s="64">
        <v>31.661219513944051</v>
      </c>
      <c r="J934" s="64">
        <v>19.619947211016623</v>
      </c>
      <c r="K934" s="64">
        <v>19.620124011016621</v>
      </c>
    </row>
    <row r="935" spans="1:11" ht="15">
      <c r="A935" s="13">
        <v>70098</v>
      </c>
      <c r="B935" s="63">
        <v>16.63067757269534</v>
      </c>
      <c r="C935" s="63">
        <v>16.63067757269534</v>
      </c>
      <c r="D935" s="63">
        <v>16.639261292695341</v>
      </c>
      <c r="E935" s="64">
        <v>19.508612281307993</v>
      </c>
      <c r="F935" s="64">
        <v>19.508612281307993</v>
      </c>
      <c r="G935" s="64">
        <v>19.508789081307992</v>
      </c>
      <c r="H935" s="64">
        <v>31.727003219598146</v>
      </c>
      <c r="I935" s="64">
        <v>31.727180019598144</v>
      </c>
      <c r="J935" s="64">
        <v>19.508612281307993</v>
      </c>
      <c r="K935" s="64">
        <v>19.508789081307992</v>
      </c>
    </row>
    <row r="936" spans="1:11" ht="15">
      <c r="A936" s="13">
        <v>70129</v>
      </c>
      <c r="B936" s="63">
        <v>16.570006290662654</v>
      </c>
      <c r="C936" s="63">
        <v>16.570006290662654</v>
      </c>
      <c r="D936" s="63">
        <v>16.578590010662655</v>
      </c>
      <c r="E936" s="64">
        <v>19.51376533135646</v>
      </c>
      <c r="F936" s="64">
        <v>19.51376533135646</v>
      </c>
      <c r="G936" s="64">
        <v>19.513942131356458</v>
      </c>
      <c r="H936" s="64">
        <v>31.454824191661917</v>
      </c>
      <c r="I936" s="64">
        <v>31.455000991661915</v>
      </c>
      <c r="J936" s="64">
        <v>19.51376533135646</v>
      </c>
      <c r="K936" s="64">
        <v>19.513942131356458</v>
      </c>
    </row>
    <row r="937" spans="1:11" ht="15">
      <c r="A937" s="13">
        <v>70160</v>
      </c>
      <c r="B937" s="63">
        <v>16.566966517935374</v>
      </c>
      <c r="C937" s="63">
        <v>16.566966517935374</v>
      </c>
      <c r="D937" s="63">
        <v>16.575550237935374</v>
      </c>
      <c r="E937" s="64">
        <v>19.298038047474336</v>
      </c>
      <c r="F937" s="64">
        <v>19.29803804747441</v>
      </c>
      <c r="G937" s="64">
        <v>19.298214847474409</v>
      </c>
      <c r="H937" s="64">
        <v>31.52035507539448</v>
      </c>
      <c r="I937" s="64">
        <v>31.520531875394479</v>
      </c>
      <c r="J937" s="64">
        <v>19.298038047474336</v>
      </c>
      <c r="K937" s="64">
        <v>19.298214847474334</v>
      </c>
    </row>
    <row r="938" spans="1:11" ht="15">
      <c r="A938" s="13">
        <v>70189</v>
      </c>
      <c r="B938" s="63">
        <v>16.563926745208043</v>
      </c>
      <c r="C938" s="63">
        <v>16.563926745208043</v>
      </c>
      <c r="D938" s="63">
        <v>16.572510465208044</v>
      </c>
      <c r="E938" s="64">
        <v>19.464315535607348</v>
      </c>
      <c r="F938" s="64">
        <v>19.464315535607348</v>
      </c>
      <c r="G938" s="64">
        <v>19.464492335607346</v>
      </c>
      <c r="H938" s="64">
        <v>31.586022481801528</v>
      </c>
      <c r="I938" s="64">
        <v>31.586199281801527</v>
      </c>
      <c r="J938" s="64">
        <v>19.464315535607348</v>
      </c>
      <c r="K938" s="64">
        <v>19.464492335607346</v>
      </c>
    </row>
    <row r="939" spans="1:11" ht="15">
      <c r="A939" s="13">
        <v>70220</v>
      </c>
      <c r="B939" s="63">
        <v>16.572270646725368</v>
      </c>
      <c r="C939" s="63">
        <v>16.572270646725368</v>
      </c>
      <c r="D939" s="63">
        <v>16.580854366725369</v>
      </c>
      <c r="E939" s="64">
        <v>19.640928277926001</v>
      </c>
      <c r="F939" s="64">
        <v>19.640928277926001</v>
      </c>
      <c r="G939" s="64">
        <v>19.641105077925999</v>
      </c>
      <c r="H939" s="64">
        <v>31.651826695305321</v>
      </c>
      <c r="I939" s="64">
        <v>31.652003495305319</v>
      </c>
      <c r="J939" s="64">
        <v>19.640928277926001</v>
      </c>
      <c r="K939" s="64">
        <v>19.641105077925999</v>
      </c>
    </row>
    <row r="940" spans="1:11" ht="15">
      <c r="A940" s="13">
        <v>70250</v>
      </c>
      <c r="B940" s="63">
        <v>16.572270646725368</v>
      </c>
      <c r="C940" s="63">
        <v>16.572270646725368</v>
      </c>
      <c r="D940" s="63">
        <v>16.589434366725367</v>
      </c>
      <c r="E940" s="64">
        <v>19.708747039346274</v>
      </c>
      <c r="F940" s="64">
        <v>19.708747039346274</v>
      </c>
      <c r="G940" s="64">
        <v>19.709898839346273</v>
      </c>
      <c r="H940" s="64">
        <v>31.717768000920518</v>
      </c>
      <c r="I940" s="64">
        <v>31.718919800920517</v>
      </c>
      <c r="J940" s="64">
        <v>19.708747039346274</v>
      </c>
      <c r="K940" s="64">
        <v>19.709898839346273</v>
      </c>
    </row>
    <row r="941" spans="1:11" ht="15">
      <c r="A941" s="13">
        <v>70281</v>
      </c>
      <c r="B941" s="63">
        <v>16.578350192179855</v>
      </c>
      <c r="C941" s="63">
        <v>16.578350192179855</v>
      </c>
      <c r="D941" s="63">
        <v>16.595513912179854</v>
      </c>
      <c r="E941" s="64">
        <v>19.64516556606155</v>
      </c>
      <c r="F941" s="64">
        <v>19.64516556606155</v>
      </c>
      <c r="G941" s="64">
        <v>19.646317366061549</v>
      </c>
      <c r="H941" s="64">
        <v>31.783846684255753</v>
      </c>
      <c r="I941" s="64">
        <v>31.784998484255752</v>
      </c>
      <c r="J941" s="64">
        <v>19.64516556606155</v>
      </c>
      <c r="K941" s="64">
        <v>19.646317366061549</v>
      </c>
    </row>
    <row r="942" spans="1:11" ht="15">
      <c r="A942" s="13">
        <v>70311</v>
      </c>
      <c r="B942" s="63">
        <v>16.836953617319068</v>
      </c>
      <c r="C942" s="63">
        <v>16.836953617319068</v>
      </c>
      <c r="D942" s="63">
        <v>16.854117337319067</v>
      </c>
      <c r="E942" s="64">
        <v>20.017655503146777</v>
      </c>
      <c r="F942" s="64">
        <v>20.017655503146777</v>
      </c>
      <c r="G942" s="64">
        <v>20.018807303146776</v>
      </c>
      <c r="H942" s="64">
        <v>31.850063031514662</v>
      </c>
      <c r="I942" s="64">
        <v>31.85121483151466</v>
      </c>
      <c r="J942" s="64">
        <v>20.017655503146777</v>
      </c>
      <c r="K942" s="64">
        <v>20.018807303146776</v>
      </c>
    </row>
    <row r="943" spans="1:11" ht="15">
      <c r="A943" s="13">
        <v>70342</v>
      </c>
      <c r="B943" s="63">
        <v>16.843641117319066</v>
      </c>
      <c r="C943" s="63">
        <v>16.843641117319066</v>
      </c>
      <c r="D943" s="63">
        <v>16.860804837319066</v>
      </c>
      <c r="E943" s="64">
        <v>19.818860235834926</v>
      </c>
      <c r="F943" s="64">
        <v>19.818860235834926</v>
      </c>
      <c r="G943" s="64">
        <v>19.820012035834925</v>
      </c>
      <c r="H943" s="64">
        <v>31.916417329497015</v>
      </c>
      <c r="I943" s="64">
        <v>31.917569129497014</v>
      </c>
      <c r="J943" s="64">
        <v>19.818860235834926</v>
      </c>
      <c r="K943" s="64">
        <v>19.820012035834925</v>
      </c>
    </row>
    <row r="944" spans="1:11" ht="15">
      <c r="A944" s="13">
        <v>70373</v>
      </c>
      <c r="B944" s="63">
        <v>16.840601344591747</v>
      </c>
      <c r="C944" s="63">
        <v>16.840601344591747</v>
      </c>
      <c r="D944" s="63">
        <v>16.857765064591746</v>
      </c>
      <c r="E944" s="64">
        <v>19.794135337960384</v>
      </c>
      <c r="F944" s="64">
        <v>19.79413533796037</v>
      </c>
      <c r="G944" s="64">
        <v>19.795287137960369</v>
      </c>
      <c r="H944" s="64">
        <v>31.982909865600075</v>
      </c>
      <c r="I944" s="64">
        <v>31.984061665600073</v>
      </c>
      <c r="J944" s="64">
        <v>19.794135337960384</v>
      </c>
      <c r="K944" s="64">
        <v>19.795287137960383</v>
      </c>
    </row>
    <row r="945" spans="1:11" ht="15">
      <c r="A945" s="13">
        <v>70403</v>
      </c>
      <c r="B945" s="63">
        <v>16.877655749888852</v>
      </c>
      <c r="C945" s="63">
        <v>16.877655749888852</v>
      </c>
      <c r="D945" s="63">
        <v>16.886239469888853</v>
      </c>
      <c r="E945" s="64">
        <v>19.871142274091461</v>
      </c>
      <c r="F945" s="64">
        <v>19.871142274091461</v>
      </c>
      <c r="G945" s="64">
        <v>19.87131907409146</v>
      </c>
      <c r="H945" s="64">
        <v>32.049540927820061</v>
      </c>
      <c r="I945" s="64">
        <v>32.04971772782006</v>
      </c>
      <c r="J945" s="64">
        <v>19.871142274091461</v>
      </c>
      <c r="K945" s="64">
        <v>19.87131907409146</v>
      </c>
    </row>
    <row r="946" spans="1:11" ht="15">
      <c r="A946" s="13">
        <v>70434</v>
      </c>
      <c r="B946" s="63">
        <v>16.880695522616136</v>
      </c>
      <c r="C946" s="63">
        <v>16.880695522616136</v>
      </c>
      <c r="D946" s="63">
        <v>16.889279242616137</v>
      </c>
      <c r="E946" s="64">
        <v>19.918473425772682</v>
      </c>
      <c r="F946" s="64">
        <v>19.918473425772682</v>
      </c>
      <c r="G946" s="64">
        <v>19.91865022577268</v>
      </c>
      <c r="H946" s="64">
        <v>32.116310804753077</v>
      </c>
      <c r="I946" s="64">
        <v>32.116487604753075</v>
      </c>
      <c r="J946" s="64">
        <v>19.918473425772682</v>
      </c>
      <c r="K946" s="64">
        <v>19.91865022577268</v>
      </c>
    </row>
    <row r="947" spans="1:11" ht="15">
      <c r="A947" s="13">
        <v>70464</v>
      </c>
      <c r="B947" s="63">
        <v>16.880695522616136</v>
      </c>
      <c r="C947" s="63">
        <v>16.880695522616136</v>
      </c>
      <c r="D947" s="63">
        <v>16.889279242616137</v>
      </c>
      <c r="E947" s="64">
        <v>19.805442156738845</v>
      </c>
      <c r="F947" s="64">
        <v>19.805442156738845</v>
      </c>
      <c r="G947" s="64">
        <v>19.805618956738844</v>
      </c>
      <c r="H947" s="64">
        <v>32.183219785596357</v>
      </c>
      <c r="I947" s="64">
        <v>32.183396585596356</v>
      </c>
      <c r="J947" s="64">
        <v>19.805442156738845</v>
      </c>
      <c r="K947" s="64">
        <v>19.805618956738844</v>
      </c>
    </row>
    <row r="948" spans="1:11" ht="15">
      <c r="A948" s="13">
        <v>70495</v>
      </c>
      <c r="B948" s="63">
        <v>16.815325584009521</v>
      </c>
      <c r="C948" s="63">
        <v>16.815325584009521</v>
      </c>
      <c r="D948" s="63">
        <v>16.823909304009522</v>
      </c>
      <c r="E948" s="64">
        <v>19.806176443965249</v>
      </c>
      <c r="F948" s="64">
        <v>19.806176443965249</v>
      </c>
      <c r="G948" s="64">
        <v>19.806353243965248</v>
      </c>
      <c r="H948" s="64">
        <v>31.900715310462278</v>
      </c>
      <c r="I948" s="64">
        <v>31.900892110462276</v>
      </c>
      <c r="J948" s="64">
        <v>19.806176443965249</v>
      </c>
      <c r="K948" s="64">
        <v>19.806353243965248</v>
      </c>
    </row>
    <row r="949" spans="1:11" ht="15">
      <c r="A949" s="13">
        <v>70526</v>
      </c>
      <c r="B949" s="63">
        <v>16.812285811282237</v>
      </c>
      <c r="C949" s="63">
        <v>16.812285811282237</v>
      </c>
      <c r="D949" s="63">
        <v>16.820869531282238</v>
      </c>
      <c r="E949" s="64">
        <v>19.587243385795901</v>
      </c>
      <c r="F949" s="64">
        <v>19.587243385795979</v>
      </c>
      <c r="G949" s="64">
        <v>19.587420185795978</v>
      </c>
      <c r="H949" s="64">
        <v>31.967175134025673</v>
      </c>
      <c r="I949" s="64">
        <v>31.967351934025672</v>
      </c>
      <c r="J949" s="64">
        <v>19.587243385795901</v>
      </c>
      <c r="K949" s="64">
        <v>19.587420185795899</v>
      </c>
    </row>
    <row r="950" spans="1:11" ht="15">
      <c r="A950" s="13">
        <v>70554</v>
      </c>
      <c r="B950" s="63">
        <v>16.809246038554903</v>
      </c>
      <c r="C950" s="63">
        <v>16.809246038554903</v>
      </c>
      <c r="D950" s="63">
        <v>16.817829758554904</v>
      </c>
      <c r="E950" s="64">
        <v>19.756048112486056</v>
      </c>
      <c r="F950" s="64">
        <v>19.756048112486056</v>
      </c>
      <c r="G950" s="64">
        <v>19.756224912486054</v>
      </c>
      <c r="H950" s="64">
        <v>32.033773415554869</v>
      </c>
      <c r="I950" s="64">
        <v>32.033950215554867</v>
      </c>
      <c r="J950" s="64">
        <v>19.756048112486056</v>
      </c>
      <c r="K950" s="64">
        <v>19.756224912486054</v>
      </c>
    </row>
    <row r="951" spans="1:11" ht="15">
      <c r="A951" s="13">
        <v>70585</v>
      </c>
      <c r="B951" s="63">
        <v>16.817795560909147</v>
      </c>
      <c r="C951" s="63">
        <v>16.817795560909147</v>
      </c>
      <c r="D951" s="63">
        <v>16.826379280909148</v>
      </c>
      <c r="E951" s="64">
        <v>19.935374997725042</v>
      </c>
      <c r="F951" s="64">
        <v>19.935374997725042</v>
      </c>
      <c r="G951" s="64">
        <v>19.93555179772504</v>
      </c>
      <c r="H951" s="64">
        <v>32.100510443503978</v>
      </c>
      <c r="I951" s="64">
        <v>32.100687243503977</v>
      </c>
      <c r="J951" s="64">
        <v>19.935374997725042</v>
      </c>
      <c r="K951" s="64">
        <v>19.93555179772504</v>
      </c>
    </row>
    <row r="952" spans="1:11" ht="15">
      <c r="A952" s="13">
        <v>70615</v>
      </c>
      <c r="B952" s="63">
        <v>16.817795560909147</v>
      </c>
      <c r="C952" s="63">
        <v>16.817795560909147</v>
      </c>
      <c r="D952" s="63">
        <v>16.834959280909146</v>
      </c>
      <c r="E952" s="64">
        <v>20.004211562740437</v>
      </c>
      <c r="F952" s="64">
        <v>20.004211562740437</v>
      </c>
      <c r="G952" s="64">
        <v>20.005363362740436</v>
      </c>
      <c r="H952" s="64">
        <v>32.167386506927926</v>
      </c>
      <c r="I952" s="64">
        <v>32.168538306927928</v>
      </c>
      <c r="J952" s="64">
        <v>20.004211562740437</v>
      </c>
      <c r="K952" s="64">
        <v>20.005363362740436</v>
      </c>
    </row>
    <row r="953" spans="1:11" ht="15">
      <c r="A953" s="13">
        <v>70646</v>
      </c>
      <c r="B953" s="63">
        <v>16.82387510636363</v>
      </c>
      <c r="C953" s="63">
        <v>16.82387510636363</v>
      </c>
      <c r="D953" s="63">
        <v>16.841038826363629</v>
      </c>
      <c r="E953" s="64">
        <v>19.939612285860587</v>
      </c>
      <c r="F953" s="64">
        <v>19.939612285860587</v>
      </c>
      <c r="G953" s="64">
        <v>19.940764085860586</v>
      </c>
      <c r="H953" s="64">
        <v>32.234401895484012</v>
      </c>
      <c r="I953" s="64">
        <v>32.235553695484015</v>
      </c>
      <c r="J953" s="64">
        <v>19.939612285860587</v>
      </c>
      <c r="K953" s="64">
        <v>19.940764085860586</v>
      </c>
    </row>
    <row r="954" spans="1:11" ht="15">
      <c r="A954" s="13">
        <v>70676</v>
      </c>
      <c r="B954" s="63">
        <v>17.086168863950057</v>
      </c>
      <c r="C954" s="63">
        <v>17.086168863950057</v>
      </c>
      <c r="D954" s="63">
        <v>17.103332583950056</v>
      </c>
      <c r="E954" s="64">
        <v>20.317538789363002</v>
      </c>
      <c r="F954" s="64">
        <v>20.317538789363002</v>
      </c>
      <c r="G954" s="64">
        <v>20.318690589363001</v>
      </c>
      <c r="H954" s="64">
        <v>32.301556899432981</v>
      </c>
      <c r="I954" s="64">
        <v>32.302708699432984</v>
      </c>
      <c r="J954" s="64">
        <v>20.317538789363002</v>
      </c>
      <c r="K954" s="64">
        <v>20.318690589363001</v>
      </c>
    </row>
    <row r="955" spans="1:11" ht="15">
      <c r="A955" s="13">
        <v>70707</v>
      </c>
      <c r="B955" s="63">
        <v>17.092856363950055</v>
      </c>
      <c r="C955" s="63">
        <v>17.092856363950055</v>
      </c>
      <c r="D955" s="63">
        <v>17.110020083950054</v>
      </c>
      <c r="E955" s="64">
        <v>20.115690111265778</v>
      </c>
      <c r="F955" s="64">
        <v>20.115690111265778</v>
      </c>
      <c r="G955" s="64">
        <v>20.116841911265777</v>
      </c>
      <c r="H955" s="64">
        <v>32.368851809640162</v>
      </c>
      <c r="I955" s="64">
        <v>32.370003609640165</v>
      </c>
      <c r="J955" s="64">
        <v>20.115690111265778</v>
      </c>
      <c r="K955" s="64">
        <v>20.116841911265777</v>
      </c>
    </row>
    <row r="956" spans="1:11" ht="15">
      <c r="A956" s="13">
        <v>70738</v>
      </c>
      <c r="B956" s="63">
        <v>17.089816591222736</v>
      </c>
      <c r="C956" s="63">
        <v>17.089816591222736</v>
      </c>
      <c r="D956" s="63">
        <v>17.106980311222735</v>
      </c>
      <c r="E956" s="64">
        <v>20.090625945526199</v>
      </c>
      <c r="F956" s="64">
        <v>20.090625945526181</v>
      </c>
      <c r="G956" s="64">
        <v>20.09177774552618</v>
      </c>
      <c r="H956" s="64">
        <v>32.436286917576851</v>
      </c>
      <c r="I956" s="64">
        <v>32.437438717576853</v>
      </c>
      <c r="J956" s="64">
        <v>20.090625945526199</v>
      </c>
      <c r="K956" s="64">
        <v>20.091777745526198</v>
      </c>
    </row>
    <row r="957" spans="1:11" ht="15">
      <c r="A957" s="13">
        <v>70768</v>
      </c>
      <c r="B957" s="63">
        <v>17.127673699809645</v>
      </c>
      <c r="C957" s="63">
        <v>17.127673699809645</v>
      </c>
      <c r="D957" s="63">
        <v>17.136257419809645</v>
      </c>
      <c r="E957" s="64">
        <v>20.168989953117439</v>
      </c>
      <c r="F957" s="64">
        <v>20.168989953117439</v>
      </c>
      <c r="G957" s="64">
        <v>20.169166753117437</v>
      </c>
      <c r="H957" s="64">
        <v>32.503862515321785</v>
      </c>
      <c r="I957" s="64">
        <v>32.504039315321783</v>
      </c>
      <c r="J957" s="64">
        <v>20.168989953117439</v>
      </c>
      <c r="K957" s="64">
        <v>20.169166753117437</v>
      </c>
    </row>
    <row r="958" spans="1:11" ht="15">
      <c r="A958" s="13">
        <v>70799</v>
      </c>
      <c r="B958" s="63">
        <v>17.130713472536932</v>
      </c>
      <c r="C958" s="63">
        <v>17.130713472536932</v>
      </c>
      <c r="D958" s="63">
        <v>17.139297192536933</v>
      </c>
      <c r="E958" s="64">
        <v>20.216999640528741</v>
      </c>
      <c r="F958" s="64">
        <v>20.216999640528741</v>
      </c>
      <c r="G958" s="64">
        <v>20.217176440528739</v>
      </c>
      <c r="H958" s="64">
        <v>32.571578895562098</v>
      </c>
      <c r="I958" s="64">
        <v>32.571755695562096</v>
      </c>
      <c r="J958" s="64">
        <v>20.216999640528741</v>
      </c>
      <c r="K958" s="64">
        <v>20.217176440528739</v>
      </c>
    </row>
    <row r="959" spans="1:11" ht="15">
      <c r="A959" s="13">
        <v>70829</v>
      </c>
      <c r="B959" s="63">
        <v>17.130713472536932</v>
      </c>
      <c r="C959" s="63">
        <v>17.130713472536932</v>
      </c>
      <c r="D959" s="63">
        <v>17.139297192536933</v>
      </c>
      <c r="E959" s="64">
        <v>20.102272032169697</v>
      </c>
      <c r="F959" s="64">
        <v>20.102272032169697</v>
      </c>
      <c r="G959" s="64">
        <v>20.102448832169696</v>
      </c>
      <c r="H959" s="64">
        <v>32.639436351594568</v>
      </c>
      <c r="I959" s="64">
        <v>32.639613151594567</v>
      </c>
      <c r="J959" s="64">
        <v>20.102272032169697</v>
      </c>
      <c r="K959" s="64">
        <v>20.102448832169696</v>
      </c>
    </row>
    <row r="960" spans="1:11" ht="15">
      <c r="A960" s="13">
        <v>70860</v>
      </c>
      <c r="B960" s="63">
        <v>17.060644877356388</v>
      </c>
      <c r="C960" s="63">
        <v>17.060644877356388</v>
      </c>
      <c r="D960" s="63">
        <v>17.069228597356389</v>
      </c>
      <c r="E960" s="64">
        <v>20.098587556574039</v>
      </c>
      <c r="F960" s="64">
        <v>20.098587556574039</v>
      </c>
      <c r="G960" s="64">
        <v>20.098764356574037</v>
      </c>
      <c r="H960" s="64">
        <v>32.346606429262636</v>
      </c>
      <c r="I960" s="64">
        <v>32.346783229262634</v>
      </c>
      <c r="J960" s="64">
        <v>20.098587556574039</v>
      </c>
      <c r="K960" s="64">
        <v>20.098764356574037</v>
      </c>
    </row>
    <row r="961" spans="1:11" ht="15">
      <c r="A961" s="13">
        <v>70891</v>
      </c>
      <c r="B961" s="63">
        <v>17.057605104629101</v>
      </c>
      <c r="C961" s="63">
        <v>17.057605104629101</v>
      </c>
      <c r="D961" s="63">
        <v>17.066188824629101</v>
      </c>
      <c r="E961" s="64">
        <v>19.876448724117466</v>
      </c>
      <c r="F961" s="64">
        <v>19.876448724117548</v>
      </c>
      <c r="G961" s="64">
        <v>19.876625524117546</v>
      </c>
      <c r="H961" s="64">
        <v>32.41399519265687</v>
      </c>
      <c r="I961" s="64">
        <v>32.414171992656868</v>
      </c>
      <c r="J961" s="64">
        <v>19.876448724117466</v>
      </c>
      <c r="K961" s="64">
        <v>19.876625524117465</v>
      </c>
    </row>
    <row r="962" spans="1:11" ht="15">
      <c r="A962" s="13">
        <v>70919</v>
      </c>
      <c r="B962" s="63">
        <v>17.054565331901763</v>
      </c>
      <c r="C962" s="63">
        <v>17.054565331901763</v>
      </c>
      <c r="D962" s="63">
        <v>17.063149051901764</v>
      </c>
      <c r="E962" s="64">
        <v>20.047780689364764</v>
      </c>
      <c r="F962" s="64">
        <v>20.047780689364764</v>
      </c>
      <c r="G962" s="64">
        <v>20.047957489364762</v>
      </c>
      <c r="H962" s="64">
        <v>32.481524349308209</v>
      </c>
      <c r="I962" s="64">
        <v>32.481701149308208</v>
      </c>
      <c r="J962" s="64">
        <v>20.047780689364764</v>
      </c>
      <c r="K962" s="64">
        <v>20.047957489364762</v>
      </c>
    </row>
    <row r="963" spans="1:11" ht="15">
      <c r="A963" s="13">
        <v>70950</v>
      </c>
      <c r="B963" s="63">
        <v>17.063320475092926</v>
      </c>
      <c r="C963" s="63">
        <v>17.063320475092926</v>
      </c>
      <c r="D963" s="63">
        <v>17.071904195092927</v>
      </c>
      <c r="E963" s="64">
        <v>20.229821717524082</v>
      </c>
      <c r="F963" s="64">
        <v>20.229821717524082</v>
      </c>
      <c r="G963" s="64">
        <v>20.229998517524081</v>
      </c>
      <c r="H963" s="64">
        <v>32.54919419170264</v>
      </c>
      <c r="I963" s="64">
        <v>32.549370991702638</v>
      </c>
      <c r="J963" s="64">
        <v>20.229821717524082</v>
      </c>
      <c r="K963" s="64">
        <v>20.229998517524081</v>
      </c>
    </row>
    <row r="964" spans="1:11" ht="15">
      <c r="A964" s="13">
        <v>70980</v>
      </c>
      <c r="B964" s="63">
        <v>17.063320475092926</v>
      </c>
      <c r="C964" s="63">
        <v>17.063320475092926</v>
      </c>
      <c r="D964" s="63">
        <v>17.080484195092925</v>
      </c>
      <c r="E964" s="64">
        <v>20.2996760861346</v>
      </c>
      <c r="F964" s="64">
        <v>20.2996760861346</v>
      </c>
      <c r="G964" s="64">
        <v>20.300827886134599</v>
      </c>
      <c r="H964" s="64">
        <v>32.617005012935337</v>
      </c>
      <c r="I964" s="64">
        <v>32.618156812935339</v>
      </c>
      <c r="J964" s="64">
        <v>20.2996760861346</v>
      </c>
      <c r="K964" s="64">
        <v>20.300827886134599</v>
      </c>
    </row>
    <row r="965" spans="1:11" ht="15">
      <c r="A965" s="13">
        <v>71011</v>
      </c>
      <c r="B965" s="63">
        <v>17.069400020547405</v>
      </c>
      <c r="C965" s="63">
        <v>17.069400020547405</v>
      </c>
      <c r="D965" s="63">
        <v>17.086563740547405</v>
      </c>
      <c r="E965" s="64">
        <v>20.234059005659624</v>
      </c>
      <c r="F965" s="64">
        <v>20.234059005659624</v>
      </c>
      <c r="G965" s="64">
        <v>20.235210805659623</v>
      </c>
      <c r="H965" s="64">
        <v>32.684957106712275</v>
      </c>
      <c r="I965" s="64">
        <v>32.686108906712278</v>
      </c>
      <c r="J965" s="64">
        <v>20.234059005659624</v>
      </c>
      <c r="K965" s="64">
        <v>20.235210805659623</v>
      </c>
    </row>
    <row r="966" spans="1:11" ht="15">
      <c r="A966" s="13">
        <v>71041</v>
      </c>
      <c r="B966" s="63">
        <v>17.335384110581046</v>
      </c>
      <c r="C966" s="63">
        <v>17.335384110581046</v>
      </c>
      <c r="D966" s="63">
        <v>17.352547830581045</v>
      </c>
      <c r="E966" s="64">
        <v>20.617422075579228</v>
      </c>
      <c r="F966" s="64">
        <v>20.617422075579228</v>
      </c>
      <c r="G966" s="64">
        <v>20.618573875579226</v>
      </c>
      <c r="H966" s="64">
        <v>32.753050767351297</v>
      </c>
      <c r="I966" s="64">
        <v>32.7542025673513</v>
      </c>
      <c r="J966" s="64">
        <v>20.617422075579228</v>
      </c>
      <c r="K966" s="64">
        <v>20.618573875579226</v>
      </c>
    </row>
    <row r="967" spans="1:11" ht="15">
      <c r="A967" s="13">
        <v>71072</v>
      </c>
      <c r="B967" s="63">
        <v>17.342071610581044</v>
      </c>
      <c r="C967" s="63">
        <v>17.342071610581044</v>
      </c>
      <c r="D967" s="63">
        <v>17.359235330581043</v>
      </c>
      <c r="E967" s="64">
        <v>20.41251998669663</v>
      </c>
      <c r="F967" s="64">
        <v>20.41251998669663</v>
      </c>
      <c r="G967" s="64">
        <v>20.413671786696629</v>
      </c>
      <c r="H967" s="64">
        <v>32.821286289783309</v>
      </c>
      <c r="I967" s="64">
        <v>32.822438089783311</v>
      </c>
      <c r="J967" s="64">
        <v>20.41251998669663</v>
      </c>
      <c r="K967" s="64">
        <v>20.413671786696629</v>
      </c>
    </row>
    <row r="968" spans="1:11" ht="15">
      <c r="A968" s="13">
        <v>71103</v>
      </c>
      <c r="B968" s="63">
        <v>17.339031837853724</v>
      </c>
      <c r="C968" s="63">
        <v>17.339031837853724</v>
      </c>
      <c r="D968" s="63">
        <v>17.356195557853724</v>
      </c>
      <c r="E968" s="64">
        <v>20.387116553092014</v>
      </c>
      <c r="F968" s="64">
        <v>20.387116553091992</v>
      </c>
      <c r="G968" s="64">
        <v>20.388268353091991</v>
      </c>
      <c r="H968" s="64">
        <v>32.889663969553624</v>
      </c>
      <c r="I968" s="64">
        <v>32.890815769553626</v>
      </c>
      <c r="J968" s="64">
        <v>20.387116553092014</v>
      </c>
      <c r="K968" s="64">
        <v>20.388268353092013</v>
      </c>
    </row>
    <row r="969" spans="1:11" ht="15">
      <c r="A969" s="13">
        <v>71133</v>
      </c>
      <c r="B969" s="63">
        <v>17.377691649730437</v>
      </c>
      <c r="C969" s="63">
        <v>17.377691649730437</v>
      </c>
      <c r="D969" s="63">
        <v>17.386275369730438</v>
      </c>
      <c r="E969" s="64">
        <v>20.466837632143417</v>
      </c>
      <c r="F969" s="64">
        <v>20.466837632143417</v>
      </c>
      <c r="G969" s="64">
        <v>20.467014432143415</v>
      </c>
      <c r="H969" s="64">
        <v>32.958184102823509</v>
      </c>
      <c r="I969" s="64">
        <v>32.958360902823507</v>
      </c>
      <c r="J969" s="64">
        <v>20.466837632143417</v>
      </c>
      <c r="K969" s="64">
        <v>20.467014432143415</v>
      </c>
    </row>
    <row r="970" spans="1:11" ht="15">
      <c r="A970" s="13">
        <v>71164</v>
      </c>
      <c r="B970" s="63">
        <v>17.380731422457728</v>
      </c>
      <c r="C970" s="63">
        <v>17.380731422457728</v>
      </c>
      <c r="D970" s="63">
        <v>17.389315142457729</v>
      </c>
      <c r="E970" s="64">
        <v>20.5155258552848</v>
      </c>
      <c r="F970" s="64">
        <v>20.5155258552848</v>
      </c>
      <c r="G970" s="64">
        <v>20.515702655284798</v>
      </c>
      <c r="H970" s="64">
        <v>33.026846986371119</v>
      </c>
      <c r="I970" s="64">
        <v>33.027023786371117</v>
      </c>
      <c r="J970" s="64">
        <v>20.5155258552848</v>
      </c>
      <c r="K970" s="64">
        <v>20.515702655284798</v>
      </c>
    </row>
    <row r="971" spans="1:11" ht="15">
      <c r="A971" s="13">
        <v>71194</v>
      </c>
      <c r="B971" s="63">
        <v>17.380731422457728</v>
      </c>
      <c r="C971" s="63">
        <v>17.380731422457728</v>
      </c>
      <c r="D971" s="63">
        <v>17.389315142457729</v>
      </c>
      <c r="E971" s="64">
        <v>20.399101907600549</v>
      </c>
      <c r="F971" s="64">
        <v>20.399101907600549</v>
      </c>
      <c r="G971" s="64">
        <v>20.399278707600548</v>
      </c>
      <c r="H971" s="64">
        <v>33.09565291759278</v>
      </c>
      <c r="I971" s="64">
        <v>33.095829717592778</v>
      </c>
      <c r="J971" s="64">
        <v>20.399101907600549</v>
      </c>
      <c r="K971" s="64">
        <v>20.399278707600548</v>
      </c>
    </row>
    <row r="972" spans="1:11" ht="15">
      <c r="A972" s="13">
        <v>71225</v>
      </c>
      <c r="B972" s="63">
        <v>17.305964170703255</v>
      </c>
      <c r="C972" s="63">
        <v>17.305964170703255</v>
      </c>
      <c r="D972" s="63">
        <v>17.314547890703256</v>
      </c>
      <c r="E972" s="64">
        <v>20.390998669182828</v>
      </c>
      <c r="F972" s="64">
        <v>20.390998669182828</v>
      </c>
      <c r="G972" s="64">
        <v>20.391175469182826</v>
      </c>
      <c r="H972" s="64">
        <v>32.792497548062997</v>
      </c>
      <c r="I972" s="64">
        <v>32.792674348062995</v>
      </c>
      <c r="J972" s="64">
        <v>20.390998669182828</v>
      </c>
      <c r="K972" s="64">
        <v>20.391175469182826</v>
      </c>
    </row>
    <row r="973" spans="1:11" ht="15">
      <c r="A973" s="13">
        <v>71256</v>
      </c>
      <c r="B973" s="63">
        <v>17.302924397975964</v>
      </c>
      <c r="C973" s="63">
        <v>17.302924397975964</v>
      </c>
      <c r="D973" s="63">
        <v>17.311508117975965</v>
      </c>
      <c r="E973" s="64">
        <v>20.165654062439032</v>
      </c>
      <c r="F973" s="64">
        <v>20.165654062439117</v>
      </c>
      <c r="G973" s="64">
        <v>20.165830862439115</v>
      </c>
      <c r="H973" s="64">
        <v>32.860815251288066</v>
      </c>
      <c r="I973" s="64">
        <v>32.860992051288065</v>
      </c>
      <c r="J973" s="64">
        <v>20.165654062439032</v>
      </c>
      <c r="K973" s="64">
        <v>20.16583086243903</v>
      </c>
    </row>
    <row r="974" spans="1:11" ht="15">
      <c r="A974" s="13">
        <v>71284</v>
      </c>
      <c r="B974" s="63">
        <v>17.299884625248623</v>
      </c>
      <c r="C974" s="63">
        <v>17.299884625248623</v>
      </c>
      <c r="D974" s="63">
        <v>17.308468345248624</v>
      </c>
      <c r="E974" s="64">
        <v>20.339513266243472</v>
      </c>
      <c r="F974" s="64">
        <v>20.339513266243472</v>
      </c>
      <c r="G974" s="64">
        <v>20.33969006624347</v>
      </c>
      <c r="H974" s="64">
        <v>32.92927528306155</v>
      </c>
      <c r="I974" s="64">
        <v>32.929452083061548</v>
      </c>
      <c r="J974" s="64">
        <v>20.339513266243472</v>
      </c>
      <c r="K974" s="64">
        <v>20.33969006624347</v>
      </c>
    </row>
    <row r="975" spans="1:11" ht="15">
      <c r="A975" s="13">
        <v>71315</v>
      </c>
      <c r="B975" s="63">
        <v>17.308845389276705</v>
      </c>
      <c r="C975" s="63">
        <v>17.308845389276705</v>
      </c>
      <c r="D975" s="63">
        <v>17.317429109276706</v>
      </c>
      <c r="E975" s="64">
        <v>20.524268437323123</v>
      </c>
      <c r="F975" s="64">
        <v>20.524268437323123</v>
      </c>
      <c r="G975" s="64">
        <v>20.524445237323121</v>
      </c>
      <c r="H975" s="64">
        <v>32.997877939901301</v>
      </c>
      <c r="I975" s="64">
        <v>32.998054739901299</v>
      </c>
      <c r="J975" s="64">
        <v>20.524268437323123</v>
      </c>
      <c r="K975" s="64">
        <v>20.524445237323121</v>
      </c>
    </row>
    <row r="976" spans="1:11" ht="15">
      <c r="A976" s="13">
        <v>71345</v>
      </c>
      <c r="B976" s="63">
        <v>17.308845389276705</v>
      </c>
      <c r="C976" s="63">
        <v>17.308845389276705</v>
      </c>
      <c r="D976" s="63">
        <v>17.326009109276704</v>
      </c>
      <c r="E976" s="64">
        <v>20.595140609528762</v>
      </c>
      <c r="F976" s="64">
        <v>20.595140609528762</v>
      </c>
      <c r="G976" s="64">
        <v>20.596292409528761</v>
      </c>
      <c r="H976" s="64">
        <v>33.066623518942748</v>
      </c>
      <c r="I976" s="64">
        <v>33.067775318942751</v>
      </c>
      <c r="J976" s="64">
        <v>20.595140609528762</v>
      </c>
      <c r="K976" s="64">
        <v>20.596292409528761</v>
      </c>
    </row>
    <row r="977" spans="1:11" ht="15">
      <c r="A977" s="13">
        <v>71376</v>
      </c>
      <c r="B977" s="63">
        <v>17.314924934731181</v>
      </c>
      <c r="C977" s="63">
        <v>17.314924934731181</v>
      </c>
      <c r="D977" s="63">
        <v>17.33208865473118</v>
      </c>
      <c r="E977" s="64">
        <v>20.528505725458661</v>
      </c>
      <c r="F977" s="64">
        <v>20.528505725458661</v>
      </c>
      <c r="G977" s="64">
        <v>20.52965752545866</v>
      </c>
      <c r="H977" s="64">
        <v>33.135512317940538</v>
      </c>
      <c r="I977" s="64">
        <v>33.136664117940541</v>
      </c>
      <c r="J977" s="64">
        <v>20.528505725458661</v>
      </c>
      <c r="K977" s="64">
        <v>20.52965752545866</v>
      </c>
    </row>
    <row r="978" spans="1:11" ht="15">
      <c r="A978" s="13">
        <v>71406</v>
      </c>
      <c r="B978" s="63">
        <v>17.584599357212035</v>
      </c>
      <c r="C978" s="63">
        <v>17.584599357212035</v>
      </c>
      <c r="D978" s="63">
        <v>17.601763077212034</v>
      </c>
      <c r="E978" s="64">
        <v>20.917305361795453</v>
      </c>
      <c r="F978" s="64">
        <v>20.917305361795453</v>
      </c>
      <c r="G978" s="64">
        <v>20.918457161795452</v>
      </c>
      <c r="H978" s="64">
        <v>33.204544635269613</v>
      </c>
      <c r="I978" s="64">
        <v>33.205696435269616</v>
      </c>
      <c r="J978" s="64">
        <v>20.917305361795453</v>
      </c>
      <c r="K978" s="64">
        <v>20.918457161795452</v>
      </c>
    </row>
    <row r="979" spans="1:11" ht="15">
      <c r="A979" s="13">
        <v>71437</v>
      </c>
      <c r="B979" s="63">
        <v>17.591286857212033</v>
      </c>
      <c r="C979" s="63">
        <v>17.591286857212033</v>
      </c>
      <c r="D979" s="63">
        <v>17.608450577212032</v>
      </c>
      <c r="E979" s="64">
        <v>20.709349862127482</v>
      </c>
      <c r="F979" s="64">
        <v>20.709349862127482</v>
      </c>
      <c r="G979" s="64">
        <v>20.710501662127481</v>
      </c>
      <c r="H979" s="64">
        <v>33.273720769926456</v>
      </c>
      <c r="I979" s="64">
        <v>33.274872569926458</v>
      </c>
      <c r="J979" s="64">
        <v>20.709349862127482</v>
      </c>
      <c r="K979" s="64">
        <v>20.710501662127481</v>
      </c>
    </row>
    <row r="980" spans="1:11" ht="15">
      <c r="A980" s="13">
        <v>71468</v>
      </c>
      <c r="B980" s="63">
        <v>17.588247084484713</v>
      </c>
      <c r="C980" s="63">
        <v>17.588247084484713</v>
      </c>
      <c r="D980" s="63">
        <v>17.605410804484713</v>
      </c>
      <c r="E980" s="64">
        <v>20.683607160657829</v>
      </c>
      <c r="F980" s="64">
        <v>20.683607160657804</v>
      </c>
      <c r="G980" s="64">
        <v>20.684758960657803</v>
      </c>
      <c r="H980" s="64">
        <v>33.343041021530397</v>
      </c>
      <c r="I980" s="64">
        <v>33.344192821530399</v>
      </c>
      <c r="J980" s="64">
        <v>20.683607160657829</v>
      </c>
      <c r="K980" s="64">
        <v>20.684758960657827</v>
      </c>
    </row>
    <row r="981" spans="1:11" ht="15">
      <c r="A981" s="13">
        <v>71498</v>
      </c>
      <c r="B981" s="63">
        <v>17.627709599651229</v>
      </c>
      <c r="C981" s="63">
        <v>17.627709599651229</v>
      </c>
      <c r="D981" s="63">
        <v>17.63629331965123</v>
      </c>
      <c r="E981" s="64">
        <v>20.764685311169394</v>
      </c>
      <c r="F981" s="64">
        <v>20.764685311169394</v>
      </c>
      <c r="G981" s="64">
        <v>20.764862111169393</v>
      </c>
      <c r="H981" s="64">
        <v>33.412505690325233</v>
      </c>
      <c r="I981" s="64">
        <v>33.412682490325231</v>
      </c>
      <c r="J981" s="64">
        <v>20.764685311169394</v>
      </c>
      <c r="K981" s="64">
        <v>20.764862111169393</v>
      </c>
    </row>
    <row r="982" spans="1:11" ht="15">
      <c r="A982" s="13">
        <v>71529</v>
      </c>
      <c r="B982" s="63">
        <v>17.630749372378524</v>
      </c>
      <c r="C982" s="63">
        <v>17.630749372378524</v>
      </c>
      <c r="D982" s="63">
        <v>17.639333092378525</v>
      </c>
      <c r="E982" s="64">
        <v>20.814052070040859</v>
      </c>
      <c r="F982" s="64">
        <v>20.814052070040859</v>
      </c>
      <c r="G982" s="64">
        <v>20.814228870040857</v>
      </c>
      <c r="H982" s="64">
        <v>33.48211507718014</v>
      </c>
      <c r="I982" s="64">
        <v>33.482291877180138</v>
      </c>
      <c r="J982" s="64">
        <v>20.814052070040859</v>
      </c>
      <c r="K982" s="64">
        <v>20.814228870040857</v>
      </c>
    </row>
    <row r="983" spans="1:11" ht="15">
      <c r="A983" s="13">
        <v>71559</v>
      </c>
      <c r="B983" s="63">
        <v>17.630749372378524</v>
      </c>
      <c r="C983" s="63">
        <v>17.630749372378524</v>
      </c>
      <c r="D983" s="63">
        <v>17.639333092378525</v>
      </c>
      <c r="E983" s="64">
        <v>20.695931783031401</v>
      </c>
      <c r="F983" s="64">
        <v>20.695931783031401</v>
      </c>
      <c r="G983" s="64">
        <v>20.6961085830314</v>
      </c>
      <c r="H983" s="64">
        <v>33.551869483590991</v>
      </c>
      <c r="I983" s="64">
        <v>33.55204628359099</v>
      </c>
      <c r="J983" s="64">
        <v>20.695931783031401</v>
      </c>
      <c r="K983" s="64">
        <v>20.6961085830314</v>
      </c>
    </row>
    <row r="984" spans="1:11" ht="15">
      <c r="A984" s="13">
        <v>71590</v>
      </c>
      <c r="B984" s="63">
        <v>17.551283464050123</v>
      </c>
      <c r="C984" s="63">
        <v>17.551283464050123</v>
      </c>
      <c r="D984" s="63">
        <v>17.559867184050123</v>
      </c>
      <c r="E984" s="64">
        <v>20.683409781791617</v>
      </c>
      <c r="F984" s="64">
        <v>20.683409781791617</v>
      </c>
      <c r="G984" s="64">
        <v>20.683586581791616</v>
      </c>
      <c r="H984" s="64">
        <v>33.238388666863358</v>
      </c>
      <c r="I984" s="64">
        <v>33.238565466863356</v>
      </c>
      <c r="J984" s="64">
        <v>20.683409781791617</v>
      </c>
      <c r="K984" s="64">
        <v>20.683586581791616</v>
      </c>
    </row>
    <row r="985" spans="1:11" ht="15">
      <c r="A985" s="13">
        <v>71621</v>
      </c>
      <c r="B985" s="63">
        <v>17.548243691322828</v>
      </c>
      <c r="C985" s="63">
        <v>17.548243691322828</v>
      </c>
      <c r="D985" s="63">
        <v>17.556827411322828</v>
      </c>
      <c r="E985" s="64">
        <v>20.454859400760597</v>
      </c>
      <c r="F985" s="64">
        <v>20.454859400760686</v>
      </c>
      <c r="G985" s="64">
        <v>20.455036200760684</v>
      </c>
      <c r="H985" s="64">
        <v>33.307635309919263</v>
      </c>
      <c r="I985" s="64">
        <v>33.307812109919261</v>
      </c>
      <c r="J985" s="64">
        <v>20.454859400760597</v>
      </c>
      <c r="K985" s="64">
        <v>20.455036200760595</v>
      </c>
    </row>
    <row r="986" spans="1:11" ht="15">
      <c r="A986" s="13">
        <v>71650</v>
      </c>
      <c r="B986" s="63">
        <v>17.545203918595483</v>
      </c>
      <c r="C986" s="63">
        <v>17.545203918595483</v>
      </c>
      <c r="D986" s="63">
        <v>17.553787638595484</v>
      </c>
      <c r="E986" s="64">
        <v>20.63124584312218</v>
      </c>
      <c r="F986" s="64">
        <v>20.63124584312218</v>
      </c>
      <c r="G986" s="64">
        <v>20.631422643122178</v>
      </c>
      <c r="H986" s="64">
        <v>33.37702621681489</v>
      </c>
      <c r="I986" s="64">
        <v>33.377203016814889</v>
      </c>
      <c r="J986" s="64">
        <v>20.63124584312218</v>
      </c>
      <c r="K986" s="64">
        <v>20.631422643122178</v>
      </c>
    </row>
    <row r="987" spans="1:11" ht="15">
      <c r="A987" s="13">
        <v>71681</v>
      </c>
      <c r="B987" s="63">
        <v>17.554370303460484</v>
      </c>
      <c r="C987" s="63">
        <v>17.554370303460484</v>
      </c>
      <c r="D987" s="63">
        <v>17.562954023460485</v>
      </c>
      <c r="E987" s="64">
        <v>20.818715157122163</v>
      </c>
      <c r="F987" s="64">
        <v>20.818715157122163</v>
      </c>
      <c r="G987" s="64">
        <v>20.818891957122162</v>
      </c>
      <c r="H987" s="64">
        <v>33.446561688099962</v>
      </c>
      <c r="I987" s="64">
        <v>33.44673848809996</v>
      </c>
      <c r="J987" s="64">
        <v>20.818715157122163</v>
      </c>
      <c r="K987" s="64">
        <v>20.818891957122162</v>
      </c>
    </row>
    <row r="988" spans="1:11" ht="15">
      <c r="A988" s="13">
        <v>71711</v>
      </c>
      <c r="B988" s="63">
        <v>17.554370303460484</v>
      </c>
      <c r="C988" s="63">
        <v>17.554370303460484</v>
      </c>
      <c r="D988" s="63">
        <v>17.571534023460483</v>
      </c>
      <c r="E988" s="64">
        <v>20.890605132922925</v>
      </c>
      <c r="F988" s="64">
        <v>20.890605132922925</v>
      </c>
      <c r="G988" s="64">
        <v>20.891756932922924</v>
      </c>
      <c r="H988" s="64">
        <v>33.516242024950159</v>
      </c>
      <c r="I988" s="64">
        <v>33.517393824950162</v>
      </c>
      <c r="J988" s="64">
        <v>20.890605132922925</v>
      </c>
      <c r="K988" s="64">
        <v>20.891756932922924</v>
      </c>
    </row>
    <row r="989" spans="1:11" ht="15">
      <c r="A989" s="13">
        <v>71742</v>
      </c>
      <c r="B989" s="63">
        <v>17.560449848914956</v>
      </c>
      <c r="C989" s="63">
        <v>17.560449848914956</v>
      </c>
      <c r="D989" s="63">
        <v>17.577613568914956</v>
      </c>
      <c r="E989" s="64">
        <v>20.822952445257698</v>
      </c>
      <c r="F989" s="64">
        <v>20.822952445257698</v>
      </c>
      <c r="G989" s="64">
        <v>20.824104245257697</v>
      </c>
      <c r="H989" s="64">
        <v>33.586067529168801</v>
      </c>
      <c r="I989" s="64">
        <v>33.587219329168803</v>
      </c>
      <c r="J989" s="64">
        <v>20.822952445257698</v>
      </c>
      <c r="K989" s="64">
        <v>20.824104245257697</v>
      </c>
    </row>
    <row r="990" spans="1:11" ht="15">
      <c r="A990" s="13">
        <v>71772</v>
      </c>
      <c r="B990" s="63">
        <v>17.833814603843024</v>
      </c>
      <c r="C990" s="63">
        <v>17.833814603843024</v>
      </c>
      <c r="D990" s="63">
        <v>17.850978323843023</v>
      </c>
      <c r="E990" s="64">
        <v>21.217188648011678</v>
      </c>
      <c r="F990" s="64">
        <v>21.217188648011678</v>
      </c>
      <c r="G990" s="64">
        <v>21.218340448011677</v>
      </c>
      <c r="H990" s="64">
        <v>33.656038503187929</v>
      </c>
      <c r="I990" s="64">
        <v>33.657190303187932</v>
      </c>
      <c r="J990" s="64">
        <v>21.217188648011678</v>
      </c>
      <c r="K990" s="64">
        <v>21.218340448011677</v>
      </c>
    </row>
    <row r="991" spans="1:11" ht="15">
      <c r="A991" s="13">
        <v>71803</v>
      </c>
      <c r="B991" s="63">
        <v>17.840502103843022</v>
      </c>
      <c r="C991" s="63">
        <v>17.840502103843022</v>
      </c>
      <c r="D991" s="63">
        <v>17.857665823843021</v>
      </c>
      <c r="E991" s="64">
        <v>21.006179737558334</v>
      </c>
      <c r="F991" s="64">
        <v>21.006179737558334</v>
      </c>
      <c r="G991" s="64">
        <v>21.007331537558333</v>
      </c>
      <c r="H991" s="64">
        <v>33.726155250069603</v>
      </c>
      <c r="I991" s="64">
        <v>33.727307050069605</v>
      </c>
      <c r="J991" s="64">
        <v>21.006179737558334</v>
      </c>
      <c r="K991" s="64">
        <v>21.007331537558333</v>
      </c>
    </row>
    <row r="992" spans="1:11" ht="15">
      <c r="A992" s="13">
        <v>71834</v>
      </c>
      <c r="B992" s="63">
        <v>17.837462331115702</v>
      </c>
      <c r="C992" s="63">
        <v>17.837462331115702</v>
      </c>
      <c r="D992" s="63">
        <v>17.854626051115702</v>
      </c>
      <c r="E992" s="64">
        <v>20.980097768223644</v>
      </c>
      <c r="F992" s="64">
        <v>20.980097768223615</v>
      </c>
      <c r="G992" s="64">
        <v>20.981249568223614</v>
      </c>
      <c r="H992" s="64">
        <v>33.796418073507169</v>
      </c>
      <c r="I992" s="64">
        <v>33.797569873507172</v>
      </c>
      <c r="J992" s="64">
        <v>20.980097768223644</v>
      </c>
      <c r="K992" s="64">
        <v>20.981249568223642</v>
      </c>
    </row>
    <row r="993" spans="1:11" ht="15">
      <c r="A993" s="13">
        <v>71864</v>
      </c>
      <c r="B993" s="63">
        <v>17.877727549572022</v>
      </c>
      <c r="C993" s="63">
        <v>17.877727549572022</v>
      </c>
      <c r="D993" s="63">
        <v>17.886311269572023</v>
      </c>
      <c r="E993" s="64">
        <v>21.062532990195372</v>
      </c>
      <c r="F993" s="64">
        <v>21.062532990195372</v>
      </c>
      <c r="G993" s="64">
        <v>21.06270979019537</v>
      </c>
      <c r="H993" s="64">
        <v>33.866827277826957</v>
      </c>
      <c r="I993" s="64">
        <v>33.867004077826955</v>
      </c>
      <c r="J993" s="64">
        <v>21.062532990195372</v>
      </c>
      <c r="K993" s="64">
        <v>21.06270979019537</v>
      </c>
    </row>
    <row r="994" spans="1:11" ht="15">
      <c r="A994" s="13">
        <v>71895</v>
      </c>
      <c r="B994" s="63">
        <v>17.88076732229932</v>
      </c>
      <c r="C994" s="63">
        <v>17.88076732229932</v>
      </c>
      <c r="D994" s="63">
        <v>17.889351042299321</v>
      </c>
      <c r="E994" s="64">
        <v>21.112578284796918</v>
      </c>
      <c r="F994" s="64">
        <v>21.112578284796918</v>
      </c>
      <c r="G994" s="64">
        <v>21.112755084796916</v>
      </c>
      <c r="H994" s="64">
        <v>33.937383167989161</v>
      </c>
      <c r="I994" s="64">
        <v>33.937559967989159</v>
      </c>
      <c r="J994" s="64">
        <v>21.112578284796918</v>
      </c>
      <c r="K994" s="64">
        <v>21.112755084796916</v>
      </c>
    </row>
    <row r="995" spans="1:11" ht="15">
      <c r="A995" s="13">
        <v>71925</v>
      </c>
      <c r="B995" s="63">
        <v>17.88076732229932</v>
      </c>
      <c r="C995" s="63">
        <v>17.88076732229932</v>
      </c>
      <c r="D995" s="63">
        <v>17.889351042299321</v>
      </c>
      <c r="E995" s="64">
        <v>20.992761658462253</v>
      </c>
      <c r="F995" s="64">
        <v>20.992761658462253</v>
      </c>
      <c r="G995" s="64">
        <v>20.992938458462252</v>
      </c>
      <c r="H995" s="64">
        <v>34.008086049589203</v>
      </c>
      <c r="I995" s="64">
        <v>34.008262849589201</v>
      </c>
      <c r="J995" s="64">
        <v>20.992761658462253</v>
      </c>
      <c r="K995" s="64">
        <v>20.992938458462252</v>
      </c>
    </row>
    <row r="996" spans="1:11" ht="15">
      <c r="A996" s="13">
        <v>71956</v>
      </c>
      <c r="B996" s="63">
        <v>17.79660275739699</v>
      </c>
      <c r="C996" s="63">
        <v>17.79660275739699</v>
      </c>
      <c r="D996" s="63">
        <v>17.80518647739699</v>
      </c>
      <c r="E996" s="64">
        <v>20.975820894400407</v>
      </c>
      <c r="F996" s="64">
        <v>20.975820894400407</v>
      </c>
      <c r="G996" s="64">
        <v>20.975997694400405</v>
      </c>
      <c r="H996" s="64">
        <v>33.684279785663719</v>
      </c>
      <c r="I996" s="64">
        <v>33.684456585663717</v>
      </c>
      <c r="J996" s="64">
        <v>20.975820894400407</v>
      </c>
      <c r="K996" s="64">
        <v>20.975997694400405</v>
      </c>
    </row>
    <row r="997" spans="1:11" ht="15">
      <c r="A997" s="13">
        <v>71987</v>
      </c>
      <c r="B997" s="63">
        <v>17.793562984669691</v>
      </c>
      <c r="C997" s="63">
        <v>17.793562984669691</v>
      </c>
      <c r="D997" s="63">
        <v>17.802146704669692</v>
      </c>
      <c r="E997" s="64">
        <v>20.744064739082162</v>
      </c>
      <c r="F997" s="64">
        <v>20.744064739082255</v>
      </c>
      <c r="G997" s="64">
        <v>20.744241539082253</v>
      </c>
      <c r="H997" s="64">
        <v>33.75445536855046</v>
      </c>
      <c r="I997" s="64">
        <v>33.754632168550458</v>
      </c>
      <c r="J997" s="64">
        <v>20.744064739082162</v>
      </c>
      <c r="K997" s="64">
        <v>20.744241539082161</v>
      </c>
    </row>
    <row r="998" spans="1:11" ht="15">
      <c r="A998" s="13">
        <v>72015</v>
      </c>
      <c r="B998" s="63">
        <v>17.790523211942343</v>
      </c>
      <c r="C998" s="63">
        <v>17.790523211942343</v>
      </c>
      <c r="D998" s="63">
        <v>17.799106931942344</v>
      </c>
      <c r="E998" s="64">
        <v>20.922978420000888</v>
      </c>
      <c r="F998" s="64">
        <v>20.922978420000888</v>
      </c>
      <c r="G998" s="64">
        <v>20.923155220000886</v>
      </c>
      <c r="H998" s="64">
        <v>33.824777150568231</v>
      </c>
      <c r="I998" s="64">
        <v>33.824953950568229</v>
      </c>
      <c r="J998" s="64">
        <v>20.922978420000888</v>
      </c>
      <c r="K998" s="64">
        <v>20.923155220000886</v>
      </c>
    </row>
    <row r="999" spans="1:11" ht="15">
      <c r="A999" s="13">
        <v>72046</v>
      </c>
      <c r="B999" s="63">
        <v>17.799895217644263</v>
      </c>
      <c r="C999" s="63">
        <v>17.799895217644263</v>
      </c>
      <c r="D999" s="63">
        <v>17.808478937644264</v>
      </c>
      <c r="E999" s="64">
        <v>21.113161876921204</v>
      </c>
      <c r="F999" s="64">
        <v>21.113161876921204</v>
      </c>
      <c r="G999" s="64">
        <v>21.113338676921202</v>
      </c>
      <c r="H999" s="64">
        <v>33.895245436298623</v>
      </c>
      <c r="I999" s="64">
        <v>33.895422236298621</v>
      </c>
      <c r="J999" s="64">
        <v>21.113161876921204</v>
      </c>
      <c r="K999" s="64">
        <v>21.113338676921202</v>
      </c>
    </row>
    <row r="1000" spans="1:11" ht="15">
      <c r="A1000" s="13">
        <v>72076</v>
      </c>
      <c r="B1000" s="63">
        <v>17.799895217644263</v>
      </c>
      <c r="C1000" s="63">
        <v>17.799895217644263</v>
      </c>
      <c r="D1000" s="63">
        <v>17.817058937644262</v>
      </c>
      <c r="E1000" s="64">
        <v>21.186069656317088</v>
      </c>
      <c r="F1000" s="64">
        <v>21.186069656317088</v>
      </c>
      <c r="G1000" s="64">
        <v>21.187221456317086</v>
      </c>
      <c r="H1000" s="64">
        <v>33.965860530957571</v>
      </c>
      <c r="I1000" s="64">
        <v>33.967012330957573</v>
      </c>
      <c r="J1000" s="64">
        <v>21.186069656317088</v>
      </c>
      <c r="K1000" s="64">
        <v>21.187221456317086</v>
      </c>
    </row>
    <row r="1001" spans="1:11" ht="15">
      <c r="A1001" s="13">
        <v>72107</v>
      </c>
      <c r="B1001" s="63">
        <v>17.805974763098732</v>
      </c>
      <c r="C1001" s="63">
        <v>17.805974763098732</v>
      </c>
      <c r="D1001" s="63">
        <v>17.823138483098731</v>
      </c>
      <c r="E1001" s="64">
        <v>21.117399165056735</v>
      </c>
      <c r="F1001" s="64">
        <v>21.117399165056735</v>
      </c>
      <c r="G1001" s="64">
        <v>21.118550965056734</v>
      </c>
      <c r="H1001" s="64">
        <v>34.036622740397064</v>
      </c>
      <c r="I1001" s="64">
        <v>34.037774540397066</v>
      </c>
      <c r="J1001" s="64">
        <v>21.117399165056735</v>
      </c>
      <c r="K1001" s="64">
        <v>21.118550965056734</v>
      </c>
    </row>
    <row r="1002" spans="1:11" ht="15">
      <c r="A1002" s="13">
        <v>72137</v>
      </c>
      <c r="B1002" s="63">
        <v>18.083029850474013</v>
      </c>
      <c r="C1002" s="63">
        <v>18.083029850474013</v>
      </c>
      <c r="D1002" s="63">
        <v>18.100193570474012</v>
      </c>
      <c r="E1002" s="64">
        <v>21.517071934227904</v>
      </c>
      <c r="F1002" s="64">
        <v>21.517071934227904</v>
      </c>
      <c r="G1002" s="64">
        <v>21.518223734227902</v>
      </c>
      <c r="H1002" s="64">
        <v>34.107532371106245</v>
      </c>
      <c r="I1002" s="64">
        <v>34.108684171106248</v>
      </c>
      <c r="J1002" s="64">
        <v>21.517071934227904</v>
      </c>
      <c r="K1002" s="64">
        <v>21.518223734227902</v>
      </c>
    </row>
    <row r="1003" spans="1:11" ht="15">
      <c r="A1003" s="13">
        <v>72168</v>
      </c>
      <c r="B1003" s="63">
        <v>18.089717350474011</v>
      </c>
      <c r="C1003" s="63">
        <v>18.089717350474011</v>
      </c>
      <c r="D1003" s="63">
        <v>18.10688107047401</v>
      </c>
      <c r="E1003" s="64">
        <v>21.303009612989186</v>
      </c>
      <c r="F1003" s="64">
        <v>21.303009612989186</v>
      </c>
      <c r="G1003" s="64">
        <v>21.304161412989185</v>
      </c>
      <c r="H1003" s="64">
        <v>34.178589730212749</v>
      </c>
      <c r="I1003" s="64">
        <v>34.179741530212752</v>
      </c>
      <c r="J1003" s="64">
        <v>21.303009612989186</v>
      </c>
      <c r="K1003" s="64">
        <v>21.304161412989185</v>
      </c>
    </row>
    <row r="1004" spans="1:11" ht="15">
      <c r="A1004" s="13">
        <v>72199</v>
      </c>
      <c r="B1004" s="63">
        <v>18.086677577746691</v>
      </c>
      <c r="C1004" s="63">
        <v>18.086677577746691</v>
      </c>
      <c r="D1004" s="63">
        <v>18.10384129774669</v>
      </c>
      <c r="E1004" s="64">
        <v>21.276588375789458</v>
      </c>
      <c r="F1004" s="64">
        <v>21.276588375789427</v>
      </c>
      <c r="G1004" s="64">
        <v>21.277740175789425</v>
      </c>
      <c r="H1004" s="64">
        <v>34.249795125483942</v>
      </c>
      <c r="I1004" s="64">
        <v>34.250946925483944</v>
      </c>
      <c r="J1004" s="64">
        <v>21.276588375789458</v>
      </c>
      <c r="K1004" s="64">
        <v>21.277740175789457</v>
      </c>
    </row>
    <row r="1005" spans="1:11" ht="15">
      <c r="A1005" s="13">
        <v>72229</v>
      </c>
      <c r="B1005" s="63">
        <v>18.127745499492814</v>
      </c>
      <c r="C1005" s="63">
        <v>18.127745499492814</v>
      </c>
      <c r="D1005" s="63">
        <v>18.136329219492815</v>
      </c>
      <c r="E1005" s="64">
        <v>21.36038066922135</v>
      </c>
      <c r="F1005" s="64">
        <v>21.36038066922135</v>
      </c>
      <c r="G1005" s="64">
        <v>21.360557469221348</v>
      </c>
      <c r="H1005" s="64">
        <v>34.321148865328681</v>
      </c>
      <c r="I1005" s="64">
        <v>34.321325665328679</v>
      </c>
      <c r="J1005" s="64">
        <v>21.36038066922135</v>
      </c>
      <c r="K1005" s="64">
        <v>21.360557469221348</v>
      </c>
    </row>
    <row r="1006" spans="1:11" ht="15">
      <c r="A1006" s="13">
        <v>72260</v>
      </c>
      <c r="B1006" s="63">
        <v>18.130785272220116</v>
      </c>
      <c r="C1006" s="63">
        <v>18.130785272220116</v>
      </c>
      <c r="D1006" s="63">
        <v>18.139368992220117</v>
      </c>
      <c r="E1006" s="64">
        <v>21.411104499552977</v>
      </c>
      <c r="F1006" s="64">
        <v>21.411104499552977</v>
      </c>
      <c r="G1006" s="64">
        <v>21.411281299552975</v>
      </c>
      <c r="H1006" s="64">
        <v>34.392651258798182</v>
      </c>
      <c r="I1006" s="64">
        <v>34.39282805879818</v>
      </c>
      <c r="J1006" s="64">
        <v>21.411104499552977</v>
      </c>
      <c r="K1006" s="64">
        <v>21.411281299552975</v>
      </c>
    </row>
    <row r="1007" spans="1:11" ht="15">
      <c r="A1007" s="13">
        <v>72290</v>
      </c>
      <c r="B1007" s="63">
        <v>18.130785272220116</v>
      </c>
      <c r="C1007" s="63">
        <v>18.130785272220116</v>
      </c>
      <c r="D1007" s="63">
        <v>18.139368992220117</v>
      </c>
      <c r="E1007" s="64">
        <v>21.289591533893105</v>
      </c>
      <c r="F1007" s="64">
        <v>21.289591533893105</v>
      </c>
      <c r="G1007" s="64">
        <v>21.289768333893104</v>
      </c>
      <c r="H1007" s="64">
        <v>34.464302615587414</v>
      </c>
      <c r="I1007" s="64">
        <v>34.464479415587412</v>
      </c>
      <c r="J1007" s="64">
        <v>21.289591533893105</v>
      </c>
      <c r="K1007" s="64">
        <v>21.289768333893104</v>
      </c>
    </row>
    <row r="1008" spans="1:11" ht="15">
      <c r="A1008" s="13">
        <v>72321</v>
      </c>
      <c r="B1008" s="63">
        <v>18.041922050743857</v>
      </c>
      <c r="C1008" s="63">
        <v>18.041922050743857</v>
      </c>
      <c r="D1008" s="63">
        <v>18.050505770743857</v>
      </c>
      <c r="E1008" s="64">
        <v>21.268232007009196</v>
      </c>
      <c r="F1008" s="64">
        <v>21.268232007009196</v>
      </c>
      <c r="G1008" s="64">
        <v>21.268408807009195</v>
      </c>
      <c r="H1008" s="64">
        <v>34.13017090446408</v>
      </c>
      <c r="I1008" s="64">
        <v>34.130347704464079</v>
      </c>
      <c r="J1008" s="64">
        <v>21.268232007009196</v>
      </c>
      <c r="K1008" s="64">
        <v>21.268408807009195</v>
      </c>
    </row>
    <row r="1009" spans="1:11" ht="15">
      <c r="A1009" s="13">
        <v>72352</v>
      </c>
      <c r="B1009" s="63">
        <v>18.038882278016555</v>
      </c>
      <c r="C1009" s="63">
        <v>18.038882278016555</v>
      </c>
      <c r="D1009" s="63">
        <v>18.047465998016555</v>
      </c>
      <c r="E1009" s="64">
        <v>21.033270077403728</v>
      </c>
      <c r="F1009" s="64">
        <v>21.033270077403824</v>
      </c>
      <c r="G1009" s="64">
        <v>21.033446877403822</v>
      </c>
      <c r="H1009" s="64">
        <v>34.201275427181656</v>
      </c>
      <c r="I1009" s="64">
        <v>34.201452227181655</v>
      </c>
      <c r="J1009" s="64">
        <v>21.033270077403728</v>
      </c>
      <c r="K1009" s="64">
        <v>21.033446877403726</v>
      </c>
    </row>
    <row r="1010" spans="1:11" ht="15">
      <c r="A1010" s="13">
        <v>72380</v>
      </c>
      <c r="B1010" s="63">
        <v>18.035842505289203</v>
      </c>
      <c r="C1010" s="63">
        <v>18.035842505289203</v>
      </c>
      <c r="D1010" s="63">
        <v>18.044426225289204</v>
      </c>
      <c r="E1010" s="64">
        <v>21.214710996879596</v>
      </c>
      <c r="F1010" s="64">
        <v>21.214710996879596</v>
      </c>
      <c r="G1010" s="64">
        <v>21.214887796879594</v>
      </c>
      <c r="H1010" s="64">
        <v>34.272528084321571</v>
      </c>
      <c r="I1010" s="64">
        <v>34.27270488432157</v>
      </c>
      <c r="J1010" s="64">
        <v>21.214710996879596</v>
      </c>
      <c r="K1010" s="64">
        <v>21.214887796879594</v>
      </c>
    </row>
    <row r="1011" spans="1:11" ht="15">
      <c r="A1011" s="13">
        <v>72411</v>
      </c>
      <c r="B1011" s="63">
        <v>18.045420131828042</v>
      </c>
      <c r="C1011" s="63">
        <v>18.045420131828042</v>
      </c>
      <c r="D1011" s="63">
        <v>18.054003851828043</v>
      </c>
      <c r="E1011" s="64">
        <v>21.407608596720245</v>
      </c>
      <c r="F1011" s="64">
        <v>21.407608596720245</v>
      </c>
      <c r="G1011" s="64">
        <v>21.407785396720243</v>
      </c>
      <c r="H1011" s="64">
        <v>34.343929184497284</v>
      </c>
      <c r="I1011" s="64">
        <v>34.344105984497283</v>
      </c>
      <c r="J1011" s="64">
        <v>21.407608596720245</v>
      </c>
      <c r="K1011" s="64">
        <v>21.407785396720243</v>
      </c>
    </row>
    <row r="1012" spans="1:11" ht="15">
      <c r="A1012" s="13">
        <v>72441</v>
      </c>
      <c r="B1012" s="63">
        <v>18.045420131828042</v>
      </c>
      <c r="C1012" s="63">
        <v>18.045420131828042</v>
      </c>
      <c r="D1012" s="63">
        <v>18.062583851828041</v>
      </c>
      <c r="E1012" s="64">
        <v>21.48153417971125</v>
      </c>
      <c r="F1012" s="64">
        <v>21.48153417971125</v>
      </c>
      <c r="G1012" s="64">
        <v>21.482685979711249</v>
      </c>
      <c r="H1012" s="64">
        <v>34.415479036964982</v>
      </c>
      <c r="I1012" s="64">
        <v>34.416630836964984</v>
      </c>
      <c r="J1012" s="64">
        <v>21.48153417971125</v>
      </c>
      <c r="K1012" s="64">
        <v>21.482685979711249</v>
      </c>
    </row>
    <row r="1013" spans="1:11" ht="15">
      <c r="A1013" s="13">
        <v>72472</v>
      </c>
      <c r="B1013" s="63">
        <v>18.051499677282507</v>
      </c>
      <c r="C1013" s="63">
        <v>18.051499677282507</v>
      </c>
      <c r="D1013" s="63">
        <v>18.068663397282506</v>
      </c>
      <c r="E1013" s="64">
        <v>21.411845884855772</v>
      </c>
      <c r="F1013" s="64">
        <v>21.411845884855772</v>
      </c>
      <c r="G1013" s="64">
        <v>21.412997684855771</v>
      </c>
      <c r="H1013" s="64">
        <v>34.487177951625327</v>
      </c>
      <c r="I1013" s="64">
        <v>34.488329751625329</v>
      </c>
      <c r="J1013" s="64">
        <v>21.411845884855772</v>
      </c>
      <c r="K1013" s="64">
        <v>21.412997684855771</v>
      </c>
    </row>
    <row r="1014" spans="1:11" ht="15">
      <c r="A1014" s="13">
        <v>72502</v>
      </c>
      <c r="B1014" s="63">
        <v>18.332245097105002</v>
      </c>
      <c r="C1014" s="63">
        <v>18.332245097105002</v>
      </c>
      <c r="D1014" s="63">
        <v>18.349408817105001</v>
      </c>
      <c r="E1014" s="64">
        <v>21.816955220444129</v>
      </c>
      <c r="F1014" s="64">
        <v>21.816955220444129</v>
      </c>
      <c r="G1014" s="64">
        <v>21.818107020444128</v>
      </c>
      <c r="H1014" s="64">
        <v>34.559026239024561</v>
      </c>
      <c r="I1014" s="64">
        <v>34.560178039024564</v>
      </c>
      <c r="J1014" s="64">
        <v>21.816955220444129</v>
      </c>
      <c r="K1014" s="64">
        <v>21.818107020444128</v>
      </c>
    </row>
    <row r="1015" spans="1:11" ht="15">
      <c r="A1015" s="13">
        <v>72533</v>
      </c>
      <c r="B1015" s="63">
        <v>18.338932597105</v>
      </c>
      <c r="C1015" s="63">
        <v>18.338932597105</v>
      </c>
      <c r="D1015" s="63">
        <v>18.356096317104999</v>
      </c>
      <c r="E1015" s="64">
        <v>21.599839488420038</v>
      </c>
      <c r="F1015" s="64">
        <v>21.599839488420038</v>
      </c>
      <c r="G1015" s="64">
        <v>21.600991288420037</v>
      </c>
      <c r="H1015" s="64">
        <v>34.631024210355896</v>
      </c>
      <c r="I1015" s="64">
        <v>34.632176010355899</v>
      </c>
      <c r="J1015" s="64">
        <v>21.599839488420038</v>
      </c>
      <c r="K1015" s="64">
        <v>21.600991288420037</v>
      </c>
    </row>
    <row r="1016" spans="1:11" ht="15">
      <c r="A1016" s="13">
        <v>72564</v>
      </c>
      <c r="B1016" s="63">
        <v>18.33589282437768</v>
      </c>
      <c r="C1016" s="63">
        <v>18.33589282437768</v>
      </c>
      <c r="D1016" s="63">
        <v>18.353056544377679</v>
      </c>
      <c r="E1016" s="64">
        <v>21.573078983355273</v>
      </c>
      <c r="F1016" s="64">
        <v>21.573078983355238</v>
      </c>
      <c r="G1016" s="64">
        <v>21.574230783355237</v>
      </c>
      <c r="H1016" s="64">
        <v>34.703172177460715</v>
      </c>
      <c r="I1016" s="64">
        <v>34.704323977460717</v>
      </c>
      <c r="J1016" s="64">
        <v>21.573078983355273</v>
      </c>
      <c r="K1016" s="64">
        <v>21.574230783355272</v>
      </c>
    </row>
    <row r="1017" spans="1:11" ht="15">
      <c r="A1017" s="13">
        <v>72594</v>
      </c>
      <c r="B1017" s="63">
        <v>18.377763449413607</v>
      </c>
      <c r="C1017" s="63">
        <v>18.377763449413607</v>
      </c>
      <c r="D1017" s="63">
        <v>18.386347169413607</v>
      </c>
      <c r="E1017" s="64">
        <v>21.658228348247327</v>
      </c>
      <c r="F1017" s="64">
        <v>21.658228348247327</v>
      </c>
      <c r="G1017" s="64">
        <v>21.658405148247326</v>
      </c>
      <c r="H1017" s="64">
        <v>34.775470452830405</v>
      </c>
      <c r="I1017" s="64">
        <v>34.775647252830403</v>
      </c>
      <c r="J1017" s="64">
        <v>21.658228348247327</v>
      </c>
      <c r="K1017" s="64">
        <v>21.658405148247326</v>
      </c>
    </row>
    <row r="1018" spans="1:11" ht="15">
      <c r="A1018" s="13">
        <v>72625</v>
      </c>
      <c r="B1018" s="63">
        <v>18.380803222140912</v>
      </c>
      <c r="C1018" s="63">
        <v>18.380803222140912</v>
      </c>
      <c r="D1018" s="63">
        <v>18.389386942140913</v>
      </c>
      <c r="E1018" s="64">
        <v>21.709630714309036</v>
      </c>
      <c r="F1018" s="64">
        <v>21.709630714309036</v>
      </c>
      <c r="G1018" s="64">
        <v>21.709807514309034</v>
      </c>
      <c r="H1018" s="64">
        <v>34.847919349607203</v>
      </c>
      <c r="I1018" s="64">
        <v>34.848096149607201</v>
      </c>
      <c r="J1018" s="64">
        <v>21.709630714309036</v>
      </c>
      <c r="K1018" s="64">
        <v>21.709807514309034</v>
      </c>
    </row>
    <row r="1019" spans="1:11" ht="15">
      <c r="A1019" s="13">
        <v>72655</v>
      </c>
      <c r="B1019" s="63">
        <v>18.380803222140912</v>
      </c>
      <c r="C1019" s="63">
        <v>18.380803222140912</v>
      </c>
      <c r="D1019" s="63">
        <v>18.389386942140913</v>
      </c>
      <c r="E1019" s="64">
        <v>21.586421409323957</v>
      </c>
      <c r="F1019" s="64">
        <v>21.586421409323957</v>
      </c>
      <c r="G1019" s="64">
        <v>21.586598209323956</v>
      </c>
      <c r="H1019" s="64">
        <v>34.920519181585625</v>
      </c>
      <c r="I1019" s="64">
        <v>34.920695981585624</v>
      </c>
      <c r="J1019" s="64">
        <v>21.586421409323957</v>
      </c>
      <c r="K1019" s="64">
        <v>21.586598209323956</v>
      </c>
    </row>
    <row r="1020" spans="1:11" ht="15">
      <c r="A1020" s="13">
        <v>72686</v>
      </c>
      <c r="B1020" s="63">
        <v>18.287241344090724</v>
      </c>
      <c r="C1020" s="63">
        <v>18.287241344090724</v>
      </c>
      <c r="D1020" s="63">
        <v>18.295825064090725</v>
      </c>
      <c r="E1020" s="64">
        <v>21.560643119617986</v>
      </c>
      <c r="F1020" s="64">
        <v>21.560643119617986</v>
      </c>
      <c r="G1020" s="64">
        <v>21.560819919617984</v>
      </c>
      <c r="H1020" s="64">
        <v>34.576062023264441</v>
      </c>
      <c r="I1020" s="64">
        <v>34.57623882326444</v>
      </c>
      <c r="J1020" s="64">
        <v>21.560643119617986</v>
      </c>
      <c r="K1020" s="64">
        <v>21.560819919617984</v>
      </c>
    </row>
    <row r="1021" spans="1:11" ht="15">
      <c r="A1021" s="13">
        <v>72717</v>
      </c>
      <c r="B1021" s="63">
        <v>18.284201571363418</v>
      </c>
      <c r="C1021" s="63">
        <v>18.284201571363418</v>
      </c>
      <c r="D1021" s="63">
        <v>18.292785291363419</v>
      </c>
      <c r="E1021" s="64">
        <v>21.322475415725293</v>
      </c>
      <c r="F1021" s="64">
        <v>21.322475415725393</v>
      </c>
      <c r="G1021" s="64">
        <v>21.322652215725391</v>
      </c>
      <c r="H1021" s="64">
        <v>34.648095485812853</v>
      </c>
      <c r="I1021" s="64">
        <v>34.648272285812851</v>
      </c>
      <c r="J1021" s="64">
        <v>21.322475415725293</v>
      </c>
      <c r="K1021" s="64">
        <v>21.322652215725292</v>
      </c>
    </row>
    <row r="1022" spans="1:11" ht="15">
      <c r="A1022" s="13">
        <v>72745</v>
      </c>
      <c r="B1022" s="63">
        <v>18.281161798636063</v>
      </c>
      <c r="C1022" s="63">
        <v>18.281161798636063</v>
      </c>
      <c r="D1022" s="63">
        <v>18.289745518636064</v>
      </c>
      <c r="E1022" s="64">
        <v>21.506443573758304</v>
      </c>
      <c r="F1022" s="64">
        <v>21.506443573758304</v>
      </c>
      <c r="G1022" s="64">
        <v>21.506620373758302</v>
      </c>
      <c r="H1022" s="64">
        <v>34.720279018074912</v>
      </c>
      <c r="I1022" s="64">
        <v>34.72045581807491</v>
      </c>
      <c r="J1022" s="64">
        <v>21.506443573758304</v>
      </c>
      <c r="K1022" s="64">
        <v>21.506620373758302</v>
      </c>
    </row>
    <row r="1023" spans="1:11" ht="15">
      <c r="A1023" s="13">
        <v>72776</v>
      </c>
      <c r="B1023" s="63">
        <v>18.290945046011821</v>
      </c>
      <c r="C1023" s="63">
        <v>18.290945046011821</v>
      </c>
      <c r="D1023" s="63">
        <v>18.299528766011822</v>
      </c>
      <c r="E1023" s="64">
        <v>21.702055316519285</v>
      </c>
      <c r="F1023" s="64">
        <v>21.702055316519285</v>
      </c>
      <c r="G1023" s="64">
        <v>21.702232116519284</v>
      </c>
      <c r="H1023" s="64">
        <v>34.792612932695945</v>
      </c>
      <c r="I1023" s="64">
        <v>34.792789732695944</v>
      </c>
      <c r="J1023" s="64">
        <v>21.702055316519285</v>
      </c>
      <c r="K1023" s="64">
        <v>21.702232116519284</v>
      </c>
    </row>
    <row r="1024" spans="1:11" ht="15">
      <c r="A1024" s="13">
        <v>72806</v>
      </c>
      <c r="B1024" s="63">
        <v>18.290945046011821</v>
      </c>
      <c r="C1024" s="63">
        <v>18.290945046011821</v>
      </c>
      <c r="D1024" s="63">
        <v>18.30810876601182</v>
      </c>
      <c r="E1024" s="64">
        <v>21.776998703105413</v>
      </c>
      <c r="F1024" s="64">
        <v>21.776998703105413</v>
      </c>
      <c r="G1024" s="64">
        <v>21.778150503105412</v>
      </c>
      <c r="H1024" s="64">
        <v>34.865097542972393</v>
      </c>
      <c r="I1024" s="64">
        <v>34.866249342972395</v>
      </c>
      <c r="J1024" s="64">
        <v>21.776998703105413</v>
      </c>
      <c r="K1024" s="64">
        <v>21.778150503105412</v>
      </c>
    </row>
    <row r="1025" spans="1:11" ht="15">
      <c r="A1025" s="13">
        <v>72837</v>
      </c>
      <c r="B1025" s="63">
        <v>18.297024591466283</v>
      </c>
      <c r="C1025" s="63">
        <v>18.297024591466283</v>
      </c>
      <c r="D1025" s="63">
        <v>18.314188311466282</v>
      </c>
      <c r="E1025" s="64">
        <v>21.706292604654809</v>
      </c>
      <c r="F1025" s="64">
        <v>21.706292604654809</v>
      </c>
      <c r="G1025" s="64">
        <v>21.707444404654808</v>
      </c>
      <c r="H1025" s="64">
        <v>34.93773316285359</v>
      </c>
      <c r="I1025" s="64">
        <v>34.938884962853592</v>
      </c>
      <c r="J1025" s="64">
        <v>21.706292604654809</v>
      </c>
      <c r="K1025" s="64">
        <v>21.707444404654808</v>
      </c>
    </row>
    <row r="1026" spans="1:11" ht="15">
      <c r="A1026" s="13">
        <v>72867</v>
      </c>
      <c r="B1026" s="63">
        <v>18.581460343735991</v>
      </c>
      <c r="C1026" s="63">
        <v>18.581460343735991</v>
      </c>
      <c r="D1026" s="63">
        <v>18.59862406373599</v>
      </c>
      <c r="E1026" s="64">
        <v>22.116838506660354</v>
      </c>
      <c r="F1026" s="64">
        <v>22.116838506660354</v>
      </c>
      <c r="G1026" s="64">
        <v>22.117990306660353</v>
      </c>
      <c r="H1026" s="64">
        <v>35.010520106942877</v>
      </c>
      <c r="I1026" s="64">
        <v>35.01167190694288</v>
      </c>
      <c r="J1026" s="64">
        <v>22.116838506660354</v>
      </c>
      <c r="K1026" s="64">
        <v>22.117990306660353</v>
      </c>
    </row>
    <row r="1027" spans="1:11" ht="15">
      <c r="A1027" s="13">
        <v>72898</v>
      </c>
      <c r="B1027" s="63">
        <v>18.588147843735989</v>
      </c>
      <c r="C1027" s="63">
        <v>18.588147843735989</v>
      </c>
      <c r="D1027" s="63">
        <v>18.605311563735988</v>
      </c>
      <c r="E1027" s="64">
        <v>21.89666936385089</v>
      </c>
      <c r="F1027" s="64">
        <v>21.89666936385089</v>
      </c>
      <c r="G1027" s="64">
        <v>21.897821163850889</v>
      </c>
      <c r="H1027" s="64">
        <v>35.083458690499043</v>
      </c>
      <c r="I1027" s="64">
        <v>35.084610490499045</v>
      </c>
      <c r="J1027" s="64">
        <v>21.89666936385089</v>
      </c>
      <c r="K1027" s="64">
        <v>21.897821163850889</v>
      </c>
    </row>
    <row r="1028" spans="1:11" ht="15">
      <c r="A1028" s="13">
        <v>72929</v>
      </c>
      <c r="B1028" s="63">
        <v>18.585108071008669</v>
      </c>
      <c r="C1028" s="63">
        <v>18.585108071008669</v>
      </c>
      <c r="D1028" s="63">
        <v>18.602271791008668</v>
      </c>
      <c r="E1028" s="64">
        <v>21.869569590921088</v>
      </c>
      <c r="F1028" s="64">
        <v>21.869569590921049</v>
      </c>
      <c r="G1028" s="64">
        <v>21.870721390921048</v>
      </c>
      <c r="H1028" s="64">
        <v>35.156549229437488</v>
      </c>
      <c r="I1028" s="64">
        <v>35.15770102943749</v>
      </c>
      <c r="J1028" s="64">
        <v>21.869569590921088</v>
      </c>
      <c r="K1028" s="64">
        <v>21.870721390921087</v>
      </c>
    </row>
    <row r="1029" spans="1:11" ht="15">
      <c r="A1029" s="13">
        <v>72959</v>
      </c>
      <c r="B1029" s="63">
        <v>18.627781399334399</v>
      </c>
      <c r="C1029" s="63">
        <v>18.627781399334399</v>
      </c>
      <c r="D1029" s="63">
        <v>18.6363651193344</v>
      </c>
      <c r="E1029" s="64">
        <v>21.956076027273305</v>
      </c>
      <c r="F1029" s="64">
        <v>21.956076027273305</v>
      </c>
      <c r="G1029" s="64">
        <v>21.956252827273303</v>
      </c>
      <c r="H1029" s="64">
        <v>35.229792040332129</v>
      </c>
      <c r="I1029" s="64">
        <v>35.229968840332127</v>
      </c>
      <c r="J1029" s="64">
        <v>21.956076027273305</v>
      </c>
      <c r="K1029" s="64">
        <v>21.956252827273303</v>
      </c>
    </row>
    <row r="1030" spans="1:11" ht="15">
      <c r="A1030" s="13">
        <v>72990</v>
      </c>
      <c r="B1030" s="63">
        <v>18.630821172061708</v>
      </c>
      <c r="C1030" s="63">
        <v>18.630821172061708</v>
      </c>
      <c r="D1030" s="63">
        <v>18.639404892061709</v>
      </c>
      <c r="E1030" s="64">
        <v>22.008156929065095</v>
      </c>
      <c r="F1030" s="64">
        <v>22.008156929065095</v>
      </c>
      <c r="G1030" s="64">
        <v>22.008333729065093</v>
      </c>
      <c r="H1030" s="64">
        <v>35.303187440416224</v>
      </c>
      <c r="I1030" s="64">
        <v>35.303364240416222</v>
      </c>
      <c r="J1030" s="64">
        <v>22.008156929065095</v>
      </c>
      <c r="K1030" s="64">
        <v>22.008333729065093</v>
      </c>
    </row>
    <row r="1031" spans="1:11" ht="15">
      <c r="A1031" s="13">
        <v>73020</v>
      </c>
      <c r="B1031" s="63">
        <v>18.630821172061708</v>
      </c>
      <c r="C1031" s="63">
        <v>18.630821172061708</v>
      </c>
      <c r="D1031" s="63">
        <v>18.639404892061709</v>
      </c>
      <c r="E1031" s="64">
        <v>21.88325128475481</v>
      </c>
      <c r="F1031" s="64">
        <v>21.88325128475481</v>
      </c>
      <c r="G1031" s="64">
        <v>21.883428084754808</v>
      </c>
      <c r="H1031" s="64">
        <v>35.376735747583837</v>
      </c>
      <c r="I1031" s="64">
        <v>35.376912547583835</v>
      </c>
      <c r="J1031" s="64">
        <v>21.88325128475481</v>
      </c>
      <c r="K1031" s="64">
        <v>21.883428084754808</v>
      </c>
    </row>
    <row r="1032" spans="1:11" ht="15">
      <c r="A1032" s="13">
        <v>73051</v>
      </c>
      <c r="B1032" s="63">
        <v>18.532560637437591</v>
      </c>
      <c r="C1032" s="63">
        <v>18.532560637437591</v>
      </c>
      <c r="D1032" s="63">
        <v>18.541144357437592</v>
      </c>
      <c r="E1032" s="64">
        <v>21.853054232226775</v>
      </c>
      <c r="F1032" s="64">
        <v>21.853054232226775</v>
      </c>
      <c r="G1032" s="64">
        <v>21.853231032226773</v>
      </c>
      <c r="H1032" s="64">
        <v>35.021953142064802</v>
      </c>
      <c r="I1032" s="64">
        <v>35.022129942064801</v>
      </c>
      <c r="J1032" s="64">
        <v>21.853054232226775</v>
      </c>
      <c r="K1032" s="64">
        <v>21.853231032226773</v>
      </c>
    </row>
    <row r="1033" spans="1:11" ht="15">
      <c r="A1033" s="13">
        <v>73082</v>
      </c>
      <c r="B1033" s="63">
        <v>18.529520864710282</v>
      </c>
      <c r="C1033" s="63">
        <v>18.529520864710282</v>
      </c>
      <c r="D1033" s="63">
        <v>18.538104584710283</v>
      </c>
      <c r="E1033" s="64">
        <v>21.611680754046859</v>
      </c>
      <c r="F1033" s="64">
        <v>21.611680754046962</v>
      </c>
      <c r="G1033" s="64">
        <v>21.61185755404696</v>
      </c>
      <c r="H1033" s="64">
        <v>35.094915544444049</v>
      </c>
      <c r="I1033" s="64">
        <v>35.095092344444048</v>
      </c>
      <c r="J1033" s="64">
        <v>21.611680754046859</v>
      </c>
      <c r="K1033" s="64">
        <v>21.611857554046857</v>
      </c>
    </row>
    <row r="1034" spans="1:11" ht="15">
      <c r="A1034" s="13">
        <v>73110</v>
      </c>
      <c r="B1034" s="63">
        <v>18.526481091982923</v>
      </c>
      <c r="C1034" s="63">
        <v>18.526481091982923</v>
      </c>
      <c r="D1034" s="63">
        <v>18.535064811982924</v>
      </c>
      <c r="E1034" s="64">
        <v>21.798176150637012</v>
      </c>
      <c r="F1034" s="64">
        <v>21.798176150637012</v>
      </c>
      <c r="G1034" s="64">
        <v>21.79835295063701</v>
      </c>
      <c r="H1034" s="64">
        <v>35.168029951828252</v>
      </c>
      <c r="I1034" s="64">
        <v>35.168206751828251</v>
      </c>
      <c r="J1034" s="64">
        <v>21.798176150637012</v>
      </c>
      <c r="K1034" s="64">
        <v>21.79835295063701</v>
      </c>
    </row>
    <row r="1035" spans="1:11" ht="15">
      <c r="A1035" s="13">
        <v>73141</v>
      </c>
      <c r="B1035" s="63">
        <v>18.5364699601956</v>
      </c>
      <c r="C1035" s="63">
        <v>18.5364699601956</v>
      </c>
      <c r="D1035" s="63">
        <v>18.545053680195601</v>
      </c>
      <c r="E1035" s="64">
        <v>21.996502036318326</v>
      </c>
      <c r="F1035" s="64">
        <v>21.996502036318326</v>
      </c>
      <c r="G1035" s="64">
        <v>21.996678836318324</v>
      </c>
      <c r="H1035" s="64">
        <v>35.241296680894607</v>
      </c>
      <c r="I1035" s="64">
        <v>35.241473480894605</v>
      </c>
      <c r="J1035" s="64">
        <v>21.996502036318326</v>
      </c>
      <c r="K1035" s="64">
        <v>21.996678836318324</v>
      </c>
    </row>
    <row r="1036" spans="1:11" ht="15">
      <c r="A1036" s="13">
        <v>73171</v>
      </c>
      <c r="B1036" s="63">
        <v>18.5364699601956</v>
      </c>
      <c r="C1036" s="63">
        <v>18.5364699601956</v>
      </c>
      <c r="D1036" s="63">
        <v>18.553633680195599</v>
      </c>
      <c r="E1036" s="64">
        <v>22.072463226499575</v>
      </c>
      <c r="F1036" s="64">
        <v>22.072463226499575</v>
      </c>
      <c r="G1036" s="64">
        <v>22.073615026499574</v>
      </c>
      <c r="H1036" s="64">
        <v>35.314716048979804</v>
      </c>
      <c r="I1036" s="64">
        <v>35.315867848979806</v>
      </c>
      <c r="J1036" s="64">
        <v>22.072463226499575</v>
      </c>
      <c r="K1036" s="64">
        <v>22.073615026499574</v>
      </c>
    </row>
    <row r="1037" spans="1:11" ht="15">
      <c r="A1037" s="13">
        <v>73202</v>
      </c>
      <c r="B1037" s="63">
        <v>18.542549505650058</v>
      </c>
      <c r="C1037" s="63">
        <v>18.542549505650058</v>
      </c>
      <c r="D1037" s="63">
        <v>18.559713225650057</v>
      </c>
      <c r="E1037" s="64">
        <v>22.000739324453846</v>
      </c>
      <c r="F1037" s="64">
        <v>22.000739324453846</v>
      </c>
      <c r="G1037" s="64">
        <v>22.001891124453845</v>
      </c>
      <c r="H1037" s="64">
        <v>35.388288374081853</v>
      </c>
      <c r="I1037" s="64">
        <v>35.389440174081855</v>
      </c>
      <c r="J1037" s="64">
        <v>22.000739324453846</v>
      </c>
      <c r="K1037" s="64">
        <v>22.001891124453845</v>
      </c>
    </row>
    <row r="1038" spans="1:11" ht="15">
      <c r="A1038" s="13">
        <v>73232</v>
      </c>
      <c r="B1038" s="63">
        <v>18.83067559036698</v>
      </c>
      <c r="C1038" s="63">
        <v>18.83067559036698</v>
      </c>
      <c r="D1038" s="63">
        <v>18.847839310366979</v>
      </c>
      <c r="E1038" s="64">
        <v>22.416721792876579</v>
      </c>
      <c r="F1038" s="64">
        <v>22.416721792876579</v>
      </c>
      <c r="G1038" s="64">
        <v>22.417873592876578</v>
      </c>
      <c r="H1038" s="64">
        <v>35.462013974861193</v>
      </c>
      <c r="I1038" s="64">
        <v>35.463165774861196</v>
      </c>
      <c r="J1038" s="64">
        <v>22.416721792876579</v>
      </c>
      <c r="K1038" s="64">
        <v>22.417873592876578</v>
      </c>
    </row>
    <row r="1039" spans="1:11" ht="15">
      <c r="A1039" s="13">
        <v>73263</v>
      </c>
      <c r="B1039" s="63">
        <v>18.837363090366978</v>
      </c>
      <c r="C1039" s="63">
        <v>18.837363090366978</v>
      </c>
      <c r="D1039" s="63">
        <v>18.854526810366977</v>
      </c>
      <c r="E1039" s="64">
        <v>22.193499239281742</v>
      </c>
      <c r="F1039" s="64">
        <v>22.193499239281742</v>
      </c>
      <c r="G1039" s="64">
        <v>22.194651039281741</v>
      </c>
      <c r="H1039" s="64">
        <v>35.53589317064219</v>
      </c>
      <c r="I1039" s="64">
        <v>35.537044970642192</v>
      </c>
      <c r="J1039" s="64">
        <v>22.193499239281742</v>
      </c>
      <c r="K1039" s="64">
        <v>22.194651039281741</v>
      </c>
    </row>
    <row r="1040" spans="1:11" ht="15">
      <c r="A1040" s="13">
        <v>73294</v>
      </c>
      <c r="B1040" s="63">
        <v>18.834323317639658</v>
      </c>
      <c r="C1040" s="63">
        <v>18.834323317639658</v>
      </c>
      <c r="D1040" s="63">
        <v>18.851487037639657</v>
      </c>
      <c r="E1040" s="64">
        <v>22.166060198486903</v>
      </c>
      <c r="F1040" s="64">
        <v>22.166060198486861</v>
      </c>
      <c r="G1040" s="64">
        <v>22.167211998486859</v>
      </c>
      <c r="H1040" s="64">
        <v>35.609926281414261</v>
      </c>
      <c r="I1040" s="64">
        <v>35.611078081414263</v>
      </c>
      <c r="J1040" s="64">
        <v>22.166060198486903</v>
      </c>
      <c r="K1040" s="64">
        <v>22.167211998486902</v>
      </c>
    </row>
    <row r="1041" spans="1:11" ht="15">
      <c r="A1041" s="13">
        <v>73324</v>
      </c>
      <c r="B1041" s="63">
        <v>18.877799349255191</v>
      </c>
      <c r="C1041" s="63">
        <v>18.877799349255191</v>
      </c>
      <c r="D1041" s="63">
        <v>18.886383069255192</v>
      </c>
      <c r="E1041" s="64">
        <v>22.253923706299283</v>
      </c>
      <c r="F1041" s="64">
        <v>22.253923706299283</v>
      </c>
      <c r="G1041" s="64">
        <v>22.254100506299281</v>
      </c>
      <c r="H1041" s="64">
        <v>35.684113627833852</v>
      </c>
      <c r="I1041" s="64">
        <v>35.684290427833851</v>
      </c>
      <c r="J1041" s="64">
        <v>22.253923706299283</v>
      </c>
      <c r="K1041" s="64">
        <v>22.254100506299281</v>
      </c>
    </row>
    <row r="1042" spans="1:11" ht="15">
      <c r="A1042" s="13">
        <v>73355</v>
      </c>
      <c r="B1042" s="63">
        <v>18.880839121982504</v>
      </c>
      <c r="C1042" s="63">
        <v>18.880839121982504</v>
      </c>
      <c r="D1042" s="63">
        <v>18.889422841982505</v>
      </c>
      <c r="E1042" s="64">
        <v>22.306683143821154</v>
      </c>
      <c r="F1042" s="64">
        <v>22.306683143821154</v>
      </c>
      <c r="G1042" s="64">
        <v>22.306859943821152</v>
      </c>
      <c r="H1042" s="64">
        <v>35.758455531225245</v>
      </c>
      <c r="I1042" s="64">
        <v>35.758632331225243</v>
      </c>
      <c r="J1042" s="64">
        <v>22.306683143821154</v>
      </c>
      <c r="K1042" s="64">
        <v>22.306859943821152</v>
      </c>
    </row>
    <row r="1043" spans="1:11" ht="15">
      <c r="A1043" s="13">
        <v>73385</v>
      </c>
      <c r="B1043" s="63">
        <v>18.880839121982504</v>
      </c>
      <c r="C1043" s="63">
        <v>18.880839121982504</v>
      </c>
      <c r="D1043" s="63">
        <v>18.889422841982505</v>
      </c>
      <c r="E1043" s="64">
        <v>22.180081160185662</v>
      </c>
      <c r="F1043" s="64">
        <v>22.180081160185662</v>
      </c>
      <c r="G1043" s="64">
        <v>22.18025796018566</v>
      </c>
      <c r="H1043" s="64">
        <v>35.832952313582048</v>
      </c>
      <c r="I1043" s="64">
        <v>35.833129113582046</v>
      </c>
      <c r="J1043" s="64">
        <v>22.180081160185662</v>
      </c>
      <c r="K1043" s="64">
        <v>22.18025796018566</v>
      </c>
    </row>
    <row r="1044" spans="1:11" ht="15">
      <c r="A1044" s="10"/>
      <c r="B1044" s="63"/>
      <c r="C1044" s="63"/>
      <c r="D1044" s="63"/>
      <c r="E1044" s="64"/>
      <c r="F1044" s="64"/>
      <c r="G1044" s="64"/>
      <c r="H1044" s="64"/>
      <c r="I1044" s="64"/>
      <c r="J1044" s="64"/>
      <c r="K1044" s="64"/>
    </row>
    <row r="1045" spans="1:11" ht="15">
      <c r="A1045" s="3">
        <v>2015</v>
      </c>
      <c r="B1045" s="63">
        <f t="shared" ref="B1045:K1045" si="0">AVERAGE(B17:B23)</f>
        <v>2.2334814369267559</v>
      </c>
      <c r="C1045" s="63">
        <f t="shared" si="0"/>
        <v>2.2334814369267559</v>
      </c>
      <c r="D1045" s="63">
        <f t="shared" si="0"/>
        <v>2.2469680140696129</v>
      </c>
      <c r="E1045" s="63">
        <f t="shared" si="0"/>
        <v>3.3171853398184905</v>
      </c>
      <c r="F1045" s="63">
        <f t="shared" si="0"/>
        <v>4.0599999999999996</v>
      </c>
      <c r="G1045" s="63">
        <f t="shared" si="0"/>
        <v>4.0607339428571425</v>
      </c>
      <c r="H1045" s="63">
        <f t="shared" si="0"/>
        <v>5.6835781800827112</v>
      </c>
      <c r="I1045" s="63">
        <f t="shared" si="0"/>
        <v>5.6843121229398532</v>
      </c>
      <c r="J1045" s="63">
        <f t="shared" si="0"/>
        <v>3.3171853398184905</v>
      </c>
      <c r="K1045" s="63">
        <f t="shared" si="0"/>
        <v>3.3179192826756334</v>
      </c>
    </row>
    <row r="1046" spans="1:11" ht="15">
      <c r="A1046" s="3">
        <v>2016</v>
      </c>
      <c r="B1046" s="63">
        <f t="shared" ref="B1046:K1046" si="1">AVERAGE(B24:B35)</f>
        <v>2.640878119350301</v>
      </c>
      <c r="C1046" s="63">
        <f t="shared" si="1"/>
        <v>2.640878119350301</v>
      </c>
      <c r="D1046" s="63">
        <f t="shared" si="1"/>
        <v>2.653036839350301</v>
      </c>
      <c r="E1046" s="63">
        <f t="shared" si="1"/>
        <v>3.3619619511421814</v>
      </c>
      <c r="F1046" s="63">
        <f t="shared" si="1"/>
        <v>4.0214166666666662</v>
      </c>
      <c r="G1046" s="63">
        <f t="shared" si="1"/>
        <v>4.0219997166666666</v>
      </c>
      <c r="H1046" s="63">
        <f t="shared" si="1"/>
        <v>5.7971662410652725</v>
      </c>
      <c r="I1046" s="63">
        <f t="shared" si="1"/>
        <v>5.7977492910652719</v>
      </c>
      <c r="J1046" s="63">
        <f t="shared" si="1"/>
        <v>3.3619619511421814</v>
      </c>
      <c r="K1046" s="63">
        <f t="shared" si="1"/>
        <v>3.3625450011421818</v>
      </c>
    </row>
    <row r="1047" spans="1:11" ht="15">
      <c r="A1047" s="3">
        <v>2017</v>
      </c>
      <c r="B1047" s="63">
        <f t="shared" ref="B1047:K1047" si="2">AVERAGE(B36:B47)</f>
        <v>2.7329819539356799</v>
      </c>
      <c r="C1047" s="63">
        <f t="shared" si="2"/>
        <v>2.7329819539356799</v>
      </c>
      <c r="D1047" s="63">
        <f t="shared" si="2"/>
        <v>2.7451406739356798</v>
      </c>
      <c r="E1047" s="63">
        <f t="shared" si="2"/>
        <v>3.5132375000000002</v>
      </c>
      <c r="F1047" s="63">
        <f t="shared" si="2"/>
        <v>3.5132375000000002</v>
      </c>
      <c r="G1047" s="63">
        <f t="shared" si="2"/>
        <v>3.5138205500000006</v>
      </c>
      <c r="H1047" s="63">
        <f t="shared" si="2"/>
        <v>5.9437676301774323</v>
      </c>
      <c r="I1047" s="63">
        <f t="shared" si="2"/>
        <v>5.9443506801774326</v>
      </c>
      <c r="J1047" s="63">
        <f t="shared" si="2"/>
        <v>3.5132375000000002</v>
      </c>
      <c r="K1047" s="63">
        <f t="shared" si="2"/>
        <v>3.5138205500000006</v>
      </c>
    </row>
    <row r="1048" spans="1:11" ht="15">
      <c r="A1048" s="3">
        <v>2018</v>
      </c>
      <c r="B1048" s="63">
        <f t="shared" ref="B1048:K1048" si="3">AVERAGE(B48:B59)</f>
        <v>2.8547898628739437</v>
      </c>
      <c r="C1048" s="63">
        <f t="shared" si="3"/>
        <v>2.8547898628739437</v>
      </c>
      <c r="D1048" s="63">
        <f t="shared" si="3"/>
        <v>2.8669485828739436</v>
      </c>
      <c r="E1048" s="63">
        <f t="shared" si="3"/>
        <v>3.3498816694052755</v>
      </c>
      <c r="F1048" s="63">
        <f t="shared" si="3"/>
        <v>3.3498816694052755</v>
      </c>
      <c r="G1048" s="63">
        <f t="shared" si="3"/>
        <v>3.3504647194052768</v>
      </c>
      <c r="H1048" s="63">
        <f t="shared" si="3"/>
        <v>6.0940763422118449</v>
      </c>
      <c r="I1048" s="63">
        <f t="shared" si="3"/>
        <v>6.0946593922118453</v>
      </c>
      <c r="J1048" s="63">
        <f t="shared" si="3"/>
        <v>3.3498816694052755</v>
      </c>
      <c r="K1048" s="63">
        <f t="shared" si="3"/>
        <v>3.3504647194052768</v>
      </c>
    </row>
    <row r="1049" spans="1:11" ht="15">
      <c r="A1049" s="3">
        <v>2019</v>
      </c>
      <c r="B1049" s="63">
        <f t="shared" ref="B1049:K1049" si="4">AVERAGE(B60:B71)</f>
        <v>2.9488870134033029</v>
      </c>
      <c r="C1049" s="63">
        <f t="shared" si="4"/>
        <v>2.9488870134033029</v>
      </c>
      <c r="D1049" s="63">
        <f t="shared" si="4"/>
        <v>2.9610457334033033</v>
      </c>
      <c r="E1049" s="63">
        <f t="shared" si="4"/>
        <v>3.4520253116852082</v>
      </c>
      <c r="F1049" s="63">
        <f t="shared" si="4"/>
        <v>3.4520253116852082</v>
      </c>
      <c r="G1049" s="63">
        <f t="shared" si="4"/>
        <v>3.4526083616852081</v>
      </c>
      <c r="H1049" s="63">
        <f t="shared" si="4"/>
        <v>6.2481861296447576</v>
      </c>
      <c r="I1049" s="63">
        <f t="shared" si="4"/>
        <v>6.248769179644758</v>
      </c>
      <c r="J1049" s="63">
        <f t="shared" si="4"/>
        <v>3.4520253116852082</v>
      </c>
      <c r="K1049" s="63">
        <f t="shared" si="4"/>
        <v>3.452608361685209</v>
      </c>
    </row>
    <row r="1050" spans="1:11" ht="15">
      <c r="A1050" s="3">
        <v>2020</v>
      </c>
      <c r="B1050" s="63">
        <f t="shared" ref="B1050:K1050" si="5">AVERAGE(B72:B83)</f>
        <v>3.0247350815588319</v>
      </c>
      <c r="C1050" s="63">
        <f t="shared" si="5"/>
        <v>3.0247350815588319</v>
      </c>
      <c r="D1050" s="63">
        <f t="shared" si="5"/>
        <v>3.0368938015588314</v>
      </c>
      <c r="E1050" s="63">
        <f t="shared" si="5"/>
        <v>3.5770207337121449</v>
      </c>
      <c r="F1050" s="63">
        <f t="shared" si="5"/>
        <v>3.5770207337121449</v>
      </c>
      <c r="G1050" s="63">
        <f t="shared" si="5"/>
        <v>3.5776037837121462</v>
      </c>
      <c r="H1050" s="63">
        <f t="shared" si="5"/>
        <v>6.4061931158078691</v>
      </c>
      <c r="I1050" s="63">
        <f t="shared" si="5"/>
        <v>6.4067761658078695</v>
      </c>
      <c r="J1050" s="63">
        <f t="shared" si="5"/>
        <v>3.5770207337121449</v>
      </c>
      <c r="K1050" s="63">
        <f t="shared" si="5"/>
        <v>3.5776037837121462</v>
      </c>
    </row>
    <row r="1051" spans="1:11" ht="15">
      <c r="A1051" s="3">
        <v>2021</v>
      </c>
      <c r="B1051" s="63">
        <f t="shared" ref="B1051:K1051" si="6">AVERAGE(B84:B95)</f>
        <v>3.1064325513676407</v>
      </c>
      <c r="C1051" s="63">
        <f t="shared" si="6"/>
        <v>3.1064325513676407</v>
      </c>
      <c r="D1051" s="63">
        <f t="shared" si="6"/>
        <v>3.1185912713676411</v>
      </c>
      <c r="E1051" s="63">
        <f t="shared" si="6"/>
        <v>3.6596738604991579</v>
      </c>
      <c r="F1051" s="63">
        <f t="shared" si="6"/>
        <v>3.6596738604991579</v>
      </c>
      <c r="G1051" s="63">
        <f t="shared" si="6"/>
        <v>3.6602569104991574</v>
      </c>
      <c r="H1051" s="63">
        <f t="shared" si="6"/>
        <v>6.5681958548436254</v>
      </c>
      <c r="I1051" s="63">
        <f t="shared" si="6"/>
        <v>6.5687789048436258</v>
      </c>
      <c r="J1051" s="63">
        <f t="shared" si="6"/>
        <v>3.6596738604991579</v>
      </c>
      <c r="K1051" s="63">
        <f t="shared" si="6"/>
        <v>3.6602569104991574</v>
      </c>
    </row>
    <row r="1052" spans="1:11" ht="15">
      <c r="A1052" s="3">
        <v>2022</v>
      </c>
      <c r="B1052" s="63">
        <f t="shared" ref="B1052:K1052" si="7">AVERAGE(B96:B107)</f>
        <v>3.1893991177831627</v>
      </c>
      <c r="C1052" s="63">
        <f t="shared" si="7"/>
        <v>3.1893991177831627</v>
      </c>
      <c r="D1052" s="63">
        <f t="shared" si="7"/>
        <v>3.2015578377831631</v>
      </c>
      <c r="E1052" s="63">
        <f t="shared" si="7"/>
        <v>3.7376150265660875</v>
      </c>
      <c r="F1052" s="63">
        <f t="shared" si="7"/>
        <v>3.7376150265660875</v>
      </c>
      <c r="G1052" s="63">
        <f t="shared" si="7"/>
        <v>3.738198076566086</v>
      </c>
      <c r="H1052" s="63">
        <f t="shared" si="7"/>
        <v>6.7342953931766614</v>
      </c>
      <c r="I1052" s="63">
        <f t="shared" si="7"/>
        <v>6.7348784431766608</v>
      </c>
      <c r="J1052" s="63">
        <f t="shared" si="7"/>
        <v>3.7376150265660875</v>
      </c>
      <c r="K1052" s="63">
        <f t="shared" si="7"/>
        <v>3.738198076566086</v>
      </c>
    </row>
    <row r="1053" spans="1:11" ht="15">
      <c r="A1053" s="3">
        <v>2023</v>
      </c>
      <c r="B1053" s="63">
        <f t="shared" ref="B1053:K1053" si="8">AVERAGE(B108:B119)</f>
        <v>3.2733644753619546</v>
      </c>
      <c r="C1053" s="63">
        <f t="shared" si="8"/>
        <v>3.2733644753619546</v>
      </c>
      <c r="D1053" s="63">
        <f t="shared" si="8"/>
        <v>3.2855231953619537</v>
      </c>
      <c r="E1053" s="63">
        <f t="shared" si="8"/>
        <v>3.8185476469800363</v>
      </c>
      <c r="F1053" s="63">
        <f t="shared" si="8"/>
        <v>3.8185476469800363</v>
      </c>
      <c r="G1053" s="63">
        <f t="shared" si="8"/>
        <v>3.8191306969800363</v>
      </c>
      <c r="H1053" s="63">
        <f t="shared" si="8"/>
        <v>6.9045953325397749</v>
      </c>
      <c r="I1053" s="63">
        <f t="shared" si="8"/>
        <v>6.9051783825397761</v>
      </c>
      <c r="J1053" s="63">
        <f t="shared" si="8"/>
        <v>3.8185476469800363</v>
      </c>
      <c r="K1053" s="63">
        <f t="shared" si="8"/>
        <v>3.8191306969800363</v>
      </c>
    </row>
    <row r="1054" spans="1:11" ht="15">
      <c r="A1054" s="3">
        <v>2024</v>
      </c>
      <c r="B1054" s="63">
        <f t="shared" ref="B1054:K1054" si="9">AVERAGE(B120:B131)</f>
        <v>3.3566417773304926</v>
      </c>
      <c r="C1054" s="63">
        <f t="shared" si="9"/>
        <v>3.3566417773304926</v>
      </c>
      <c r="D1054" s="63">
        <f t="shared" si="9"/>
        <v>3.3688004973304921</v>
      </c>
      <c r="E1054" s="63">
        <f t="shared" si="9"/>
        <v>3.8828867580580231</v>
      </c>
      <c r="F1054" s="63">
        <f t="shared" si="9"/>
        <v>3.8828867580580231</v>
      </c>
      <c r="G1054" s="63">
        <f t="shared" si="9"/>
        <v>3.8834698080580226</v>
      </c>
      <c r="H1054" s="63">
        <f t="shared" si="9"/>
        <v>7.0792018945937336</v>
      </c>
      <c r="I1054" s="63">
        <f t="shared" si="9"/>
        <v>7.0797849445937331</v>
      </c>
      <c r="J1054" s="63">
        <f t="shared" si="9"/>
        <v>3.8828867580580231</v>
      </c>
      <c r="K1054" s="63">
        <f t="shared" si="9"/>
        <v>3.8834698080580226</v>
      </c>
    </row>
    <row r="1055" spans="1:11" ht="15">
      <c r="A1055" s="3">
        <v>2025</v>
      </c>
      <c r="B1055" s="63">
        <f t="shared" ref="B1055:K1055" si="10">AVERAGE(B132:B143)</f>
        <v>3.4431788955823639</v>
      </c>
      <c r="C1055" s="63">
        <f t="shared" si="10"/>
        <v>3.4431788955823639</v>
      </c>
      <c r="D1055" s="63">
        <f t="shared" si="10"/>
        <v>3.4553376155823634</v>
      </c>
      <c r="E1055" s="63">
        <f t="shared" si="10"/>
        <v>3.9477740215952717</v>
      </c>
      <c r="F1055" s="63">
        <f t="shared" si="10"/>
        <v>3.9477740215952717</v>
      </c>
      <c r="G1055" s="63">
        <f t="shared" si="10"/>
        <v>3.9483570715952703</v>
      </c>
      <c r="H1055" s="63">
        <f t="shared" si="10"/>
        <v>7.2582239871811929</v>
      </c>
      <c r="I1055" s="63">
        <f t="shared" si="10"/>
        <v>7.2588070371811924</v>
      </c>
      <c r="J1055" s="63">
        <f t="shared" si="10"/>
        <v>3.9477740215952717</v>
      </c>
      <c r="K1055" s="63">
        <f t="shared" si="10"/>
        <v>3.9483570715952703</v>
      </c>
    </row>
    <row r="1056" spans="1:11" ht="15">
      <c r="A1056" s="3">
        <v>2026</v>
      </c>
      <c r="B1056" s="63">
        <f t="shared" ref="B1056:K1056" si="11">AVERAGE(B144:B155)</f>
        <v>3.5199623617054745</v>
      </c>
      <c r="C1056" s="63">
        <f t="shared" si="11"/>
        <v>3.5199623617054745</v>
      </c>
      <c r="D1056" s="63">
        <f t="shared" si="11"/>
        <v>3.532121081705474</v>
      </c>
      <c r="E1056" s="63">
        <f t="shared" si="11"/>
        <v>4.0217049222047372</v>
      </c>
      <c r="F1056" s="63">
        <f t="shared" si="11"/>
        <v>4.0217049222047372</v>
      </c>
      <c r="G1056" s="63">
        <f t="shared" si="11"/>
        <v>4.0222879722047367</v>
      </c>
      <c r="H1056" s="63">
        <f t="shared" si="11"/>
        <v>7.4417732722561096</v>
      </c>
      <c r="I1056" s="63">
        <f t="shared" si="11"/>
        <v>7.4423563222561073</v>
      </c>
      <c r="J1056" s="63">
        <f t="shared" si="11"/>
        <v>4.0217049222047372</v>
      </c>
      <c r="K1056" s="63">
        <f t="shared" si="11"/>
        <v>4.0222879722047367</v>
      </c>
    </row>
    <row r="1057" spans="1:11" ht="15">
      <c r="A1057" s="3">
        <v>2027</v>
      </c>
      <c r="B1057" s="63">
        <f t="shared" ref="B1057:K1057" si="12">AVERAGE(B156:B167)</f>
        <v>3.59452028214278</v>
      </c>
      <c r="C1057" s="63">
        <f t="shared" si="12"/>
        <v>3.59452028214278</v>
      </c>
      <c r="D1057" s="63">
        <f t="shared" si="12"/>
        <v>3.6066790021427804</v>
      </c>
      <c r="E1057" s="63">
        <f t="shared" si="12"/>
        <v>4.0970157765282167</v>
      </c>
      <c r="F1057" s="63">
        <f t="shared" si="12"/>
        <v>4.0970157765282167</v>
      </c>
      <c r="G1057" s="63">
        <f t="shared" si="12"/>
        <v>4.0975988265282171</v>
      </c>
      <c r="H1057" s="63">
        <f t="shared" si="12"/>
        <v>7.6299642355309532</v>
      </c>
      <c r="I1057" s="63">
        <f t="shared" si="12"/>
        <v>7.6305472855309544</v>
      </c>
      <c r="J1057" s="63">
        <f t="shared" si="12"/>
        <v>4.0970157765282167</v>
      </c>
      <c r="K1057" s="63">
        <f t="shared" si="12"/>
        <v>4.0975988265282171</v>
      </c>
    </row>
    <row r="1058" spans="1:11" ht="15">
      <c r="A1058" s="3">
        <v>2028</v>
      </c>
      <c r="B1058" s="63">
        <f t="shared" ref="B1058:K1058" si="13">AVERAGE(B168:B179)</f>
        <v>3.6865171102177334</v>
      </c>
      <c r="C1058" s="63">
        <f t="shared" si="13"/>
        <v>3.6865171102177334</v>
      </c>
      <c r="D1058" s="63">
        <f t="shared" si="13"/>
        <v>3.6986758302177321</v>
      </c>
      <c r="E1058" s="63">
        <f t="shared" si="13"/>
        <v>4.18953686807615</v>
      </c>
      <c r="F1058" s="63">
        <f t="shared" si="13"/>
        <v>4.18953686807615</v>
      </c>
      <c r="G1058" s="63">
        <f t="shared" si="13"/>
        <v>4.1901199180761504</v>
      </c>
      <c r="H1058" s="63">
        <f t="shared" si="13"/>
        <v>7.8229142578852189</v>
      </c>
      <c r="I1058" s="63">
        <f t="shared" si="13"/>
        <v>7.8234973078852192</v>
      </c>
      <c r="J1058" s="63">
        <f t="shared" si="13"/>
        <v>4.18953686807615</v>
      </c>
      <c r="K1058" s="63">
        <f t="shared" si="13"/>
        <v>4.1901199180761504</v>
      </c>
    </row>
    <row r="1059" spans="1:11" ht="15">
      <c r="A1059" s="3">
        <v>2029</v>
      </c>
      <c r="B1059" s="63">
        <f t="shared" ref="B1059:K1059" si="14">AVERAGE(B180:B191)</f>
        <v>3.7820548236264595</v>
      </c>
      <c r="C1059" s="63">
        <f t="shared" si="14"/>
        <v>3.7820548236264595</v>
      </c>
      <c r="D1059" s="63">
        <f t="shared" si="14"/>
        <v>3.7942135436264599</v>
      </c>
      <c r="E1059" s="63">
        <f t="shared" si="14"/>
        <v>4.3054330033586128</v>
      </c>
      <c r="F1059" s="63">
        <f t="shared" si="14"/>
        <v>4.3054330033586128</v>
      </c>
      <c r="G1059" s="63">
        <f t="shared" si="14"/>
        <v>4.3060160533586123</v>
      </c>
      <c r="H1059" s="63">
        <f t="shared" si="14"/>
        <v>8.0207436885797172</v>
      </c>
      <c r="I1059" s="63">
        <f t="shared" si="14"/>
        <v>8.0213267385797167</v>
      </c>
      <c r="J1059" s="63">
        <f t="shared" si="14"/>
        <v>4.3054330033586128</v>
      </c>
      <c r="K1059" s="63">
        <f t="shared" si="14"/>
        <v>4.3060160533586123</v>
      </c>
    </row>
    <row r="1060" spans="1:11" ht="15">
      <c r="A1060" s="3">
        <v>2030</v>
      </c>
      <c r="B1060" s="63">
        <f t="shared" ref="B1060:K1060" si="15">AVERAGE(B192:B203)</f>
        <v>3.8812013283618243</v>
      </c>
      <c r="C1060" s="63">
        <f t="shared" si="15"/>
        <v>3.8812013283618243</v>
      </c>
      <c r="D1060" s="63">
        <f t="shared" si="15"/>
        <v>3.8933600483618238</v>
      </c>
      <c r="E1060" s="63">
        <f t="shared" si="15"/>
        <v>4.424622020546793</v>
      </c>
      <c r="F1060" s="63">
        <f t="shared" si="15"/>
        <v>4.424622020546793</v>
      </c>
      <c r="G1060" s="63">
        <f t="shared" si="15"/>
        <v>4.4252050705467916</v>
      </c>
      <c r="H1060" s="63">
        <f t="shared" si="15"/>
        <v>8.2235759203223591</v>
      </c>
      <c r="I1060" s="63">
        <f t="shared" si="15"/>
        <v>8.2241589703223603</v>
      </c>
      <c r="J1060" s="63">
        <f t="shared" si="15"/>
        <v>4.424622020546793</v>
      </c>
      <c r="K1060" s="63">
        <f t="shared" si="15"/>
        <v>4.4252050705467916</v>
      </c>
    </row>
    <row r="1061" spans="1:11" ht="15">
      <c r="A1061" s="3">
        <v>2031</v>
      </c>
      <c r="B1061" s="63">
        <f t="shared" ref="B1061:K1061" si="16">AVERAGE(B204:B215)</f>
        <v>3.9861572504099598</v>
      </c>
      <c r="C1061" s="63">
        <f t="shared" si="16"/>
        <v>3.9861572504099598</v>
      </c>
      <c r="D1061" s="63">
        <f t="shared" si="16"/>
        <v>3.9983159704099598</v>
      </c>
      <c r="E1061" s="63">
        <f t="shared" si="16"/>
        <v>4.5642834839542541</v>
      </c>
      <c r="F1061" s="63">
        <f t="shared" si="16"/>
        <v>4.5642834839542541</v>
      </c>
      <c r="G1061" s="63">
        <f t="shared" si="16"/>
        <v>4.5648665339542527</v>
      </c>
      <c r="H1061" s="63">
        <f t="shared" si="16"/>
        <v>8.4315374662322515</v>
      </c>
      <c r="I1061" s="63">
        <f t="shared" si="16"/>
        <v>8.432120516232251</v>
      </c>
      <c r="J1061" s="63">
        <f t="shared" si="16"/>
        <v>4.5642834839542541</v>
      </c>
      <c r="K1061" s="63">
        <f t="shared" si="16"/>
        <v>4.5648665339542527</v>
      </c>
    </row>
    <row r="1062" spans="1:11" ht="15">
      <c r="A1062" s="3">
        <v>2032</v>
      </c>
      <c r="B1062" s="63">
        <f t="shared" ref="B1062:K1062" si="17">AVERAGE(B216:B227)</f>
        <v>4.1071289790743046</v>
      </c>
      <c r="C1062" s="63">
        <f t="shared" si="17"/>
        <v>4.1071289790743046</v>
      </c>
      <c r="D1062" s="63">
        <f t="shared" si="17"/>
        <v>4.1192876990743059</v>
      </c>
      <c r="E1062" s="63">
        <f t="shared" si="17"/>
        <v>4.7087528425162857</v>
      </c>
      <c r="F1062" s="63">
        <f t="shared" si="17"/>
        <v>4.7087528425162866</v>
      </c>
      <c r="G1062" s="63">
        <f t="shared" si="17"/>
        <v>4.7093358925162851</v>
      </c>
      <c r="H1062" s="63">
        <f t="shared" si="17"/>
        <v>8.644758038750064</v>
      </c>
      <c r="I1062" s="63">
        <f t="shared" si="17"/>
        <v>8.6453410887500652</v>
      </c>
      <c r="J1062" s="63">
        <f t="shared" si="17"/>
        <v>4.7087528425162857</v>
      </c>
      <c r="K1062" s="63">
        <f t="shared" si="17"/>
        <v>4.7093358925162851</v>
      </c>
    </row>
    <row r="1063" spans="1:11" ht="15">
      <c r="A1063" s="3">
        <v>2033</v>
      </c>
      <c r="B1063" s="63">
        <f t="shared" ref="B1063:K1063" si="18">AVERAGE(B228:B239)</f>
        <v>4.2320205732434379</v>
      </c>
      <c r="C1063" s="63">
        <f t="shared" si="18"/>
        <v>4.2320205732434379</v>
      </c>
      <c r="D1063" s="63">
        <f t="shared" si="18"/>
        <v>4.2441792932434383</v>
      </c>
      <c r="E1063" s="63">
        <f t="shared" si="18"/>
        <v>4.8575401489365904</v>
      </c>
      <c r="F1063" s="63">
        <f t="shared" si="18"/>
        <v>4.8575401489365904</v>
      </c>
      <c r="G1063" s="63">
        <f t="shared" si="18"/>
        <v>4.8581231989365898</v>
      </c>
      <c r="H1063" s="63">
        <f t="shared" si="18"/>
        <v>8.8633706305439492</v>
      </c>
      <c r="I1063" s="63">
        <f t="shared" si="18"/>
        <v>8.8639536805439487</v>
      </c>
      <c r="J1063" s="63">
        <f t="shared" si="18"/>
        <v>4.8575401489365904</v>
      </c>
      <c r="K1063" s="63">
        <f t="shared" si="18"/>
        <v>4.8581231989365898</v>
      </c>
    </row>
    <row r="1064" spans="1:11" ht="15">
      <c r="A1064" s="3">
        <v>2034</v>
      </c>
      <c r="B1064" s="63">
        <f t="shared" ref="B1064:K1064" si="19">AVERAGE(B240:B251)</f>
        <v>4.3617050069959147</v>
      </c>
      <c r="C1064" s="63">
        <f t="shared" si="19"/>
        <v>4.3617050069959147</v>
      </c>
      <c r="D1064" s="63">
        <f t="shared" si="19"/>
        <v>4.3738637269959142</v>
      </c>
      <c r="E1064" s="63">
        <f t="shared" si="19"/>
        <v>5.0112619911302669</v>
      </c>
      <c r="F1064" s="63">
        <f t="shared" si="19"/>
        <v>5.0112619911302669</v>
      </c>
      <c r="G1064" s="63">
        <f t="shared" si="19"/>
        <v>5.0118450411302664</v>
      </c>
      <c r="H1064" s="63">
        <f t="shared" si="19"/>
        <v>9.0875115974614147</v>
      </c>
      <c r="I1064" s="63">
        <f t="shared" si="19"/>
        <v>9.0880946474614159</v>
      </c>
      <c r="J1064" s="63">
        <f t="shared" si="19"/>
        <v>5.0112619911302669</v>
      </c>
      <c r="K1064" s="63">
        <f t="shared" si="19"/>
        <v>5.0118450411302664</v>
      </c>
    </row>
    <row r="1065" spans="1:11" ht="15">
      <c r="A1065" s="3">
        <v>2035</v>
      </c>
      <c r="B1065" s="63">
        <f t="shared" ref="B1065:K1065" si="20">AVERAGE(B252:B263)</f>
        <v>4.4858125406505787</v>
      </c>
      <c r="C1065" s="63">
        <f t="shared" si="20"/>
        <v>4.4858125406505787</v>
      </c>
      <c r="D1065" s="63">
        <f t="shared" si="20"/>
        <v>4.4979712606505799</v>
      </c>
      <c r="E1065" s="63">
        <f t="shared" si="20"/>
        <v>5.1507099657236841</v>
      </c>
      <c r="F1065" s="63">
        <f t="shared" si="20"/>
        <v>5.1507099657236841</v>
      </c>
      <c r="G1065" s="63">
        <f t="shared" si="20"/>
        <v>5.1512930157236836</v>
      </c>
      <c r="H1065" s="63">
        <f t="shared" si="20"/>
        <v>9.3173207435789624</v>
      </c>
      <c r="I1065" s="63">
        <f t="shared" si="20"/>
        <v>9.3179037935789637</v>
      </c>
      <c r="J1065" s="63">
        <f t="shared" si="20"/>
        <v>5.1507099657236841</v>
      </c>
      <c r="K1065" s="63">
        <f t="shared" si="20"/>
        <v>5.1512930157236836</v>
      </c>
    </row>
    <row r="1066" spans="1:11" ht="15">
      <c r="A1066" s="3">
        <v>2036</v>
      </c>
      <c r="B1066" s="63">
        <f t="shared" ref="B1066:K1066" si="21">AVERAGE(B264:B275)</f>
        <v>4.6092013425362204</v>
      </c>
      <c r="C1066" s="63">
        <f t="shared" si="21"/>
        <v>4.6092013425362204</v>
      </c>
      <c r="D1066" s="63">
        <f t="shared" si="21"/>
        <v>4.6213600625362208</v>
      </c>
      <c r="E1066" s="63">
        <f t="shared" si="21"/>
        <v>5.29432254901901</v>
      </c>
      <c r="F1066" s="63">
        <f t="shared" si="21"/>
        <v>5.29432254901901</v>
      </c>
      <c r="G1066" s="63">
        <f t="shared" si="21"/>
        <v>5.2949055990190095</v>
      </c>
      <c r="H1066" s="63">
        <f t="shared" si="21"/>
        <v>9.5529414084024769</v>
      </c>
      <c r="I1066" s="63">
        <f t="shared" si="21"/>
        <v>9.5535244584024763</v>
      </c>
      <c r="J1066" s="63">
        <f t="shared" si="21"/>
        <v>5.29432254901901</v>
      </c>
      <c r="K1066" s="63">
        <f t="shared" si="21"/>
        <v>5.2949055990190095</v>
      </c>
    </row>
    <row r="1067" spans="1:11" ht="15">
      <c r="A1067" s="3">
        <v>2037</v>
      </c>
      <c r="B1067" s="63">
        <f t="shared" ref="B1067:K1067" si="22">AVERAGE(B276:B287)</f>
        <v>4.7357514018640936</v>
      </c>
      <c r="C1067" s="63">
        <f t="shared" si="22"/>
        <v>4.7357514018640936</v>
      </c>
      <c r="D1067" s="63">
        <f t="shared" si="22"/>
        <v>4.7479101218640931</v>
      </c>
      <c r="E1067" s="63">
        <f t="shared" si="22"/>
        <v>5.4418142453552258</v>
      </c>
      <c r="F1067" s="63">
        <f t="shared" si="22"/>
        <v>5.4418142453552258</v>
      </c>
      <c r="G1067" s="63">
        <f t="shared" si="22"/>
        <v>5.4423972953552244</v>
      </c>
      <c r="H1067" s="63">
        <f t="shared" si="22"/>
        <v>9.7945205562727509</v>
      </c>
      <c r="I1067" s="63">
        <f t="shared" si="22"/>
        <v>9.7951036062727521</v>
      </c>
      <c r="J1067" s="63">
        <f t="shared" si="22"/>
        <v>5.4418142453552258</v>
      </c>
      <c r="K1067" s="63">
        <f t="shared" si="22"/>
        <v>5.4423972953552244</v>
      </c>
    </row>
    <row r="1068" spans="1:11" ht="15">
      <c r="A1068" s="3">
        <v>2038</v>
      </c>
      <c r="B1068" s="63">
        <f t="shared" ref="B1068:K1068" si="23">AVERAGE(B288:B299)</f>
        <v>4.8654369062154856</v>
      </c>
      <c r="C1068" s="63">
        <f t="shared" si="23"/>
        <v>4.8654369062154856</v>
      </c>
      <c r="D1068" s="63">
        <f t="shared" si="23"/>
        <v>4.8775956262154851</v>
      </c>
      <c r="E1068" s="63">
        <f t="shared" si="23"/>
        <v>5.5944152068362039</v>
      </c>
      <c r="F1068" s="63">
        <f t="shared" si="23"/>
        <v>5.5944152068362039</v>
      </c>
      <c r="G1068" s="63">
        <f t="shared" si="23"/>
        <v>5.5949982568362051</v>
      </c>
      <c r="H1068" s="63">
        <f t="shared" si="23"/>
        <v>10.042208868032004</v>
      </c>
      <c r="I1068" s="63">
        <f t="shared" si="23"/>
        <v>10.042791918032005</v>
      </c>
      <c r="J1068" s="63">
        <f t="shared" si="23"/>
        <v>5.5944152068362039</v>
      </c>
      <c r="K1068" s="63">
        <f t="shared" si="23"/>
        <v>5.5949982568362051</v>
      </c>
    </row>
    <row r="1069" spans="1:11" ht="15">
      <c r="A1069" s="3">
        <v>2039</v>
      </c>
      <c r="B1069" s="63">
        <f t="shared" ref="B1069:K1069" si="24">AVERAGE(B300:B311)</f>
        <v>5.0003184366534486</v>
      </c>
      <c r="C1069" s="63">
        <f t="shared" si="24"/>
        <v>5.0003184366534486</v>
      </c>
      <c r="D1069" s="63">
        <f t="shared" si="24"/>
        <v>5.0124771566534481</v>
      </c>
      <c r="E1069" s="63">
        <f t="shared" si="24"/>
        <v>5.7491968418494359</v>
      </c>
      <c r="F1069" s="63">
        <f t="shared" si="24"/>
        <v>5.7491968418494359</v>
      </c>
      <c r="G1069" s="63">
        <f t="shared" si="24"/>
        <v>5.7497798918494354</v>
      </c>
      <c r="H1069" s="63">
        <f t="shared" si="24"/>
        <v>10.296160835008447</v>
      </c>
      <c r="I1069" s="63">
        <f t="shared" si="24"/>
        <v>10.296743885008446</v>
      </c>
      <c r="J1069" s="63">
        <f t="shared" si="24"/>
        <v>5.7491968418494359</v>
      </c>
      <c r="K1069" s="63">
        <f t="shared" si="24"/>
        <v>5.7497798918494354</v>
      </c>
    </row>
    <row r="1070" spans="1:11" ht="15">
      <c r="A1070" s="3">
        <v>2040</v>
      </c>
      <c r="B1070" s="63">
        <f t="shared" ref="B1070:K1070" si="25">AVERAGE(B312:B323)</f>
        <v>5.1364342227420279</v>
      </c>
      <c r="C1070" s="63">
        <f t="shared" si="25"/>
        <v>5.1364342227420279</v>
      </c>
      <c r="D1070" s="63">
        <f t="shared" si="25"/>
        <v>5.1485929427420274</v>
      </c>
      <c r="E1070" s="63">
        <f t="shared" si="25"/>
        <v>5.9101151143524655</v>
      </c>
      <c r="F1070" s="63">
        <f t="shared" si="25"/>
        <v>5.9101151143524655</v>
      </c>
      <c r="G1070" s="63">
        <f t="shared" si="25"/>
        <v>5.910698164352465</v>
      </c>
      <c r="H1070" s="63">
        <f t="shared" si="25"/>
        <v>10.55653485537759</v>
      </c>
      <c r="I1070" s="63">
        <f t="shared" si="25"/>
        <v>10.55711790537759</v>
      </c>
      <c r="J1070" s="63">
        <f t="shared" si="25"/>
        <v>5.9101151143524655</v>
      </c>
      <c r="K1070" s="63">
        <f t="shared" si="25"/>
        <v>5.910698164352465</v>
      </c>
    </row>
    <row r="1071" spans="1:11" ht="15">
      <c r="A1071" s="3">
        <v>2041</v>
      </c>
      <c r="B1071" s="63">
        <f t="shared" ref="B1071:K1071" si="26">AVERAGE(B324:B335)</f>
        <v>5.2762897590214761</v>
      </c>
      <c r="C1071" s="63">
        <f t="shared" si="26"/>
        <v>5.2762897590214761</v>
      </c>
      <c r="D1071" s="63">
        <f t="shared" si="26"/>
        <v>5.2884484790214765</v>
      </c>
      <c r="E1071" s="63">
        <f t="shared" si="26"/>
        <v>6.0755368917332744</v>
      </c>
      <c r="F1071" s="63">
        <f t="shared" si="26"/>
        <v>6.0755368917332744</v>
      </c>
      <c r="G1071" s="63">
        <f t="shared" si="26"/>
        <v>6.0761199417332739</v>
      </c>
      <c r="H1071" s="63">
        <f t="shared" si="26"/>
        <v>10.823493332960403</v>
      </c>
      <c r="I1071" s="63">
        <f t="shared" si="26"/>
        <v>10.824076382960405</v>
      </c>
      <c r="J1071" s="63">
        <f t="shared" si="26"/>
        <v>6.0755368917332744</v>
      </c>
      <c r="K1071" s="63">
        <f t="shared" si="26"/>
        <v>6.0761199417332739</v>
      </c>
    </row>
    <row r="1072" spans="1:11" ht="15">
      <c r="A1072" s="3">
        <v>2042</v>
      </c>
      <c r="B1072" s="63">
        <f t="shared" ref="B1072:K1072" si="27">AVERAGE(B336:B347)</f>
        <v>5.4199888338707822</v>
      </c>
      <c r="C1072" s="63">
        <f t="shared" si="27"/>
        <v>5.4199888338707822</v>
      </c>
      <c r="D1072" s="63">
        <f t="shared" si="27"/>
        <v>5.4321475538707835</v>
      </c>
      <c r="E1072" s="63">
        <f t="shared" si="27"/>
        <v>6.2455882104966713</v>
      </c>
      <c r="F1072" s="63">
        <f t="shared" si="27"/>
        <v>6.2455882104966713</v>
      </c>
      <c r="G1072" s="63">
        <f t="shared" si="27"/>
        <v>6.2461712604966708</v>
      </c>
      <c r="H1072" s="63">
        <f t="shared" si="27"/>
        <v>11.0972027785199</v>
      </c>
      <c r="I1072" s="63">
        <f t="shared" si="27"/>
        <v>11.097785828519898</v>
      </c>
      <c r="J1072" s="63">
        <f t="shared" si="27"/>
        <v>6.2455882104966713</v>
      </c>
      <c r="K1072" s="63">
        <f t="shared" si="27"/>
        <v>6.2461712604966708</v>
      </c>
    </row>
    <row r="1073" spans="1:11" ht="15">
      <c r="A1073" s="3">
        <v>2043</v>
      </c>
      <c r="B1073" s="63">
        <f t="shared" ref="B1073:K1073" si="28">AVERAGE(B348:B359)</f>
        <v>5.567638146466126</v>
      </c>
      <c r="C1073" s="63">
        <f t="shared" si="28"/>
        <v>5.567638146466126</v>
      </c>
      <c r="D1073" s="63">
        <f t="shared" si="28"/>
        <v>5.5797968664661255</v>
      </c>
      <c r="E1073" s="63">
        <f t="shared" si="28"/>
        <v>6.4203986344483228</v>
      </c>
      <c r="F1073" s="63">
        <f t="shared" si="28"/>
        <v>6.4203986344483228</v>
      </c>
      <c r="G1073" s="63">
        <f t="shared" si="28"/>
        <v>6.4209816844483214</v>
      </c>
      <c r="H1073" s="63">
        <f t="shared" si="28"/>
        <v>11.377833913619346</v>
      </c>
      <c r="I1073" s="63">
        <f t="shared" si="28"/>
        <v>11.378416963619344</v>
      </c>
      <c r="J1073" s="63">
        <f t="shared" si="28"/>
        <v>6.4203986344483228</v>
      </c>
      <c r="K1073" s="63">
        <f t="shared" si="28"/>
        <v>6.4209816844483205</v>
      </c>
    </row>
    <row r="1074" spans="1:11" ht="15">
      <c r="A1074" s="3">
        <v>2044</v>
      </c>
      <c r="B1074" s="63">
        <f t="shared" ref="B1074:K1074" si="29">AVERAGE(B360:B371)</f>
        <v>5.7193473892947466</v>
      </c>
      <c r="C1074" s="63">
        <f t="shared" si="29"/>
        <v>5.7193473892947466</v>
      </c>
      <c r="D1074" s="63">
        <f t="shared" si="29"/>
        <v>5.7315061092947461</v>
      </c>
      <c r="E1074" s="63">
        <f t="shared" si="29"/>
        <v>6.6001013534110911</v>
      </c>
      <c r="F1074" s="63">
        <f t="shared" si="29"/>
        <v>6.6001013534110911</v>
      </c>
      <c r="G1074" s="63">
        <f t="shared" si="29"/>
        <v>6.6006844034110905</v>
      </c>
      <c r="H1074" s="63">
        <f t="shared" si="29"/>
        <v>11.665561777106925</v>
      </c>
      <c r="I1074" s="63">
        <f t="shared" si="29"/>
        <v>11.666144827106928</v>
      </c>
      <c r="J1074" s="63">
        <f t="shared" si="29"/>
        <v>6.6001013534110911</v>
      </c>
      <c r="K1074" s="63">
        <f t="shared" si="29"/>
        <v>6.6006844034110905</v>
      </c>
    </row>
    <row r="1075" spans="1:11" ht="15">
      <c r="A1075" s="3">
        <v>2045</v>
      </c>
      <c r="B1075" s="63">
        <f t="shared" ref="B1075:K1075" si="30">AVERAGE(B372:B383)</f>
        <v>5.8752293330330465</v>
      </c>
      <c r="C1075" s="63">
        <f t="shared" si="30"/>
        <v>5.8752293330330465</v>
      </c>
      <c r="D1075" s="63">
        <f t="shared" si="30"/>
        <v>5.8873880530330469</v>
      </c>
      <c r="E1075" s="63">
        <f t="shared" si="30"/>
        <v>6.7848332847041144</v>
      </c>
      <c r="F1075" s="63">
        <f t="shared" si="30"/>
        <v>6.7848332847041144</v>
      </c>
      <c r="G1075" s="63">
        <f t="shared" si="30"/>
        <v>6.7854163347041165</v>
      </c>
      <c r="H1075" s="63">
        <f t="shared" si="30"/>
        <v>11.960565834293204</v>
      </c>
      <c r="I1075" s="63">
        <f t="shared" si="30"/>
        <v>11.961148884293204</v>
      </c>
      <c r="J1075" s="63">
        <f t="shared" si="30"/>
        <v>6.7848332847041144</v>
      </c>
      <c r="K1075" s="63">
        <f t="shared" si="30"/>
        <v>6.7854163347041165</v>
      </c>
    </row>
    <row r="1076" spans="1:11" ht="15">
      <c r="A1076" s="3">
        <v>2046</v>
      </c>
      <c r="B1076" s="63">
        <f t="shared" ref="B1076:K1076" si="31">AVERAGE(B384:B395)</f>
        <v>6.0353999138573897</v>
      </c>
      <c r="C1076" s="63">
        <f t="shared" si="31"/>
        <v>6.0353999138573897</v>
      </c>
      <c r="D1076" s="63">
        <f t="shared" si="31"/>
        <v>6.047558633857391</v>
      </c>
      <c r="E1076" s="63">
        <f t="shared" si="31"/>
        <v>6.9747351774619029</v>
      </c>
      <c r="F1076" s="63">
        <f t="shared" si="31"/>
        <v>6.9747351774619029</v>
      </c>
      <c r="G1076" s="63">
        <f t="shared" si="31"/>
        <v>6.9753182274619023</v>
      </c>
      <c r="H1076" s="63">
        <f t="shared" si="31"/>
        <v>12.263030088889534</v>
      </c>
      <c r="I1076" s="63">
        <f t="shared" si="31"/>
        <v>12.263613138889534</v>
      </c>
      <c r="J1076" s="63">
        <f t="shared" si="31"/>
        <v>6.9747351774619029</v>
      </c>
      <c r="K1076" s="63">
        <f t="shared" si="31"/>
        <v>6.9753182274619023</v>
      </c>
    </row>
    <row r="1077" spans="1:11" ht="15">
      <c r="A1077" s="3">
        <v>2047</v>
      </c>
      <c r="B1077" s="63">
        <f t="shared" ref="B1077:K1077" si="32">AVERAGE(B396:B407)</f>
        <v>6.1999783232580397</v>
      </c>
      <c r="C1077" s="63">
        <f t="shared" si="32"/>
        <v>6.1999783232580397</v>
      </c>
      <c r="D1077" s="63">
        <f t="shared" si="32"/>
        <v>6.2121370432580401</v>
      </c>
      <c r="E1077" s="63">
        <f t="shared" si="32"/>
        <v>7.1699517198729481</v>
      </c>
      <c r="F1077" s="63">
        <f t="shared" si="32"/>
        <v>7.1699517198729481</v>
      </c>
      <c r="G1077" s="63">
        <f t="shared" si="32"/>
        <v>7.1705347698729485</v>
      </c>
      <c r="H1077" s="63">
        <f t="shared" si="32"/>
        <v>12.573143197777201</v>
      </c>
      <c r="I1077" s="63">
        <f t="shared" si="32"/>
        <v>12.573726247777204</v>
      </c>
      <c r="J1077" s="63">
        <f t="shared" si="32"/>
        <v>7.1699517198729481</v>
      </c>
      <c r="K1077" s="63">
        <f t="shared" si="32"/>
        <v>7.1705347698729485</v>
      </c>
    </row>
    <row r="1078" spans="1:11" ht="15">
      <c r="A1078" s="3">
        <v>2048</v>
      </c>
      <c r="B1078" s="63">
        <f t="shared" ref="B1078:K1078" si="33">AVERAGE(B408:B419)</f>
        <v>6.3690871004287422</v>
      </c>
      <c r="C1078" s="63">
        <f t="shared" si="33"/>
        <v>6.3690871004287422</v>
      </c>
      <c r="D1078" s="63">
        <f t="shared" si="33"/>
        <v>6.3812458204287426</v>
      </c>
      <c r="E1078" s="63">
        <f t="shared" si="33"/>
        <v>7.3706316494195745</v>
      </c>
      <c r="F1078" s="63">
        <f t="shared" si="33"/>
        <v>7.3706316494195745</v>
      </c>
      <c r="G1078" s="63">
        <f t="shared" si="33"/>
        <v>7.3712146994195749</v>
      </c>
      <c r="H1078" s="63">
        <f t="shared" si="33"/>
        <v>12.891098588678936</v>
      </c>
      <c r="I1078" s="63">
        <f t="shared" si="33"/>
        <v>12.891681638678937</v>
      </c>
      <c r="J1078" s="63">
        <f t="shared" si="33"/>
        <v>7.3706316494195745</v>
      </c>
      <c r="K1078" s="63">
        <f t="shared" si="33"/>
        <v>7.3712146994195749</v>
      </c>
    </row>
    <row r="1079" spans="1:11" ht="15">
      <c r="A1079" s="3">
        <v>2049</v>
      </c>
      <c r="B1079" s="63">
        <f t="shared" ref="B1079:K1079" si="34">AVERAGE(B420:B431)</f>
        <v>6.5428522273066454</v>
      </c>
      <c r="C1079" s="63">
        <f t="shared" si="34"/>
        <v>6.5428522273066454</v>
      </c>
      <c r="D1079" s="63">
        <f t="shared" si="34"/>
        <v>6.5550109473066458</v>
      </c>
      <c r="E1079" s="63">
        <f t="shared" si="34"/>
        <v>7.5769278662029897</v>
      </c>
      <c r="F1079" s="63">
        <f t="shared" si="34"/>
        <v>7.5769278662029897</v>
      </c>
      <c r="G1079" s="63">
        <f t="shared" si="34"/>
        <v>7.5775109162029919</v>
      </c>
      <c r="H1079" s="63">
        <f t="shared" si="34"/>
        <v>13.217094580806098</v>
      </c>
      <c r="I1079" s="63">
        <f t="shared" si="34"/>
        <v>13.217677630806094</v>
      </c>
      <c r="J1079" s="63">
        <f t="shared" si="34"/>
        <v>7.5769278662029897</v>
      </c>
      <c r="K1079" s="63">
        <f t="shared" si="34"/>
        <v>7.5775109162029919</v>
      </c>
    </row>
    <row r="1080" spans="1:11" ht="15">
      <c r="A1080" s="3">
        <v>2050</v>
      </c>
      <c r="B1080" s="63">
        <f t="shared" ref="B1080:K1080" si="35">AVERAGE(B432:B443)</f>
        <v>6.7214032263393007</v>
      </c>
      <c r="C1080" s="63">
        <f t="shared" si="35"/>
        <v>6.7214032263393007</v>
      </c>
      <c r="D1080" s="63">
        <f t="shared" si="35"/>
        <v>6.7335619463393011</v>
      </c>
      <c r="E1080" s="63">
        <f t="shared" si="35"/>
        <v>7.7889975494399044</v>
      </c>
      <c r="F1080" s="63">
        <f t="shared" si="35"/>
        <v>7.7889975494399044</v>
      </c>
      <c r="G1080" s="63">
        <f t="shared" si="35"/>
        <v>7.7895805994399057</v>
      </c>
      <c r="H1080" s="63">
        <f t="shared" si="35"/>
        <v>13.551334508556884</v>
      </c>
      <c r="I1080" s="63">
        <f t="shared" si="35"/>
        <v>13.551917558556887</v>
      </c>
      <c r="J1080" s="63">
        <f t="shared" si="35"/>
        <v>7.7889975494399044</v>
      </c>
      <c r="K1080" s="63">
        <f t="shared" si="35"/>
        <v>7.7895805994399057</v>
      </c>
    </row>
    <row r="1081" spans="1:11" ht="15">
      <c r="A1081" s="3">
        <v>2051</v>
      </c>
      <c r="B1081" s="63">
        <f t="shared" ref="B1081:K1081" si="36">AVERAGE(B444:B455)</f>
        <v>6.9048732610579053</v>
      </c>
      <c r="C1081" s="63">
        <f t="shared" si="36"/>
        <v>6.9048732610579053</v>
      </c>
      <c r="D1081" s="63">
        <f t="shared" si="36"/>
        <v>6.917031981057904</v>
      </c>
      <c r="E1081" s="63">
        <f t="shared" si="36"/>
        <v>8.0070022772194651</v>
      </c>
      <c r="F1081" s="63">
        <f t="shared" si="36"/>
        <v>8.0070022772194651</v>
      </c>
      <c r="G1081" s="63">
        <f t="shared" si="36"/>
        <v>8.0075853272194664</v>
      </c>
      <c r="H1081" s="63">
        <f t="shared" si="36"/>
        <v>13.894026848342699</v>
      </c>
      <c r="I1081" s="63">
        <f t="shared" si="36"/>
        <v>13.894609898342702</v>
      </c>
      <c r="J1081" s="63">
        <f t="shared" si="36"/>
        <v>8.0070022772194651</v>
      </c>
      <c r="K1081" s="63">
        <f t="shared" si="36"/>
        <v>8.0075853272194664</v>
      </c>
    </row>
    <row r="1082" spans="1:11" ht="15">
      <c r="A1082" s="3">
        <v>2052</v>
      </c>
      <c r="B1082" s="63">
        <f t="shared" ref="B1082:K1082" si="37">AVERAGE(B456:B467)</f>
        <v>7.093399239538094</v>
      </c>
      <c r="C1082" s="63">
        <f t="shared" si="37"/>
        <v>7.093399239538094</v>
      </c>
      <c r="D1082" s="63">
        <f t="shared" si="37"/>
        <v>7.1055579595380935</v>
      </c>
      <c r="E1082" s="63">
        <f t="shared" si="37"/>
        <v>8.2311081496117655</v>
      </c>
      <c r="F1082" s="63">
        <f t="shared" si="37"/>
        <v>8.2311081496117655</v>
      </c>
      <c r="G1082" s="63">
        <f t="shared" si="37"/>
        <v>8.231691199611765</v>
      </c>
      <c r="H1082" s="63">
        <f t="shared" si="37"/>
        <v>14.24538534862169</v>
      </c>
      <c r="I1082" s="63">
        <f t="shared" si="37"/>
        <v>14.245968398621693</v>
      </c>
      <c r="J1082" s="63">
        <f t="shared" si="37"/>
        <v>8.2311081496117655</v>
      </c>
      <c r="K1082" s="63">
        <f t="shared" si="37"/>
        <v>8.231691199611765</v>
      </c>
    </row>
    <row r="1083" spans="1:11" ht="15">
      <c r="A1083" s="3">
        <v>2053</v>
      </c>
      <c r="B1083" s="63">
        <f t="shared" ref="B1083:K1083" si="38">AVERAGE(B468:B479)</f>
        <v>7.2871219208321234</v>
      </c>
      <c r="C1083" s="63">
        <f t="shared" si="38"/>
        <v>7.2871219208321234</v>
      </c>
      <c r="D1083" s="63">
        <f t="shared" si="38"/>
        <v>7.299280640832122</v>
      </c>
      <c r="E1083" s="63">
        <f t="shared" si="38"/>
        <v>8.4614859152217079</v>
      </c>
      <c r="F1083" s="63">
        <f t="shared" si="38"/>
        <v>8.4614859152217079</v>
      </c>
      <c r="G1083" s="63">
        <f t="shared" si="38"/>
        <v>8.4620689652217074</v>
      </c>
      <c r="H1083" s="63">
        <f t="shared" si="38"/>
        <v>14.605629163220703</v>
      </c>
      <c r="I1083" s="63">
        <f t="shared" si="38"/>
        <v>14.606212213220703</v>
      </c>
      <c r="J1083" s="63">
        <f t="shared" si="38"/>
        <v>8.4614859152217079</v>
      </c>
      <c r="K1083" s="63">
        <f t="shared" si="38"/>
        <v>8.4620689652217074</v>
      </c>
    </row>
    <row r="1084" spans="1:11" ht="15">
      <c r="A1084" s="3">
        <v>2054</v>
      </c>
      <c r="B1084" s="63">
        <f t="shared" ref="B1084:K1084" si="39">AVERAGE(B480:B491)</f>
        <v>7.4861860244586182</v>
      </c>
      <c r="C1084" s="63">
        <f t="shared" si="39"/>
        <v>7.4861860244586182</v>
      </c>
      <c r="D1084" s="63">
        <f t="shared" si="39"/>
        <v>7.4983447444586195</v>
      </c>
      <c r="E1084" s="63">
        <f t="shared" si="39"/>
        <v>8.6983111012846752</v>
      </c>
      <c r="F1084" s="63">
        <f t="shared" si="39"/>
        <v>8.6983111012846752</v>
      </c>
      <c r="G1084" s="63">
        <f t="shared" si="39"/>
        <v>8.6988941512846765</v>
      </c>
      <c r="H1084" s="63">
        <f t="shared" si="39"/>
        <v>14.9749829880287</v>
      </c>
      <c r="I1084" s="63">
        <f t="shared" si="39"/>
        <v>14.975566038028697</v>
      </c>
      <c r="J1084" s="63">
        <f t="shared" si="39"/>
        <v>8.6983111012846752</v>
      </c>
      <c r="K1084" s="63">
        <f t="shared" si="39"/>
        <v>8.6988941512846765</v>
      </c>
    </row>
    <row r="1085" spans="1:11" ht="15">
      <c r="A1085" s="3">
        <v>2055</v>
      </c>
      <c r="B1085" s="63">
        <f t="shared" ref="B1085:K1085" si="40">AVERAGE(B17:B503)</f>
        <v>4.7321867095276335</v>
      </c>
      <c r="C1085" s="63">
        <f t="shared" si="40"/>
        <v>4.7321867095276335</v>
      </c>
      <c r="D1085" s="63">
        <f t="shared" si="40"/>
        <v>4.7443645157699308</v>
      </c>
      <c r="E1085" s="63">
        <f t="shared" si="40"/>
        <v>5.4924948214256304</v>
      </c>
      <c r="F1085" s="63">
        <f t="shared" si="40"/>
        <v>5.5194212263692943</v>
      </c>
      <c r="G1085" s="63">
        <f t="shared" si="40"/>
        <v>5.5200064452604733</v>
      </c>
      <c r="H1085" s="63">
        <f t="shared" si="40"/>
        <v>9.7717261367825952</v>
      </c>
      <c r="I1085" s="63">
        <f t="shared" si="40"/>
        <v>9.7723113556737733</v>
      </c>
      <c r="J1085" s="63">
        <f t="shared" si="40"/>
        <v>5.4924948214256304</v>
      </c>
      <c r="K1085" s="63">
        <f t="shared" si="40"/>
        <v>5.4930800403168076</v>
      </c>
    </row>
    <row r="1086" spans="1:11" ht="15">
      <c r="A1086" s="3">
        <v>2056</v>
      </c>
      <c r="B1086" s="63">
        <f t="shared" ref="B1086:K1086" si="41">AVERAGE(B504:B515)</f>
        <v>7.9009378581696827</v>
      </c>
      <c r="C1086" s="63">
        <f t="shared" si="41"/>
        <v>7.9009378581696827</v>
      </c>
      <c r="D1086" s="63">
        <f t="shared" si="41"/>
        <v>7.9130965781696814</v>
      </c>
      <c r="E1086" s="63">
        <f t="shared" si="41"/>
        <v>9.1920305430257603</v>
      </c>
      <c r="F1086" s="63">
        <f t="shared" si="41"/>
        <v>9.1920305430257621</v>
      </c>
      <c r="G1086" s="63">
        <f t="shared" si="41"/>
        <v>9.1926135930257598</v>
      </c>
      <c r="H1086" s="63">
        <f t="shared" si="41"/>
        <v>15.741948006583485</v>
      </c>
      <c r="I1086" s="63">
        <f t="shared" si="41"/>
        <v>15.742531056583488</v>
      </c>
      <c r="J1086" s="63">
        <f t="shared" si="41"/>
        <v>9.1920305430257603</v>
      </c>
      <c r="K1086" s="63">
        <f t="shared" si="41"/>
        <v>9.1926135930257598</v>
      </c>
    </row>
    <row r="1087" spans="1:11" ht="15">
      <c r="A1087" s="3">
        <v>2057</v>
      </c>
      <c r="B1087" s="63">
        <f t="shared" ref="B1087:K1087" si="42">AVERAGE(B516:B527)</f>
        <v>8.116935859630809</v>
      </c>
      <c r="C1087" s="63">
        <f t="shared" si="42"/>
        <v>8.116935859630809</v>
      </c>
      <c r="D1087" s="63">
        <f t="shared" si="42"/>
        <v>8.1290945796308112</v>
      </c>
      <c r="E1087" s="63">
        <f t="shared" si="42"/>
        <v>9.4493009687748728</v>
      </c>
      <c r="F1087" s="63">
        <f t="shared" si="42"/>
        <v>9.4493009687748728</v>
      </c>
      <c r="G1087" s="63">
        <f t="shared" si="42"/>
        <v>9.4498840187748758</v>
      </c>
      <c r="H1087" s="63">
        <f t="shared" si="42"/>
        <v>16.140037581581158</v>
      </c>
      <c r="I1087" s="63">
        <f t="shared" si="42"/>
        <v>16.140620631581161</v>
      </c>
      <c r="J1087" s="63">
        <f t="shared" si="42"/>
        <v>9.4493009687748728</v>
      </c>
      <c r="K1087" s="63">
        <f t="shared" si="42"/>
        <v>9.4498840187748758</v>
      </c>
    </row>
    <row r="1088" spans="1:11" ht="15">
      <c r="A1088" s="3">
        <v>2058</v>
      </c>
      <c r="B1088" s="63">
        <f t="shared" ref="B1088:K1088" si="43">AVERAGE(B528:B539)</f>
        <v>8.338896068017128</v>
      </c>
      <c r="C1088" s="63">
        <f t="shared" si="43"/>
        <v>8.338896068017128</v>
      </c>
      <c r="D1088" s="63">
        <f t="shared" si="43"/>
        <v>8.3510547880171284</v>
      </c>
      <c r="E1088" s="63">
        <f t="shared" si="43"/>
        <v>9.7137714417280954</v>
      </c>
      <c r="F1088" s="63">
        <f t="shared" si="43"/>
        <v>9.7137714417280954</v>
      </c>
      <c r="G1088" s="63">
        <f t="shared" si="43"/>
        <v>9.7143544917280966</v>
      </c>
      <c r="H1088" s="63">
        <f t="shared" si="43"/>
        <v>16.548194227671662</v>
      </c>
      <c r="I1088" s="63">
        <f t="shared" si="43"/>
        <v>16.548777277671658</v>
      </c>
      <c r="J1088" s="63">
        <f t="shared" si="43"/>
        <v>9.7137714417280954</v>
      </c>
      <c r="K1088" s="63">
        <f t="shared" si="43"/>
        <v>9.7143544917280966</v>
      </c>
    </row>
    <row r="1089" spans="1:11" ht="15">
      <c r="A1089" s="3">
        <v>2059</v>
      </c>
      <c r="B1089" s="63">
        <f t="shared" ref="B1089:K1089" si="44">AVERAGE(B540:B551)</f>
        <v>8.5669847609018106</v>
      </c>
      <c r="C1089" s="63">
        <f t="shared" si="44"/>
        <v>8.5669847609018106</v>
      </c>
      <c r="D1089" s="63">
        <f t="shared" si="44"/>
        <v>8.579143480901811</v>
      </c>
      <c r="E1089" s="63">
        <f t="shared" si="44"/>
        <v>9.9856434647666852</v>
      </c>
      <c r="F1089" s="63">
        <f t="shared" si="44"/>
        <v>9.9856434647666852</v>
      </c>
      <c r="G1089" s="63">
        <f t="shared" si="44"/>
        <v>9.9862265147666829</v>
      </c>
      <c r="H1089" s="63">
        <f t="shared" si="44"/>
        <v>16.96667252554926</v>
      </c>
      <c r="I1089" s="63">
        <f t="shared" si="44"/>
        <v>16.967255575549256</v>
      </c>
      <c r="J1089" s="63">
        <f t="shared" si="44"/>
        <v>9.9856434647666852</v>
      </c>
      <c r="K1089" s="63">
        <f t="shared" si="44"/>
        <v>9.9862265147666829</v>
      </c>
    </row>
    <row r="1090" spans="1:11" ht="15">
      <c r="A1090" s="3">
        <v>2060</v>
      </c>
      <c r="B1090" s="63">
        <f t="shared" ref="B1090:K1090" si="45">AVERAGE(B552:B563)</f>
        <v>8.8013729026290921</v>
      </c>
      <c r="C1090" s="63">
        <f t="shared" si="45"/>
        <v>8.8013729026290921</v>
      </c>
      <c r="D1090" s="63">
        <f t="shared" si="45"/>
        <v>8.8135316226290907</v>
      </c>
      <c r="E1090" s="63">
        <f t="shared" si="45"/>
        <v>10.265124180103289</v>
      </c>
      <c r="F1090" s="63">
        <f t="shared" si="45"/>
        <v>10.265124180103289</v>
      </c>
      <c r="G1090" s="63">
        <f t="shared" si="45"/>
        <v>10.26570723010329</v>
      </c>
      <c r="H1090" s="63">
        <f t="shared" si="45"/>
        <v>17.395733493861183</v>
      </c>
      <c r="I1090" s="63">
        <f t="shared" si="45"/>
        <v>17.396316543861179</v>
      </c>
      <c r="J1090" s="63">
        <f t="shared" si="45"/>
        <v>10.265124180103289</v>
      </c>
      <c r="K1090" s="63">
        <f t="shared" si="45"/>
        <v>10.26570723010329</v>
      </c>
    </row>
    <row r="1091" spans="1:11" ht="15">
      <c r="A1091" s="3">
        <v>2061</v>
      </c>
      <c r="B1091" s="63">
        <f t="shared" ref="B1091:K1091" si="46">AVERAGE(B564:B575)</f>
        <v>9.0422362778435073</v>
      </c>
      <c r="C1091" s="63">
        <f t="shared" si="46"/>
        <v>9.0422362778435073</v>
      </c>
      <c r="D1091" s="63">
        <f t="shared" si="46"/>
        <v>9.0543949978435077</v>
      </c>
      <c r="E1091" s="63">
        <f t="shared" si="46"/>
        <v>10.552426527106457</v>
      </c>
      <c r="F1091" s="63">
        <f t="shared" si="46"/>
        <v>10.552426527106457</v>
      </c>
      <c r="G1091" s="63">
        <f t="shared" si="46"/>
        <v>10.553009577106456</v>
      </c>
      <c r="H1091" s="63">
        <f t="shared" si="46"/>
        <v>17.835644752013476</v>
      </c>
      <c r="I1091" s="63">
        <f t="shared" si="46"/>
        <v>17.836227802013472</v>
      </c>
      <c r="J1091" s="63">
        <f t="shared" si="46"/>
        <v>10.552426527106457</v>
      </c>
      <c r="K1091" s="63">
        <f t="shared" si="46"/>
        <v>10.553009577106456</v>
      </c>
    </row>
    <row r="1092" spans="1:11" ht="15">
      <c r="A1092" s="3">
        <v>2062</v>
      </c>
      <c r="B1092" s="63">
        <f t="shared" ref="B1092:K1107" ca="1" si="47">AVERAGE(OFFSET(B$576,($A1092-$A$1092)*12,0,12,1))</f>
        <v>9.2897556288641141</v>
      </c>
      <c r="C1092" s="63">
        <f t="shared" ca="1" si="47"/>
        <v>9.2897556288641141</v>
      </c>
      <c r="D1092" s="63">
        <f t="shared" ca="1" si="47"/>
        <v>9.3019143488641127</v>
      </c>
      <c r="E1092" s="63">
        <f t="shared" ca="1" si="47"/>
        <v>10.847769404542044</v>
      </c>
      <c r="F1092" s="63">
        <f t="shared" ca="1" si="47"/>
        <v>10.847769404542044</v>
      </c>
      <c r="G1092" s="63">
        <f t="shared" ca="1" si="47"/>
        <v>10.848352454542047</v>
      </c>
      <c r="H1092" s="63">
        <f t="shared" ca="1" si="47"/>
        <v>18.286680687094009</v>
      </c>
      <c r="I1092" s="63">
        <f t="shared" ca="1" si="47"/>
        <v>18.287263737094005</v>
      </c>
      <c r="J1092" s="63">
        <f t="shared" ca="1" si="47"/>
        <v>10.847769404542044</v>
      </c>
      <c r="K1092" s="63">
        <f t="shared" ca="1" si="47"/>
        <v>10.848352454542045</v>
      </c>
    </row>
    <row r="1093" spans="1:11" ht="15">
      <c r="A1093" s="3">
        <v>2063</v>
      </c>
      <c r="B1093" s="63">
        <f t="shared" ca="1" si="47"/>
        <v>9.5372749798847192</v>
      </c>
      <c r="C1093" s="63">
        <f t="shared" ca="1" si="47"/>
        <v>9.5372749798847192</v>
      </c>
      <c r="D1093" s="63">
        <f t="shared" ca="1" si="47"/>
        <v>9.5494336998847213</v>
      </c>
      <c r="E1093" s="63">
        <f t="shared" ca="1" si="47"/>
        <v>11.143112281977636</v>
      </c>
      <c r="F1093" s="63">
        <f t="shared" ca="1" si="47"/>
        <v>11.143112281977638</v>
      </c>
      <c r="G1093" s="63">
        <f t="shared" ca="1" si="47"/>
        <v>11.143695331977638</v>
      </c>
      <c r="H1093" s="63">
        <f t="shared" ca="1" si="47"/>
        <v>18.737716622174545</v>
      </c>
      <c r="I1093" s="63">
        <f t="shared" ca="1" si="47"/>
        <v>18.738299672174545</v>
      </c>
      <c r="J1093" s="63">
        <f t="shared" ca="1" si="47"/>
        <v>11.143112281977636</v>
      </c>
      <c r="K1093" s="63">
        <f t="shared" ca="1" si="47"/>
        <v>11.143695331977638</v>
      </c>
    </row>
    <row r="1094" spans="1:11" ht="15">
      <c r="A1094" s="3">
        <v>2064</v>
      </c>
      <c r="B1094" s="63">
        <f t="shared" ca="1" si="47"/>
        <v>9.7847943309053278</v>
      </c>
      <c r="C1094" s="63">
        <f t="shared" ca="1" si="47"/>
        <v>9.7847943309053278</v>
      </c>
      <c r="D1094" s="63">
        <f t="shared" ca="1" si="47"/>
        <v>9.7969530509053282</v>
      </c>
      <c r="E1094" s="63">
        <f t="shared" ca="1" si="47"/>
        <v>11.438455159413229</v>
      </c>
      <c r="F1094" s="63">
        <f t="shared" ca="1" si="47"/>
        <v>11.438455159413229</v>
      </c>
      <c r="G1094" s="63">
        <f t="shared" ca="1" si="47"/>
        <v>11.439038209413226</v>
      </c>
      <c r="H1094" s="63">
        <f t="shared" ca="1" si="47"/>
        <v>19.188752557255075</v>
      </c>
      <c r="I1094" s="63">
        <f t="shared" ca="1" si="47"/>
        <v>19.189335607255078</v>
      </c>
      <c r="J1094" s="63">
        <f t="shared" ca="1" si="47"/>
        <v>11.438455159413229</v>
      </c>
      <c r="K1094" s="63">
        <f t="shared" ca="1" si="47"/>
        <v>11.439038209413226</v>
      </c>
    </row>
    <row r="1095" spans="1:11" ht="15">
      <c r="A1095" s="3">
        <v>2065</v>
      </c>
      <c r="B1095" s="63">
        <f t="shared" ca="1" si="47"/>
        <v>10.032313681925933</v>
      </c>
      <c r="C1095" s="63">
        <f t="shared" ca="1" si="47"/>
        <v>10.032313681925933</v>
      </c>
      <c r="D1095" s="63">
        <f t="shared" ca="1" si="47"/>
        <v>10.044472401925931</v>
      </c>
      <c r="E1095" s="63">
        <f t="shared" ca="1" si="47"/>
        <v>11.733798036848818</v>
      </c>
      <c r="F1095" s="63">
        <f t="shared" ca="1" si="47"/>
        <v>11.733798036848818</v>
      </c>
      <c r="G1095" s="63">
        <f t="shared" ca="1" si="47"/>
        <v>11.734381086848819</v>
      </c>
      <c r="H1095" s="63">
        <f t="shared" ca="1" si="47"/>
        <v>19.639788492335612</v>
      </c>
      <c r="I1095" s="63">
        <f t="shared" ca="1" si="47"/>
        <v>19.640371542335611</v>
      </c>
      <c r="J1095" s="63">
        <f t="shared" ca="1" si="47"/>
        <v>11.733798036848818</v>
      </c>
      <c r="K1095" s="63">
        <f t="shared" ca="1" si="47"/>
        <v>11.734381086848819</v>
      </c>
    </row>
    <row r="1096" spans="1:11" ht="15">
      <c r="A1096" s="3">
        <v>2066</v>
      </c>
      <c r="B1096" s="63">
        <f t="shared" ca="1" si="47"/>
        <v>10.27983303294654</v>
      </c>
      <c r="C1096" s="63">
        <f t="shared" ca="1" si="47"/>
        <v>10.27983303294654</v>
      </c>
      <c r="D1096" s="63">
        <f t="shared" ca="1" si="47"/>
        <v>10.291991752946538</v>
      </c>
      <c r="E1096" s="63">
        <f t="shared" ca="1" si="47"/>
        <v>12.029140914284406</v>
      </c>
      <c r="F1096" s="63">
        <f t="shared" ca="1" si="47"/>
        <v>12.029140914284406</v>
      </c>
      <c r="G1096" s="63">
        <f t="shared" ca="1" si="47"/>
        <v>12.029723964284413</v>
      </c>
      <c r="H1096" s="63">
        <f t="shared" ca="1" si="47"/>
        <v>20.090824427416152</v>
      </c>
      <c r="I1096" s="63">
        <f t="shared" ca="1" si="47"/>
        <v>20.091407477416148</v>
      </c>
      <c r="J1096" s="63">
        <f t="shared" ca="1" si="47"/>
        <v>12.029140914284406</v>
      </c>
      <c r="K1096" s="63">
        <f t="shared" ca="1" si="47"/>
        <v>12.029723964284409</v>
      </c>
    </row>
    <row r="1097" spans="1:11" ht="15">
      <c r="A1097" s="3">
        <v>2067</v>
      </c>
      <c r="B1097" s="63">
        <f t="shared" ca="1" si="47"/>
        <v>10.527352383967147</v>
      </c>
      <c r="C1097" s="63">
        <f t="shared" ca="1" si="47"/>
        <v>10.527352383967147</v>
      </c>
      <c r="D1097" s="63">
        <f t="shared" ca="1" si="47"/>
        <v>10.539511103967147</v>
      </c>
      <c r="E1097" s="63">
        <f t="shared" ca="1" si="47"/>
        <v>12.324483791719997</v>
      </c>
      <c r="F1097" s="63">
        <f t="shared" ca="1" si="47"/>
        <v>12.324483791719999</v>
      </c>
      <c r="G1097" s="63">
        <f t="shared" ca="1" si="47"/>
        <v>12.32506684172</v>
      </c>
      <c r="H1097" s="63">
        <f t="shared" ca="1" si="47"/>
        <v>20.541860362496685</v>
      </c>
      <c r="I1097" s="63">
        <f t="shared" ca="1" si="47"/>
        <v>20.542443412496684</v>
      </c>
      <c r="J1097" s="63">
        <f t="shared" ca="1" si="47"/>
        <v>12.324483791719997</v>
      </c>
      <c r="K1097" s="63">
        <f t="shared" ca="1" si="47"/>
        <v>12.325066841719996</v>
      </c>
    </row>
    <row r="1098" spans="1:11" ht="15">
      <c r="A1098" s="3">
        <v>2068</v>
      </c>
      <c r="B1098" s="63">
        <f t="shared" ca="1" si="47"/>
        <v>10.774871734987753</v>
      </c>
      <c r="C1098" s="63">
        <f t="shared" ca="1" si="47"/>
        <v>10.774871734987753</v>
      </c>
      <c r="D1098" s="63">
        <f t="shared" ca="1" si="47"/>
        <v>10.78703045498775</v>
      </c>
      <c r="E1098" s="63">
        <f t="shared" ca="1" si="47"/>
        <v>12.619826669155588</v>
      </c>
      <c r="F1098" s="63">
        <f t="shared" ca="1" si="47"/>
        <v>12.619826669155591</v>
      </c>
      <c r="G1098" s="63">
        <f t="shared" ca="1" si="47"/>
        <v>12.620409719155589</v>
      </c>
      <c r="H1098" s="63">
        <f t="shared" ca="1" si="47"/>
        <v>20.992896297577222</v>
      </c>
      <c r="I1098" s="63">
        <f t="shared" ca="1" si="47"/>
        <v>20.993479347577221</v>
      </c>
      <c r="J1098" s="63">
        <f t="shared" ca="1" si="47"/>
        <v>12.619826669155588</v>
      </c>
      <c r="K1098" s="63">
        <f t="shared" ca="1" si="47"/>
        <v>12.620409719155587</v>
      </c>
    </row>
    <row r="1099" spans="1:11" ht="15">
      <c r="A1099" s="3">
        <v>2069</v>
      </c>
      <c r="B1099" s="63">
        <f t="shared" ca="1" si="47"/>
        <v>11.02239108600836</v>
      </c>
      <c r="C1099" s="63">
        <f t="shared" ca="1" si="47"/>
        <v>11.02239108600836</v>
      </c>
      <c r="D1099" s="63">
        <f t="shared" ca="1" si="47"/>
        <v>11.034549806008359</v>
      </c>
      <c r="E1099" s="63">
        <f t="shared" ca="1" si="47"/>
        <v>12.915169546591178</v>
      </c>
      <c r="F1099" s="63">
        <f t="shared" ca="1" si="47"/>
        <v>12.915169546591182</v>
      </c>
      <c r="G1099" s="63">
        <f t="shared" ca="1" si="47"/>
        <v>12.915752596591178</v>
      </c>
      <c r="H1099" s="63">
        <f t="shared" ca="1" si="47"/>
        <v>21.443932232657755</v>
      </c>
      <c r="I1099" s="63">
        <f t="shared" ca="1" si="47"/>
        <v>21.444515282657751</v>
      </c>
      <c r="J1099" s="63">
        <f t="shared" ca="1" si="47"/>
        <v>12.915169546591178</v>
      </c>
      <c r="K1099" s="63">
        <f t="shared" ca="1" si="47"/>
        <v>12.915752596591178</v>
      </c>
    </row>
    <row r="1100" spans="1:11" ht="15">
      <c r="A1100" s="3">
        <v>2070</v>
      </c>
      <c r="B1100" s="63">
        <f t="shared" ca="1" si="47"/>
        <v>11.269910437028964</v>
      </c>
      <c r="C1100" s="63">
        <f t="shared" ca="1" si="47"/>
        <v>11.269910437028964</v>
      </c>
      <c r="D1100" s="63">
        <f t="shared" ca="1" si="47"/>
        <v>11.282069157028964</v>
      </c>
      <c r="E1100" s="63">
        <f t="shared" ca="1" si="47"/>
        <v>13.210512424026767</v>
      </c>
      <c r="F1100" s="63">
        <f t="shared" ca="1" si="47"/>
        <v>13.210512424026767</v>
      </c>
      <c r="G1100" s="63">
        <f t="shared" ca="1" si="47"/>
        <v>13.21109547402677</v>
      </c>
      <c r="H1100" s="63">
        <f t="shared" ca="1" si="47"/>
        <v>21.894968167738288</v>
      </c>
      <c r="I1100" s="63">
        <f t="shared" ca="1" si="47"/>
        <v>21.895551217738287</v>
      </c>
      <c r="J1100" s="63">
        <f t="shared" ca="1" si="47"/>
        <v>13.210512424026767</v>
      </c>
      <c r="K1100" s="63">
        <f t="shared" ca="1" si="47"/>
        <v>13.211095474026768</v>
      </c>
    </row>
    <row r="1101" spans="1:11" ht="15">
      <c r="A1101" s="3">
        <v>2071</v>
      </c>
      <c r="B1101" s="63">
        <f t="shared" ca="1" si="47"/>
        <v>11.51742978804957</v>
      </c>
      <c r="C1101" s="63">
        <f t="shared" ca="1" si="47"/>
        <v>11.51742978804957</v>
      </c>
      <c r="D1101" s="63">
        <f t="shared" ca="1" si="47"/>
        <v>11.529588508049571</v>
      </c>
      <c r="E1101" s="63">
        <f t="shared" ca="1" si="47"/>
        <v>13.505855301462356</v>
      </c>
      <c r="F1101" s="63">
        <f t="shared" ca="1" si="47"/>
        <v>13.505855301462359</v>
      </c>
      <c r="G1101" s="63">
        <f t="shared" ca="1" si="47"/>
        <v>13.506438351462359</v>
      </c>
      <c r="H1101" s="63">
        <f t="shared" ca="1" si="47"/>
        <v>22.346004102818824</v>
      </c>
      <c r="I1101" s="63">
        <f t="shared" ca="1" si="47"/>
        <v>22.346587152818827</v>
      </c>
      <c r="J1101" s="63">
        <f t="shared" ca="1" si="47"/>
        <v>13.505855301462356</v>
      </c>
      <c r="K1101" s="63">
        <f t="shared" ca="1" si="47"/>
        <v>13.506438351462359</v>
      </c>
    </row>
    <row r="1102" spans="1:11" ht="15">
      <c r="A1102" s="3">
        <v>2072</v>
      </c>
      <c r="B1102" s="63">
        <f t="shared" ca="1" si="47"/>
        <v>11.764949139070181</v>
      </c>
      <c r="C1102" s="63">
        <f t="shared" ca="1" si="47"/>
        <v>11.764949139070181</v>
      </c>
      <c r="D1102" s="63">
        <f t="shared" ca="1" si="47"/>
        <v>11.777107859070178</v>
      </c>
      <c r="E1102" s="63">
        <f t="shared" ca="1" si="47"/>
        <v>13.801198178897947</v>
      </c>
      <c r="F1102" s="63">
        <f t="shared" ca="1" si="47"/>
        <v>13.80119817889795</v>
      </c>
      <c r="G1102" s="63">
        <f t="shared" ca="1" si="47"/>
        <v>13.80178122889795</v>
      </c>
      <c r="H1102" s="63">
        <f t="shared" ca="1" si="47"/>
        <v>22.797040037899361</v>
      </c>
      <c r="I1102" s="63">
        <f t="shared" ca="1" si="47"/>
        <v>22.797623087899357</v>
      </c>
      <c r="J1102" s="63">
        <f t="shared" ca="1" si="47"/>
        <v>13.801198178897947</v>
      </c>
      <c r="K1102" s="63">
        <f t="shared" ca="1" si="47"/>
        <v>13.801781228897946</v>
      </c>
    </row>
    <row r="1103" spans="1:11" ht="15">
      <c r="A1103" s="3">
        <v>2073</v>
      </c>
      <c r="B1103" s="63">
        <f t="shared" ca="1" si="47"/>
        <v>12.012468490090788</v>
      </c>
      <c r="C1103" s="63">
        <f t="shared" ca="1" si="47"/>
        <v>12.012468490090788</v>
      </c>
      <c r="D1103" s="63">
        <f t="shared" ca="1" si="47"/>
        <v>12.024627210090785</v>
      </c>
      <c r="E1103" s="63">
        <f t="shared" ca="1" si="47"/>
        <v>14.096541056333541</v>
      </c>
      <c r="F1103" s="63">
        <f t="shared" ca="1" si="47"/>
        <v>14.096541056333542</v>
      </c>
      <c r="G1103" s="63">
        <f t="shared" ca="1" si="47"/>
        <v>14.097124106333544</v>
      </c>
      <c r="H1103" s="63">
        <f t="shared" ca="1" si="47"/>
        <v>23.248075972979894</v>
      </c>
      <c r="I1103" s="63">
        <f t="shared" ca="1" si="47"/>
        <v>23.248659022979894</v>
      </c>
      <c r="J1103" s="63">
        <f t="shared" ca="1" si="47"/>
        <v>14.096541056333541</v>
      </c>
      <c r="K1103" s="63">
        <f t="shared" ca="1" si="47"/>
        <v>14.097124106333538</v>
      </c>
    </row>
    <row r="1104" spans="1:11" ht="15">
      <c r="A1104" s="3">
        <v>2074</v>
      </c>
      <c r="B1104" s="63">
        <f t="shared" ca="1" si="47"/>
        <v>12.259987841111389</v>
      </c>
      <c r="C1104" s="63">
        <f t="shared" ca="1" si="47"/>
        <v>12.259987841111389</v>
      </c>
      <c r="D1104" s="63">
        <f t="shared" ca="1" si="47"/>
        <v>12.27214656111139</v>
      </c>
      <c r="E1104" s="63">
        <f t="shared" ca="1" si="47"/>
        <v>14.391883933769128</v>
      </c>
      <c r="F1104" s="63">
        <f t="shared" ca="1" si="47"/>
        <v>14.39188393376913</v>
      </c>
      <c r="G1104" s="63">
        <f t="shared" ca="1" si="47"/>
        <v>14.392466983769134</v>
      </c>
      <c r="H1104" s="63">
        <f t="shared" ca="1" si="47"/>
        <v>23.699111908060431</v>
      </c>
      <c r="I1104" s="63">
        <f t="shared" ca="1" si="47"/>
        <v>23.699694958060423</v>
      </c>
      <c r="J1104" s="63">
        <f t="shared" ca="1" si="47"/>
        <v>14.391883933769128</v>
      </c>
      <c r="K1104" s="63">
        <f t="shared" ca="1" si="47"/>
        <v>14.392466983769131</v>
      </c>
    </row>
    <row r="1105" spans="1:11" ht="15">
      <c r="A1105" s="3">
        <v>2075</v>
      </c>
      <c r="B1105" s="63">
        <f t="shared" ca="1" si="47"/>
        <v>12.507507192131996</v>
      </c>
      <c r="C1105" s="63">
        <f t="shared" ca="1" si="47"/>
        <v>12.507507192131996</v>
      </c>
      <c r="D1105" s="63">
        <f t="shared" ca="1" si="47"/>
        <v>12.519665912131996</v>
      </c>
      <c r="E1105" s="63">
        <f t="shared" ca="1" si="47"/>
        <v>14.687226811204718</v>
      </c>
      <c r="F1105" s="63">
        <f t="shared" ca="1" si="47"/>
        <v>14.687226811204722</v>
      </c>
      <c r="G1105" s="63">
        <f t="shared" ca="1" si="47"/>
        <v>14.68780986120472</v>
      </c>
      <c r="H1105" s="63">
        <f t="shared" ca="1" si="47"/>
        <v>24.15014784314096</v>
      </c>
      <c r="I1105" s="63">
        <f t="shared" ca="1" si="47"/>
        <v>24.15073089314097</v>
      </c>
      <c r="J1105" s="63">
        <f t="shared" ca="1" si="47"/>
        <v>14.687226811204718</v>
      </c>
      <c r="K1105" s="63">
        <f t="shared" ca="1" si="47"/>
        <v>14.687809861204718</v>
      </c>
    </row>
    <row r="1106" spans="1:11" ht="15">
      <c r="A1106" s="3">
        <v>2076</v>
      </c>
      <c r="B1106" s="63">
        <f t="shared" ca="1" si="47"/>
        <v>12.755026543152603</v>
      </c>
      <c r="C1106" s="63">
        <f t="shared" ca="1" si="47"/>
        <v>12.755026543152603</v>
      </c>
      <c r="D1106" s="63">
        <f t="shared" ca="1" si="47"/>
        <v>12.7671852631526</v>
      </c>
      <c r="E1106" s="63">
        <f t="shared" ca="1" si="47"/>
        <v>14.982569688640309</v>
      </c>
      <c r="F1106" s="63">
        <f t="shared" ca="1" si="47"/>
        <v>14.982569688640313</v>
      </c>
      <c r="G1106" s="63">
        <f t="shared" ca="1" si="47"/>
        <v>14.983152738640312</v>
      </c>
      <c r="H1106" s="63">
        <f t="shared" ca="1" si="47"/>
        <v>24.6011837782215</v>
      </c>
      <c r="I1106" s="63">
        <f t="shared" ca="1" si="47"/>
        <v>24.601766828221503</v>
      </c>
      <c r="J1106" s="63">
        <f t="shared" ca="1" si="47"/>
        <v>14.982569688640309</v>
      </c>
      <c r="K1106" s="63">
        <f t="shared" ca="1" si="47"/>
        <v>14.983152738640307</v>
      </c>
    </row>
    <row r="1107" spans="1:11" ht="15">
      <c r="A1107" s="3">
        <v>2077</v>
      </c>
      <c r="B1107" s="63">
        <f t="shared" ca="1" si="47"/>
        <v>13.00254589417321</v>
      </c>
      <c r="C1107" s="63">
        <f t="shared" ca="1" si="47"/>
        <v>13.00254589417321</v>
      </c>
      <c r="D1107" s="63">
        <f t="shared" ca="1" si="47"/>
        <v>13.014704614173214</v>
      </c>
      <c r="E1107" s="63">
        <f t="shared" ca="1" si="47"/>
        <v>15.2779125660759</v>
      </c>
      <c r="F1107" s="63">
        <f t="shared" ca="1" si="47"/>
        <v>15.277912566075905</v>
      </c>
      <c r="G1107" s="63">
        <f t="shared" ca="1" si="47"/>
        <v>15.278495616075903</v>
      </c>
      <c r="H1107" s="63">
        <f t="shared" ca="1" si="47"/>
        <v>25.052219713302037</v>
      </c>
      <c r="I1107" s="63">
        <f t="shared" ca="1" si="47"/>
        <v>25.052802763302036</v>
      </c>
      <c r="J1107" s="63">
        <f t="shared" ca="1" si="47"/>
        <v>15.2779125660759</v>
      </c>
      <c r="K1107" s="63">
        <f t="shared" ca="1" si="47"/>
        <v>15.278495616075899</v>
      </c>
    </row>
    <row r="1108" spans="1:11" ht="15">
      <c r="A1108" s="3">
        <v>2078</v>
      </c>
      <c r="B1108" s="63">
        <f t="shared" ref="B1108:K1123" ca="1" si="48">AVERAGE(OFFSET(B$576,($A1108-$A$1092)*12,0,12,1))</f>
        <v>13.250065245193815</v>
      </c>
      <c r="C1108" s="63">
        <f t="shared" ca="1" si="48"/>
        <v>13.250065245193815</v>
      </c>
      <c r="D1108" s="63">
        <f t="shared" ca="1" si="48"/>
        <v>13.262223965193817</v>
      </c>
      <c r="E1108" s="63">
        <f t="shared" ca="1" si="48"/>
        <v>15.573255443511487</v>
      </c>
      <c r="F1108" s="63">
        <f t="shared" ca="1" si="48"/>
        <v>15.573255443511492</v>
      </c>
      <c r="G1108" s="63">
        <f t="shared" ca="1" si="48"/>
        <v>15.573838493511495</v>
      </c>
      <c r="H1108" s="63">
        <f t="shared" ca="1" si="48"/>
        <v>25.503255648382567</v>
      </c>
      <c r="I1108" s="63">
        <f t="shared" ca="1" si="48"/>
        <v>25.503838698382566</v>
      </c>
      <c r="J1108" s="63">
        <f t="shared" ca="1" si="48"/>
        <v>15.573255443511487</v>
      </c>
      <c r="K1108" s="63">
        <f t="shared" ca="1" si="48"/>
        <v>15.57383849351149</v>
      </c>
    </row>
    <row r="1109" spans="1:11" ht="15">
      <c r="A1109" s="3">
        <v>2079</v>
      </c>
      <c r="B1109" s="63">
        <f t="shared" ca="1" si="48"/>
        <v>13.497584596214422</v>
      </c>
      <c r="C1109" s="63">
        <f t="shared" ca="1" si="48"/>
        <v>13.497584596214422</v>
      </c>
      <c r="D1109" s="63">
        <f t="shared" ca="1" si="48"/>
        <v>13.509743316214426</v>
      </c>
      <c r="E1109" s="63">
        <f t="shared" ca="1" si="48"/>
        <v>15.868598320947079</v>
      </c>
      <c r="F1109" s="63">
        <f t="shared" ca="1" si="48"/>
        <v>15.868598320947084</v>
      </c>
      <c r="G1109" s="63">
        <f t="shared" ca="1" si="48"/>
        <v>15.869181370947084</v>
      </c>
      <c r="H1109" s="63">
        <f t="shared" ca="1" si="48"/>
        <v>25.9542915834631</v>
      </c>
      <c r="I1109" s="63">
        <f t="shared" ca="1" si="48"/>
        <v>25.954874633463106</v>
      </c>
      <c r="J1109" s="63">
        <f t="shared" ca="1" si="48"/>
        <v>15.868598320947079</v>
      </c>
      <c r="K1109" s="63">
        <f t="shared" ca="1" si="48"/>
        <v>15.86918137094708</v>
      </c>
    </row>
    <row r="1110" spans="1:11" ht="15">
      <c r="A1110" s="3">
        <v>2080</v>
      </c>
      <c r="B1110" s="63">
        <f t="shared" ca="1" si="48"/>
        <v>13.745103947235032</v>
      </c>
      <c r="C1110" s="63">
        <f t="shared" ca="1" si="48"/>
        <v>13.745103947235032</v>
      </c>
      <c r="D1110" s="63">
        <f t="shared" ca="1" si="48"/>
        <v>13.757262667235031</v>
      </c>
      <c r="E1110" s="63">
        <f t="shared" ca="1" si="48"/>
        <v>16.16394119838267</v>
      </c>
      <c r="F1110" s="63">
        <f t="shared" ca="1" si="48"/>
        <v>16.163941198382673</v>
      </c>
      <c r="G1110" s="63">
        <f t="shared" ca="1" si="48"/>
        <v>16.164524248382673</v>
      </c>
      <c r="H1110" s="63">
        <f t="shared" ca="1" si="48"/>
        <v>26.405327518543643</v>
      </c>
      <c r="I1110" s="63">
        <f t="shared" ca="1" si="48"/>
        <v>26.405910568543636</v>
      </c>
      <c r="J1110" s="63">
        <f t="shared" ca="1" si="48"/>
        <v>16.16394119838267</v>
      </c>
      <c r="K1110" s="63">
        <f t="shared" ca="1" si="48"/>
        <v>16.164524248382666</v>
      </c>
    </row>
    <row r="1111" spans="1:11" ht="15">
      <c r="A1111" s="3">
        <v>2081</v>
      </c>
      <c r="B1111" s="63">
        <f t="shared" ca="1" si="48"/>
        <v>13.992623298255637</v>
      </c>
      <c r="C1111" s="63">
        <f t="shared" ca="1" si="48"/>
        <v>13.992623298255637</v>
      </c>
      <c r="D1111" s="63">
        <f t="shared" ca="1" si="48"/>
        <v>14.004782018255634</v>
      </c>
      <c r="E1111" s="63">
        <f t="shared" ca="1" si="48"/>
        <v>16.45928407581826</v>
      </c>
      <c r="F1111" s="63">
        <f t="shared" ca="1" si="48"/>
        <v>16.459284075818264</v>
      </c>
      <c r="G1111" s="63">
        <f t="shared" ca="1" si="48"/>
        <v>16.459867125818263</v>
      </c>
      <c r="H1111" s="63">
        <f t="shared" ca="1" si="48"/>
        <v>26.85636345362418</v>
      </c>
      <c r="I1111" s="63">
        <f t="shared" ca="1" si="48"/>
        <v>26.856946503624176</v>
      </c>
      <c r="J1111" s="63">
        <f t="shared" ca="1" si="48"/>
        <v>16.45928407581826</v>
      </c>
      <c r="K1111" s="63">
        <f t="shared" ca="1" si="48"/>
        <v>16.45986712581826</v>
      </c>
    </row>
    <row r="1112" spans="1:11" ht="15">
      <c r="A1112" s="3">
        <v>2082</v>
      </c>
      <c r="B1112" s="63">
        <f t="shared" ca="1" si="48"/>
        <v>14.240142649276242</v>
      </c>
      <c r="C1112" s="63">
        <f t="shared" ca="1" si="48"/>
        <v>14.240142649276242</v>
      </c>
      <c r="D1112" s="63">
        <f t="shared" ca="1" si="48"/>
        <v>14.252301369276239</v>
      </c>
      <c r="E1112" s="63">
        <f t="shared" ca="1" si="48"/>
        <v>16.754626953253851</v>
      </c>
      <c r="F1112" s="63">
        <f t="shared" ca="1" si="48"/>
        <v>16.754626953253851</v>
      </c>
      <c r="G1112" s="63">
        <f t="shared" ca="1" si="48"/>
        <v>16.755210003253854</v>
      </c>
      <c r="H1112" s="63">
        <f t="shared" ca="1" si="48"/>
        <v>27.30739938870471</v>
      </c>
      <c r="I1112" s="63">
        <f t="shared" ca="1" si="48"/>
        <v>27.307982438704709</v>
      </c>
      <c r="J1112" s="63">
        <f t="shared" ca="1" si="48"/>
        <v>16.754626953253851</v>
      </c>
      <c r="K1112" s="63">
        <f t="shared" ca="1" si="48"/>
        <v>16.755210003253847</v>
      </c>
    </row>
    <row r="1113" spans="1:11" ht="15">
      <c r="A1113" s="3">
        <v>2083</v>
      </c>
      <c r="B1113" s="63">
        <f t="shared" ca="1" si="48"/>
        <v>14.487662000296849</v>
      </c>
      <c r="C1113" s="63">
        <f t="shared" ca="1" si="48"/>
        <v>14.487662000296849</v>
      </c>
      <c r="D1113" s="63">
        <f t="shared" ca="1" si="48"/>
        <v>14.499820720296848</v>
      </c>
      <c r="E1113" s="63">
        <f t="shared" ca="1" si="48"/>
        <v>17.049969830689438</v>
      </c>
      <c r="F1113" s="63">
        <f t="shared" ca="1" si="48"/>
        <v>17.049969830689445</v>
      </c>
      <c r="G1113" s="63">
        <f t="shared" ca="1" si="48"/>
        <v>17.050552880689445</v>
      </c>
      <c r="H1113" s="63">
        <f t="shared" ca="1" si="48"/>
        <v>27.758435323785246</v>
      </c>
      <c r="I1113" s="63">
        <f t="shared" ca="1" si="48"/>
        <v>27.759018373785249</v>
      </c>
      <c r="J1113" s="63">
        <f t="shared" ca="1" si="48"/>
        <v>17.049969830689438</v>
      </c>
      <c r="K1113" s="63">
        <f t="shared" ca="1" si="48"/>
        <v>17.050552880689441</v>
      </c>
    </row>
    <row r="1114" spans="1:11" ht="15">
      <c r="A1114" s="3">
        <v>2084</v>
      </c>
      <c r="B1114" s="63">
        <f t="shared" ca="1" si="48"/>
        <v>14.735181351317456</v>
      </c>
      <c r="C1114" s="63">
        <f t="shared" ca="1" si="48"/>
        <v>14.735181351317456</v>
      </c>
      <c r="D1114" s="63">
        <f t="shared" ca="1" si="48"/>
        <v>14.747340071317453</v>
      </c>
      <c r="E1114" s="63">
        <f t="shared" ca="1" si="48"/>
        <v>17.345312708125032</v>
      </c>
      <c r="F1114" s="63">
        <f t="shared" ca="1" si="48"/>
        <v>17.345312708125036</v>
      </c>
      <c r="G1114" s="63">
        <f t="shared" ca="1" si="48"/>
        <v>17.345895758125039</v>
      </c>
      <c r="H1114" s="63">
        <f t="shared" ca="1" si="48"/>
        <v>28.209471258865779</v>
      </c>
      <c r="I1114" s="63">
        <f t="shared" ca="1" si="48"/>
        <v>28.210054308865782</v>
      </c>
      <c r="J1114" s="63">
        <f t="shared" ca="1" si="48"/>
        <v>17.345312708125032</v>
      </c>
      <c r="K1114" s="63">
        <f t="shared" ca="1" si="48"/>
        <v>17.345895758125028</v>
      </c>
    </row>
    <row r="1115" spans="1:11" ht="15">
      <c r="A1115" s="3">
        <v>2085</v>
      </c>
      <c r="B1115" s="63">
        <f t="shared" ca="1" si="48"/>
        <v>14.982700702338059</v>
      </c>
      <c r="C1115" s="63">
        <f t="shared" ca="1" si="48"/>
        <v>14.982700702338059</v>
      </c>
      <c r="D1115" s="63">
        <f t="shared" ca="1" si="48"/>
        <v>14.994859422338067</v>
      </c>
      <c r="E1115" s="63">
        <f t="shared" ca="1" si="48"/>
        <v>17.640655585560623</v>
      </c>
      <c r="F1115" s="63">
        <f t="shared" ca="1" si="48"/>
        <v>17.640655585560626</v>
      </c>
      <c r="G1115" s="63">
        <f t="shared" ca="1" si="48"/>
        <v>17.641238635560626</v>
      </c>
      <c r="H1115" s="63">
        <f t="shared" ca="1" si="48"/>
        <v>28.660507193946316</v>
      </c>
      <c r="I1115" s="63">
        <f t="shared" ca="1" si="48"/>
        <v>28.661090243946315</v>
      </c>
      <c r="J1115" s="63">
        <f t="shared" ca="1" si="48"/>
        <v>17.640655585560623</v>
      </c>
      <c r="K1115" s="63">
        <f t="shared" ca="1" si="48"/>
        <v>17.641238635560622</v>
      </c>
    </row>
    <row r="1116" spans="1:11" ht="15">
      <c r="A1116" s="3">
        <v>2086</v>
      </c>
      <c r="B1116" s="63">
        <f t="shared" ca="1" si="48"/>
        <v>15.230220053358664</v>
      </c>
      <c r="C1116" s="63">
        <f t="shared" ca="1" si="48"/>
        <v>15.230220053358664</v>
      </c>
      <c r="D1116" s="63">
        <f t="shared" ca="1" si="48"/>
        <v>15.242378773358668</v>
      </c>
      <c r="E1116" s="63">
        <f t="shared" ca="1" si="48"/>
        <v>17.935998462996213</v>
      </c>
      <c r="F1116" s="63">
        <f t="shared" ca="1" si="48"/>
        <v>17.935998462996217</v>
      </c>
      <c r="G1116" s="63">
        <f t="shared" ca="1" si="48"/>
        <v>17.936581512996217</v>
      </c>
      <c r="H1116" s="63">
        <f t="shared" ca="1" si="48"/>
        <v>29.111543129026852</v>
      </c>
      <c r="I1116" s="63">
        <f t="shared" ca="1" si="48"/>
        <v>29.112126179026848</v>
      </c>
      <c r="J1116" s="63">
        <f t="shared" ca="1" si="48"/>
        <v>17.935998462996213</v>
      </c>
      <c r="K1116" s="63">
        <f t="shared" ca="1" si="48"/>
        <v>17.936581512996209</v>
      </c>
    </row>
    <row r="1117" spans="1:11" ht="15">
      <c r="A1117" s="3">
        <v>2087</v>
      </c>
      <c r="B1117" s="63">
        <f t="shared" ca="1" si="48"/>
        <v>15.477739404379273</v>
      </c>
      <c r="C1117" s="63">
        <f t="shared" ca="1" si="48"/>
        <v>15.477739404379273</v>
      </c>
      <c r="D1117" s="63">
        <f t="shared" ca="1" si="48"/>
        <v>15.489898124379275</v>
      </c>
      <c r="E1117" s="63">
        <f t="shared" ca="1" si="48"/>
        <v>18.231341340431801</v>
      </c>
      <c r="F1117" s="63">
        <f t="shared" ca="1" si="48"/>
        <v>18.231341340431804</v>
      </c>
      <c r="G1117" s="63">
        <f t="shared" ca="1" si="48"/>
        <v>18.231924390431807</v>
      </c>
      <c r="H1117" s="63">
        <f t="shared" ca="1" si="48"/>
        <v>29.562579064107382</v>
      </c>
      <c r="I1117" s="63">
        <f t="shared" ca="1" si="48"/>
        <v>29.563162114107385</v>
      </c>
      <c r="J1117" s="63">
        <f t="shared" ca="1" si="48"/>
        <v>18.231341340431801</v>
      </c>
      <c r="K1117" s="63">
        <f t="shared" ca="1" si="48"/>
        <v>18.231924390431804</v>
      </c>
    </row>
    <row r="1118" spans="1:11" ht="15">
      <c r="A1118" s="3">
        <v>2088</v>
      </c>
      <c r="B1118" s="63">
        <f t="shared" ca="1" si="48"/>
        <v>15.725258755399883</v>
      </c>
      <c r="C1118" s="63">
        <f t="shared" ca="1" si="48"/>
        <v>15.725258755399883</v>
      </c>
      <c r="D1118" s="63">
        <f t="shared" ca="1" si="48"/>
        <v>15.73741747539988</v>
      </c>
      <c r="E1118" s="63">
        <f t="shared" ca="1" si="48"/>
        <v>18.526684217867395</v>
      </c>
      <c r="F1118" s="63">
        <f t="shared" ca="1" si="48"/>
        <v>18.526684217867398</v>
      </c>
      <c r="G1118" s="63">
        <f t="shared" ca="1" si="48"/>
        <v>18.527267267867394</v>
      </c>
      <c r="H1118" s="63">
        <f t="shared" ca="1" si="48"/>
        <v>30.013614999187922</v>
      </c>
      <c r="I1118" s="63">
        <f t="shared" ca="1" si="48"/>
        <v>30.014198049187922</v>
      </c>
      <c r="J1118" s="63">
        <f t="shared" ca="1" si="48"/>
        <v>18.526684217867395</v>
      </c>
      <c r="K1118" s="63">
        <f t="shared" ca="1" si="48"/>
        <v>18.527267267867391</v>
      </c>
    </row>
    <row r="1119" spans="1:11" ht="15">
      <c r="A1119" s="3">
        <v>2089</v>
      </c>
      <c r="B1119" s="63">
        <f t="shared" ca="1" si="48"/>
        <v>15.97277810642049</v>
      </c>
      <c r="C1119" s="63">
        <f t="shared" ca="1" si="48"/>
        <v>15.97277810642049</v>
      </c>
      <c r="D1119" s="63">
        <f t="shared" ca="1" si="48"/>
        <v>15.984936826420485</v>
      </c>
      <c r="E1119" s="63">
        <f t="shared" ca="1" si="48"/>
        <v>18.822027095302985</v>
      </c>
      <c r="F1119" s="63">
        <f t="shared" ca="1" si="48"/>
        <v>18.822027095302989</v>
      </c>
      <c r="G1119" s="63">
        <f t="shared" ca="1" si="48"/>
        <v>18.822610145302988</v>
      </c>
      <c r="H1119" s="63">
        <f t="shared" ca="1" si="48"/>
        <v>30.464650934268462</v>
      </c>
      <c r="I1119" s="63">
        <f t="shared" ca="1" si="48"/>
        <v>30.465233984268455</v>
      </c>
      <c r="J1119" s="63">
        <f t="shared" ca="1" si="48"/>
        <v>18.822027095302985</v>
      </c>
      <c r="K1119" s="63">
        <f t="shared" ca="1" si="48"/>
        <v>18.822610145302985</v>
      </c>
    </row>
    <row r="1120" spans="1:11" ht="15">
      <c r="A1120" s="3">
        <v>2090</v>
      </c>
      <c r="B1120" s="63">
        <f t="shared" ca="1" si="48"/>
        <v>16.220297457441095</v>
      </c>
      <c r="C1120" s="63">
        <f t="shared" ca="1" si="48"/>
        <v>16.220297457441095</v>
      </c>
      <c r="D1120" s="63">
        <f t="shared" ca="1" si="48"/>
        <v>16.23245617744109</v>
      </c>
      <c r="E1120" s="63">
        <f t="shared" ca="1" si="48"/>
        <v>19.117369972738569</v>
      </c>
      <c r="F1120" s="63">
        <f t="shared" ca="1" si="48"/>
        <v>19.117369972738576</v>
      </c>
      <c r="G1120" s="63">
        <f t="shared" ca="1" si="48"/>
        <v>19.117953022738579</v>
      </c>
      <c r="H1120" s="63">
        <f t="shared" ca="1" si="48"/>
        <v>30.915686869348992</v>
      </c>
      <c r="I1120" s="63">
        <f t="shared" ca="1" si="48"/>
        <v>30.916269919348991</v>
      </c>
      <c r="J1120" s="63">
        <f t="shared" ca="1" si="48"/>
        <v>19.117369972738569</v>
      </c>
      <c r="K1120" s="63">
        <f t="shared" ca="1" si="48"/>
        <v>19.117953022738568</v>
      </c>
    </row>
    <row r="1121" spans="1:11" ht="15">
      <c r="A1121" s="3">
        <v>2091</v>
      </c>
      <c r="B1121" s="63">
        <f t="shared" ca="1" si="48"/>
        <v>16.467816808461695</v>
      </c>
      <c r="C1121" s="63">
        <f t="shared" ca="1" si="48"/>
        <v>16.467816808461695</v>
      </c>
      <c r="D1121" s="63">
        <f t="shared" ca="1" si="48"/>
        <v>16.479975528461697</v>
      </c>
      <c r="E1121" s="63">
        <f t="shared" ca="1" si="48"/>
        <v>19.412712850174159</v>
      </c>
      <c r="F1121" s="63">
        <f t="shared" ca="1" si="48"/>
        <v>19.41271285017417</v>
      </c>
      <c r="G1121" s="63">
        <f t="shared" ca="1" si="48"/>
        <v>19.41329590017417</v>
      </c>
      <c r="H1121" s="63">
        <f t="shared" ca="1" si="48"/>
        <v>31.366722804429529</v>
      </c>
      <c r="I1121" s="63">
        <f t="shared" ca="1" si="48"/>
        <v>31.367305854429528</v>
      </c>
      <c r="J1121" s="63">
        <f t="shared" ca="1" si="48"/>
        <v>19.412712850174159</v>
      </c>
      <c r="K1121" s="63">
        <f t="shared" ca="1" si="48"/>
        <v>19.413295900174159</v>
      </c>
    </row>
    <row r="1122" spans="1:11" ht="15">
      <c r="A1122" s="3">
        <v>2092</v>
      </c>
      <c r="B1122" s="63">
        <f t="shared" ca="1" si="48"/>
        <v>16.715336159482302</v>
      </c>
      <c r="C1122" s="63">
        <f t="shared" ca="1" si="48"/>
        <v>16.715336159482302</v>
      </c>
      <c r="D1122" s="63">
        <f t="shared" ca="1" si="48"/>
        <v>16.727494879482308</v>
      </c>
      <c r="E1122" s="63">
        <f t="shared" ca="1" si="48"/>
        <v>19.708055727609757</v>
      </c>
      <c r="F1122" s="63">
        <f t="shared" ca="1" si="48"/>
        <v>19.708055727609757</v>
      </c>
      <c r="G1122" s="63">
        <f t="shared" ca="1" si="48"/>
        <v>19.70863877760976</v>
      </c>
      <c r="H1122" s="63">
        <f t="shared" ca="1" si="48"/>
        <v>31.817758739510058</v>
      </c>
      <c r="I1122" s="63">
        <f t="shared" ca="1" si="48"/>
        <v>31.818341789510061</v>
      </c>
      <c r="J1122" s="63">
        <f t="shared" ca="1" si="48"/>
        <v>19.708055727609757</v>
      </c>
      <c r="K1122" s="63">
        <f t="shared" ca="1" si="48"/>
        <v>19.708638777609753</v>
      </c>
    </row>
    <row r="1123" spans="1:11" ht="15">
      <c r="A1123" s="3">
        <v>2093</v>
      </c>
      <c r="B1123" s="63">
        <f t="shared" ca="1" si="48"/>
        <v>16.962855510502912</v>
      </c>
      <c r="C1123" s="63">
        <f t="shared" ca="1" si="48"/>
        <v>16.962855510502912</v>
      </c>
      <c r="D1123" s="63">
        <f t="shared" ca="1" si="48"/>
        <v>16.975014230502911</v>
      </c>
      <c r="E1123" s="63">
        <f t="shared" ca="1" si="48"/>
        <v>20.003398605045344</v>
      </c>
      <c r="F1123" s="63">
        <f t="shared" ca="1" si="48"/>
        <v>20.003398605045351</v>
      </c>
      <c r="G1123" s="63">
        <f t="shared" ca="1" si="48"/>
        <v>20.003981655045347</v>
      </c>
      <c r="H1123" s="63">
        <f t="shared" ca="1" si="48"/>
        <v>32.268794674590595</v>
      </c>
      <c r="I1123" s="63">
        <f t="shared" ca="1" si="48"/>
        <v>32.269377724590605</v>
      </c>
      <c r="J1123" s="63">
        <f t="shared" ca="1" si="48"/>
        <v>20.003398605045344</v>
      </c>
      <c r="K1123" s="63">
        <f t="shared" ca="1" si="48"/>
        <v>20.00398165504534</v>
      </c>
    </row>
    <row r="1124" spans="1:11" ht="15">
      <c r="A1124" s="3">
        <v>2094</v>
      </c>
      <c r="B1124" s="63">
        <f t="shared" ref="B1124:K1130" ca="1" si="49">AVERAGE(OFFSET(B$576,($A1124-$A$1092)*12,0,12,1))</f>
        <v>17.210374861523519</v>
      </c>
      <c r="C1124" s="63">
        <f t="shared" ca="1" si="49"/>
        <v>17.210374861523519</v>
      </c>
      <c r="D1124" s="63">
        <f t="shared" ca="1" si="49"/>
        <v>17.222533581523514</v>
      </c>
      <c r="E1124" s="63">
        <f t="shared" ca="1" si="49"/>
        <v>20.298741482480931</v>
      </c>
      <c r="F1124" s="63">
        <f t="shared" ca="1" si="49"/>
        <v>20.298741482480938</v>
      </c>
      <c r="G1124" s="63">
        <f t="shared" ca="1" si="49"/>
        <v>20.299324532480941</v>
      </c>
      <c r="H1124" s="63">
        <f t="shared" ca="1" si="49"/>
        <v>32.719830609671128</v>
      </c>
      <c r="I1124" s="63">
        <f t="shared" ca="1" si="49"/>
        <v>32.720413659671131</v>
      </c>
      <c r="J1124" s="63">
        <f t="shared" ca="1" si="49"/>
        <v>20.298741482480931</v>
      </c>
      <c r="K1124" s="63">
        <f t="shared" ca="1" si="49"/>
        <v>20.299324532480931</v>
      </c>
    </row>
    <row r="1125" spans="1:11" ht="15">
      <c r="A1125" s="3">
        <v>2095</v>
      </c>
      <c r="B1125" s="63">
        <f t="shared" ca="1" si="49"/>
        <v>17.457894212544122</v>
      </c>
      <c r="C1125" s="63">
        <f t="shared" ca="1" si="49"/>
        <v>17.457894212544122</v>
      </c>
      <c r="D1125" s="63">
        <f t="shared" ca="1" si="49"/>
        <v>17.470052932544125</v>
      </c>
      <c r="E1125" s="63">
        <f t="shared" ca="1" si="49"/>
        <v>20.594084359916526</v>
      </c>
      <c r="F1125" s="63">
        <f t="shared" ca="1" si="49"/>
        <v>20.594084359916529</v>
      </c>
      <c r="G1125" s="63">
        <f t="shared" ca="1" si="49"/>
        <v>20.594667409916529</v>
      </c>
      <c r="H1125" s="63">
        <f t="shared" ca="1" si="49"/>
        <v>33.170866544751668</v>
      </c>
      <c r="I1125" s="63">
        <f t="shared" ca="1" si="49"/>
        <v>33.171449594751671</v>
      </c>
      <c r="J1125" s="63">
        <f t="shared" ca="1" si="49"/>
        <v>20.594084359916526</v>
      </c>
      <c r="K1125" s="63">
        <f t="shared" ca="1" si="49"/>
        <v>20.594667409916521</v>
      </c>
    </row>
    <row r="1126" spans="1:11" ht="15">
      <c r="A1126" s="3">
        <v>2096</v>
      </c>
      <c r="B1126" s="63">
        <f t="shared" ca="1" si="49"/>
        <v>17.705413563564733</v>
      </c>
      <c r="C1126" s="63">
        <f t="shared" ca="1" si="49"/>
        <v>17.705413563564733</v>
      </c>
      <c r="D1126" s="63">
        <f t="shared" ca="1" si="49"/>
        <v>17.717572283564731</v>
      </c>
      <c r="E1126" s="63">
        <f t="shared" ca="1" si="49"/>
        <v>20.889427237352113</v>
      </c>
      <c r="F1126" s="63">
        <f t="shared" ca="1" si="49"/>
        <v>20.88942723735212</v>
      </c>
      <c r="G1126" s="63">
        <f t="shared" ca="1" si="49"/>
        <v>20.890010287352119</v>
      </c>
      <c r="H1126" s="63">
        <f t="shared" ca="1" si="49"/>
        <v>33.621902479832201</v>
      </c>
      <c r="I1126" s="63">
        <f t="shared" ca="1" si="49"/>
        <v>33.622485529832197</v>
      </c>
      <c r="J1126" s="63">
        <f t="shared" ca="1" si="49"/>
        <v>20.889427237352113</v>
      </c>
      <c r="K1126" s="63">
        <f t="shared" ca="1" si="49"/>
        <v>20.890010287352116</v>
      </c>
    </row>
    <row r="1127" spans="1:11" ht="15">
      <c r="A1127" s="3">
        <v>2097</v>
      </c>
      <c r="B1127" s="63">
        <f t="shared" ca="1" si="49"/>
        <v>17.95293291458534</v>
      </c>
      <c r="C1127" s="63">
        <f t="shared" ca="1" si="49"/>
        <v>17.95293291458534</v>
      </c>
      <c r="D1127" s="63">
        <f t="shared" ca="1" si="49"/>
        <v>17.965091634585338</v>
      </c>
      <c r="E1127" s="63">
        <f t="shared" ca="1" si="49"/>
        <v>21.184770114787707</v>
      </c>
      <c r="F1127" s="63">
        <f t="shared" ca="1" si="49"/>
        <v>21.184770114787714</v>
      </c>
      <c r="G1127" s="63">
        <f t="shared" ca="1" si="49"/>
        <v>21.18535316478771</v>
      </c>
      <c r="H1127" s="63">
        <f t="shared" ca="1" si="49"/>
        <v>34.072938414912748</v>
      </c>
      <c r="I1127" s="63">
        <f t="shared" ca="1" si="49"/>
        <v>34.073521464912737</v>
      </c>
      <c r="J1127" s="63">
        <f t="shared" ca="1" si="49"/>
        <v>21.184770114787707</v>
      </c>
      <c r="K1127" s="63">
        <f t="shared" ca="1" si="49"/>
        <v>21.185353164787703</v>
      </c>
    </row>
    <row r="1128" spans="1:11" ht="15">
      <c r="A1128" s="3">
        <v>2098</v>
      </c>
      <c r="B1128" s="63">
        <f t="shared" ca="1" si="49"/>
        <v>18.200452265605943</v>
      </c>
      <c r="C1128" s="63">
        <f t="shared" ca="1" si="49"/>
        <v>18.200452265605943</v>
      </c>
      <c r="D1128" s="63">
        <f t="shared" ca="1" si="49"/>
        <v>18.212610985605941</v>
      </c>
      <c r="E1128" s="63">
        <f t="shared" ca="1" si="49"/>
        <v>21.480112992223297</v>
      </c>
      <c r="F1128" s="63">
        <f t="shared" ca="1" si="49"/>
        <v>21.480112992223297</v>
      </c>
      <c r="G1128" s="63">
        <f t="shared" ca="1" si="49"/>
        <v>21.480696042223297</v>
      </c>
      <c r="H1128" s="63">
        <f t="shared" ca="1" si="49"/>
        <v>34.523974349993274</v>
      </c>
      <c r="I1128" s="63">
        <f t="shared" ca="1" si="49"/>
        <v>34.524557399993277</v>
      </c>
      <c r="J1128" s="63">
        <f t="shared" ca="1" si="49"/>
        <v>21.480112992223297</v>
      </c>
      <c r="K1128" s="63">
        <f t="shared" ca="1" si="49"/>
        <v>21.48069604222329</v>
      </c>
    </row>
    <row r="1129" spans="1:11" ht="15">
      <c r="A1129" s="3">
        <v>2099</v>
      </c>
      <c r="B1129" s="63">
        <f t="shared" ca="1" si="49"/>
        <v>18.447971616626546</v>
      </c>
      <c r="C1129" s="63">
        <f t="shared" ca="1" si="49"/>
        <v>18.447971616626546</v>
      </c>
      <c r="D1129" s="63">
        <f t="shared" ca="1" si="49"/>
        <v>18.460130336626548</v>
      </c>
      <c r="E1129" s="63">
        <f t="shared" ca="1" si="49"/>
        <v>21.775455869658884</v>
      </c>
      <c r="F1129" s="63">
        <f t="shared" ca="1" si="49"/>
        <v>21.775455869658888</v>
      </c>
      <c r="G1129" s="63">
        <f t="shared" ca="1" si="49"/>
        <v>21.776038919658891</v>
      </c>
      <c r="H1129" s="63">
        <f t="shared" ca="1" si="49"/>
        <v>34.975010285073814</v>
      </c>
      <c r="I1129" s="63">
        <f t="shared" ca="1" si="49"/>
        <v>34.975593335073803</v>
      </c>
      <c r="J1129" s="63">
        <f t="shared" ca="1" si="49"/>
        <v>21.775455869658884</v>
      </c>
      <c r="K1129" s="63">
        <f t="shared" ca="1" si="49"/>
        <v>21.776038919658887</v>
      </c>
    </row>
    <row r="1130" spans="1:11" ht="15">
      <c r="A1130" s="3">
        <v>2100</v>
      </c>
      <c r="B1130" s="63">
        <f t="shared" ca="1" si="49"/>
        <v>18.695490967647157</v>
      </c>
      <c r="C1130" s="63">
        <f t="shared" ca="1" si="49"/>
        <v>18.695490967647157</v>
      </c>
      <c r="D1130" s="63">
        <f t="shared" ca="1" si="49"/>
        <v>18.707649687647155</v>
      </c>
      <c r="E1130" s="63">
        <f t="shared" ca="1" si="49"/>
        <v>22.070798747094475</v>
      </c>
      <c r="F1130" s="63">
        <f t="shared" ca="1" si="49"/>
        <v>22.070798747094482</v>
      </c>
      <c r="G1130" s="63">
        <f t="shared" ca="1" si="49"/>
        <v>22.071381797094485</v>
      </c>
      <c r="H1130" s="63">
        <f t="shared" ca="1" si="49"/>
        <v>35.42604622015434</v>
      </c>
      <c r="I1130" s="63">
        <f t="shared" ca="1" si="49"/>
        <v>35.426629270154351</v>
      </c>
      <c r="J1130" s="63">
        <f t="shared" ca="1" si="49"/>
        <v>22.070798747094475</v>
      </c>
      <c r="K1130" s="63">
        <f t="shared" ca="1" si="49"/>
        <v>22.071381797094475</v>
      </c>
    </row>
  </sheetData>
  <mergeCells count="7">
    <mergeCell ref="L13:O13"/>
    <mergeCell ref="B14:D14"/>
    <mergeCell ref="E14:G14"/>
    <mergeCell ref="H14:I14"/>
    <mergeCell ref="J14:K14"/>
    <mergeCell ref="L14:M14"/>
    <mergeCell ref="N14:O14"/>
  </mergeCells>
  <pageMargins left="0.25" right="0.25" top="0.5" bottom="0.5" header="0.25" footer="0.25"/>
  <pageSetup paperSize="119" scale="85" orientation="landscape" horizontalDpi="1200" verticalDpi="1200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371475</xdr:colOff>
                    <xdr:row>12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37"/>
  <sheetViews>
    <sheetView showGridLines="0" zoomScale="70" zoomScaleNormal="70" workbookViewId="0">
      <selection activeCell="A6" sqref="A6"/>
    </sheetView>
  </sheetViews>
  <sheetFormatPr defaultColWidth="8.88671875" defaultRowHeight="15.75"/>
  <cols>
    <col min="1" max="1" width="8.88671875" style="77"/>
    <col min="2" max="2" width="15.5546875" style="77" bestFit="1" customWidth="1"/>
    <col min="3" max="3" width="9.5546875" style="77" bestFit="1" customWidth="1"/>
    <col min="4" max="16384" width="8.88671875" style="77"/>
  </cols>
  <sheetData>
    <row r="1" spans="1:3">
      <c r="A1" s="85" t="s">
        <v>64</v>
      </c>
    </row>
    <row r="2" spans="1:3">
      <c r="A2" s="85" t="s">
        <v>65</v>
      </c>
    </row>
    <row r="3" spans="1:3">
      <c r="A3" s="85" t="s">
        <v>66</v>
      </c>
    </row>
    <row r="4" spans="1:3">
      <c r="A4" s="85" t="s">
        <v>67</v>
      </c>
    </row>
    <row r="5" spans="1:3">
      <c r="A5" s="85" t="s">
        <v>69</v>
      </c>
    </row>
    <row r="6" spans="1:3">
      <c r="A6" s="85" t="s">
        <v>70</v>
      </c>
    </row>
    <row r="8" spans="1:3">
      <c r="B8" s="82" t="s">
        <v>63</v>
      </c>
      <c r="C8" s="82" t="s">
        <v>54</v>
      </c>
    </row>
    <row r="9" spans="1:3">
      <c r="B9" s="84" t="s">
        <v>61</v>
      </c>
      <c r="C9" s="94">
        <v>2</v>
      </c>
    </row>
    <row r="10" spans="1:3">
      <c r="B10" s="84" t="s">
        <v>60</v>
      </c>
      <c r="C10" s="96"/>
    </row>
    <row r="11" spans="1:3">
      <c r="B11" s="83" t="s">
        <v>59</v>
      </c>
      <c r="C11" s="95"/>
    </row>
    <row r="14" spans="1:3">
      <c r="B14" s="82" t="s">
        <v>55</v>
      </c>
      <c r="C14" s="82" t="s">
        <v>54</v>
      </c>
    </row>
    <row r="15" spans="1:3">
      <c r="B15" s="84" t="s">
        <v>61</v>
      </c>
      <c r="C15" s="94">
        <v>2</v>
      </c>
    </row>
    <row r="16" spans="1:3">
      <c r="B16" s="84" t="s">
        <v>60</v>
      </c>
      <c r="C16" s="96"/>
    </row>
    <row r="17" spans="2:3">
      <c r="B17" s="83" t="s">
        <v>59</v>
      </c>
      <c r="C17" s="95"/>
    </row>
    <row r="21" spans="2:3">
      <c r="B21" s="82" t="s">
        <v>62</v>
      </c>
      <c r="C21" s="82" t="s">
        <v>54</v>
      </c>
    </row>
    <row r="22" spans="2:3">
      <c r="B22" s="84" t="s">
        <v>61</v>
      </c>
      <c r="C22" s="94">
        <v>2</v>
      </c>
    </row>
    <row r="23" spans="2:3">
      <c r="B23" s="84" t="s">
        <v>60</v>
      </c>
      <c r="C23" s="96"/>
    </row>
    <row r="24" spans="2:3">
      <c r="B24" s="83" t="s">
        <v>59</v>
      </c>
      <c r="C24" s="95"/>
    </row>
    <row r="27" spans="2:3">
      <c r="B27" s="82" t="s">
        <v>58</v>
      </c>
      <c r="C27" s="82" t="s">
        <v>54</v>
      </c>
    </row>
    <row r="28" spans="2:3">
      <c r="B28" s="81" t="s">
        <v>57</v>
      </c>
      <c r="C28" s="94">
        <v>1</v>
      </c>
    </row>
    <row r="29" spans="2:3">
      <c r="B29" s="80" t="s">
        <v>56</v>
      </c>
      <c r="C29" s="95"/>
    </row>
    <row r="31" spans="2:3">
      <c r="B31" s="82" t="s">
        <v>55</v>
      </c>
      <c r="C31" s="82" t="s">
        <v>54</v>
      </c>
    </row>
    <row r="32" spans="2:3">
      <c r="B32" s="81" t="s">
        <v>53</v>
      </c>
      <c r="C32" s="94">
        <v>1</v>
      </c>
    </row>
    <row r="33" spans="2:5">
      <c r="B33" s="80" t="s">
        <v>52</v>
      </c>
      <c r="C33" s="95"/>
    </row>
    <row r="37" spans="2:5">
      <c r="C37" s="79"/>
      <c r="E37" s="78"/>
    </row>
  </sheetData>
  <mergeCells count="5">
    <mergeCell ref="C32:C33"/>
    <mergeCell ref="C22:C24"/>
    <mergeCell ref="C28:C29"/>
    <mergeCell ref="C9:C11"/>
    <mergeCell ref="C15:C17"/>
  </mergeCells>
  <pageMargins left="0.25" right="0.25" top="0.5" bottom="0.5" header="0.25" footer="0.25"/>
  <pageSetup orientation="portrait" horizontalDpi="1200" verticalDpi="1200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RAP-NATURAL GAS PRICES</vt:lpstr>
      <vt:lpstr>RAP TEMPLATE-GAS AVAILABILITY</vt:lpstr>
      <vt:lpstr>RAP-HEAVY &amp; LIGHT OIL &amp; WTI</vt:lpstr>
      <vt:lpstr>RAP-SOLID FUEL PRICES</vt:lpstr>
      <vt:lpstr>CONTROL</vt:lpstr>
      <vt:lpstr>'RAP TEMPLATE-GAS AVAILABILITY'!Print_Area</vt:lpstr>
      <vt:lpstr>'RAP-HEAVY &amp; LIGHT OIL &amp; WTI'!Print_Area</vt:lpstr>
      <vt:lpstr>'RAP-NATURAL GAS PRICES'!Print_Area</vt:lpstr>
      <vt:lpstr>'RAP-SOLID FUEL PRICES'!Print_Area</vt:lpstr>
      <vt:lpstr>'RAP TEMPLATE-GAS AVAILABILITY'!Print_Titles</vt:lpstr>
      <vt:lpstr>'RAP-HEAVY &amp; LIGHT OIL &amp; WTI'!Print_Titles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2016-07-29T16:29:32Z</dcterms:created>
  <dcterms:modified xsi:type="dcterms:W3CDTF">2016-07-29T16:29:35Z</dcterms:modified>
</cp:coreProperties>
</file>