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1055" tabRatio="84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PRICES'!$A$17:$K$1131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C1050" i="3"/>
  <c r="D1051" i="3"/>
  <c r="B1052" i="3"/>
  <c r="C1052" i="3"/>
  <c r="E1053" i="3"/>
  <c r="B1054" i="3"/>
  <c r="C1054" i="3"/>
  <c r="B1056" i="3"/>
  <c r="C1056" i="3"/>
  <c r="D1057" i="3"/>
  <c r="E1057" i="3"/>
  <c r="B1058" i="3"/>
  <c r="C1058" i="3"/>
  <c r="B1060" i="3"/>
  <c r="C1060" i="3"/>
  <c r="E1060" i="3"/>
  <c r="E1061" i="3"/>
  <c r="B1062" i="3"/>
  <c r="E1062" i="3"/>
  <c r="E1063" i="3"/>
  <c r="B1064" i="3"/>
  <c r="C1064" i="3"/>
  <c r="B1065" i="3"/>
  <c r="E1065" i="3"/>
  <c r="B1066" i="3"/>
  <c r="C1066" i="3"/>
  <c r="E1066" i="3"/>
  <c r="D1067" i="3"/>
  <c r="E1067" i="3"/>
  <c r="B1068" i="3"/>
  <c r="C1068" i="3"/>
  <c r="D1068" i="3"/>
  <c r="E1068" i="3"/>
  <c r="B1069" i="3"/>
  <c r="E1069" i="3"/>
  <c r="B1070" i="3"/>
  <c r="C1070" i="3"/>
  <c r="E1070" i="3"/>
  <c r="B1071" i="3"/>
  <c r="D1071" i="3"/>
  <c r="B1072" i="3"/>
  <c r="C1072" i="3"/>
  <c r="E1072" i="3"/>
  <c r="A1073" i="3"/>
  <c r="C1073" i="3"/>
  <c r="A1074" i="3"/>
  <c r="A1075" i="3" s="1"/>
  <c r="B1074" i="3"/>
  <c r="C1074" i="3"/>
  <c r="B1075" i="3"/>
  <c r="C1075" i="3"/>
  <c r="E1075" i="3"/>
  <c r="A1076" i="3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B1076" i="3"/>
  <c r="E1076" i="3"/>
  <c r="B1077" i="3"/>
  <c r="E1077" i="3"/>
  <c r="B1078" i="3"/>
  <c r="C1078" i="3"/>
  <c r="E1078" i="3"/>
  <c r="C1079" i="3"/>
  <c r="E1079" i="3"/>
  <c r="B1080" i="3"/>
  <c r="C1080" i="3"/>
  <c r="E1080" i="3"/>
  <c r="C1081" i="3"/>
  <c r="E1081" i="3"/>
  <c r="B1082" i="3"/>
  <c r="C1082" i="3"/>
  <c r="B1083" i="3"/>
  <c r="C1083" i="3"/>
  <c r="E1083" i="3"/>
  <c r="B1084" i="3"/>
  <c r="B1085" i="3"/>
  <c r="C1085" i="3"/>
  <c r="E1085" i="3"/>
  <c r="B1086" i="3"/>
  <c r="C1086" i="3"/>
  <c r="E1086" i="3"/>
  <c r="B1087" i="3"/>
  <c r="C1087" i="3"/>
  <c r="E1087" i="3"/>
  <c r="B1088" i="3"/>
  <c r="E1088" i="3"/>
  <c r="C1089" i="3"/>
  <c r="E1089" i="3"/>
  <c r="C1090" i="3"/>
  <c r="B1091" i="3"/>
  <c r="C1091" i="3"/>
  <c r="E1091" i="3"/>
  <c r="B1092" i="3"/>
  <c r="E1092" i="3"/>
  <c r="B1093" i="3"/>
  <c r="C1093" i="3"/>
  <c r="B1094" i="3"/>
  <c r="C1094" i="3"/>
  <c r="D1094" i="3"/>
  <c r="E1094" i="3"/>
  <c r="B1095" i="3"/>
  <c r="C1095" i="3"/>
  <c r="B1096" i="3"/>
  <c r="C1096" i="3"/>
  <c r="E1096" i="3"/>
  <c r="A1097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R1050" i="1" s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K1050" i="1"/>
  <c r="L1050" i="1"/>
  <c r="M1050" i="1"/>
  <c r="N1050" i="1"/>
  <c r="O1050" i="1"/>
  <c r="P1050" i="1"/>
  <c r="S1050" i="1"/>
  <c r="B1051" i="1"/>
  <c r="F1051" i="1"/>
  <c r="L1051" i="1"/>
  <c r="M1051" i="1"/>
  <c r="N1051" i="1"/>
  <c r="O1051" i="1"/>
  <c r="P1051" i="1"/>
  <c r="J1052" i="1"/>
  <c r="L1052" i="1"/>
  <c r="M1052" i="1"/>
  <c r="N1052" i="1"/>
  <c r="O1052" i="1"/>
  <c r="P1052" i="1"/>
  <c r="Q1052" i="1"/>
  <c r="C1053" i="1"/>
  <c r="E1053" i="1"/>
  <c r="L1053" i="1"/>
  <c r="M1053" i="1"/>
  <c r="N1053" i="1"/>
  <c r="O1053" i="1"/>
  <c r="P1053" i="1"/>
  <c r="Q1053" i="1"/>
  <c r="D1054" i="1"/>
  <c r="L1054" i="1"/>
  <c r="M1054" i="1"/>
  <c r="N1054" i="1"/>
  <c r="O1054" i="1"/>
  <c r="P1054" i="1"/>
  <c r="Q1054" i="1"/>
  <c r="F1055" i="1"/>
  <c r="I1055" i="1"/>
  <c r="L1055" i="1"/>
  <c r="M1055" i="1"/>
  <c r="N1055" i="1"/>
  <c r="O1055" i="1"/>
  <c r="P1055" i="1"/>
  <c r="Q1055" i="1"/>
  <c r="D1056" i="1"/>
  <c r="E1056" i="1"/>
  <c r="J1056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F1058" i="1"/>
  <c r="I1058" i="1"/>
  <c r="L1058" i="1"/>
  <c r="M1058" i="1"/>
  <c r="N1058" i="1"/>
  <c r="O1058" i="1"/>
  <c r="P1058" i="1"/>
  <c r="Q1058" i="1"/>
  <c r="G1059" i="1"/>
  <c r="L1059" i="1"/>
  <c r="M1059" i="1"/>
  <c r="N1059" i="1"/>
  <c r="O1059" i="1"/>
  <c r="P1059" i="1"/>
  <c r="Q1059" i="1"/>
  <c r="J1060" i="1"/>
  <c r="L1060" i="1"/>
  <c r="M1060" i="1"/>
  <c r="N1060" i="1"/>
  <c r="O1060" i="1"/>
  <c r="P1060" i="1"/>
  <c r="Q1060" i="1"/>
  <c r="D1061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G1069" i="1"/>
  <c r="L1069" i="1"/>
  <c r="M1069" i="1"/>
  <c r="N1069" i="1"/>
  <c r="O1069" i="1"/>
  <c r="P1069" i="1"/>
  <c r="Q1069" i="1"/>
  <c r="J1070" i="1"/>
  <c r="L1070" i="1"/>
  <c r="M1070" i="1"/>
  <c r="N1070" i="1"/>
  <c r="O1070" i="1"/>
  <c r="P1070" i="1"/>
  <c r="Q1070" i="1"/>
  <c r="F1071" i="1"/>
  <c r="I1071" i="1"/>
  <c r="L1071" i="1"/>
  <c r="M1071" i="1"/>
  <c r="N1071" i="1"/>
  <c r="O1071" i="1"/>
  <c r="P1071" i="1"/>
  <c r="Q1071" i="1"/>
  <c r="D1072" i="1"/>
  <c r="E1072" i="1"/>
  <c r="L1072" i="1"/>
  <c r="M1072" i="1"/>
  <c r="N1072" i="1"/>
  <c r="O1072" i="1"/>
  <c r="P1072" i="1"/>
  <c r="Q1072" i="1"/>
  <c r="A1073" i="1"/>
  <c r="H1073" i="1"/>
  <c r="L1073" i="1"/>
  <c r="M1073" i="1"/>
  <c r="N1073" i="1"/>
  <c r="O1073" i="1"/>
  <c r="P1073" i="1"/>
  <c r="Q1073" i="1"/>
  <c r="A1074" i="1"/>
  <c r="L1074" i="1"/>
  <c r="M1074" i="1"/>
  <c r="N1074" i="1"/>
  <c r="O1074" i="1"/>
  <c r="P1074" i="1"/>
  <c r="Q1074" i="1"/>
  <c r="A1075" i="1"/>
  <c r="D1075" i="1"/>
  <c r="G1075" i="1"/>
  <c r="L1075" i="1"/>
  <c r="M1075" i="1"/>
  <c r="N1075" i="1"/>
  <c r="O1075" i="1"/>
  <c r="P1075" i="1"/>
  <c r="Q1075" i="1"/>
  <c r="A1076" i="1"/>
  <c r="D1076" i="1"/>
  <c r="G1076" i="1"/>
  <c r="L1076" i="1"/>
  <c r="M1076" i="1"/>
  <c r="N1076" i="1"/>
  <c r="O1076" i="1"/>
  <c r="P1076" i="1"/>
  <c r="Q1076" i="1"/>
  <c r="A1077" i="1"/>
  <c r="L1077" i="1"/>
  <c r="M1077" i="1"/>
  <c r="N1077" i="1"/>
  <c r="O1077" i="1"/>
  <c r="P1077" i="1"/>
  <c r="Q1077" i="1"/>
  <c r="A1078" i="1"/>
  <c r="D1078" i="1"/>
  <c r="J1078" i="1"/>
  <c r="L1078" i="1"/>
  <c r="M1078" i="1"/>
  <c r="N1078" i="1"/>
  <c r="O1078" i="1"/>
  <c r="P1078" i="1"/>
  <c r="Q1078" i="1"/>
  <c r="A1079" i="1"/>
  <c r="B1079" i="1"/>
  <c r="D1079" i="1"/>
  <c r="L1079" i="1"/>
  <c r="M1079" i="1"/>
  <c r="N1079" i="1"/>
  <c r="O1079" i="1"/>
  <c r="P1079" i="1"/>
  <c r="Q1079" i="1"/>
  <c r="A1080" i="1"/>
  <c r="L1080" i="1"/>
  <c r="M1080" i="1"/>
  <c r="N1080" i="1"/>
  <c r="O1080" i="1"/>
  <c r="P1080" i="1"/>
  <c r="Q1080" i="1"/>
  <c r="A1081" i="1"/>
  <c r="G1081" i="1"/>
  <c r="H1081" i="1"/>
  <c r="L1081" i="1"/>
  <c r="M1081" i="1"/>
  <c r="N1081" i="1"/>
  <c r="O1081" i="1"/>
  <c r="P1081" i="1"/>
  <c r="Q1081" i="1"/>
  <c r="A1082" i="1"/>
  <c r="D1082" i="1"/>
  <c r="L1082" i="1"/>
  <c r="M1082" i="1"/>
  <c r="N1082" i="1"/>
  <c r="O1082" i="1"/>
  <c r="P1082" i="1"/>
  <c r="Q1082" i="1"/>
  <c r="A1083" i="1"/>
  <c r="L1083" i="1"/>
  <c r="M1083" i="1"/>
  <c r="N1083" i="1"/>
  <c r="O1083" i="1"/>
  <c r="P1083" i="1"/>
  <c r="Q1083" i="1"/>
  <c r="A1084" i="1"/>
  <c r="F1084" i="1"/>
  <c r="G1084" i="1"/>
  <c r="L1084" i="1"/>
  <c r="M1084" i="1"/>
  <c r="N1084" i="1"/>
  <c r="O1084" i="1"/>
  <c r="P1084" i="1"/>
  <c r="Q1084" i="1"/>
  <c r="A1085" i="1"/>
  <c r="G1085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C1087" i="1"/>
  <c r="D1087" i="1"/>
  <c r="L1087" i="1"/>
  <c r="M1087" i="1"/>
  <c r="N1087" i="1"/>
  <c r="O1087" i="1"/>
  <c r="P1087" i="1"/>
  <c r="Q1087" i="1"/>
  <c r="A1088" i="1"/>
  <c r="F1088" i="1"/>
  <c r="L1088" i="1"/>
  <c r="M1088" i="1"/>
  <c r="N1088" i="1"/>
  <c r="O1088" i="1"/>
  <c r="P1088" i="1"/>
  <c r="Q1088" i="1"/>
  <c r="A1089" i="1"/>
  <c r="J1089" i="1"/>
  <c r="L1089" i="1"/>
  <c r="M1089" i="1"/>
  <c r="N1089" i="1"/>
  <c r="O1089" i="1"/>
  <c r="P1089" i="1"/>
  <c r="Q1089" i="1"/>
  <c r="A1090" i="1"/>
  <c r="B1090" i="1"/>
  <c r="D1090" i="1"/>
  <c r="L1090" i="1"/>
  <c r="M1090" i="1"/>
  <c r="N1090" i="1"/>
  <c r="O1090" i="1"/>
  <c r="P1090" i="1"/>
  <c r="Q1090" i="1"/>
  <c r="A1091" i="1"/>
  <c r="C1091" i="1"/>
  <c r="L1091" i="1"/>
  <c r="M1091" i="1"/>
  <c r="N1091" i="1"/>
  <c r="O1091" i="1"/>
  <c r="P1091" i="1"/>
  <c r="Q1091" i="1"/>
  <c r="A1092" i="1"/>
  <c r="J1092" i="1"/>
  <c r="L1092" i="1"/>
  <c r="M1092" i="1"/>
  <c r="N1092" i="1"/>
  <c r="O1092" i="1"/>
  <c r="P1092" i="1"/>
  <c r="Q1092" i="1"/>
  <c r="A1093" i="1"/>
  <c r="B1093" i="1"/>
  <c r="J1093" i="1"/>
  <c r="L1093" i="1"/>
  <c r="M1093" i="1"/>
  <c r="N1093" i="1"/>
  <c r="O1093" i="1"/>
  <c r="P1093" i="1"/>
  <c r="Q1093" i="1"/>
  <c r="A1094" i="1"/>
  <c r="B1094" i="1"/>
  <c r="L1094" i="1"/>
  <c r="M1094" i="1"/>
  <c r="N1094" i="1"/>
  <c r="O1094" i="1"/>
  <c r="P1094" i="1"/>
  <c r="Q1094" i="1"/>
  <c r="A1095" i="1"/>
  <c r="G1095" i="1"/>
  <c r="L1095" i="1"/>
  <c r="M1095" i="1"/>
  <c r="N1095" i="1"/>
  <c r="O1095" i="1"/>
  <c r="P1095" i="1"/>
  <c r="Q1095" i="1"/>
  <c r="A1096" i="1"/>
  <c r="D1096" i="1"/>
  <c r="L1096" i="1"/>
  <c r="M1096" i="1"/>
  <c r="N1096" i="1"/>
  <c r="O1096" i="1"/>
  <c r="P1096" i="1"/>
  <c r="Q1096" i="1"/>
  <c r="A1097" i="1"/>
  <c r="L1097" i="1"/>
  <c r="M1097" i="1"/>
  <c r="O1097" i="1"/>
  <c r="P1097" i="1"/>
  <c r="Q1097" i="1"/>
  <c r="A1098" i="1"/>
  <c r="L1098" i="1"/>
  <c r="M1098" i="1"/>
  <c r="O1098" i="1"/>
  <c r="P1098" i="1"/>
  <c r="Q1098" i="1"/>
  <c r="A1099" i="1"/>
  <c r="F1099" i="1"/>
  <c r="L1099" i="1"/>
  <c r="M1099" i="1"/>
  <c r="O1099" i="1"/>
  <c r="P1099" i="1"/>
  <c r="Q1099" i="1"/>
  <c r="A1100" i="1"/>
  <c r="C1100" i="1"/>
  <c r="L1100" i="1"/>
  <c r="M1100" i="1"/>
  <c r="O1100" i="1"/>
  <c r="P1100" i="1"/>
  <c r="Q1100" i="1"/>
  <c r="A1101" i="1"/>
  <c r="B1101" i="1"/>
  <c r="L1101" i="1"/>
  <c r="M1101" i="1"/>
  <c r="O1101" i="1"/>
  <c r="P1101" i="1"/>
  <c r="Q1101" i="1"/>
  <c r="A1102" i="1"/>
  <c r="H1102" i="1"/>
  <c r="L1102" i="1"/>
  <c r="M1102" i="1"/>
  <c r="O1102" i="1"/>
  <c r="P1102" i="1"/>
  <c r="Q1102" i="1"/>
  <c r="A1103" i="1"/>
  <c r="D1103" i="1"/>
  <c r="L1103" i="1"/>
  <c r="M1103" i="1"/>
  <c r="O1103" i="1"/>
  <c r="P1103" i="1"/>
  <c r="Q1103" i="1"/>
  <c r="A1104" i="1"/>
  <c r="D1104" i="1"/>
  <c r="L1104" i="1"/>
  <c r="M1104" i="1"/>
  <c r="O1104" i="1"/>
  <c r="P1104" i="1"/>
  <c r="Q1104" i="1"/>
  <c r="A1105" i="1"/>
  <c r="J1105" i="1"/>
  <c r="L1105" i="1"/>
  <c r="M1105" i="1"/>
  <c r="O1105" i="1"/>
  <c r="P1105" i="1"/>
  <c r="Q1105" i="1"/>
  <c r="A1106" i="1"/>
  <c r="C1106" i="1"/>
  <c r="L1106" i="1"/>
  <c r="M1106" i="1"/>
  <c r="O1106" i="1"/>
  <c r="P1106" i="1"/>
  <c r="Q1106" i="1"/>
  <c r="A1107" i="1"/>
  <c r="F1107" i="1"/>
  <c r="L1107" i="1"/>
  <c r="M1107" i="1"/>
  <c r="O1107" i="1"/>
  <c r="P1107" i="1"/>
  <c r="Q1107" i="1"/>
  <c r="A1108" i="1"/>
  <c r="E1108" i="1" s="1"/>
  <c r="L1108" i="1"/>
  <c r="M1108" i="1"/>
  <c r="O1108" i="1"/>
  <c r="P1108" i="1"/>
  <c r="Q1108" i="1"/>
  <c r="A1109" i="1"/>
  <c r="D1109" i="1"/>
  <c r="G1109" i="1"/>
  <c r="L1109" i="1"/>
  <c r="M1109" i="1"/>
  <c r="O1109" i="1"/>
  <c r="P1109" i="1"/>
  <c r="Q1109" i="1"/>
  <c r="A1110" i="1"/>
  <c r="B1110" i="1"/>
  <c r="G1110" i="1"/>
  <c r="L1110" i="1"/>
  <c r="M1110" i="1"/>
  <c r="O1110" i="1"/>
  <c r="P1110" i="1"/>
  <c r="Q1110" i="1"/>
  <c r="A1111" i="1"/>
  <c r="B1111" i="1"/>
  <c r="L1111" i="1"/>
  <c r="M1111" i="1"/>
  <c r="O1111" i="1"/>
  <c r="P1111" i="1"/>
  <c r="Q1111" i="1"/>
  <c r="A1112" i="1"/>
  <c r="J1112" i="1"/>
  <c r="L1112" i="1"/>
  <c r="M1112" i="1"/>
  <c r="O1112" i="1"/>
  <c r="P1112" i="1"/>
  <c r="Q1112" i="1"/>
  <c r="A1113" i="1"/>
  <c r="C1113" i="1"/>
  <c r="H1113" i="1"/>
  <c r="L1113" i="1"/>
  <c r="M1113" i="1"/>
  <c r="O1113" i="1"/>
  <c r="P1113" i="1"/>
  <c r="Q1113" i="1"/>
  <c r="A1114" i="1"/>
  <c r="B1114" i="1"/>
  <c r="L1114" i="1"/>
  <c r="M1114" i="1"/>
  <c r="O1114" i="1"/>
  <c r="P1114" i="1"/>
  <c r="Q1114" i="1"/>
  <c r="A1115" i="1"/>
  <c r="L1115" i="1"/>
  <c r="M1115" i="1"/>
  <c r="O1115" i="1"/>
  <c r="P1115" i="1"/>
  <c r="Q1115" i="1"/>
  <c r="A1116" i="1"/>
  <c r="L1116" i="1"/>
  <c r="M1116" i="1"/>
  <c r="O1116" i="1"/>
  <c r="P1116" i="1"/>
  <c r="Q1116" i="1"/>
  <c r="A1117" i="1"/>
  <c r="L1117" i="1"/>
  <c r="M1117" i="1"/>
  <c r="O1117" i="1"/>
  <c r="P1117" i="1"/>
  <c r="Q1117" i="1"/>
  <c r="A1118" i="1"/>
  <c r="L1118" i="1"/>
  <c r="M1118" i="1"/>
  <c r="O1118" i="1"/>
  <c r="P1118" i="1"/>
  <c r="Q1118" i="1"/>
  <c r="A1119" i="1"/>
  <c r="L1119" i="1"/>
  <c r="M1119" i="1"/>
  <c r="O1119" i="1"/>
  <c r="P1119" i="1"/>
  <c r="Q1119" i="1"/>
  <c r="A1120" i="1"/>
  <c r="L1120" i="1"/>
  <c r="M1120" i="1"/>
  <c r="O1120" i="1"/>
  <c r="P1120" i="1"/>
  <c r="Q1120" i="1"/>
  <c r="A1121" i="1"/>
  <c r="L1121" i="1"/>
  <c r="M1121" i="1"/>
  <c r="O1121" i="1"/>
  <c r="P1121" i="1"/>
  <c r="Q1121" i="1"/>
  <c r="A1122" i="1"/>
  <c r="L1122" i="1"/>
  <c r="M1122" i="1"/>
  <c r="O1122" i="1"/>
  <c r="P1122" i="1"/>
  <c r="Q1122" i="1"/>
  <c r="A1123" i="1"/>
  <c r="L1123" i="1"/>
  <c r="M1123" i="1"/>
  <c r="O1123" i="1"/>
  <c r="P1123" i="1"/>
  <c r="Q1123" i="1"/>
  <c r="A1124" i="1"/>
  <c r="L1124" i="1"/>
  <c r="M1124" i="1"/>
  <c r="O1124" i="1"/>
  <c r="P1124" i="1"/>
  <c r="Q1124" i="1"/>
  <c r="A1125" i="1"/>
  <c r="L1125" i="1"/>
  <c r="M1125" i="1"/>
  <c r="O1125" i="1"/>
  <c r="P1125" i="1"/>
  <c r="Q1125" i="1"/>
  <c r="A1126" i="1"/>
  <c r="L1126" i="1"/>
  <c r="M1126" i="1"/>
  <c r="O1126" i="1"/>
  <c r="P1126" i="1"/>
  <c r="Q1126" i="1"/>
  <c r="A1127" i="1"/>
  <c r="L1127" i="1"/>
  <c r="M1127" i="1"/>
  <c r="O1127" i="1"/>
  <c r="P1127" i="1"/>
  <c r="Q1127" i="1"/>
  <c r="A1128" i="1"/>
  <c r="L1128" i="1"/>
  <c r="M1128" i="1"/>
  <c r="O1128" i="1"/>
  <c r="P1128" i="1"/>
  <c r="Q1128" i="1"/>
  <c r="A1129" i="1"/>
  <c r="L1129" i="1"/>
  <c r="M1129" i="1"/>
  <c r="O1129" i="1"/>
  <c r="P1129" i="1"/>
  <c r="Q1129" i="1"/>
  <c r="A1130" i="1"/>
  <c r="Q1130" i="1" s="1"/>
  <c r="G1129" i="1" l="1"/>
  <c r="H1129" i="1"/>
  <c r="J1128" i="1"/>
  <c r="C1128" i="1"/>
  <c r="F1127" i="1"/>
  <c r="B1127" i="1"/>
  <c r="B1126" i="1"/>
  <c r="F1126" i="1"/>
  <c r="H1125" i="1"/>
  <c r="D1124" i="1"/>
  <c r="F1123" i="1"/>
  <c r="G1126" i="1"/>
  <c r="J1123" i="1"/>
  <c r="D1123" i="1"/>
  <c r="C1122" i="1"/>
  <c r="F1122" i="1"/>
  <c r="G1122" i="1"/>
  <c r="B1121" i="1"/>
  <c r="C1120" i="1"/>
  <c r="D1120" i="1"/>
  <c r="H1120" i="1"/>
  <c r="F1119" i="1"/>
  <c r="J1119" i="1"/>
  <c r="B1117" i="1"/>
  <c r="D1117" i="1"/>
  <c r="C1116" i="1"/>
  <c r="D1116" i="1"/>
  <c r="H1116" i="1"/>
  <c r="G1115" i="1"/>
  <c r="J1115" i="1"/>
  <c r="B1113" i="1"/>
  <c r="H1112" i="1"/>
  <c r="J1108" i="1"/>
  <c r="B1106" i="1"/>
  <c r="G1106" i="1"/>
  <c r="G1105" i="1"/>
  <c r="H1105" i="1"/>
  <c r="J1103" i="1"/>
  <c r="B1103" i="1"/>
  <c r="G1102" i="1"/>
  <c r="H1101" i="1"/>
  <c r="H1100" i="1"/>
  <c r="G1099" i="1"/>
  <c r="G1098" i="1"/>
  <c r="B1097" i="1"/>
  <c r="J1096" i="1"/>
  <c r="F1096" i="1"/>
  <c r="J1094" i="1"/>
  <c r="D1094" i="1"/>
  <c r="G1093" i="1"/>
  <c r="H1093" i="1"/>
  <c r="D1092" i="1"/>
  <c r="G1091" i="1"/>
  <c r="H1091" i="1"/>
  <c r="D1091" i="1"/>
  <c r="J1090" i="1"/>
  <c r="G1089" i="1"/>
  <c r="H1089" i="1"/>
  <c r="B1089" i="1"/>
  <c r="J1088" i="1"/>
  <c r="D1088" i="1"/>
  <c r="G1088" i="1"/>
  <c r="G1087" i="1"/>
  <c r="H1087" i="1"/>
  <c r="K1082" i="4"/>
  <c r="K1077" i="4"/>
  <c r="K1071" i="4"/>
  <c r="G1065" i="4"/>
  <c r="E1062" i="4"/>
  <c r="C1059" i="4"/>
  <c r="K1055" i="4"/>
  <c r="B1087" i="1"/>
  <c r="J1086" i="1"/>
  <c r="B1086" i="1"/>
  <c r="D1086" i="1"/>
  <c r="H1085" i="1"/>
  <c r="J1085" i="1"/>
  <c r="B1085" i="1"/>
  <c r="J1084" i="1"/>
  <c r="D1084" i="1"/>
  <c r="G1083" i="1"/>
  <c r="H1083" i="1"/>
  <c r="B1083" i="1"/>
  <c r="C1083" i="1"/>
  <c r="D1083" i="1"/>
  <c r="J1082" i="1"/>
  <c r="B1082" i="1"/>
  <c r="J1081" i="1"/>
  <c r="B1081" i="1"/>
  <c r="J1080" i="1"/>
  <c r="D1080" i="1"/>
  <c r="F1080" i="1"/>
  <c r="G1080" i="1"/>
  <c r="G1079" i="1"/>
  <c r="H1079" i="1"/>
  <c r="C1079" i="1"/>
  <c r="B1078" i="1"/>
  <c r="G1077" i="1"/>
  <c r="H1077" i="1"/>
  <c r="J1077" i="1"/>
  <c r="B1077" i="1"/>
  <c r="J1076" i="1"/>
  <c r="F1076" i="1"/>
  <c r="H1075" i="1"/>
  <c r="B1075" i="1"/>
  <c r="C1075" i="1"/>
  <c r="J1074" i="1"/>
  <c r="B1074" i="1"/>
  <c r="D1074" i="1"/>
  <c r="G1073" i="1"/>
  <c r="J1073" i="1"/>
  <c r="J1072" i="1"/>
  <c r="H1072" i="1"/>
  <c r="E1071" i="1"/>
  <c r="B1070" i="1"/>
  <c r="D1070" i="1"/>
  <c r="B1069" i="1"/>
  <c r="C1069" i="1"/>
  <c r="I1068" i="1"/>
  <c r="J1068" i="1"/>
  <c r="B1068" i="1"/>
  <c r="H1068" i="1"/>
  <c r="G1067" i="1"/>
  <c r="C1067" i="1"/>
  <c r="F1066" i="1"/>
  <c r="G1066" i="1"/>
  <c r="H1066" i="1"/>
  <c r="H1065" i="1"/>
  <c r="B1064" i="1"/>
  <c r="F1064" i="1"/>
  <c r="F1063" i="1"/>
  <c r="G1063" i="1"/>
  <c r="D1063" i="1"/>
  <c r="J1062" i="1"/>
  <c r="C1062" i="1"/>
  <c r="D1062" i="1"/>
  <c r="E1061" i="1"/>
  <c r="J1061" i="1"/>
  <c r="C1061" i="1"/>
  <c r="B1060" i="1"/>
  <c r="H1060" i="1"/>
  <c r="H1059" i="1"/>
  <c r="B1059" i="1"/>
  <c r="H1058" i="1"/>
  <c r="E1057" i="1"/>
  <c r="F1057" i="1"/>
  <c r="F1056" i="1"/>
  <c r="I1053" i="1"/>
  <c r="B1053" i="1"/>
  <c r="I1052" i="1"/>
  <c r="C1052" i="1"/>
  <c r="B1052" i="1"/>
  <c r="G1050" i="1"/>
  <c r="H1050" i="1"/>
  <c r="D1092" i="3"/>
  <c r="D1064" i="3"/>
  <c r="I1127" i="1"/>
  <c r="I1125" i="1"/>
  <c r="K1130" i="4"/>
  <c r="G1129" i="4"/>
  <c r="E1128" i="4"/>
  <c r="G1127" i="4"/>
  <c r="G1126" i="4"/>
  <c r="G1125" i="4"/>
  <c r="E1124" i="4"/>
  <c r="E1123" i="4"/>
  <c r="G1122" i="4"/>
  <c r="C1121" i="4"/>
  <c r="C1120" i="4"/>
  <c r="C1119" i="4"/>
  <c r="G1118" i="4"/>
  <c r="G1117" i="4"/>
  <c r="G1116" i="4"/>
  <c r="G1115" i="4"/>
  <c r="E1114" i="4"/>
  <c r="K1113" i="4"/>
  <c r="G1112" i="4"/>
  <c r="C1111" i="4"/>
  <c r="G1110" i="4"/>
  <c r="E1109" i="4"/>
  <c r="G1108" i="4"/>
  <c r="G1107" i="4"/>
  <c r="C1106" i="4"/>
  <c r="C1105" i="4"/>
  <c r="C1104" i="4"/>
  <c r="E1103" i="4"/>
  <c r="C1102" i="4"/>
  <c r="C1101" i="4"/>
  <c r="G1100" i="4"/>
  <c r="K1099" i="4"/>
  <c r="C1098" i="4"/>
  <c r="K1097" i="4"/>
  <c r="G1096" i="4"/>
  <c r="K1095" i="4"/>
  <c r="K1094" i="4"/>
  <c r="K1093" i="4"/>
  <c r="C1092" i="4"/>
  <c r="G1091" i="4"/>
  <c r="E1090" i="4"/>
  <c r="E1089" i="4"/>
  <c r="K1088" i="4"/>
  <c r="K1087" i="4"/>
  <c r="G1086" i="4"/>
  <c r="K1084" i="4"/>
  <c r="F1130" i="1"/>
  <c r="C1129" i="1"/>
  <c r="D1129" i="1"/>
  <c r="G1128" i="1"/>
  <c r="H1128" i="1"/>
  <c r="C1127" i="1"/>
  <c r="D1127" i="1"/>
  <c r="H1126" i="1"/>
  <c r="C1125" i="1"/>
  <c r="D1125" i="1"/>
  <c r="G1124" i="1"/>
  <c r="H1124" i="1"/>
  <c r="I1123" i="1"/>
  <c r="B1123" i="1"/>
  <c r="C1123" i="1"/>
  <c r="H1122" i="1"/>
  <c r="I1121" i="1"/>
  <c r="J1121" i="1"/>
  <c r="C1121" i="1"/>
  <c r="D1121" i="1"/>
  <c r="F1120" i="1"/>
  <c r="G1120" i="1"/>
  <c r="I1119" i="1"/>
  <c r="B1119" i="1"/>
  <c r="C1119" i="1"/>
  <c r="D1119" i="1"/>
  <c r="F1118" i="1"/>
  <c r="G1118" i="1"/>
  <c r="H1118" i="1"/>
  <c r="I1117" i="1"/>
  <c r="J1117" i="1"/>
  <c r="C1117" i="1"/>
  <c r="F1116" i="1"/>
  <c r="G1116" i="1"/>
  <c r="I1115" i="1"/>
  <c r="B1115" i="1"/>
  <c r="C1115" i="1"/>
  <c r="D1115" i="1"/>
  <c r="F1114" i="1"/>
  <c r="G1114" i="1"/>
  <c r="H1114" i="1"/>
  <c r="I1113" i="1"/>
  <c r="J1113" i="1"/>
  <c r="D1113" i="1"/>
  <c r="F1112" i="1"/>
  <c r="G1112" i="1"/>
  <c r="I1111" i="1"/>
  <c r="J1111" i="1"/>
  <c r="C1111" i="1"/>
  <c r="D1111" i="1"/>
  <c r="F1110" i="1"/>
  <c r="H1110" i="1"/>
  <c r="I1109" i="1"/>
  <c r="J1109" i="1"/>
  <c r="B1109" i="1"/>
  <c r="C1109" i="1"/>
  <c r="F1108" i="1"/>
  <c r="G1108" i="1"/>
  <c r="H1108" i="1"/>
  <c r="I1107" i="1"/>
  <c r="J1107" i="1"/>
  <c r="B1107" i="1"/>
  <c r="C1107" i="1"/>
  <c r="D1107" i="1"/>
  <c r="F1106" i="1"/>
  <c r="H1106" i="1"/>
  <c r="I1105" i="1"/>
  <c r="B1105" i="1"/>
  <c r="C1105" i="1"/>
  <c r="D1105" i="1"/>
  <c r="F1104" i="1"/>
  <c r="G1104" i="1"/>
  <c r="H1104" i="1"/>
  <c r="I1103" i="1"/>
  <c r="C1103" i="1"/>
  <c r="F1102" i="1"/>
  <c r="I1101" i="1"/>
  <c r="J1101" i="1"/>
  <c r="C1101" i="1"/>
  <c r="D1101" i="1"/>
  <c r="F1100" i="1"/>
  <c r="G1100" i="1"/>
  <c r="I1099" i="1"/>
  <c r="J1099" i="1"/>
  <c r="B1099" i="1"/>
  <c r="C1099" i="1"/>
  <c r="D1099" i="1"/>
  <c r="F1098" i="1"/>
  <c r="H1098" i="1"/>
  <c r="I1097" i="1"/>
  <c r="J1097" i="1"/>
  <c r="C1097" i="1"/>
  <c r="D1097" i="1"/>
  <c r="E1096" i="1"/>
  <c r="G1096" i="1"/>
  <c r="H1096" i="1"/>
  <c r="I1095" i="1"/>
  <c r="J1095" i="1"/>
  <c r="B1095" i="1"/>
  <c r="C1095" i="1"/>
  <c r="D1095" i="1"/>
  <c r="E1094" i="1"/>
  <c r="F1094" i="1"/>
  <c r="G1094" i="1"/>
  <c r="H1094" i="1"/>
  <c r="I1093" i="1"/>
  <c r="C1093" i="1"/>
  <c r="D1093" i="1"/>
  <c r="E1092" i="1"/>
  <c r="F1092" i="1"/>
  <c r="G1092" i="1"/>
  <c r="H1092" i="1"/>
  <c r="B1091" i="1"/>
  <c r="B1130" i="1"/>
  <c r="E1127" i="1"/>
  <c r="E1107" i="1"/>
  <c r="E1100" i="1"/>
  <c r="I1129" i="1"/>
  <c r="F1128" i="1"/>
  <c r="B1125" i="1"/>
  <c r="C1130" i="4"/>
  <c r="E1129" i="4"/>
  <c r="G1128" i="4"/>
  <c r="C1127" i="4"/>
  <c r="K1126" i="4"/>
  <c r="K1125" i="4"/>
  <c r="K1124" i="4"/>
  <c r="C1123" i="4"/>
  <c r="E1122" i="4"/>
  <c r="K1121" i="4"/>
  <c r="G1120" i="4"/>
  <c r="G1119" i="4"/>
  <c r="C1118" i="4"/>
  <c r="C1117" i="4"/>
  <c r="E1116" i="4"/>
  <c r="E1115" i="4"/>
  <c r="K1114" i="4"/>
  <c r="C1113" i="4"/>
  <c r="K1112" i="4"/>
  <c r="E1111" i="4"/>
  <c r="C1110" i="4"/>
  <c r="C1109" i="4"/>
  <c r="K1108" i="4"/>
  <c r="E1107" i="4"/>
  <c r="K1106" i="4"/>
  <c r="G1105" i="4"/>
  <c r="K1104" i="4"/>
  <c r="C1103" i="4"/>
  <c r="G1102" i="4"/>
  <c r="E1101" i="4"/>
  <c r="K1100" i="4"/>
  <c r="G1099" i="4"/>
  <c r="G1098" i="4"/>
  <c r="E1097" i="4"/>
  <c r="K1096" i="4"/>
  <c r="E1095" i="4"/>
  <c r="G1094" i="4"/>
  <c r="E1093" i="4"/>
  <c r="G1092" i="4"/>
  <c r="E1091" i="4"/>
  <c r="C1090" i="4"/>
  <c r="C1089" i="4"/>
  <c r="G1088" i="4"/>
  <c r="C1087" i="4"/>
  <c r="E1086" i="4"/>
  <c r="C1084" i="4"/>
  <c r="K1083" i="4"/>
  <c r="E1083" i="4"/>
  <c r="E1082" i="4"/>
  <c r="K1081" i="4"/>
  <c r="G1081" i="4"/>
  <c r="K1080" i="4"/>
  <c r="G1080" i="4"/>
  <c r="K1079" i="4"/>
  <c r="G1079" i="4"/>
  <c r="C1078" i="4"/>
  <c r="E1077" i="4"/>
  <c r="C1076" i="4"/>
  <c r="K1075" i="4"/>
  <c r="G1075" i="4"/>
  <c r="E1074" i="4"/>
  <c r="J1130" i="4"/>
  <c r="F1130" i="4"/>
  <c r="D1129" i="4"/>
  <c r="D1128" i="4"/>
  <c r="J1127" i="4"/>
  <c r="F1127" i="4"/>
  <c r="B1126" i="4"/>
  <c r="B1125" i="4"/>
  <c r="J1124" i="4"/>
  <c r="F1124" i="4"/>
  <c r="J1123" i="4"/>
  <c r="F1123" i="4"/>
  <c r="B1122" i="4"/>
  <c r="B1121" i="4"/>
  <c r="B1120" i="4"/>
  <c r="B1119" i="4"/>
  <c r="J1118" i="4"/>
  <c r="F1118" i="4"/>
  <c r="D1117" i="4"/>
  <c r="B1116" i="4"/>
  <c r="J1115" i="4"/>
  <c r="F1115" i="4"/>
  <c r="D1114" i="4"/>
  <c r="J1113" i="4"/>
  <c r="F1113" i="4"/>
  <c r="D1112" i="4"/>
  <c r="H1111" i="4"/>
  <c r="D1111" i="4"/>
  <c r="D1110" i="4"/>
  <c r="J1109" i="4"/>
  <c r="F1109" i="4"/>
  <c r="J1108" i="4"/>
  <c r="F1108" i="4"/>
  <c r="B1107" i="4"/>
  <c r="J1106" i="4"/>
  <c r="F1106" i="4"/>
  <c r="D1105" i="4"/>
  <c r="J1104" i="4"/>
  <c r="F1104" i="4"/>
  <c r="B1103" i="4"/>
  <c r="B1102" i="4"/>
  <c r="J1101" i="4"/>
  <c r="F1101" i="4"/>
  <c r="D1100" i="4"/>
  <c r="B1099" i="4"/>
  <c r="D1098" i="4"/>
  <c r="B1097" i="4"/>
  <c r="J1096" i="4"/>
  <c r="F1096" i="4"/>
  <c r="J1095" i="4"/>
  <c r="F1095" i="4"/>
  <c r="B1094" i="4"/>
  <c r="D1093" i="4"/>
  <c r="D1092" i="4"/>
  <c r="J1091" i="4"/>
  <c r="F1091" i="4"/>
  <c r="J1090" i="4"/>
  <c r="F1090" i="4"/>
  <c r="D1089" i="4"/>
  <c r="J1088" i="4"/>
  <c r="F1088" i="4"/>
  <c r="B1087" i="4"/>
  <c r="J1086" i="4"/>
  <c r="D1086" i="4"/>
  <c r="D1084" i="4"/>
  <c r="J1083" i="4"/>
  <c r="F1083" i="4"/>
  <c r="J1082" i="4"/>
  <c r="F1082" i="4"/>
  <c r="D1128" i="1"/>
  <c r="C1124" i="1"/>
  <c r="G1121" i="1"/>
  <c r="B1118" i="1"/>
  <c r="H1117" i="1"/>
  <c r="G1113" i="1"/>
  <c r="F1111" i="1"/>
  <c r="D1108" i="1"/>
  <c r="B1102" i="1"/>
  <c r="D1100" i="1"/>
  <c r="G1097" i="1"/>
  <c r="J1129" i="1"/>
  <c r="G1125" i="1"/>
  <c r="F1124" i="1"/>
  <c r="E1130" i="4"/>
  <c r="K1129" i="4"/>
  <c r="K1128" i="4"/>
  <c r="K1127" i="4"/>
  <c r="C1126" i="4"/>
  <c r="C1125" i="4"/>
  <c r="G1124" i="4"/>
  <c r="G1123" i="4"/>
  <c r="K1122" i="4"/>
  <c r="E1121" i="4"/>
  <c r="K1120" i="4"/>
  <c r="K1119" i="4"/>
  <c r="E1118" i="4"/>
  <c r="E1117" i="4"/>
  <c r="K1116" i="4"/>
  <c r="C1115" i="4"/>
  <c r="G1114" i="4"/>
  <c r="G1113" i="4"/>
  <c r="C1112" i="4"/>
  <c r="K1111" i="4"/>
  <c r="K1110" i="4"/>
  <c r="K1109" i="4"/>
  <c r="E1108" i="4"/>
  <c r="K1107" i="4"/>
  <c r="E1106" i="4"/>
  <c r="E1105" i="4"/>
  <c r="G1104" i="4"/>
  <c r="K1103" i="4"/>
  <c r="E1102" i="4"/>
  <c r="K1101" i="4"/>
  <c r="E1100" i="4"/>
  <c r="E1099" i="4"/>
  <c r="K1098" i="4"/>
  <c r="C1097" i="4"/>
  <c r="E1096" i="4"/>
  <c r="G1095" i="4"/>
  <c r="C1094" i="4"/>
  <c r="G1093" i="4"/>
  <c r="K1092" i="4"/>
  <c r="K1091" i="4"/>
  <c r="K1090" i="4"/>
  <c r="G1089" i="4"/>
  <c r="C1088" i="4"/>
  <c r="E1087" i="4"/>
  <c r="K1086" i="4"/>
  <c r="E1084" i="4"/>
  <c r="C1083" i="4"/>
  <c r="G1082" i="4"/>
  <c r="C1081" i="4"/>
  <c r="C1080" i="4"/>
  <c r="E1079" i="4"/>
  <c r="E1078" i="4"/>
  <c r="G1077" i="4"/>
  <c r="K1076" i="4"/>
  <c r="G1076" i="4"/>
  <c r="C1075" i="4"/>
  <c r="K1074" i="4"/>
  <c r="G1074" i="4"/>
  <c r="B1130" i="4"/>
  <c r="J1129" i="4"/>
  <c r="F1129" i="4"/>
  <c r="J1128" i="4"/>
  <c r="F1128" i="4"/>
  <c r="B1127" i="4"/>
  <c r="D1126" i="4"/>
  <c r="J1125" i="4"/>
  <c r="F1125" i="4"/>
  <c r="B1124" i="4"/>
  <c r="B1123" i="4"/>
  <c r="D1122" i="4"/>
  <c r="H1121" i="4"/>
  <c r="D1121" i="4"/>
  <c r="D1120" i="4"/>
  <c r="J1119" i="4"/>
  <c r="F1119" i="4"/>
  <c r="D1118" i="4"/>
  <c r="J1117" i="4"/>
  <c r="F1117" i="4"/>
  <c r="D1116" i="4"/>
  <c r="B1115" i="4"/>
  <c r="B1114" i="4"/>
  <c r="B1113" i="4"/>
  <c r="B1112" i="4"/>
  <c r="J1111" i="4"/>
  <c r="F1111" i="4"/>
  <c r="J1110" i="4"/>
  <c r="B1110" i="4"/>
  <c r="B1109" i="4"/>
  <c r="B1108" i="4"/>
  <c r="D1107" i="4"/>
  <c r="B1106" i="4"/>
  <c r="B1105" i="4"/>
  <c r="D1104" i="4"/>
  <c r="D1103" i="4"/>
  <c r="D1102" i="4"/>
  <c r="D1101" i="4"/>
  <c r="B1100" i="4"/>
  <c r="D1099" i="4"/>
  <c r="J1098" i="4"/>
  <c r="F1098" i="4"/>
  <c r="D1097" i="4"/>
  <c r="B1096" i="4"/>
  <c r="D1095" i="4"/>
  <c r="D1094" i="4"/>
  <c r="J1093" i="4"/>
  <c r="F1093" i="4"/>
  <c r="B1092" i="4"/>
  <c r="B1091" i="4"/>
  <c r="D1090" i="4"/>
  <c r="J1089" i="4"/>
  <c r="F1089" i="4"/>
  <c r="D1088" i="4"/>
  <c r="J1087" i="4"/>
  <c r="F1087" i="4"/>
  <c r="B1086" i="4"/>
  <c r="J1084" i="4"/>
  <c r="F1084" i="4"/>
  <c r="D1083" i="4"/>
  <c r="H1082" i="4"/>
  <c r="D1082" i="4"/>
  <c r="G1123" i="1"/>
  <c r="J1120" i="1"/>
  <c r="J1116" i="1"/>
  <c r="F1115" i="1"/>
  <c r="C1112" i="1"/>
  <c r="H1109" i="1"/>
  <c r="J1104" i="1"/>
  <c r="F1103" i="1"/>
  <c r="J1100" i="1"/>
  <c r="B1098" i="1"/>
  <c r="H1097" i="1"/>
  <c r="E1118" i="1"/>
  <c r="B1097" i="3"/>
  <c r="D1097" i="3"/>
  <c r="A1098" i="3"/>
  <c r="C1097" i="3"/>
  <c r="E1097" i="3"/>
  <c r="E1130" i="1"/>
  <c r="N1130" i="1"/>
  <c r="H1130" i="1"/>
  <c r="A1131" i="1"/>
  <c r="I1130" i="1"/>
  <c r="D1130" i="1"/>
  <c r="O1130" i="1"/>
  <c r="G1130" i="1"/>
  <c r="J1130" i="1"/>
  <c r="L1130" i="1"/>
  <c r="M1130" i="1"/>
  <c r="C1130" i="1"/>
  <c r="B1129" i="1"/>
  <c r="J1127" i="1"/>
  <c r="J1125" i="1"/>
  <c r="G1130" i="4"/>
  <c r="C1129" i="4"/>
  <c r="C1128" i="4"/>
  <c r="E1127" i="4"/>
  <c r="E1126" i="4"/>
  <c r="E1125" i="4"/>
  <c r="C1124" i="4"/>
  <c r="K1123" i="4"/>
  <c r="C1122" i="4"/>
  <c r="G1121" i="4"/>
  <c r="E1120" i="4"/>
  <c r="E1119" i="4"/>
  <c r="K1118" i="4"/>
  <c r="K1117" i="4"/>
  <c r="C1116" i="4"/>
  <c r="K1115" i="4"/>
  <c r="C1114" i="4"/>
  <c r="E1113" i="4"/>
  <c r="E1112" i="4"/>
  <c r="G1111" i="4"/>
  <c r="E1110" i="4"/>
  <c r="G1109" i="4"/>
  <c r="C1108" i="4"/>
  <c r="C1107" i="4"/>
  <c r="G1106" i="4"/>
  <c r="K1105" i="4"/>
  <c r="E1104" i="4"/>
  <c r="G1103" i="4"/>
  <c r="K1102" i="4"/>
  <c r="G1101" i="4"/>
  <c r="C1100" i="4"/>
  <c r="C1099" i="4"/>
  <c r="E1098" i="4"/>
  <c r="G1097" i="4"/>
  <c r="C1096" i="4"/>
  <c r="C1095" i="4"/>
  <c r="E1094" i="4"/>
  <c r="C1093" i="4"/>
  <c r="E1092" i="4"/>
  <c r="C1091" i="4"/>
  <c r="G1090" i="4"/>
  <c r="K1089" i="4"/>
  <c r="E1088" i="4"/>
  <c r="G1087" i="4"/>
  <c r="C1086" i="4"/>
  <c r="G1084" i="4"/>
  <c r="G1083" i="4"/>
  <c r="C1082" i="4"/>
  <c r="E1081" i="4"/>
  <c r="E1080" i="4"/>
  <c r="C1079" i="4"/>
  <c r="K1078" i="4"/>
  <c r="G1078" i="4"/>
  <c r="C1077" i="4"/>
  <c r="E1076" i="4"/>
  <c r="E1075" i="4"/>
  <c r="C1074" i="4"/>
  <c r="K1073" i="4"/>
  <c r="D1130" i="4"/>
  <c r="H1129" i="4"/>
  <c r="B1129" i="4"/>
  <c r="B1128" i="4"/>
  <c r="D1127" i="4"/>
  <c r="J1126" i="4"/>
  <c r="F1126" i="4"/>
  <c r="D1125" i="4"/>
  <c r="H1124" i="4"/>
  <c r="D1124" i="4"/>
  <c r="D1123" i="4"/>
  <c r="J1122" i="4"/>
  <c r="F1122" i="4"/>
  <c r="J1121" i="4"/>
  <c r="F1121" i="4"/>
  <c r="J1120" i="4"/>
  <c r="F1120" i="4"/>
  <c r="D1119" i="4"/>
  <c r="B1118" i="4"/>
  <c r="B1117" i="4"/>
  <c r="J1116" i="4"/>
  <c r="F1116" i="4"/>
  <c r="D1115" i="4"/>
  <c r="J1114" i="4"/>
  <c r="F1114" i="4"/>
  <c r="D1113" i="4"/>
  <c r="J1112" i="4"/>
  <c r="F1112" i="4"/>
  <c r="B1111" i="4"/>
  <c r="F1110" i="4"/>
  <c r="D1109" i="4"/>
  <c r="D1108" i="4"/>
  <c r="J1107" i="4"/>
  <c r="F1107" i="4"/>
  <c r="D1106" i="4"/>
  <c r="J1105" i="4"/>
  <c r="F1105" i="4"/>
  <c r="B1104" i="4"/>
  <c r="J1103" i="4"/>
  <c r="F1103" i="4"/>
  <c r="J1102" i="4"/>
  <c r="F1102" i="4"/>
  <c r="B1101" i="4"/>
  <c r="J1100" i="4"/>
  <c r="F1100" i="4"/>
  <c r="J1099" i="4"/>
  <c r="F1099" i="4"/>
  <c r="B1098" i="4"/>
  <c r="J1097" i="4"/>
  <c r="F1097" i="4"/>
  <c r="D1096" i="4"/>
  <c r="B1095" i="4"/>
  <c r="J1094" i="4"/>
  <c r="F1094" i="4"/>
  <c r="B1093" i="4"/>
  <c r="J1092" i="4"/>
  <c r="F1092" i="4"/>
  <c r="D1091" i="4"/>
  <c r="B1090" i="4"/>
  <c r="B1089" i="4"/>
  <c r="B1088" i="4"/>
  <c r="D1087" i="4"/>
  <c r="H1086" i="4"/>
  <c r="F1086" i="4"/>
  <c r="B1084" i="4"/>
  <c r="B1083" i="4"/>
  <c r="B1082" i="4"/>
  <c r="J1081" i="4"/>
  <c r="E1110" i="1"/>
  <c r="J1124" i="1"/>
  <c r="B1122" i="1"/>
  <c r="H1121" i="1"/>
  <c r="G1117" i="1"/>
  <c r="C1114" i="1"/>
  <c r="D1112" i="1"/>
  <c r="C1108" i="1"/>
  <c r="G1107" i="1"/>
  <c r="C1104" i="1"/>
  <c r="G1101" i="1"/>
  <c r="C1098" i="1"/>
  <c r="P1130" i="1"/>
  <c r="E1124" i="1"/>
  <c r="I1091" i="1"/>
  <c r="J1091" i="1"/>
  <c r="E1090" i="1"/>
  <c r="F1090" i="1"/>
  <c r="G1090" i="1"/>
  <c r="H1090" i="1"/>
  <c r="I1089" i="1"/>
  <c r="C1089" i="1"/>
  <c r="D1089" i="1"/>
  <c r="E1088" i="1"/>
  <c r="H1088" i="1"/>
  <c r="I1087" i="1"/>
  <c r="J1087" i="1"/>
  <c r="E1086" i="1"/>
  <c r="F1086" i="1"/>
  <c r="G1086" i="1"/>
  <c r="H1086" i="1"/>
  <c r="I1085" i="1"/>
  <c r="C1085" i="1"/>
  <c r="D1085" i="1"/>
  <c r="E1084" i="1"/>
  <c r="H1084" i="1"/>
  <c r="I1083" i="1"/>
  <c r="J1083" i="1"/>
  <c r="E1082" i="1"/>
  <c r="F1082" i="1"/>
  <c r="G1082" i="1"/>
  <c r="H1082" i="1"/>
  <c r="I1081" i="1"/>
  <c r="C1081" i="1"/>
  <c r="D1081" i="1"/>
  <c r="E1080" i="1"/>
  <c r="H1080" i="1"/>
  <c r="I1079" i="1"/>
  <c r="J1079" i="1"/>
  <c r="E1078" i="1"/>
  <c r="F1078" i="1"/>
  <c r="G1078" i="1"/>
  <c r="H1078" i="1"/>
  <c r="I1077" i="1"/>
  <c r="C1077" i="1"/>
  <c r="D1077" i="1"/>
  <c r="E1076" i="1"/>
  <c r="H1076" i="1"/>
  <c r="I1075" i="1"/>
  <c r="J1075" i="1"/>
  <c r="E1074" i="1"/>
  <c r="F1074" i="1"/>
  <c r="G1074" i="1"/>
  <c r="H1074" i="1"/>
  <c r="I1073" i="1"/>
  <c r="B1073" i="1"/>
  <c r="C1073" i="1"/>
  <c r="D1073" i="1"/>
  <c r="F1072" i="1"/>
  <c r="G1072" i="1"/>
  <c r="J1071" i="1"/>
  <c r="B1071" i="1"/>
  <c r="C1071" i="1"/>
  <c r="D1071" i="1"/>
  <c r="E1070" i="1"/>
  <c r="F1070" i="1"/>
  <c r="G1070" i="1"/>
  <c r="H1070" i="1"/>
  <c r="I1069" i="1"/>
  <c r="J1069" i="1"/>
  <c r="D1069" i="1"/>
  <c r="E1068" i="1"/>
  <c r="F1068" i="1"/>
  <c r="G1068" i="1"/>
  <c r="I1067" i="1"/>
  <c r="J1067" i="1"/>
  <c r="B1067" i="1"/>
  <c r="D1067" i="1"/>
  <c r="E1066" i="1"/>
  <c r="I1065" i="1"/>
  <c r="J1065" i="1"/>
  <c r="B1065" i="1"/>
  <c r="C1065" i="1"/>
  <c r="D1065" i="1"/>
  <c r="E1064" i="1"/>
  <c r="G1064" i="1"/>
  <c r="H1064" i="1"/>
  <c r="I1063" i="1"/>
  <c r="J1063" i="1"/>
  <c r="B1063" i="1"/>
  <c r="C1063" i="1"/>
  <c r="E1062" i="1"/>
  <c r="F1062" i="1"/>
  <c r="G1062" i="1"/>
  <c r="H1062" i="1"/>
  <c r="I1061" i="1"/>
  <c r="B1061" i="1"/>
  <c r="E1060" i="1"/>
  <c r="F1060" i="1"/>
  <c r="G1060" i="1"/>
  <c r="I1059" i="1"/>
  <c r="J1059" i="1"/>
  <c r="C1059" i="1"/>
  <c r="D1059" i="1"/>
  <c r="E1058" i="1"/>
  <c r="G1058" i="1"/>
  <c r="I1057" i="1"/>
  <c r="J1057" i="1"/>
  <c r="B1057" i="1"/>
  <c r="C1057" i="1"/>
  <c r="D1057" i="1"/>
  <c r="G1056" i="1"/>
  <c r="H1056" i="1"/>
  <c r="J1055" i="1"/>
  <c r="B1055" i="1"/>
  <c r="C1055" i="1"/>
  <c r="D1055" i="1"/>
  <c r="E1054" i="1"/>
  <c r="F1054" i="1"/>
  <c r="G1054" i="1"/>
  <c r="H1054" i="1"/>
  <c r="J1053" i="1"/>
  <c r="D1053" i="1"/>
  <c r="D1052" i="1"/>
  <c r="H1051" i="1"/>
  <c r="J1051" i="1"/>
  <c r="D1051" i="1"/>
  <c r="J1050" i="1"/>
  <c r="B1050" i="1"/>
  <c r="E1050" i="1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E1114" i="1"/>
  <c r="E1111" i="1"/>
  <c r="B1081" i="4"/>
  <c r="J1080" i="4"/>
  <c r="F1080" i="4"/>
  <c r="B1079" i="4"/>
  <c r="J1078" i="4"/>
  <c r="F1078" i="4"/>
  <c r="B1077" i="4"/>
  <c r="J1076" i="4"/>
  <c r="F1076" i="4"/>
  <c r="B1075" i="4"/>
  <c r="J1074" i="4"/>
  <c r="F1074" i="4"/>
  <c r="J1073" i="4"/>
  <c r="D1073" i="4"/>
  <c r="B1072" i="4"/>
  <c r="J1071" i="4"/>
  <c r="F1071" i="4"/>
  <c r="D1070" i="4"/>
  <c r="B1069" i="4"/>
  <c r="J1068" i="4"/>
  <c r="F1068" i="4"/>
  <c r="B1067" i="4"/>
  <c r="B1066" i="4"/>
  <c r="D1065" i="4"/>
  <c r="F1064" i="4"/>
  <c r="B1063" i="4"/>
  <c r="B1062" i="4"/>
  <c r="B1061" i="4"/>
  <c r="H1060" i="4"/>
  <c r="D1060" i="4"/>
  <c r="B1059" i="4"/>
  <c r="J1058" i="4"/>
  <c r="F1058" i="4"/>
  <c r="D1057" i="4"/>
  <c r="B1056" i="4"/>
  <c r="B1055" i="4"/>
  <c r="D1054" i="4"/>
  <c r="D1053" i="4"/>
  <c r="F1052" i="4"/>
  <c r="D1051" i="4"/>
  <c r="B1050" i="4"/>
  <c r="D1049" i="4"/>
  <c r="J1048" i="4"/>
  <c r="F1048" i="4"/>
  <c r="B1047" i="4"/>
  <c r="D1046" i="4"/>
  <c r="B1045" i="4"/>
  <c r="B1085" i="4"/>
  <c r="E1106" i="1"/>
  <c r="E1103" i="1"/>
  <c r="J1126" i="1"/>
  <c r="H1123" i="1"/>
  <c r="J1122" i="1"/>
  <c r="H1119" i="1"/>
  <c r="J1118" i="1"/>
  <c r="F1117" i="1"/>
  <c r="B1116" i="1"/>
  <c r="F1113" i="1"/>
  <c r="B1112" i="1"/>
  <c r="C1110" i="1"/>
  <c r="H1107" i="1"/>
  <c r="J1102" i="1"/>
  <c r="J1098" i="1"/>
  <c r="H1095" i="1"/>
  <c r="C1094" i="1"/>
  <c r="C1090" i="1"/>
  <c r="B1088" i="1"/>
  <c r="C1086" i="1"/>
  <c r="C1084" i="1"/>
  <c r="F1081" i="1"/>
  <c r="F1079" i="1"/>
  <c r="B1076" i="1"/>
  <c r="F1075" i="1"/>
  <c r="C1068" i="1"/>
  <c r="D1068" i="1"/>
  <c r="B1066" i="1"/>
  <c r="J1058" i="1"/>
  <c r="D1058" i="1"/>
  <c r="E1055" i="1"/>
  <c r="B1054" i="1"/>
  <c r="H1052" i="1"/>
  <c r="E1126" i="1"/>
  <c r="E1116" i="1"/>
  <c r="E1099" i="1"/>
  <c r="D1081" i="4"/>
  <c r="B1080" i="4"/>
  <c r="D1079" i="4"/>
  <c r="D1078" i="4"/>
  <c r="J1077" i="4"/>
  <c r="F1077" i="4"/>
  <c r="D1076" i="4"/>
  <c r="D1075" i="4"/>
  <c r="D1074" i="4"/>
  <c r="B1073" i="4"/>
  <c r="D1072" i="4"/>
  <c r="D1071" i="4"/>
  <c r="J1070" i="4"/>
  <c r="F1070" i="4"/>
  <c r="D1069" i="4"/>
  <c r="B1068" i="4"/>
  <c r="D1067" i="4"/>
  <c r="D1066" i="4"/>
  <c r="B1065" i="4"/>
  <c r="J1064" i="4"/>
  <c r="D1064" i="4"/>
  <c r="D1063" i="4"/>
  <c r="J1062" i="4"/>
  <c r="F1062" i="4"/>
  <c r="D1061" i="4"/>
  <c r="B1060" i="4"/>
  <c r="F1059" i="4"/>
  <c r="D1058" i="4"/>
  <c r="H1057" i="4"/>
  <c r="B1057" i="4"/>
  <c r="D1056" i="4"/>
  <c r="J1055" i="4"/>
  <c r="F1055" i="4"/>
  <c r="J1054" i="4"/>
  <c r="F1054" i="4"/>
  <c r="J1053" i="4"/>
  <c r="F1053" i="4"/>
  <c r="B1052" i="4"/>
  <c r="J1051" i="4"/>
  <c r="F1051" i="4"/>
  <c r="J1050" i="4"/>
  <c r="F1050" i="4"/>
  <c r="J1049" i="4"/>
  <c r="F1049" i="4"/>
  <c r="D1048" i="4"/>
  <c r="J1047" i="4"/>
  <c r="F1047" i="4"/>
  <c r="J1046" i="4"/>
  <c r="F1046" i="4"/>
  <c r="D1045" i="4"/>
  <c r="D1085" i="4"/>
  <c r="E1123" i="1"/>
  <c r="F1129" i="1"/>
  <c r="B1128" i="1"/>
  <c r="H1127" i="1"/>
  <c r="C1126" i="1"/>
  <c r="B1124" i="1"/>
  <c r="C1118" i="1"/>
  <c r="H1115" i="1"/>
  <c r="D1114" i="1"/>
  <c r="H1111" i="1"/>
  <c r="D1110" i="1"/>
  <c r="F1109" i="1"/>
  <c r="B1108" i="1"/>
  <c r="D1106" i="1"/>
  <c r="F1105" i="1"/>
  <c r="B1104" i="1"/>
  <c r="H1103" i="1"/>
  <c r="D1102" i="1"/>
  <c r="F1101" i="1"/>
  <c r="H1099" i="1"/>
  <c r="B1096" i="1"/>
  <c r="B1092" i="1"/>
  <c r="F1091" i="1"/>
  <c r="F1087" i="1"/>
  <c r="B1084" i="1"/>
  <c r="F1083" i="1"/>
  <c r="B1080" i="1"/>
  <c r="F1077" i="1"/>
  <c r="C1074" i="1"/>
  <c r="F1073" i="1"/>
  <c r="J1066" i="1"/>
  <c r="G1065" i="1"/>
  <c r="D1064" i="1"/>
  <c r="B1062" i="1"/>
  <c r="D1060" i="1"/>
  <c r="B1058" i="1"/>
  <c r="J1054" i="1"/>
  <c r="G1053" i="1"/>
  <c r="F1050" i="1"/>
  <c r="E1122" i="1"/>
  <c r="E1119" i="1"/>
  <c r="E1102" i="1"/>
  <c r="F1081" i="4"/>
  <c r="D1080" i="4"/>
  <c r="J1079" i="4"/>
  <c r="F1079" i="4"/>
  <c r="B1078" i="4"/>
  <c r="D1077" i="4"/>
  <c r="B1076" i="4"/>
  <c r="J1075" i="4"/>
  <c r="F1075" i="4"/>
  <c r="B1074" i="4"/>
  <c r="H1073" i="4"/>
  <c r="F1073" i="4"/>
  <c r="J1072" i="4"/>
  <c r="F1072" i="4"/>
  <c r="B1071" i="4"/>
  <c r="B1070" i="4"/>
  <c r="J1069" i="4"/>
  <c r="F1069" i="4"/>
  <c r="D1068" i="4"/>
  <c r="J1067" i="4"/>
  <c r="F1067" i="4"/>
  <c r="J1066" i="4"/>
  <c r="F1066" i="4"/>
  <c r="J1065" i="4"/>
  <c r="F1065" i="4"/>
  <c r="B1064" i="4"/>
  <c r="J1063" i="4"/>
  <c r="F1063" i="4"/>
  <c r="D1062" i="4"/>
  <c r="J1061" i="4"/>
  <c r="F1061" i="4"/>
  <c r="J1060" i="4"/>
  <c r="F1060" i="4"/>
  <c r="J1059" i="4"/>
  <c r="D1059" i="4"/>
  <c r="B1058" i="4"/>
  <c r="J1057" i="4"/>
  <c r="F1057" i="4"/>
  <c r="J1056" i="4"/>
  <c r="F1056" i="4"/>
  <c r="D1055" i="4"/>
  <c r="B1054" i="4"/>
  <c r="B1053" i="4"/>
  <c r="J1052" i="4"/>
  <c r="D1052" i="4"/>
  <c r="B1051" i="4"/>
  <c r="D1050" i="4"/>
  <c r="B1049" i="4"/>
  <c r="B1048" i="4"/>
  <c r="D1047" i="4"/>
  <c r="B1046" i="4"/>
  <c r="H1045" i="4"/>
  <c r="H1085" i="4"/>
  <c r="J1045" i="4"/>
  <c r="J1085" i="4"/>
  <c r="G1127" i="1"/>
  <c r="D1126" i="1"/>
  <c r="F1125" i="1"/>
  <c r="D1122" i="1"/>
  <c r="F1121" i="1"/>
  <c r="B1120" i="1"/>
  <c r="G1119" i="1"/>
  <c r="D1118" i="1"/>
  <c r="J1114" i="1"/>
  <c r="G1111" i="1"/>
  <c r="J1110" i="1"/>
  <c r="J1106" i="1"/>
  <c r="G1103" i="1"/>
  <c r="C1102" i="1"/>
  <c r="B1100" i="1"/>
  <c r="D1098" i="1"/>
  <c r="F1097" i="1"/>
  <c r="C1096" i="1"/>
  <c r="F1095" i="1"/>
  <c r="F1093" i="1"/>
  <c r="C1092" i="1"/>
  <c r="F1089" i="1"/>
  <c r="C1088" i="1"/>
  <c r="F1085" i="1"/>
  <c r="C1082" i="1"/>
  <c r="C1080" i="1"/>
  <c r="C1078" i="1"/>
  <c r="C1076" i="1"/>
  <c r="F1065" i="1"/>
  <c r="H1057" i="1"/>
  <c r="E1115" i="1"/>
  <c r="E1098" i="1"/>
  <c r="E1069" i="1"/>
  <c r="E1067" i="1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4" i="4"/>
  <c r="I1083" i="4"/>
  <c r="I1082" i="4"/>
  <c r="I1081" i="4"/>
  <c r="I1080" i="4"/>
  <c r="I1079" i="4"/>
  <c r="I1078" i="4"/>
  <c r="I1077" i="4"/>
  <c r="I1076" i="4"/>
  <c r="I1075" i="4"/>
  <c r="I1074" i="4"/>
  <c r="G1073" i="4"/>
  <c r="I1073" i="4"/>
  <c r="C1072" i="4"/>
  <c r="I1072" i="4"/>
  <c r="I1071" i="4"/>
  <c r="E1070" i="4"/>
  <c r="G1070" i="4"/>
  <c r="I1070" i="4"/>
  <c r="I1069" i="4"/>
  <c r="K1068" i="4"/>
  <c r="I1068" i="4"/>
  <c r="C1067" i="4"/>
  <c r="E1067" i="4"/>
  <c r="I1067" i="4"/>
  <c r="I1066" i="4"/>
  <c r="I1065" i="4"/>
  <c r="C1064" i="4"/>
  <c r="I1064" i="4"/>
  <c r="K1063" i="4"/>
  <c r="I1063" i="4"/>
  <c r="G1062" i="4"/>
  <c r="I1062" i="4"/>
  <c r="I1061" i="4"/>
  <c r="K1060" i="4"/>
  <c r="I1060" i="4"/>
  <c r="E1059" i="4"/>
  <c r="I1059" i="4"/>
  <c r="I1058" i="4"/>
  <c r="G1057" i="4"/>
  <c r="I1057" i="4"/>
  <c r="C1056" i="4"/>
  <c r="I1056" i="4"/>
  <c r="I1055" i="4"/>
  <c r="E1054" i="4"/>
  <c r="G1054" i="4"/>
  <c r="I1054" i="4"/>
  <c r="I1053" i="4"/>
  <c r="K1052" i="4"/>
  <c r="I1052" i="4"/>
  <c r="C1051" i="4"/>
  <c r="E1051" i="4"/>
  <c r="I1051" i="4"/>
  <c r="I1050" i="4"/>
  <c r="G1049" i="4"/>
  <c r="I1049" i="4"/>
  <c r="C1048" i="4"/>
  <c r="I1048" i="4"/>
  <c r="K1047" i="4"/>
  <c r="I1047" i="4"/>
  <c r="E1046" i="4"/>
  <c r="G1046" i="4"/>
  <c r="I1046" i="4"/>
  <c r="I1085" i="4"/>
  <c r="K1085" i="4"/>
  <c r="G1045" i="4"/>
  <c r="G1085" i="4"/>
  <c r="E1129" i="1"/>
  <c r="E1121" i="1"/>
  <c r="E1113" i="1"/>
  <c r="E1105" i="1"/>
  <c r="E1097" i="1"/>
  <c r="C1072" i="1"/>
  <c r="G1071" i="1"/>
  <c r="H1067" i="1"/>
  <c r="C1066" i="1"/>
  <c r="J1064" i="1"/>
  <c r="G1061" i="1"/>
  <c r="C1058" i="1"/>
  <c r="C1056" i="1"/>
  <c r="G1055" i="1"/>
  <c r="C1054" i="1"/>
  <c r="H1053" i="1"/>
  <c r="F1052" i="1"/>
  <c r="D1050" i="1"/>
  <c r="E1125" i="1"/>
  <c r="E1117" i="1"/>
  <c r="E1109" i="1"/>
  <c r="E1101" i="1"/>
  <c r="H1071" i="1"/>
  <c r="C1070" i="1"/>
  <c r="H1069" i="1"/>
  <c r="D1066" i="1"/>
  <c r="C1064" i="1"/>
  <c r="H1063" i="1"/>
  <c r="H1061" i="1"/>
  <c r="C1060" i="1"/>
  <c r="G1057" i="1"/>
  <c r="B1056" i="1"/>
  <c r="H1055" i="1"/>
  <c r="E1128" i="1"/>
  <c r="E1120" i="1"/>
  <c r="E1112" i="1"/>
  <c r="E1104" i="1"/>
  <c r="B1072" i="1"/>
  <c r="I1128" i="1"/>
  <c r="I1126" i="1"/>
  <c r="I1124" i="1"/>
  <c r="I1122" i="1"/>
  <c r="I1120" i="1"/>
  <c r="I1118" i="1"/>
  <c r="I1116" i="1"/>
  <c r="I1114" i="1"/>
  <c r="I1112" i="1"/>
  <c r="I1110" i="1"/>
  <c r="I1108" i="1"/>
  <c r="I1106" i="1"/>
  <c r="I1104" i="1"/>
  <c r="I1102" i="1"/>
  <c r="I1100" i="1"/>
  <c r="I1098" i="1"/>
  <c r="I1096" i="1"/>
  <c r="E1095" i="1"/>
  <c r="I1094" i="1"/>
  <c r="E1093" i="1"/>
  <c r="I1092" i="1"/>
  <c r="E1091" i="1"/>
  <c r="I1090" i="1"/>
  <c r="E1089" i="1"/>
  <c r="I1088" i="1"/>
  <c r="E1087" i="1"/>
  <c r="I1086" i="1"/>
  <c r="E1085" i="1"/>
  <c r="I1084" i="1"/>
  <c r="E1083" i="1"/>
  <c r="I1082" i="1"/>
  <c r="E1081" i="1"/>
  <c r="I1080" i="1"/>
  <c r="E1079" i="1"/>
  <c r="I1078" i="1"/>
  <c r="E1077" i="1"/>
  <c r="I1076" i="1"/>
  <c r="E1075" i="1"/>
  <c r="I1074" i="1"/>
  <c r="E1073" i="1"/>
  <c r="I1072" i="1"/>
  <c r="I1070" i="1"/>
  <c r="I1066" i="1"/>
  <c r="E1065" i="1"/>
  <c r="I1064" i="1"/>
  <c r="E1063" i="1"/>
  <c r="I1062" i="1"/>
  <c r="I1060" i="1"/>
  <c r="E1059" i="1"/>
  <c r="I1056" i="1"/>
  <c r="I1054" i="1"/>
  <c r="G1052" i="1"/>
  <c r="E1052" i="1"/>
  <c r="G1051" i="1"/>
  <c r="R1051" i="1"/>
  <c r="C1051" i="1"/>
  <c r="E1051" i="1"/>
  <c r="C105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F1069" i="1"/>
  <c r="F1067" i="1"/>
  <c r="F1061" i="1"/>
  <c r="F1059" i="1"/>
  <c r="F1053" i="1"/>
  <c r="D1096" i="3"/>
  <c r="D1095" i="3"/>
  <c r="D1093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0" i="3"/>
  <c r="D1069" i="3"/>
  <c r="D1066" i="3"/>
  <c r="D1065" i="3"/>
  <c r="D1063" i="3"/>
  <c r="D1062" i="3"/>
  <c r="D1061" i="3"/>
  <c r="D1060" i="3"/>
  <c r="D1059" i="3"/>
  <c r="D1058" i="3"/>
  <c r="D1056" i="3"/>
  <c r="D1055" i="3"/>
  <c r="D1054" i="3"/>
  <c r="D1053" i="3"/>
  <c r="D1052" i="3"/>
  <c r="D1050" i="3"/>
  <c r="B1073" i="2"/>
  <c r="A1074" i="2"/>
  <c r="H1116" i="4"/>
  <c r="H1113" i="4"/>
  <c r="H1101" i="4"/>
  <c r="H1097" i="4"/>
  <c r="H1084" i="4"/>
  <c r="H1080" i="4"/>
  <c r="H1130" i="4"/>
  <c r="H1128" i="4"/>
  <c r="H1127" i="4"/>
  <c r="H1126" i="4"/>
  <c r="H1125" i="4"/>
  <c r="H1123" i="4"/>
  <c r="H1122" i="4"/>
  <c r="H1120" i="4"/>
  <c r="H1119" i="4"/>
  <c r="H1118" i="4"/>
  <c r="H1117" i="4"/>
  <c r="H1115" i="4"/>
  <c r="H1114" i="4"/>
  <c r="H1112" i="4"/>
  <c r="H1110" i="4"/>
  <c r="H1109" i="4"/>
  <c r="H1108" i="4"/>
  <c r="H1107" i="4"/>
  <c r="H1106" i="4"/>
  <c r="H1105" i="4"/>
  <c r="H1104" i="4"/>
  <c r="H1103" i="4"/>
  <c r="H1102" i="4"/>
  <c r="H1100" i="4"/>
  <c r="H1099" i="4"/>
  <c r="H1098" i="4"/>
  <c r="H1096" i="4"/>
  <c r="H1095" i="4"/>
  <c r="H1094" i="4"/>
  <c r="H1093" i="4"/>
  <c r="H1092" i="4"/>
  <c r="H1091" i="4"/>
  <c r="H1090" i="4"/>
  <c r="H1089" i="4"/>
  <c r="H1088" i="4"/>
  <c r="H1087" i="4"/>
  <c r="H1083" i="4"/>
  <c r="H1081" i="4"/>
  <c r="H1079" i="4"/>
  <c r="H1078" i="4"/>
  <c r="H1077" i="4"/>
  <c r="H1076" i="4"/>
  <c r="H1075" i="4"/>
  <c r="H1074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59" i="4"/>
  <c r="H1058" i="4"/>
  <c r="H1056" i="4"/>
  <c r="H1055" i="4"/>
  <c r="H1054" i="4"/>
  <c r="H1053" i="4"/>
  <c r="H1052" i="4"/>
  <c r="H1051" i="4"/>
  <c r="H1050" i="4"/>
  <c r="H1049" i="4"/>
  <c r="H1048" i="4"/>
  <c r="H1047" i="4"/>
  <c r="H1046" i="4"/>
  <c r="F1045" i="4"/>
  <c r="F1085" i="4"/>
  <c r="C1092" i="3"/>
  <c r="C1088" i="3"/>
  <c r="C1084" i="3"/>
  <c r="C1077" i="3"/>
  <c r="C1076" i="3"/>
  <c r="C1071" i="3"/>
  <c r="C1069" i="3"/>
  <c r="C1067" i="3"/>
  <c r="C1065" i="3"/>
  <c r="C1063" i="3"/>
  <c r="C1062" i="3"/>
  <c r="C1061" i="3"/>
  <c r="C1059" i="3"/>
  <c r="C1057" i="3"/>
  <c r="C1055" i="3"/>
  <c r="C1053" i="3"/>
  <c r="C1051" i="3"/>
  <c r="B1090" i="3"/>
  <c r="B1089" i="3"/>
  <c r="B1081" i="3"/>
  <c r="B1079" i="3"/>
  <c r="B1073" i="3"/>
  <c r="B1067" i="3"/>
  <c r="B1063" i="3"/>
  <c r="B1061" i="3"/>
  <c r="B1059" i="3"/>
  <c r="B1057" i="3"/>
  <c r="B1055" i="3"/>
  <c r="B1053" i="3"/>
  <c r="B1051" i="3"/>
  <c r="E1095" i="3"/>
  <c r="E1093" i="3"/>
  <c r="E1090" i="3"/>
  <c r="E1084" i="3"/>
  <c r="E1082" i="3"/>
  <c r="E1074" i="3"/>
  <c r="E1073" i="3"/>
  <c r="E1071" i="3"/>
  <c r="E1064" i="3"/>
  <c r="E1059" i="3"/>
  <c r="E1058" i="3"/>
  <c r="E1056" i="3"/>
  <c r="E1055" i="3"/>
  <c r="E1054" i="3"/>
  <c r="E1052" i="3"/>
  <c r="E1051" i="3"/>
  <c r="E1050" i="3"/>
  <c r="C1073" i="4"/>
  <c r="E1073" i="4"/>
  <c r="K1072" i="4"/>
  <c r="E1072" i="4"/>
  <c r="G1072" i="4"/>
  <c r="C1071" i="4"/>
  <c r="E1071" i="4"/>
  <c r="G1071" i="4"/>
  <c r="K1070" i="4"/>
  <c r="C1070" i="4"/>
  <c r="K1069" i="4"/>
  <c r="C1069" i="4"/>
  <c r="E1069" i="4"/>
  <c r="G1069" i="4"/>
  <c r="C1068" i="4"/>
  <c r="E1068" i="4"/>
  <c r="G1068" i="4"/>
  <c r="K1067" i="4"/>
  <c r="G1067" i="4"/>
  <c r="K1066" i="4"/>
  <c r="C1066" i="4"/>
  <c r="E1066" i="4"/>
  <c r="G1066" i="4"/>
  <c r="K1065" i="4"/>
  <c r="C1065" i="4"/>
  <c r="E1065" i="4"/>
  <c r="K1064" i="4"/>
  <c r="E1064" i="4"/>
  <c r="G1064" i="4"/>
  <c r="C1063" i="4"/>
  <c r="E1063" i="4"/>
  <c r="G1063" i="4"/>
  <c r="K1062" i="4"/>
  <c r="C1062" i="4"/>
  <c r="K1061" i="4"/>
  <c r="C1061" i="4"/>
  <c r="E1061" i="4"/>
  <c r="G1061" i="4"/>
  <c r="C1060" i="4"/>
  <c r="E1060" i="4"/>
  <c r="G1060" i="4"/>
  <c r="K1059" i="4"/>
  <c r="G1059" i="4"/>
  <c r="K1058" i="4"/>
  <c r="C1058" i="4"/>
  <c r="E1058" i="4"/>
  <c r="G1058" i="4"/>
  <c r="K1057" i="4"/>
  <c r="C1057" i="4"/>
  <c r="E1057" i="4"/>
  <c r="K1056" i="4"/>
  <c r="E1056" i="4"/>
  <c r="G1056" i="4"/>
  <c r="C1055" i="4"/>
  <c r="E1055" i="4"/>
  <c r="G1055" i="4"/>
  <c r="K1054" i="4"/>
  <c r="C1054" i="4"/>
  <c r="K1053" i="4"/>
  <c r="C1053" i="4"/>
  <c r="E1053" i="4"/>
  <c r="G1053" i="4"/>
  <c r="C1052" i="4"/>
  <c r="E1052" i="4"/>
  <c r="G1052" i="4"/>
  <c r="K1051" i="4"/>
  <c r="G1051" i="4"/>
  <c r="K1050" i="4"/>
  <c r="C1050" i="4"/>
  <c r="E1050" i="4"/>
  <c r="G1050" i="4"/>
  <c r="K1049" i="4"/>
  <c r="C1049" i="4"/>
  <c r="E1049" i="4"/>
  <c r="K1048" i="4"/>
  <c r="E1048" i="4"/>
  <c r="G1048" i="4"/>
  <c r="C1047" i="4"/>
  <c r="E1047" i="4"/>
  <c r="G1047" i="4"/>
  <c r="K1046" i="4"/>
  <c r="C1046" i="4"/>
  <c r="I1045" i="4"/>
  <c r="K1045" i="4"/>
  <c r="C1045" i="4"/>
  <c r="C1085" i="4"/>
  <c r="E1045" i="4"/>
  <c r="E1085" i="4"/>
  <c r="E1098" i="3" l="1"/>
  <c r="B1098" i="3"/>
  <c r="C1098" i="3"/>
  <c r="D1098" i="3"/>
  <c r="A1099" i="3"/>
  <c r="A1075" i="2"/>
  <c r="B1074" i="2"/>
  <c r="E1131" i="1"/>
  <c r="N1131" i="1"/>
  <c r="J1131" i="1"/>
  <c r="B1131" i="1"/>
  <c r="L1131" i="1"/>
  <c r="G1131" i="1"/>
  <c r="Q1131" i="1"/>
  <c r="F1131" i="1"/>
  <c r="H1131" i="1"/>
  <c r="M1131" i="1"/>
  <c r="I1131" i="1"/>
  <c r="C1131" i="1"/>
  <c r="A1132" i="1"/>
  <c r="O1131" i="1"/>
  <c r="P1131" i="1"/>
  <c r="D1131" i="1"/>
  <c r="A1076" i="2" l="1"/>
  <c r="B1075" i="2"/>
  <c r="C1099" i="3"/>
  <c r="E1099" i="3"/>
  <c r="D1099" i="3"/>
  <c r="A1100" i="3"/>
  <c r="B1099" i="3"/>
  <c r="E1132" i="1"/>
  <c r="N1132" i="1"/>
  <c r="C1132" i="1"/>
  <c r="M1132" i="1"/>
  <c r="D1132" i="1"/>
  <c r="O1132" i="1"/>
  <c r="I1132" i="1"/>
  <c r="F1132" i="1"/>
  <c r="G1132" i="1"/>
  <c r="H1132" i="1"/>
  <c r="J1132" i="1"/>
  <c r="Q1132" i="1"/>
  <c r="A1133" i="1"/>
  <c r="B1132" i="1"/>
  <c r="L1132" i="1"/>
  <c r="P1132" i="1"/>
  <c r="C1100" i="3" l="1"/>
  <c r="B1100" i="3"/>
  <c r="D1100" i="3"/>
  <c r="E1100" i="3"/>
  <c r="A1101" i="3"/>
  <c r="E1133" i="1"/>
  <c r="N1133" i="1"/>
  <c r="F1133" i="1"/>
  <c r="P1133" i="1"/>
  <c r="G1133" i="1"/>
  <c r="Q1133" i="1"/>
  <c r="B1133" i="1"/>
  <c r="L1133" i="1"/>
  <c r="C1133" i="1"/>
  <c r="D1133" i="1"/>
  <c r="H1133" i="1"/>
  <c r="I1133" i="1"/>
  <c r="O1133" i="1"/>
  <c r="J1133" i="1"/>
  <c r="M1133" i="1"/>
  <c r="A1134" i="1"/>
  <c r="B1076" i="2"/>
  <c r="A1077" i="2"/>
  <c r="B1077" i="2" l="1"/>
  <c r="A1078" i="2"/>
  <c r="E1134" i="1"/>
  <c r="N1134" i="1"/>
  <c r="H1134" i="1"/>
  <c r="A1135" i="1"/>
  <c r="I1134" i="1"/>
  <c r="D1134" i="1"/>
  <c r="O1134" i="1"/>
  <c r="B1134" i="1"/>
  <c r="Q1134" i="1"/>
  <c r="G1134" i="1"/>
  <c r="C1134" i="1"/>
  <c r="F1134" i="1"/>
  <c r="M1134" i="1"/>
  <c r="L1134" i="1"/>
  <c r="J1134" i="1"/>
  <c r="P1134" i="1"/>
  <c r="A1102" i="3"/>
  <c r="B1101" i="3"/>
  <c r="C1101" i="3"/>
  <c r="D1101" i="3"/>
  <c r="E1101" i="3"/>
  <c r="E1135" i="1" l="1"/>
  <c r="N1135" i="1"/>
  <c r="J1135" i="1"/>
  <c r="B1135" i="1"/>
  <c r="L1135" i="1"/>
  <c r="G1135" i="1"/>
  <c r="Q1135" i="1"/>
  <c r="P1135" i="1"/>
  <c r="C1135" i="1"/>
  <c r="D1135" i="1"/>
  <c r="F1135" i="1"/>
  <c r="M1135" i="1"/>
  <c r="I1135" i="1"/>
  <c r="O1135" i="1"/>
  <c r="H1135" i="1"/>
  <c r="A1103" i="3"/>
  <c r="C1102" i="3"/>
  <c r="E1102" i="3"/>
  <c r="B1102" i="3"/>
  <c r="D1102" i="3"/>
  <c r="A1079" i="2"/>
  <c r="B1078" i="2"/>
  <c r="D1103" i="3" l="1"/>
  <c r="B1103" i="3"/>
  <c r="C1103" i="3"/>
  <c r="E1103" i="3"/>
  <c r="A1104" i="3"/>
  <c r="A1080" i="2"/>
  <c r="B1079" i="2"/>
  <c r="B1080" i="2" l="1"/>
  <c r="A1081" i="2"/>
  <c r="E1104" i="3"/>
  <c r="C1104" i="3"/>
  <c r="D1104" i="3"/>
  <c r="B1104" i="3"/>
  <c r="A1105" i="3"/>
  <c r="B1105" i="3" l="1"/>
  <c r="C1105" i="3"/>
  <c r="D1105" i="3"/>
  <c r="E1105" i="3"/>
  <c r="A1106" i="3"/>
  <c r="B1081" i="2"/>
  <c r="A1082" i="2"/>
  <c r="A1083" i="2" l="1"/>
  <c r="B1082" i="2"/>
  <c r="E1106" i="3"/>
  <c r="D1106" i="3"/>
  <c r="C1106" i="3"/>
  <c r="B1106" i="3"/>
  <c r="A1107" i="3"/>
  <c r="D1107" i="3" l="1"/>
  <c r="E1107" i="3"/>
  <c r="A1108" i="3"/>
  <c r="B1107" i="3"/>
  <c r="C1107" i="3"/>
  <c r="A1084" i="2"/>
  <c r="B1083" i="2"/>
  <c r="B1084" i="2" l="1"/>
  <c r="A1085" i="2"/>
  <c r="C1108" i="3"/>
  <c r="D1108" i="3"/>
  <c r="E1108" i="3"/>
  <c r="B1108" i="3"/>
  <c r="A1109" i="3"/>
  <c r="A1110" i="3" l="1"/>
  <c r="E1109" i="3"/>
  <c r="C1109" i="3"/>
  <c r="B1109" i="3"/>
  <c r="D1109" i="3"/>
  <c r="B1085" i="2"/>
  <c r="A1086" i="2"/>
  <c r="B1086" i="2" l="1"/>
  <c r="A1087" i="2"/>
  <c r="C1110" i="3"/>
  <c r="E1110" i="3"/>
  <c r="B1110" i="3"/>
  <c r="D1110" i="3"/>
  <c r="A1111" i="3"/>
  <c r="D1111" i="3" l="1"/>
  <c r="E1111" i="3"/>
  <c r="B1111" i="3"/>
  <c r="C1111" i="3"/>
  <c r="A1112" i="3"/>
  <c r="A1088" i="2"/>
  <c r="B1087" i="2"/>
  <c r="A1089" i="2" l="1"/>
  <c r="B1088" i="2"/>
  <c r="B1112" i="3"/>
  <c r="E1112" i="3"/>
  <c r="C1112" i="3"/>
  <c r="D1112" i="3"/>
  <c r="A1113" i="3"/>
  <c r="B1113" i="3" l="1"/>
  <c r="A1114" i="3"/>
  <c r="E1113" i="3"/>
  <c r="C1113" i="3"/>
  <c r="D1113" i="3"/>
  <c r="B1089" i="2"/>
  <c r="A1090" i="2"/>
  <c r="A1091" i="2" l="1"/>
  <c r="B1090" i="2"/>
  <c r="E1114" i="3"/>
  <c r="A1115" i="3"/>
  <c r="D1114" i="3"/>
  <c r="B1114" i="3"/>
  <c r="C1114" i="3"/>
  <c r="E1115" i="3" l="1"/>
  <c r="B1115" i="3"/>
  <c r="C1115" i="3"/>
  <c r="D1115" i="3"/>
  <c r="A1116" i="3"/>
  <c r="A1092" i="2"/>
  <c r="B1091" i="2"/>
  <c r="B1092" i="2" l="1"/>
  <c r="A1093" i="2"/>
  <c r="C1116" i="3"/>
  <c r="A1117" i="3"/>
  <c r="D1116" i="3"/>
  <c r="E1116" i="3"/>
  <c r="B1116" i="3"/>
  <c r="B1093" i="2" l="1"/>
  <c r="A1094" i="2"/>
  <c r="A1118" i="3"/>
  <c r="D1117" i="3"/>
  <c r="B1117" i="3"/>
  <c r="C1117" i="3"/>
  <c r="E1117" i="3"/>
  <c r="A1119" i="3" l="1"/>
  <c r="E1118" i="3"/>
  <c r="D1118" i="3"/>
  <c r="B1118" i="3"/>
  <c r="C1118" i="3"/>
  <c r="A1095" i="2"/>
  <c r="B1094" i="2"/>
  <c r="A1096" i="2" l="1"/>
  <c r="B1095" i="2"/>
  <c r="D1119" i="3"/>
  <c r="C1119" i="3"/>
  <c r="E1119" i="3"/>
  <c r="A1120" i="3"/>
  <c r="B1119" i="3"/>
  <c r="A1121" i="3" l="1"/>
  <c r="B1120" i="3"/>
  <c r="C1120" i="3"/>
  <c r="D1120" i="3"/>
  <c r="E1120" i="3"/>
  <c r="B1096" i="2"/>
  <c r="A1097" i="2"/>
  <c r="B1097" i="2" l="1"/>
  <c r="J1097" i="2"/>
  <c r="G1097" i="2"/>
  <c r="A1098" i="2"/>
  <c r="C1097" i="2"/>
  <c r="H1097" i="2"/>
  <c r="D1097" i="2"/>
  <c r="I1097" i="2"/>
  <c r="E1097" i="2"/>
  <c r="F1097" i="2"/>
  <c r="B1121" i="3"/>
  <c r="C1121" i="3"/>
  <c r="A1122" i="3"/>
  <c r="D1121" i="3"/>
  <c r="E1121" i="3"/>
  <c r="E1122" i="3" l="1"/>
  <c r="B1122" i="3"/>
  <c r="C1122" i="3"/>
  <c r="D1122" i="3"/>
  <c r="A1123" i="3"/>
  <c r="H1098" i="2"/>
  <c r="E1098" i="2"/>
  <c r="A1099" i="2"/>
  <c r="B1098" i="2"/>
  <c r="C1098" i="2"/>
  <c r="I1098" i="2"/>
  <c r="G1098" i="2"/>
  <c r="J1098" i="2"/>
  <c r="F1098" i="2"/>
  <c r="D1098" i="2"/>
  <c r="F1099" i="2" l="1"/>
  <c r="C1099" i="2"/>
  <c r="A1100" i="2"/>
  <c r="B1099" i="2"/>
  <c r="D1099" i="2"/>
  <c r="I1099" i="2"/>
  <c r="E1099" i="2"/>
  <c r="J1099" i="2"/>
  <c r="H1099" i="2"/>
  <c r="G1099" i="2"/>
  <c r="B1123" i="3"/>
  <c r="C1123" i="3"/>
  <c r="E1123" i="3"/>
  <c r="D1123" i="3"/>
  <c r="A1124" i="3"/>
  <c r="C1124" i="3" l="1"/>
  <c r="A1125" i="3"/>
  <c r="B1124" i="3"/>
  <c r="D1124" i="3"/>
  <c r="E1124" i="3"/>
  <c r="D1100" i="2"/>
  <c r="I1100" i="2"/>
  <c r="B1100" i="2"/>
  <c r="C1100" i="2"/>
  <c r="E1100" i="2"/>
  <c r="J1100" i="2"/>
  <c r="H1100" i="2"/>
  <c r="A1101" i="2"/>
  <c r="F1100" i="2"/>
  <c r="G1100" i="2"/>
  <c r="A1126" i="3" l="1"/>
  <c r="C1125" i="3"/>
  <c r="B1125" i="3"/>
  <c r="D1125" i="3"/>
  <c r="E1125" i="3"/>
  <c r="B1101" i="2"/>
  <c r="J1101" i="2"/>
  <c r="G1101" i="2"/>
  <c r="C1101" i="2"/>
  <c r="D1101" i="2"/>
  <c r="E1101" i="2"/>
  <c r="A1102" i="2"/>
  <c r="F1101" i="2"/>
  <c r="H1101" i="2"/>
  <c r="I1101" i="2"/>
  <c r="H1102" i="2" l="1"/>
  <c r="E1102" i="2"/>
  <c r="C1102" i="2"/>
  <c r="D1102" i="2"/>
  <c r="F1102" i="2"/>
  <c r="A1103" i="2"/>
  <c r="J1102" i="2"/>
  <c r="B1102" i="2"/>
  <c r="I1102" i="2"/>
  <c r="G1102" i="2"/>
  <c r="E1126" i="3"/>
  <c r="D1126" i="3"/>
  <c r="A1127" i="3"/>
  <c r="B1126" i="3"/>
  <c r="C1126" i="3"/>
  <c r="F1103" i="2" l="1"/>
  <c r="C1103" i="2"/>
  <c r="A1104" i="2"/>
  <c r="D1103" i="2"/>
  <c r="E1103" i="2"/>
  <c r="G1103" i="2"/>
  <c r="B1103" i="2"/>
  <c r="H1103" i="2"/>
  <c r="J1103" i="2"/>
  <c r="I1103" i="2"/>
  <c r="D1127" i="3"/>
  <c r="C1127" i="3"/>
  <c r="B1127" i="3"/>
  <c r="E1127" i="3"/>
  <c r="A1128" i="3"/>
  <c r="D1104" i="2" l="1"/>
  <c r="I1104" i="2"/>
  <c r="E1104" i="2"/>
  <c r="F1104" i="2"/>
  <c r="G1104" i="2"/>
  <c r="B1104" i="2"/>
  <c r="A1105" i="2"/>
  <c r="C1104" i="2"/>
  <c r="H1104" i="2"/>
  <c r="J1104" i="2"/>
  <c r="D1128" i="3"/>
  <c r="A1129" i="3"/>
  <c r="C1128" i="3"/>
  <c r="B1128" i="3"/>
  <c r="E1128" i="3"/>
  <c r="B1105" i="2" l="1"/>
  <c r="J1105" i="2"/>
  <c r="G1105" i="2"/>
  <c r="E1105" i="2"/>
  <c r="F1105" i="2"/>
  <c r="H1105" i="2"/>
  <c r="C1105" i="2"/>
  <c r="D1105" i="2"/>
  <c r="I1105" i="2"/>
  <c r="A1106" i="2"/>
  <c r="B1129" i="3"/>
  <c r="D1129" i="3"/>
  <c r="C1129" i="3"/>
  <c r="E1129" i="3"/>
  <c r="A1130" i="3"/>
  <c r="E1130" i="3" l="1"/>
  <c r="C1130" i="3"/>
  <c r="A1131" i="3"/>
  <c r="B1130" i="3"/>
  <c r="D1130" i="3"/>
  <c r="H1106" i="2"/>
  <c r="E1106" i="2"/>
  <c r="F1106" i="2"/>
  <c r="G1106" i="2"/>
  <c r="I1106" i="2"/>
  <c r="C1106" i="2"/>
  <c r="D1106" i="2"/>
  <c r="A1107" i="2"/>
  <c r="J1106" i="2"/>
  <c r="B1106" i="2"/>
  <c r="F1107" i="2" l="1"/>
  <c r="C1107" i="2"/>
  <c r="A1108" i="2"/>
  <c r="G1107" i="2"/>
  <c r="H1107" i="2"/>
  <c r="I1107" i="2"/>
  <c r="D1107" i="2"/>
  <c r="B1107" i="2"/>
  <c r="E1107" i="2"/>
  <c r="J1107" i="2"/>
  <c r="D1131" i="3"/>
  <c r="C1131" i="3"/>
  <c r="E1131" i="3"/>
  <c r="A1132" i="3"/>
  <c r="B1131" i="3"/>
  <c r="C1132" i="3" l="1"/>
  <c r="B1132" i="3"/>
  <c r="A1133" i="3"/>
  <c r="D1132" i="3"/>
  <c r="E1132" i="3"/>
  <c r="D1108" i="2"/>
  <c r="I1108" i="2"/>
  <c r="G1108" i="2"/>
  <c r="H1108" i="2"/>
  <c r="J1108" i="2"/>
  <c r="E1108" i="2"/>
  <c r="F1108" i="2"/>
  <c r="C1108" i="2"/>
  <c r="A1109" i="2"/>
  <c r="B1108" i="2"/>
  <c r="B1109" i="2" l="1"/>
  <c r="J1109" i="2"/>
  <c r="G1109" i="2"/>
  <c r="H1109" i="2"/>
  <c r="I1109" i="2"/>
  <c r="A1110" i="2"/>
  <c r="E1109" i="2"/>
  <c r="D1109" i="2"/>
  <c r="F1109" i="2"/>
  <c r="C1109" i="2"/>
  <c r="A1134" i="3"/>
  <c r="D1133" i="3"/>
  <c r="E1133" i="3"/>
  <c r="B1133" i="3"/>
  <c r="C1133" i="3"/>
  <c r="B1134" i="3" l="1"/>
  <c r="C1134" i="3"/>
  <c r="D1134" i="3"/>
  <c r="E1134" i="3"/>
  <c r="A1135" i="3"/>
  <c r="H1110" i="2"/>
  <c r="E1110" i="2"/>
  <c r="I1110" i="2"/>
  <c r="J1110" i="2"/>
  <c r="A1111" i="2"/>
  <c r="F1110" i="2"/>
  <c r="B1110" i="2"/>
  <c r="G1110" i="2"/>
  <c r="C1110" i="2"/>
  <c r="D1110" i="2"/>
  <c r="D1135" i="3" l="1"/>
  <c r="E1135" i="3"/>
  <c r="C1135" i="3"/>
  <c r="B1135" i="3"/>
  <c r="F1111" i="2"/>
  <c r="C1111" i="2"/>
  <c r="A1112" i="2"/>
  <c r="I1111" i="2"/>
  <c r="J1111" i="2"/>
  <c r="G1111" i="2"/>
  <c r="E1111" i="2"/>
  <c r="H1111" i="2"/>
  <c r="D1111" i="2"/>
  <c r="B1111" i="2"/>
  <c r="D1112" i="2" l="1"/>
  <c r="I1112" i="2"/>
  <c r="J1112" i="2"/>
  <c r="A1113" i="2"/>
  <c r="B1112" i="2"/>
  <c r="G1112" i="2"/>
  <c r="C1112" i="2"/>
  <c r="H1112" i="2"/>
  <c r="F1112" i="2"/>
  <c r="E1112" i="2"/>
  <c r="B1113" i="2" l="1"/>
  <c r="J1113" i="2"/>
  <c r="G1113" i="2"/>
  <c r="A1114" i="2"/>
  <c r="C1113" i="2"/>
  <c r="H1113" i="2"/>
  <c r="F1113" i="2"/>
  <c r="I1113" i="2"/>
  <c r="D1113" i="2"/>
  <c r="E1113" i="2"/>
  <c r="H1114" i="2" l="1"/>
  <c r="E1114" i="2"/>
  <c r="A1115" i="2"/>
  <c r="B1114" i="2"/>
  <c r="C1114" i="2"/>
  <c r="I1114" i="2"/>
  <c r="D1114" i="2"/>
  <c r="J1114" i="2"/>
  <c r="F1114" i="2"/>
  <c r="G1114" i="2"/>
  <c r="F1115" i="2" l="1"/>
  <c r="C1115" i="2"/>
  <c r="A1116" i="2"/>
  <c r="B1115" i="2"/>
  <c r="D1115" i="2"/>
  <c r="I1115" i="2"/>
  <c r="H1115" i="2"/>
  <c r="J1115" i="2"/>
  <c r="G1115" i="2"/>
  <c r="E1115" i="2"/>
  <c r="D1116" i="2" l="1"/>
  <c r="I1116" i="2"/>
  <c r="B1116" i="2"/>
  <c r="C1116" i="2"/>
  <c r="E1116" i="2"/>
  <c r="J1116" i="2"/>
  <c r="A1117" i="2"/>
  <c r="G1116" i="2"/>
  <c r="H1116" i="2"/>
  <c r="F1116" i="2"/>
  <c r="B1117" i="2" l="1"/>
  <c r="J1117" i="2"/>
  <c r="G1117" i="2"/>
  <c r="C1117" i="2"/>
  <c r="D1117" i="2"/>
  <c r="E1117" i="2"/>
  <c r="A1118" i="2"/>
  <c r="I1117" i="2"/>
  <c r="F1117" i="2"/>
  <c r="H1117" i="2"/>
  <c r="H1118" i="2" l="1"/>
  <c r="E1118" i="2"/>
  <c r="C1118" i="2"/>
  <c r="D1118" i="2"/>
  <c r="F1118" i="2"/>
  <c r="A1119" i="2"/>
  <c r="B1118" i="2"/>
  <c r="J1118" i="2"/>
  <c r="G1118" i="2"/>
  <c r="I1118" i="2"/>
  <c r="F1119" i="2" l="1"/>
  <c r="C1119" i="2"/>
  <c r="A1120" i="2"/>
  <c r="D1119" i="2"/>
  <c r="E1119" i="2"/>
  <c r="G1119" i="2"/>
  <c r="J1119" i="2"/>
  <c r="B1119" i="2"/>
  <c r="I1119" i="2"/>
  <c r="H1119" i="2"/>
  <c r="D1120" i="2" l="1"/>
  <c r="I1120" i="2"/>
  <c r="E1120" i="2"/>
  <c r="F1120" i="2"/>
  <c r="G1120" i="2"/>
  <c r="B1120" i="2"/>
  <c r="C1120" i="2"/>
  <c r="H1120" i="2"/>
  <c r="J1120" i="2"/>
  <c r="A1121" i="2"/>
  <c r="B1121" i="2" l="1"/>
  <c r="J1121" i="2"/>
  <c r="G1121" i="2"/>
  <c r="E1121" i="2"/>
  <c r="F1121" i="2"/>
  <c r="H1121" i="2"/>
  <c r="C1121" i="2"/>
  <c r="D1121" i="2"/>
  <c r="I1121" i="2"/>
  <c r="A1122" i="2"/>
  <c r="H1122" i="2" l="1"/>
  <c r="E1122" i="2"/>
  <c r="F1122" i="2"/>
  <c r="G1122" i="2"/>
  <c r="I1122" i="2"/>
  <c r="C1122" i="2"/>
  <c r="B1122" i="2"/>
  <c r="D1122" i="2"/>
  <c r="J1122" i="2"/>
  <c r="A1123" i="2"/>
  <c r="F1123" i="2" l="1"/>
  <c r="C1123" i="2"/>
  <c r="A1124" i="2"/>
  <c r="G1123" i="2"/>
  <c r="H1123" i="2"/>
  <c r="I1123" i="2"/>
  <c r="D1123" i="2"/>
  <c r="E1123" i="2"/>
  <c r="B1123" i="2"/>
  <c r="J1123" i="2"/>
  <c r="D1124" i="2" l="1"/>
  <c r="I1124" i="2"/>
  <c r="G1124" i="2"/>
  <c r="H1124" i="2"/>
  <c r="J1124" i="2"/>
  <c r="E1124" i="2"/>
  <c r="C1124" i="2"/>
  <c r="F1124" i="2"/>
  <c r="B1124" i="2"/>
  <c r="A1125" i="2"/>
  <c r="B1125" i="2" l="1"/>
  <c r="J1125" i="2"/>
  <c r="G1125" i="2"/>
  <c r="H1125" i="2"/>
  <c r="I1125" i="2"/>
  <c r="A1126" i="2"/>
  <c r="E1125" i="2"/>
  <c r="F1125" i="2"/>
  <c r="C1125" i="2"/>
  <c r="D1125" i="2"/>
  <c r="H1126" i="2" l="1"/>
  <c r="E1126" i="2"/>
  <c r="I1126" i="2"/>
  <c r="J1126" i="2"/>
  <c r="A1127" i="2"/>
  <c r="F1126" i="2"/>
  <c r="D1126" i="2"/>
  <c r="G1126" i="2"/>
  <c r="B1126" i="2"/>
  <c r="C1126" i="2"/>
  <c r="F1127" i="2" l="1"/>
  <c r="C1127" i="2"/>
  <c r="A1128" i="2"/>
  <c r="I1127" i="2"/>
  <c r="J1127" i="2"/>
  <c r="G1127" i="2"/>
  <c r="H1127" i="2"/>
  <c r="B1127" i="2"/>
  <c r="D1127" i="2"/>
  <c r="E1127" i="2"/>
  <c r="D1128" i="2" l="1"/>
  <c r="I1128" i="2"/>
  <c r="J1128" i="2"/>
  <c r="A1129" i="2"/>
  <c r="B1128" i="2"/>
  <c r="G1128" i="2"/>
  <c r="F1128" i="2"/>
  <c r="H1128" i="2"/>
  <c r="C1128" i="2"/>
  <c r="E1128" i="2"/>
  <c r="B1129" i="2" l="1"/>
  <c r="J1129" i="2"/>
  <c r="G1129" i="2"/>
  <c r="A1130" i="2"/>
  <c r="C1129" i="2"/>
  <c r="H1129" i="2"/>
  <c r="I1129" i="2"/>
  <c r="E1129" i="2"/>
  <c r="D1129" i="2"/>
  <c r="F1129" i="2"/>
  <c r="H1130" i="2" l="1"/>
  <c r="E1130" i="2"/>
  <c r="A1131" i="2"/>
  <c r="B1130" i="2"/>
  <c r="C1130" i="2"/>
  <c r="I1130" i="2"/>
  <c r="G1130" i="2"/>
  <c r="J1130" i="2"/>
  <c r="D1130" i="2"/>
  <c r="F1130" i="2"/>
  <c r="F1131" i="2" l="1"/>
  <c r="C1131" i="2"/>
  <c r="A1132" i="2"/>
  <c r="B1131" i="2"/>
  <c r="D1131" i="2"/>
  <c r="I1131" i="2"/>
  <c r="J1131" i="2"/>
  <c r="E1131" i="2"/>
  <c r="G1131" i="2"/>
  <c r="H1131" i="2"/>
  <c r="D1132" i="2" l="1"/>
  <c r="I1132" i="2"/>
  <c r="B1132" i="2"/>
  <c r="C1132" i="2"/>
  <c r="E1132" i="2"/>
  <c r="J1132" i="2"/>
  <c r="H1132" i="2"/>
  <c r="A1133" i="2"/>
  <c r="G1132" i="2"/>
  <c r="F1132" i="2"/>
  <c r="B1133" i="2" l="1"/>
  <c r="G1133" i="2"/>
  <c r="C1133" i="2"/>
  <c r="D1133" i="2"/>
  <c r="E1133" i="2"/>
  <c r="J1133" i="2"/>
  <c r="A1134" i="2"/>
  <c r="H1133" i="2"/>
  <c r="I1133" i="2"/>
  <c r="F1133" i="2"/>
  <c r="B1134" i="2" l="1"/>
  <c r="J1134" i="2"/>
  <c r="C1134" i="2"/>
  <c r="A1135" i="2"/>
  <c r="D1134" i="2"/>
  <c r="H1134" i="2"/>
  <c r="G1134" i="2"/>
  <c r="I1134" i="2"/>
  <c r="E1134" i="2"/>
  <c r="F1134" i="2"/>
  <c r="H1135" i="2" l="1"/>
  <c r="I1135" i="2"/>
  <c r="B1135" i="2"/>
  <c r="J1135" i="2"/>
  <c r="F1135" i="2"/>
  <c r="G1135" i="2"/>
  <c r="E1135" i="2"/>
  <c r="D1135" i="2"/>
  <c r="C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<sst xmlns="http://schemas.openxmlformats.org/spreadsheetml/2006/main" count="161" uniqueCount="74">
  <si>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</si>
  <si>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</si>
  <si>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</si>
  <si>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</si>
  <si>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</si>
  <si>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</si>
  <si>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</si>
  <si>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</si>
  <si>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</si>
  <si>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</si>
  <si>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</si>
  <si>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</si>
  <si>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</si>
  <si>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</si>
  <si>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</si>
  <si>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</si>
  <si>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</si>
  <si>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</si>
  <si>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</si>
  <si>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</si>
  <si>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</si>
  <si>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</si>
  <si>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</si>
  <si>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</si>
  <si>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</si>
  <si>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July 06, 2015 -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</si>
  <si>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</si>
  <si>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</si>
  <si>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</si>
  <si>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</si>
  <si>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</si>
  <si>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</si>
  <si>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</si>
  <si>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</si>
  <si>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</si>
  <si>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</si>
  <si>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</si>
  <si>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</si>
  <si>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</si>
  <si>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</si>
  <si>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</si>
  <si>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</si>
  <si>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</si>
  <si>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</si>
  <si>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</si>
  <si>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</si>
  <si>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</si>
  <si>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</si>
  <si>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</si>
  <si>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</si>
  <si>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</si>
  <si>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</si>
  <si>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</si>
  <si>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</si>
  <si>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</si>
  <si>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</si>
  <si>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</si>
  <si>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</si>
  <si>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</si>
  <si>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</si>
  <si>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</si>
  <si>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</si>
  <si>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</si>
  <si>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</si>
  <si>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</si>
  <si>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</si>
  <si>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</si>
  <si>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</si>
  <si>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</si>
  <si>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42</t>
  </si>
  <si>
    <t>Tab 5 of 5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</si>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</sst>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7.%20July\150706%202015%20-%202021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3.3498 * CHOOSE(CONTROL!$C$15, $D$11, 100%, $F$11)</f>
        <v>3.3498000000000001</v>
      </c>
      <c r="C17" s="8">
        <f>3.355 * CHOOSE(CONTROL!$C$15, $D$11, 100%, $F$11)</f>
        <v>3.355</v>
      </c>
      <c r="D17" s="8">
        <f>3.3504 * CHOOSE( CONTROL!$C$15, $D$11, 100%, $F$11)</f>
        <v>3.3504</v>
      </c>
      <c r="E17" s="12">
        <f>3.3515 * CHOOSE( CONTROL!$C$15, $D$11, 100%, $F$11)</f>
        <v>3.3515000000000001</v>
      </c>
      <c r="F17" s="4">
        <f>3.9925 * CHOOSE(CONTROL!$C$15, $D$11, 100%, $F$11)</f>
        <v>3.9925000000000002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44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3.0134 * CHOOSE(CONTROL!$C$15, $D$11, 100%, $F$11)</f>
        <v>3.0133999999999999</v>
      </c>
      <c r="C18" s="8">
        <f>3.0186 * CHOOSE(CONTROL!$C$15, $D$11, 100%, $F$11)</f>
        <v>3.0186000000000002</v>
      </c>
      <c r="D18" s="8">
        <f>3.016 * CHOOSE( CONTROL!$C$15, $D$11, 100%, $F$11)</f>
        <v>3.016</v>
      </c>
      <c r="E18" s="12">
        <f>3.0164 * CHOOSE( CONTROL!$C$15, $D$11, 100%, $F$11)</f>
        <v>3.0164</v>
      </c>
      <c r="F18" s="4">
        <f>3.6639 * CHOOSE(CONTROL!$C$15, $D$11, 100%, $F$11)</f>
        <v>3.6638999999999999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3.0426 * CHOOSE(CONTROL!$C$15, $D$11, 100%, $F$11)</f>
        <v>3.0426000000000002</v>
      </c>
      <c r="C19" s="8">
        <f>3.0478 * CHOOSE(CONTROL!$C$15, $D$11, 100%, $F$11)</f>
        <v>3.0478000000000001</v>
      </c>
      <c r="D19" s="8">
        <f>3.0558 * CHOOSE( CONTROL!$C$15, $D$11, 100%, $F$11)</f>
        <v>3.0558000000000001</v>
      </c>
      <c r="E19" s="12">
        <f>3.0523 * CHOOSE( CONTROL!$C$15, $D$11, 100%, $F$11)</f>
        <v>3.0522999999999998</v>
      </c>
      <c r="F19" s="4">
        <f>3.7035 * CHOOSE(CONTROL!$C$15, $D$11, 100%, $F$11)</f>
        <v>3.7035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2.7267 * CHOOSE(CONTROL!$C$15, $D$11, 100%, $F$11)</f>
        <v>2.7267000000000001</v>
      </c>
      <c r="C20" s="8">
        <f>2.7313 * CHOOSE(CONTROL!$C$15, $D$11, 100%, $F$11)</f>
        <v>2.7313000000000001</v>
      </c>
      <c r="D20" s="8">
        <f>2.7099 * CHOOSE( CONTROL!$C$15, $D$11, 100%, $F$11)</f>
        <v>2.7099000000000002</v>
      </c>
      <c r="E20" s="12">
        <f>2.7164 * CHOOSE( CONTROL!$C$15, $D$11, 100%, $F$11)</f>
        <v>2.7164000000000001</v>
      </c>
      <c r="F20" s="4">
        <f>3.3868 * CHOOSE(CONTROL!$C$15, $D$11, 100%, $F$11)</f>
        <v>3.3868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2.6554, 2.652) * CHOOSE(CONTROL!$C$15, $D$11, 100%, $F$11)</f>
        <v>2.6554000000000002</v>
      </c>
      <c r="C21" s="8">
        <f>CHOOSE( CONTROL!$C$32, 2.6635, 2.6601) * CHOOSE(CONTROL!$C$15, $D$11, 100%, $F$11)</f>
        <v>2.6635</v>
      </c>
      <c r="D21" s="8">
        <f>CHOOSE( CONTROL!$C$32, 2.6455, 2.6421) * CHOOSE( CONTROL!$C$15, $D$11, 100%, $F$11)</f>
        <v>2.6455000000000002</v>
      </c>
      <c r="E21" s="12">
        <f>CHOOSE( CONTROL!$C$32, 2.6504, 2.647) * CHOOSE( CONTROL!$C$15, $D$11, 100%, $F$11)</f>
        <v>2.6503999999999999</v>
      </c>
      <c r="F21" s="4">
        <f>CHOOSE( CONTROL!$C$32, 3.322, 3.3186) * CHOOSE(CONTROL!$C$15, $D$11, 100%, $F$11)</f>
        <v>3.3220000000000001</v>
      </c>
      <c r="G21" s="8">
        <f>CHOOSE( CONTROL!$C$32, 2.5645, 2.5612) * CHOOSE( CONTROL!$C$15, $D$11, 100%, $F$11)</f>
        <v>2.5644999999999998</v>
      </c>
      <c r="H21" s="4">
        <f>CHOOSE( CONTROL!$C$32, 3.4794, 3.4761) * CHOOSE(CONTROL!$C$15, $D$11, 100%, $F$11)</f>
        <v>3.4794</v>
      </c>
      <c r="I21" s="8">
        <f>CHOOSE( CONTROL!$C$32, 2.5885, 2.5852) * CHOOSE(CONTROL!$C$15, $D$11, 100%, $F$11)</f>
        <v>2.5884999999999998</v>
      </c>
      <c r="J21" s="4">
        <f>CHOOSE( CONTROL!$C$32, 2.5203, 2.517) * CHOOSE(CONTROL!$C$15, $D$11, 100%, $F$11)</f>
        <v>2.5203000000000002</v>
      </c>
      <c r="K21" s="4">
        <f>CHOOSE( CONTROL!$C$32, 2.5736, 2.5702) * CHOOSE(CONTROL!$C$15, $D$11, 100%, $F$11)</f>
        <v>2.5735999999999999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2.9658, 2.9624) * CHOOSE(CONTROL!$C$15, $D$11, 100%, $F$11)</f>
        <v>2.9658000000000002</v>
      </c>
      <c r="C22" s="8">
        <f>CHOOSE( CONTROL!$C$32, 2.9739, 2.9705) * CHOOSE(CONTROL!$C$15, $D$11, 100%, $F$11)</f>
        <v>2.9739</v>
      </c>
      <c r="D22" s="8">
        <f>CHOOSE( CONTROL!$C$32, 2.9707, 2.9672) * CHOOSE( CONTROL!$C$15, $D$11, 100%, $F$11)</f>
        <v>2.9706999999999999</v>
      </c>
      <c r="E22" s="12">
        <f>CHOOSE( CONTROL!$C$32, 2.9706, 2.9672) * CHOOSE( CONTROL!$C$15, $D$11, 100%, $F$11)</f>
        <v>2.9706000000000001</v>
      </c>
      <c r="F22" s="4">
        <f>CHOOSE( CONTROL!$C$32, 3.6532, 3.6498) * CHOOSE(CONTROL!$C$15, $D$11, 100%, $F$11)</f>
        <v>3.6532</v>
      </c>
      <c r="G22" s="8">
        <f>CHOOSE( CONTROL!$C$32, 2.8814, 2.8781) * CHOOSE( CONTROL!$C$15, $D$11, 100%, $F$11)</f>
        <v>2.8814000000000002</v>
      </c>
      <c r="H22" s="4">
        <f>CHOOSE( CONTROL!$C$32, 3.8029, 3.7996) * CHOOSE(CONTROL!$C$15, $D$11, 100%, $F$11)</f>
        <v>3.8029000000000002</v>
      </c>
      <c r="I22" s="8">
        <f>CHOOSE( CONTROL!$C$32, 2.9112, 2.9079) * CHOOSE(CONTROL!$C$15, $D$11, 100%, $F$11)</f>
        <v>2.9112</v>
      </c>
      <c r="J22" s="4">
        <f>CHOOSE( CONTROL!$C$32, 2.8183, 2.815) * CHOOSE(CONTROL!$C$15, $D$11, 100%, $F$11)</f>
        <v>2.8182999999999998</v>
      </c>
      <c r="K22" s="4">
        <f>CHOOSE( CONTROL!$C$32, 2.8847, 2.8814) * CHOOSE(CONTROL!$C$15, $D$11, 100%, $F$11)</f>
        <v>2.8847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2.9221, 2.9187) * CHOOSE(CONTROL!$C$15, $D$11, 100%, $F$11)</f>
        <v>2.9220999999999999</v>
      </c>
      <c r="C23" s="8">
        <f>CHOOSE( CONTROL!$C$32, 2.9302, 2.9268) * CHOOSE(CONTROL!$C$15, $D$11, 100%, $F$11)</f>
        <v>2.9302000000000001</v>
      </c>
      <c r="D23" s="8">
        <f>CHOOSE( CONTROL!$C$32, 2.9321, 2.9287) * CHOOSE( CONTROL!$C$15, $D$11, 100%, $F$11)</f>
        <v>2.9321000000000002</v>
      </c>
      <c r="E23" s="12">
        <f>CHOOSE( CONTROL!$C$32, 2.9303, 2.9269) * CHOOSE( CONTROL!$C$15, $D$11, 100%, $F$11)</f>
        <v>2.9302999999999999</v>
      </c>
      <c r="F23" s="4">
        <f>CHOOSE( CONTROL!$C$32, 3.6147, 3.6113) * CHOOSE(CONTROL!$C$15, $D$11, 100%, $F$11)</f>
        <v>3.6147</v>
      </c>
      <c r="G23" s="8">
        <f>CHOOSE( CONTROL!$C$32, 2.844, 2.8407) * CHOOSE( CONTROL!$C$15, $D$11, 100%, $F$11)</f>
        <v>2.8439999999999999</v>
      </c>
      <c r="H23" s="4">
        <f>CHOOSE( CONTROL!$C$32, 3.7652, 3.7619) * CHOOSE(CONTROL!$C$15, $D$11, 100%, $F$11)</f>
        <v>3.7652000000000001</v>
      </c>
      <c r="I23" s="8">
        <f>CHOOSE( CONTROL!$C$32, 2.8885, 2.8853) * CHOOSE(CONTROL!$C$15, $D$11, 100%, $F$11)</f>
        <v>2.8885000000000001</v>
      </c>
      <c r="J23" s="4">
        <f>CHOOSE( CONTROL!$C$32, 2.7763, 2.773) * CHOOSE(CONTROL!$C$15, $D$11, 100%, $F$11)</f>
        <v>2.7763</v>
      </c>
      <c r="K23" s="4">
        <f>CHOOSE( CONTROL!$C$32, 2.8458, 2.8425) * CHOOSE(CONTROL!$C$15, $D$11, 100%, $F$11)</f>
        <v>2.8458000000000001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2.9044, 2.901) * CHOOSE(CONTROL!$C$15, $D$11, 100%, $F$11)</f>
        <v>2.9043999999999999</v>
      </c>
      <c r="C24" s="8">
        <f>CHOOSE( CONTROL!$C$32, 2.9125, 2.9091) * CHOOSE(CONTROL!$C$15, $D$11, 100%, $F$11)</f>
        <v>2.9125000000000001</v>
      </c>
      <c r="D24" s="8">
        <f>CHOOSE( CONTROL!$C$32, 2.9116, 2.9082) * CHOOSE( CONTROL!$C$15, $D$11, 100%, $F$11)</f>
        <v>2.9116</v>
      </c>
      <c r="E24" s="12">
        <f>CHOOSE( CONTROL!$C$32, 2.9108, 2.9074) * CHOOSE( CONTROL!$C$15, $D$11, 100%, $F$11)</f>
        <v>2.9108000000000001</v>
      </c>
      <c r="F24" s="4">
        <f>CHOOSE( CONTROL!$C$32, 3.6048, 3.6014) * CHOOSE(CONTROL!$C$15, $D$11, 100%, $F$11)</f>
        <v>3.6048</v>
      </c>
      <c r="G24" s="8">
        <f>CHOOSE( CONTROL!$C$32, 2.8224, 2.8191) * CHOOSE( CONTROL!$C$15, $D$11, 100%, $F$11)</f>
        <v>2.8224</v>
      </c>
      <c r="H24" s="4">
        <f>CHOOSE( CONTROL!$C$32, 3.7556, 3.7522) * CHOOSE(CONTROL!$C$15, $D$11, 100%, $F$11)</f>
        <v>3.7555999999999998</v>
      </c>
      <c r="I24" s="8">
        <f>CHOOSE( CONTROL!$C$32, 2.8618, 2.8585) * CHOOSE(CONTROL!$C$15, $D$11, 100%, $F$11)</f>
        <v>2.8618000000000001</v>
      </c>
      <c r="J24" s="4">
        <f>CHOOSE( CONTROL!$C$32, 2.7593, 2.756) * CHOOSE(CONTROL!$C$15, $D$11, 100%, $F$11)</f>
        <v>2.7593000000000001</v>
      </c>
      <c r="K24" s="4">
        <f>CHOOSE( CONTROL!$C$32, 2.8207, 2.8174) * CHOOSE(CONTROL!$C$15, $D$11, 100%, $F$11)</f>
        <v>2.8207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2.9148, 2.9114) * CHOOSE(CONTROL!$C$15, $D$11, 100%, $F$11)</f>
        <v>2.9148000000000001</v>
      </c>
      <c r="C25" s="8">
        <f>CHOOSE( CONTROL!$C$32, 2.9229, 2.9195) * CHOOSE(CONTROL!$C$15, $D$11, 100%, $F$11)</f>
        <v>2.9228999999999998</v>
      </c>
      <c r="D25" s="8">
        <f>CHOOSE( CONTROL!$C$32, 2.9105, 2.9071) * CHOOSE( CONTROL!$C$15, $D$11, 100%, $F$11)</f>
        <v>2.9104999999999999</v>
      </c>
      <c r="E25" s="12">
        <f>CHOOSE( CONTROL!$C$32, 2.9135, 2.9101) * CHOOSE( CONTROL!$C$15, $D$11, 100%, $F$11)</f>
        <v>2.9135</v>
      </c>
      <c r="F25" s="4">
        <f>CHOOSE( CONTROL!$C$32, 3.5996, 3.5962) * CHOOSE(CONTROL!$C$15, $D$11, 100%, $F$11)</f>
        <v>3.5996000000000001</v>
      </c>
      <c r="G25" s="8">
        <f>CHOOSE( CONTROL!$C$32, 2.8218, 2.8185) * CHOOSE( CONTROL!$C$15, $D$11, 100%, $F$11)</f>
        <v>2.8218000000000001</v>
      </c>
      <c r="H25" s="4">
        <f>CHOOSE( CONTROL!$C$32, 3.7505, 3.7472) * CHOOSE(CONTROL!$C$15, $D$11, 100%, $F$11)</f>
        <v>3.7505000000000002</v>
      </c>
      <c r="I25" s="8">
        <f>CHOOSE( CONTROL!$C$32, 2.8551, 2.8518) * CHOOSE(CONTROL!$C$15, $D$11, 100%, $F$11)</f>
        <v>2.8551000000000002</v>
      </c>
      <c r="J25" s="4">
        <f>CHOOSE( CONTROL!$C$32, 2.7693, 2.766) * CHOOSE(CONTROL!$C$15, $D$11, 100%, $F$11)</f>
        <v>2.7692999999999999</v>
      </c>
      <c r="K25" s="4">
        <f>CHOOSE( CONTROL!$C$32, 2.8279, 2.8246) * CHOOSE(CONTROL!$C$15, $D$11, 100%, $F$11)</f>
        <v>2.8279000000000001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2.942 * CHOOSE(CONTROL!$C$15, $D$11, 100%, $F$11)</f>
        <v>2.9420000000000002</v>
      </c>
      <c r="C26" s="8">
        <f>2.9474 * CHOOSE(CONTROL!$C$15, $D$11, 100%, $F$11)</f>
        <v>2.9474</v>
      </c>
      <c r="D26" s="8">
        <f>2.9339 * CHOOSE( CONTROL!$C$15, $D$11, 100%, $F$11)</f>
        <v>2.9339</v>
      </c>
      <c r="E26" s="12">
        <f>2.9378 * CHOOSE( CONTROL!$C$15, $D$11, 100%, $F$11)</f>
        <v>2.9378000000000002</v>
      </c>
      <c r="F26" s="4">
        <f>3.6285 * CHOOSE(CONTROL!$C$15, $D$11, 100%, $F$11)</f>
        <v>3.6284999999999998</v>
      </c>
      <c r="G26" s="8">
        <f>2.8496 * CHOOSE( CONTROL!$C$15, $D$11, 100%, $F$11)</f>
        <v>2.8496000000000001</v>
      </c>
      <c r="H26" s="4">
        <f>3.7787 * CHOOSE(CONTROL!$C$15, $D$11, 100%, $F$11)</f>
        <v>3.7787000000000002</v>
      </c>
      <c r="I26" s="8">
        <f>2.8837 * CHOOSE(CONTROL!$C$15, $D$11, 100%, $F$11)</f>
        <v>2.8837000000000002</v>
      </c>
      <c r="J26" s="4">
        <f>2.797 * CHOOSE(CONTROL!$C$15, $D$11, 100%, $F$11)</f>
        <v>2.7970000000000002</v>
      </c>
      <c r="K26" s="4">
        <f>2.8563 * CHOOSE(CONTROL!$C$15, $D$11, 100%, $F$11)</f>
        <v>2.8563000000000001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3.0551 * CHOOSE(CONTROL!$C$15, $D$11, 100%, $F$11)</f>
        <v>3.0550999999999999</v>
      </c>
      <c r="C27" s="8">
        <f>3.0603 * CHOOSE(CONTROL!$C$15, $D$11, 100%, $F$11)</f>
        <v>3.0602999999999998</v>
      </c>
      <c r="D27" s="8">
        <f>3.0365 * CHOOSE( CONTROL!$C$15, $D$11, 100%, $F$11)</f>
        <v>3.0365000000000002</v>
      </c>
      <c r="E27" s="12">
        <f>3.0446 * CHOOSE( CONTROL!$C$15, $D$11, 100%, $F$11)</f>
        <v>3.0446</v>
      </c>
      <c r="F27" s="4">
        <f>3.7055 * CHOOSE(CONTROL!$C$15, $D$11, 100%, $F$11)</f>
        <v>3.7054999999999998</v>
      </c>
      <c r="G27" s="8">
        <f>2.9667 * CHOOSE( CONTROL!$C$15, $D$11, 100%, $F$11)</f>
        <v>2.9666999999999999</v>
      </c>
      <c r="H27" s="4">
        <f>3.854 * CHOOSE(CONTROL!$C$15, $D$11, 100%, $F$11)</f>
        <v>3.8540000000000001</v>
      </c>
      <c r="I27" s="8">
        <f>3.0206 * CHOOSE(CONTROL!$C$15, $D$11, 100%, $F$11)</f>
        <v>3.0206</v>
      </c>
      <c r="J27" s="4">
        <f>2.906 * CHOOSE(CONTROL!$C$15, $D$11, 100%, $F$11)</f>
        <v>2.9060000000000001</v>
      </c>
      <c r="K27" s="4">
        <f>2.9812 * CHOOSE(CONTROL!$C$15, $D$11, 100%, $F$11)</f>
        <v>2.9811999999999999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3.2457 * CHOOSE(CONTROL!$C$15, $D$11, 100%, $F$11)</f>
        <v>3.2456999999999998</v>
      </c>
      <c r="C28" s="8">
        <f>3.2509 * CHOOSE(CONTROL!$C$15, $D$11, 100%, $F$11)</f>
        <v>3.2509000000000001</v>
      </c>
      <c r="D28" s="8">
        <f>3.2289 * CHOOSE( CONTROL!$C$15, $D$11, 100%, $F$11)</f>
        <v>3.2288999999999999</v>
      </c>
      <c r="E28" s="12">
        <f>3.2364 * CHOOSE( CONTROL!$C$15, $D$11, 100%, $F$11)</f>
        <v>3.2364000000000002</v>
      </c>
      <c r="F28" s="4">
        <f>3.8961 * CHOOSE(CONTROL!$C$15, $D$11, 100%, $F$11)</f>
        <v>3.8961000000000001</v>
      </c>
      <c r="G28" s="8">
        <f>3.1541 * CHOOSE( CONTROL!$C$15, $D$11, 100%, $F$11)</f>
        <v>3.1541000000000001</v>
      </c>
      <c r="H28" s="4">
        <f>4.0401 * CHOOSE(CONTROL!$C$15, $D$11, 100%, $F$11)</f>
        <v>4.0400999999999998</v>
      </c>
      <c r="I28" s="8">
        <f>3.209 * CHOOSE(CONTROL!$C$15, $D$11, 100%, $F$11)</f>
        <v>3.2090000000000001</v>
      </c>
      <c r="J28" s="4">
        <f>3.089 * CHOOSE(CONTROL!$C$15, $D$11, 100%, $F$11)</f>
        <v>3.089</v>
      </c>
      <c r="K28" s="4">
        <f>3.1685 * CHOOSE(CONTROL!$C$15, $D$11, 100%, $F$11)</f>
        <v>3.1684999999999999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3.3613 * CHOOSE(CONTROL!$C$15, $D$11, 100%, $F$11)</f>
        <v>3.3613</v>
      </c>
      <c r="C29" s="8">
        <f>3.3665 * CHOOSE(CONTROL!$C$15, $D$11, 100%, $F$11)</f>
        <v>3.3664999999999998</v>
      </c>
      <c r="D29" s="8">
        <f>3.3455 * CHOOSE( CONTROL!$C$15, $D$11, 100%, $F$11)</f>
        <v>3.3454999999999999</v>
      </c>
      <c r="E29" s="12">
        <f>3.3526 * CHOOSE( CONTROL!$C$15, $D$11, 100%, $F$11)</f>
        <v>3.3525999999999998</v>
      </c>
      <c r="F29" s="4">
        <f>4.0118 * CHOOSE(CONTROL!$C$15, $D$11, 100%, $F$11)</f>
        <v>4.0118</v>
      </c>
      <c r="G29" s="8">
        <f>3.2677 * CHOOSE( CONTROL!$C$15, $D$11, 100%, $F$11)</f>
        <v>3.2677</v>
      </c>
      <c r="H29" s="4">
        <f>4.1531 * CHOOSE(CONTROL!$C$15, $D$11, 100%, $F$11)</f>
        <v>4.1531000000000002</v>
      </c>
      <c r="I29" s="8">
        <f>3.3232 * CHOOSE(CONTROL!$C$15, $D$11, 100%, $F$11)</f>
        <v>3.3231999999999999</v>
      </c>
      <c r="J29" s="4">
        <f>3.2 * CHOOSE(CONTROL!$C$15, $D$11, 100%, $F$11)</f>
        <v>3.2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si="0"/>
        <v>0.3</v>
      </c>
      <c r="S29" s="11"/>
    </row>
    <row r="30" spans="1:19" ht="15" customHeight="1">
      <c r="A30" s="13">
        <v>42401</v>
      </c>
      <c r="B30" s="8">
        <f>3.3592 * CHOOSE(CONTROL!$C$15, $D$11, 100%, $F$11)</f>
        <v>3.3592</v>
      </c>
      <c r="C30" s="8">
        <f>3.3644 * CHOOSE(CONTROL!$C$15, $D$11, 100%, $F$11)</f>
        <v>3.3643999999999998</v>
      </c>
      <c r="D30" s="8">
        <f>3.3434 * CHOOSE( CONTROL!$C$15, $D$11, 100%, $F$11)</f>
        <v>3.3433999999999999</v>
      </c>
      <c r="E30" s="12">
        <f>3.3505 * CHOOSE( CONTROL!$C$15, $D$11, 100%, $F$11)</f>
        <v>3.3504999999999998</v>
      </c>
      <c r="F30" s="4">
        <f>4.0097 * CHOOSE(CONTROL!$C$15, $D$11, 100%, $F$11)</f>
        <v>4.0096999999999996</v>
      </c>
      <c r="G30" s="8">
        <f>3.2657 * CHOOSE( CONTROL!$C$15, $D$11, 100%, $F$11)</f>
        <v>3.2656999999999998</v>
      </c>
      <c r="H30" s="4">
        <f>4.151 * CHOOSE(CONTROL!$C$15, $D$11, 100%, $F$11)</f>
        <v>4.1509999999999998</v>
      </c>
      <c r="I30" s="8">
        <f>3.3212 * CHOOSE(CONTROL!$C$15, $D$11, 100%, $F$11)</f>
        <v>3.3212000000000002</v>
      </c>
      <c r="J30" s="4">
        <f>3.198 * CHOOSE(CONTROL!$C$15, $D$11, 100%, $F$11)</f>
        <v>3.198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0"/>
        <v>0.3</v>
      </c>
      <c r="S30" s="11"/>
    </row>
    <row r="31" spans="1:19" ht="15" customHeight="1">
      <c r="A31" s="13">
        <v>42430</v>
      </c>
      <c r="B31" s="8">
        <f>3.3175 * CHOOSE(CONTROL!$C$15, $D$11, 100%, $F$11)</f>
        <v>3.3174999999999999</v>
      </c>
      <c r="C31" s="8">
        <f>3.3227 * CHOOSE(CONTROL!$C$15, $D$11, 100%, $F$11)</f>
        <v>3.3227000000000002</v>
      </c>
      <c r="D31" s="8">
        <f>3.3014 * CHOOSE( CONTROL!$C$15, $D$11, 100%, $F$11)</f>
        <v>3.3014000000000001</v>
      </c>
      <c r="E31" s="12">
        <f>3.3086 * CHOOSE( CONTROL!$C$15, $D$11, 100%, $F$11)</f>
        <v>3.3086000000000002</v>
      </c>
      <c r="F31" s="4">
        <f>3.968 * CHOOSE(CONTROL!$C$15, $D$11, 100%, $F$11)</f>
        <v>3.968</v>
      </c>
      <c r="G31" s="8">
        <f>3.2247 * CHOOSE( CONTROL!$C$15, $D$11, 100%, $F$11)</f>
        <v>3.2246999999999999</v>
      </c>
      <c r="H31" s="4">
        <f>4.1103 * CHOOSE(CONTROL!$C$15, $D$11, 100%, $F$11)</f>
        <v>4.1102999999999996</v>
      </c>
      <c r="I31" s="8">
        <f>3.28 * CHOOSE(CONTROL!$C$15, $D$11, 100%, $F$11)</f>
        <v>3.28</v>
      </c>
      <c r="J31" s="4">
        <f>3.158 * CHOOSE(CONTROL!$C$15, $D$11, 100%, $F$11)</f>
        <v>3.1579999999999999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0"/>
        <v>0.3</v>
      </c>
      <c r="S31" s="11"/>
    </row>
    <row r="32" spans="1:19" ht="15" customHeight="1">
      <c r="A32" s="13">
        <v>42461</v>
      </c>
      <c r="B32" s="8">
        <f>3.1715 * CHOOSE(CONTROL!$C$15, $D$11, 100%, $F$11)</f>
        <v>3.1715</v>
      </c>
      <c r="C32" s="8">
        <f>3.1761 * CHOOSE(CONTROL!$C$15, $D$11, 100%, $F$11)</f>
        <v>3.1760999999999999</v>
      </c>
      <c r="D32" s="8">
        <f>3.1757 * CHOOSE( CONTROL!$C$15, $D$11, 100%, $F$11)</f>
        <v>3.1757</v>
      </c>
      <c r="E32" s="12">
        <f>3.1753 * CHOOSE( CONTROL!$C$15, $D$11, 100%, $F$11)</f>
        <v>3.1753</v>
      </c>
      <c r="F32" s="4">
        <f>3.8863 * CHOOSE(CONTROL!$C$15, $D$11, 100%, $F$11)</f>
        <v>3.8862999999999999</v>
      </c>
      <c r="G32" s="8">
        <f>3.0853 * CHOOSE( CONTROL!$C$15, $D$11, 100%, $F$11)</f>
        <v>3.0853000000000002</v>
      </c>
      <c r="H32" s="4">
        <f>4.0305 * CHOOSE(CONTROL!$C$15, $D$11, 100%, $F$11)</f>
        <v>4.0305</v>
      </c>
      <c r="I32" s="8">
        <f>3.1323 * CHOOSE(CONTROL!$C$15, $D$11, 100%, $F$11)</f>
        <v>3.1322999999999999</v>
      </c>
      <c r="J32" s="4">
        <f>3.017 * CHOOSE(CONTROL!$C$15, $D$11, 100%, $F$11)</f>
        <v>3.0169999999999999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1"/>
    </row>
    <row r="33" spans="1:19" ht="15" customHeight="1">
      <c r="A33" s="13">
        <v>42491</v>
      </c>
      <c r="B33" s="8">
        <f>CHOOSE( CONTROL!$C$32, 3.1814, 3.178) * CHOOSE(CONTROL!$C$15, $D$11, 100%, $F$11)</f>
        <v>3.1814</v>
      </c>
      <c r="C33" s="8">
        <f>CHOOSE( CONTROL!$C$32, 3.1895, 3.1861) * CHOOSE(CONTROL!$C$15, $D$11, 100%, $F$11)</f>
        <v>3.1894999999999998</v>
      </c>
      <c r="D33" s="8">
        <f>CHOOSE( CONTROL!$C$32, 3.1997, 3.1963) * CHOOSE( CONTROL!$C$15, $D$11, 100%, $F$11)</f>
        <v>3.1997</v>
      </c>
      <c r="E33" s="12">
        <f>CHOOSE( CONTROL!$C$32, 3.1951, 3.1917) * CHOOSE( CONTROL!$C$15, $D$11, 100%, $F$11)</f>
        <v>3.1951000000000001</v>
      </c>
      <c r="F33" s="4">
        <f>CHOOSE( CONTROL!$C$32, 3.8949, 3.8915) * CHOOSE(CONTROL!$C$15, $D$11, 100%, $F$11)</f>
        <v>3.8948999999999998</v>
      </c>
      <c r="G33" s="8">
        <f>CHOOSE( CONTROL!$C$32, 3.0917, 3.0884) * CHOOSE( CONTROL!$C$15, $D$11, 100%, $F$11)</f>
        <v>3.0916999999999999</v>
      </c>
      <c r="H33" s="4">
        <f>CHOOSE( CONTROL!$C$32, 4.0389, 4.0356) * CHOOSE(CONTROL!$C$15, $D$11, 100%, $F$11)</f>
        <v>4.0388999999999999</v>
      </c>
      <c r="I33" s="8">
        <f>CHOOSE( CONTROL!$C$32, 3.1407, 3.1374) * CHOOSE(CONTROL!$C$15, $D$11, 100%, $F$11)</f>
        <v>3.1406999999999998</v>
      </c>
      <c r="J33" s="4">
        <f>CHOOSE( CONTROL!$C$32, 3.0253, 3.022) * CHOOSE(CONTROL!$C$15, $D$11, 100%, $F$11)</f>
        <v>3.0253000000000001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0"/>
        <v>0.3</v>
      </c>
      <c r="S33" s="11"/>
    </row>
    <row r="34" spans="1:19" ht="15" customHeight="1">
      <c r="A34" s="13">
        <v>42522</v>
      </c>
      <c r="B34" s="8">
        <f>CHOOSE( CONTROL!$C$32, 3.2158, 3.2124) * CHOOSE(CONTROL!$C$15, $D$11, 100%, $F$11)</f>
        <v>3.2158000000000002</v>
      </c>
      <c r="C34" s="8">
        <f>CHOOSE( CONTROL!$C$32, 3.2239, 3.2205) * CHOOSE(CONTROL!$C$15, $D$11, 100%, $F$11)</f>
        <v>3.2239</v>
      </c>
      <c r="D34" s="8">
        <f>CHOOSE( CONTROL!$C$32, 3.2343, 3.2309) * CHOOSE( CONTROL!$C$15, $D$11, 100%, $F$11)</f>
        <v>3.2343000000000002</v>
      </c>
      <c r="E34" s="12">
        <f>CHOOSE( CONTROL!$C$32, 3.2297, 3.2263) * CHOOSE( CONTROL!$C$15, $D$11, 100%, $F$11)</f>
        <v>3.2296999999999998</v>
      </c>
      <c r="F34" s="4">
        <f>CHOOSE( CONTROL!$C$32, 3.9292, 3.9258) * CHOOSE(CONTROL!$C$15, $D$11, 100%, $F$11)</f>
        <v>3.9291999999999998</v>
      </c>
      <c r="G34" s="8">
        <f>CHOOSE( CONTROL!$C$32, 3.1256, 3.1223) * CHOOSE( CONTROL!$C$15, $D$11, 100%, $F$11)</f>
        <v>3.1255999999999999</v>
      </c>
      <c r="H34" s="4">
        <f>CHOOSE( CONTROL!$C$32, 4.0725, 4.0691) * CHOOSE(CONTROL!$C$15, $D$11, 100%, $F$11)</f>
        <v>4.0724999999999998</v>
      </c>
      <c r="I34" s="8">
        <f>CHOOSE( CONTROL!$C$32, 3.1747, 3.1714) * CHOOSE(CONTROL!$C$15, $D$11, 100%, $F$11)</f>
        <v>3.1747000000000001</v>
      </c>
      <c r="J34" s="4">
        <f>CHOOSE( CONTROL!$C$32, 3.0583, 3.055) * CHOOSE(CONTROL!$C$15, $D$11, 100%, $F$11)</f>
        <v>3.0583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0"/>
        <v>0.3</v>
      </c>
      <c r="S34" s="11"/>
    </row>
    <row r="35" spans="1:19" ht="15" customHeight="1">
      <c r="A35" s="13">
        <v>42552</v>
      </c>
      <c r="B35" s="8">
        <f>CHOOSE( CONTROL!$C$32, 3.2554, 3.252) * CHOOSE(CONTROL!$C$15, $D$11, 100%, $F$11)</f>
        <v>3.2553999999999998</v>
      </c>
      <c r="C35" s="8">
        <f>CHOOSE( CONTROL!$C$32, 3.2635, 3.2601) * CHOOSE(CONTROL!$C$15, $D$11, 100%, $F$11)</f>
        <v>3.2635000000000001</v>
      </c>
      <c r="D35" s="8">
        <f>CHOOSE( CONTROL!$C$32, 3.2742, 3.2708) * CHOOSE( CONTROL!$C$15, $D$11, 100%, $F$11)</f>
        <v>3.2742</v>
      </c>
      <c r="E35" s="12">
        <f>CHOOSE( CONTROL!$C$32, 3.2695, 3.2661) * CHOOSE( CONTROL!$C$15, $D$11, 100%, $F$11)</f>
        <v>3.2694999999999999</v>
      </c>
      <c r="F35" s="4">
        <f>CHOOSE( CONTROL!$C$32, 3.9688, 3.9654) * CHOOSE(CONTROL!$C$15, $D$11, 100%, $F$11)</f>
        <v>3.9687999999999999</v>
      </c>
      <c r="G35" s="8">
        <f>CHOOSE( CONTROL!$C$32, 3.1646, 3.1613) * CHOOSE( CONTROL!$C$15, $D$11, 100%, $F$11)</f>
        <v>3.1646000000000001</v>
      </c>
      <c r="H35" s="4">
        <f>CHOOSE( CONTROL!$C$32, 4.1111, 4.1078) * CHOOSE(CONTROL!$C$15, $D$11, 100%, $F$11)</f>
        <v>4.1111000000000004</v>
      </c>
      <c r="I35" s="8">
        <f>CHOOSE( CONTROL!$C$32, 3.2138, 3.2105) * CHOOSE(CONTROL!$C$15, $D$11, 100%, $F$11)</f>
        <v>3.2138</v>
      </c>
      <c r="J35" s="4">
        <f>CHOOSE( CONTROL!$C$32, 3.0963, 3.093) * CHOOSE(CONTROL!$C$15, $D$11, 100%, $F$11)</f>
        <v>3.0962999999999998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0"/>
        <v>0.3</v>
      </c>
      <c r="S35" s="11"/>
    </row>
    <row r="36" spans="1:19" ht="15" customHeight="1">
      <c r="A36" s="13">
        <v>42583</v>
      </c>
      <c r="B36" s="8">
        <f>CHOOSE( CONTROL!$C$32, 3.271, 3.2676) * CHOOSE(CONTROL!$C$15, $D$11, 100%, $F$11)</f>
        <v>3.2709999999999999</v>
      </c>
      <c r="C36" s="8">
        <f>CHOOSE( CONTROL!$C$32, 3.2791, 3.2757) * CHOOSE(CONTROL!$C$15, $D$11, 100%, $F$11)</f>
        <v>3.2791000000000001</v>
      </c>
      <c r="D36" s="8">
        <f>CHOOSE( CONTROL!$C$32, 3.29, 3.2866) * CHOOSE( CONTROL!$C$15, $D$11, 100%, $F$11)</f>
        <v>3.29</v>
      </c>
      <c r="E36" s="12">
        <f>CHOOSE( CONTROL!$C$32, 3.2852, 3.2818) * CHOOSE( CONTROL!$C$15, $D$11, 100%, $F$11)</f>
        <v>3.2852000000000001</v>
      </c>
      <c r="F36" s="4">
        <f>CHOOSE( CONTROL!$C$32, 3.9844, 3.981) * CHOOSE(CONTROL!$C$15, $D$11, 100%, $F$11)</f>
        <v>3.9843999999999999</v>
      </c>
      <c r="G36" s="8">
        <f>CHOOSE( CONTROL!$C$32, 3.18, 3.1767) * CHOOSE( CONTROL!$C$15, $D$11, 100%, $F$11)</f>
        <v>3.18</v>
      </c>
      <c r="H36" s="4">
        <f>CHOOSE( CONTROL!$C$32, 4.1264, 4.1231) * CHOOSE(CONTROL!$C$15, $D$11, 100%, $F$11)</f>
        <v>4.1264000000000003</v>
      </c>
      <c r="I36" s="8">
        <f>CHOOSE( CONTROL!$C$32, 3.2292, 3.226) * CHOOSE(CONTROL!$C$15, $D$11, 100%, $F$11)</f>
        <v>3.2292000000000001</v>
      </c>
      <c r="J36" s="4">
        <f>CHOOSE( CONTROL!$C$32, 3.1113, 3.108) * CHOOSE(CONTROL!$C$15, $D$11, 100%, $F$11)</f>
        <v>3.1113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0"/>
        <v>0.3</v>
      </c>
      <c r="S36" s="11"/>
    </row>
    <row r="37" spans="1:19" ht="15" customHeight="1">
      <c r="A37" s="13">
        <v>42614</v>
      </c>
      <c r="B37" s="8">
        <f>CHOOSE( CONTROL!$C$32, 3.2658, 3.2624) * CHOOSE(CONTROL!$C$15, $D$11, 100%, $F$11)</f>
        <v>3.2658</v>
      </c>
      <c r="C37" s="8">
        <f>CHOOSE( CONTROL!$C$32, 3.2739, 3.2705) * CHOOSE(CONTROL!$C$15, $D$11, 100%, $F$11)</f>
        <v>3.2738999999999998</v>
      </c>
      <c r="D37" s="8">
        <f>CHOOSE( CONTROL!$C$32, 3.2847, 3.2813) * CHOOSE( CONTROL!$C$15, $D$11, 100%, $F$11)</f>
        <v>3.2847</v>
      </c>
      <c r="E37" s="12">
        <f>CHOOSE( CONTROL!$C$32, 3.2799, 3.2765) * CHOOSE( CONTROL!$C$15, $D$11, 100%, $F$11)</f>
        <v>3.2799</v>
      </c>
      <c r="F37" s="4">
        <f>CHOOSE( CONTROL!$C$32, 3.9792, 3.9758) * CHOOSE(CONTROL!$C$15, $D$11, 100%, $F$11)</f>
        <v>3.9792000000000001</v>
      </c>
      <c r="G37" s="8">
        <f>CHOOSE( CONTROL!$C$32, 3.1749, 3.1715) * CHOOSE( CONTROL!$C$15, $D$11, 100%, $F$11)</f>
        <v>3.1749000000000001</v>
      </c>
      <c r="H37" s="4">
        <f>CHOOSE( CONTROL!$C$32, 4.1213, 4.118) * CHOOSE(CONTROL!$C$15, $D$11, 100%, $F$11)</f>
        <v>4.1212999999999997</v>
      </c>
      <c r="I37" s="8">
        <f>CHOOSE( CONTROL!$C$32, 3.2241, 3.2208) * CHOOSE(CONTROL!$C$15, $D$11, 100%, $F$11)</f>
        <v>3.2241</v>
      </c>
      <c r="J37" s="4">
        <f>CHOOSE( CONTROL!$C$32, 3.1063, 3.103) * CHOOSE(CONTROL!$C$15, $D$11, 100%, $F$11)</f>
        <v>3.1063000000000001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0"/>
        <v>0.3</v>
      </c>
      <c r="S37" s="11"/>
    </row>
    <row r="38" spans="1:19" ht="15" customHeight="1">
      <c r="A38" s="13">
        <v>42644</v>
      </c>
      <c r="B38" s="8">
        <f>3.2909 * CHOOSE(CONTROL!$C$15, $D$11, 100%, $F$11)</f>
        <v>3.2909000000000002</v>
      </c>
      <c r="C38" s="8">
        <f>3.2963 * CHOOSE(CONTROL!$C$15, $D$11, 100%, $F$11)</f>
        <v>3.2963</v>
      </c>
      <c r="D38" s="8">
        <f>3.3056 * CHOOSE( CONTROL!$C$15, $D$11, 100%, $F$11)</f>
        <v>3.3056000000000001</v>
      </c>
      <c r="E38" s="12">
        <f>3.302 * CHOOSE( CONTROL!$C$15, $D$11, 100%, $F$11)</f>
        <v>3.302</v>
      </c>
      <c r="F38" s="4">
        <f>4.006 * CHOOSE(CONTROL!$C$15, $D$11, 100%, $F$11)</f>
        <v>4.0060000000000002</v>
      </c>
      <c r="G38" s="8">
        <f>3.2006 * CHOOSE( CONTROL!$C$15, $D$11, 100%, $F$11)</f>
        <v>3.2006000000000001</v>
      </c>
      <c r="H38" s="4">
        <f>4.1475 * CHOOSE(CONTROL!$C$15, $D$11, 100%, $F$11)</f>
        <v>4.1475</v>
      </c>
      <c r="I38" s="8">
        <f>3.2507 * CHOOSE(CONTROL!$C$15, $D$11, 100%, $F$11)</f>
        <v>3.2507000000000001</v>
      </c>
      <c r="J38" s="4">
        <f>3.132 * CHOOSE(CONTROL!$C$15, $D$11, 100%, $F$11)</f>
        <v>3.1320000000000001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0"/>
        <v>0.3</v>
      </c>
      <c r="S38" s="11"/>
    </row>
    <row r="39" spans="1:19" ht="15" customHeight="1">
      <c r="A39" s="13">
        <v>42675</v>
      </c>
      <c r="B39" s="8">
        <f>3.3728 * CHOOSE(CONTROL!$C$15, $D$11, 100%, $F$11)</f>
        <v>3.3727999999999998</v>
      </c>
      <c r="C39" s="8">
        <f>3.3779 * CHOOSE(CONTROL!$C$15, $D$11, 100%, $F$11)</f>
        <v>3.3778999999999999</v>
      </c>
      <c r="D39" s="8">
        <f>3.3708 * CHOOSE( CONTROL!$C$15, $D$11, 100%, $F$11)</f>
        <v>3.3708</v>
      </c>
      <c r="E39" s="12">
        <f>3.3729 * CHOOSE( CONTROL!$C$15, $D$11, 100%, $F$11)</f>
        <v>3.3729</v>
      </c>
      <c r="F39" s="4">
        <f>4.0232 * CHOOSE(CONTROL!$C$15, $D$11, 100%, $F$11)</f>
        <v>4.0232000000000001</v>
      </c>
      <c r="G39" s="8">
        <f>3.294 * CHOOSE( CONTROL!$C$15, $D$11, 100%, $F$11)</f>
        <v>3.294</v>
      </c>
      <c r="H39" s="4">
        <f>4.1643 * CHOOSE(CONTROL!$C$15, $D$11, 100%, $F$11)</f>
        <v>4.1642999999999999</v>
      </c>
      <c r="I39" s="8">
        <f>3.3732 * CHOOSE(CONTROL!$C$15, $D$11, 100%, $F$11)</f>
        <v>3.3732000000000002</v>
      </c>
      <c r="J39" s="4">
        <f>3.211 * CHOOSE(CONTROL!$C$15, $D$11, 100%, $F$11)</f>
        <v>3.2109999999999999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0"/>
        <v>0.3</v>
      </c>
      <c r="S39" s="11"/>
    </row>
    <row r="40" spans="1:19" ht="15" customHeight="1">
      <c r="A40" s="13">
        <v>42705</v>
      </c>
      <c r="B40" s="8">
        <f>3.5394 * CHOOSE(CONTROL!$C$15, $D$11, 100%, $F$11)</f>
        <v>3.5394000000000001</v>
      </c>
      <c r="C40" s="8">
        <f>3.5446 * CHOOSE(CONTROL!$C$15, $D$11, 100%, $F$11)</f>
        <v>3.5446</v>
      </c>
      <c r="D40" s="8">
        <f>3.5389 * CHOOSE( CONTROL!$C$15, $D$11, 100%, $F$11)</f>
        <v>3.5388999999999999</v>
      </c>
      <c r="E40" s="12">
        <f>3.5404 * CHOOSE( CONTROL!$C$15, $D$11, 100%, $F$11)</f>
        <v>3.5404</v>
      </c>
      <c r="F40" s="4">
        <f>4.1899 * CHOOSE(CONTROL!$C$15, $D$11, 100%, $F$11)</f>
        <v>4.1898999999999997</v>
      </c>
      <c r="G40" s="8">
        <f>3.4578 * CHOOSE( CONTROL!$C$15, $D$11, 100%, $F$11)</f>
        <v>3.4578000000000002</v>
      </c>
      <c r="H40" s="4">
        <f>4.327 * CHOOSE(CONTROL!$C$15, $D$11, 100%, $F$11)</f>
        <v>4.327</v>
      </c>
      <c r="I40" s="8">
        <f>3.5379 * CHOOSE(CONTROL!$C$15, $D$11, 100%, $F$11)</f>
        <v>3.5379</v>
      </c>
      <c r="J40" s="4">
        <f>3.371 * CHOOSE(CONTROL!$C$15, $D$11, 100%, $F$11)</f>
        <v>3.371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0"/>
        <v>0.3</v>
      </c>
      <c r="S40" s="11"/>
    </row>
    <row r="41" spans="1:19" ht="15" customHeight="1">
      <c r="A41" s="13">
        <v>42736</v>
      </c>
      <c r="B41" s="8">
        <f>3.6654 * CHOOSE(CONTROL!$C$15, $D$11, 100%, $F$11)</f>
        <v>3.6654</v>
      </c>
      <c r="C41" s="8">
        <f>3.6706 * CHOOSE(CONTROL!$C$15, $D$11, 100%, $F$11)</f>
        <v>3.6705999999999999</v>
      </c>
      <c r="D41" s="8">
        <f>3.6507 * CHOOSE( CONTROL!$C$15, $D$11, 100%, $F$11)</f>
        <v>3.6507000000000001</v>
      </c>
      <c r="E41" s="12">
        <f>3.6574 * CHOOSE( CONTROL!$C$15, $D$11, 100%, $F$11)</f>
        <v>3.6574</v>
      </c>
      <c r="F41" s="4">
        <f>4.3159 * CHOOSE(CONTROL!$C$15, $D$11, 100%, $F$11)</f>
        <v>4.3159000000000001</v>
      </c>
      <c r="G41" s="8">
        <f>3.5641 * CHOOSE( CONTROL!$C$15, $D$11, 100%, $F$11)</f>
        <v>3.5640999999999998</v>
      </c>
      <c r="H41" s="4">
        <f>4.4501 * CHOOSE(CONTROL!$C$15, $D$11, 100%, $F$11)</f>
        <v>4.4500999999999999</v>
      </c>
      <c r="I41" s="8">
        <f>3.6154 * CHOOSE(CONTROL!$C$15, $D$11, 100%, $F$11)</f>
        <v>3.6154000000000002</v>
      </c>
      <c r="J41" s="4">
        <f>3.492 * CHOOSE(CONTROL!$C$15, $D$11, 100%, $F$11)</f>
        <v>3.492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0"/>
        <v>0.3</v>
      </c>
      <c r="S41" s="11"/>
    </row>
    <row r="42" spans="1:19" ht="15" customHeight="1">
      <c r="A42" s="13">
        <v>42767</v>
      </c>
      <c r="B42" s="8">
        <f>3.6561 * CHOOSE(CONTROL!$C$15, $D$11, 100%, $F$11)</f>
        <v>3.6560999999999999</v>
      </c>
      <c r="C42" s="8">
        <f>3.6612 * CHOOSE(CONTROL!$C$15, $D$11, 100%, $F$11)</f>
        <v>3.6612</v>
      </c>
      <c r="D42" s="8">
        <f>3.6413 * CHOOSE( CONTROL!$C$15, $D$11, 100%, $F$11)</f>
        <v>3.6413000000000002</v>
      </c>
      <c r="E42" s="12">
        <f>3.648 * CHOOSE( CONTROL!$C$15, $D$11, 100%, $F$11)</f>
        <v>3.6480000000000001</v>
      </c>
      <c r="F42" s="4">
        <f>4.3065 * CHOOSE(CONTROL!$C$15, $D$11, 100%, $F$11)</f>
        <v>4.3064999999999998</v>
      </c>
      <c r="G42" s="8">
        <f>3.5549 * CHOOSE( CONTROL!$C$15, $D$11, 100%, $F$11)</f>
        <v>3.5548999999999999</v>
      </c>
      <c r="H42" s="4">
        <f>4.441 * CHOOSE(CONTROL!$C$15, $D$11, 100%, $F$11)</f>
        <v>4.4409999999999998</v>
      </c>
      <c r="I42" s="8">
        <f>3.6063 * CHOOSE(CONTROL!$C$15, $D$11, 100%, $F$11)</f>
        <v>3.6063000000000001</v>
      </c>
      <c r="J42" s="4">
        <f>3.483 * CHOOSE(CONTROL!$C$15, $D$11, 100%, $F$11)</f>
        <v>3.4830000000000001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0"/>
        <v>0.3</v>
      </c>
      <c r="S42" s="11"/>
    </row>
    <row r="43" spans="1:19" ht="15" customHeight="1">
      <c r="A43" s="13">
        <v>42795</v>
      </c>
      <c r="B43" s="8">
        <f>3.5977 * CHOOSE(CONTROL!$C$15, $D$11, 100%, $F$11)</f>
        <v>3.5977000000000001</v>
      </c>
      <c r="C43" s="8">
        <f>3.6029 * CHOOSE(CONTROL!$C$15, $D$11, 100%, $F$11)</f>
        <v>3.6029</v>
      </c>
      <c r="D43" s="8">
        <f>3.5826 * CHOOSE( CONTROL!$C$15, $D$11, 100%, $F$11)</f>
        <v>3.5825999999999998</v>
      </c>
      <c r="E43" s="12">
        <f>3.5895 * CHOOSE( CONTROL!$C$15, $D$11, 100%, $F$11)</f>
        <v>3.5895000000000001</v>
      </c>
      <c r="F43" s="4">
        <f>4.2482 * CHOOSE(CONTROL!$C$15, $D$11, 100%, $F$11)</f>
        <v>4.2481999999999998</v>
      </c>
      <c r="G43" s="8">
        <f>3.4977 * CHOOSE( CONTROL!$C$15, $D$11, 100%, $F$11)</f>
        <v>3.4977</v>
      </c>
      <c r="H43" s="4">
        <f>4.384 * CHOOSE(CONTROL!$C$15, $D$11, 100%, $F$11)</f>
        <v>4.3840000000000003</v>
      </c>
      <c r="I43" s="8">
        <f>3.5491 * CHOOSE(CONTROL!$C$15, $D$11, 100%, $F$11)</f>
        <v>3.5491000000000001</v>
      </c>
      <c r="J43" s="4">
        <f>3.427 * CHOOSE(CONTROL!$C$15, $D$11, 100%, $F$11)</f>
        <v>3.427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0"/>
        <v>0.3</v>
      </c>
      <c r="S43" s="11"/>
    </row>
    <row r="44" spans="1:19" ht="15" customHeight="1">
      <c r="A44" s="13">
        <v>42826</v>
      </c>
      <c r="B44" s="8">
        <f>3.3433 * CHOOSE(CONTROL!$C$15, $D$11, 100%, $F$11)</f>
        <v>3.3433000000000002</v>
      </c>
      <c r="C44" s="8">
        <f>3.3479 * CHOOSE(CONTROL!$C$15, $D$11, 100%, $F$11)</f>
        <v>3.3479000000000001</v>
      </c>
      <c r="D44" s="8">
        <f>3.3567 * CHOOSE( CONTROL!$C$15, $D$11, 100%, $F$11)</f>
        <v>3.3567</v>
      </c>
      <c r="E44" s="12">
        <f>3.3533 * CHOOSE( CONTROL!$C$15, $D$11, 100%, $F$11)</f>
        <v>3.3532999999999999</v>
      </c>
      <c r="F44" s="4">
        <f>4.0581 * CHOOSE(CONTROL!$C$15, $D$11, 100%, $F$11)</f>
        <v>4.0580999999999996</v>
      </c>
      <c r="G44" s="8">
        <f>3.2504 * CHOOSE( CONTROL!$C$15, $D$11, 100%, $F$11)</f>
        <v>3.2504</v>
      </c>
      <c r="H44" s="4">
        <f>4.1983 * CHOOSE(CONTROL!$C$15, $D$11, 100%, $F$11)</f>
        <v>4.1982999999999997</v>
      </c>
      <c r="I44" s="8">
        <f>3.2974 * CHOOSE(CONTROL!$C$15, $D$11, 100%, $F$11)</f>
        <v>3.2974000000000001</v>
      </c>
      <c r="J44" s="4">
        <f>3.182 * CHOOSE(CONTROL!$C$15, $D$11, 100%, $F$11)</f>
        <v>3.1819999999999999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42856</v>
      </c>
      <c r="B45" s="8">
        <f>CHOOSE( CONTROL!$C$32, 3.346, 3.3426) * CHOOSE(CONTROL!$C$15, $D$11, 100%, $F$11)</f>
        <v>3.3460000000000001</v>
      </c>
      <c r="C45" s="8">
        <f>CHOOSE( CONTROL!$C$32, 3.3541, 3.3507) * CHOOSE(CONTROL!$C$15, $D$11, 100%, $F$11)</f>
        <v>3.3540999999999999</v>
      </c>
      <c r="D45" s="8">
        <f>CHOOSE( CONTROL!$C$32, 3.3577, 3.3543) * CHOOSE( CONTROL!$C$15, $D$11, 100%, $F$11)</f>
        <v>3.3576999999999999</v>
      </c>
      <c r="E45" s="12">
        <f>CHOOSE( CONTROL!$C$32, 3.3552, 3.3518) * CHOOSE( CONTROL!$C$15, $D$11, 100%, $F$11)</f>
        <v>3.3552</v>
      </c>
      <c r="F45" s="4">
        <f>CHOOSE( CONTROL!$C$32, 4.0594, 4.056) * CHOOSE(CONTROL!$C$15, $D$11, 100%, $F$11)</f>
        <v>4.0594000000000001</v>
      </c>
      <c r="G45" s="8">
        <f>CHOOSE( CONTROL!$C$32, 3.2525, 3.2491) * CHOOSE( CONTROL!$C$15, $D$11, 100%, $F$11)</f>
        <v>3.2524999999999999</v>
      </c>
      <c r="H45" s="4">
        <f>CHOOSE( CONTROL!$C$32, 4.1996, 4.1963) * CHOOSE(CONTROL!$C$15, $D$11, 100%, $F$11)</f>
        <v>4.1996000000000002</v>
      </c>
      <c r="I45" s="8">
        <f>CHOOSE( CONTROL!$C$32, 3.2988, 3.2955) * CHOOSE(CONTROL!$C$15, $D$11, 100%, $F$11)</f>
        <v>3.2988</v>
      </c>
      <c r="J45" s="4">
        <f>CHOOSE( CONTROL!$C$32, 3.1833, 3.18) * CHOOSE(CONTROL!$C$15, $D$11, 100%, $F$11)</f>
        <v>3.1833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3.3835, 3.3801) * CHOOSE(CONTROL!$C$15, $D$11, 100%, $F$11)</f>
        <v>3.3835000000000002</v>
      </c>
      <c r="C46" s="8">
        <f>CHOOSE( CONTROL!$C$32, 3.3916, 3.3882) * CHOOSE(CONTROL!$C$15, $D$11, 100%, $F$11)</f>
        <v>3.3915999999999999</v>
      </c>
      <c r="D46" s="8">
        <f>CHOOSE( CONTROL!$C$32, 3.3955, 3.3921) * CHOOSE( CONTROL!$C$15, $D$11, 100%, $F$11)</f>
        <v>3.3955000000000002</v>
      </c>
      <c r="E46" s="12">
        <f>CHOOSE( CONTROL!$C$32, 3.3929, 3.3895) * CHOOSE( CONTROL!$C$15, $D$11, 100%, $F$11)</f>
        <v>3.3929</v>
      </c>
      <c r="F46" s="4">
        <f>CHOOSE( CONTROL!$C$32, 4.0969, 4.0935) * CHOOSE(CONTROL!$C$15, $D$11, 100%, $F$11)</f>
        <v>4.0968999999999998</v>
      </c>
      <c r="G46" s="8">
        <f>CHOOSE( CONTROL!$C$32, 3.2894, 3.2861) * CHOOSE( CONTROL!$C$15, $D$11, 100%, $F$11)</f>
        <v>3.2894000000000001</v>
      </c>
      <c r="H46" s="4">
        <f>CHOOSE( CONTROL!$C$32, 4.2362, 4.2329) * CHOOSE(CONTROL!$C$15, $D$11, 100%, $F$11)</f>
        <v>4.2362000000000002</v>
      </c>
      <c r="I46" s="8">
        <f>CHOOSE( CONTROL!$C$32, 3.3358, 3.3325) * CHOOSE(CONTROL!$C$15, $D$11, 100%, $F$11)</f>
        <v>3.3357999999999999</v>
      </c>
      <c r="J46" s="4">
        <f>CHOOSE( CONTROL!$C$32, 3.2193, 3.216) * CHOOSE(CONTROL!$C$15, $D$11, 100%, $F$11)</f>
        <v>3.2193000000000001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3.4252, 3.4218) * CHOOSE(CONTROL!$C$15, $D$11, 100%, $F$11)</f>
        <v>3.4251999999999998</v>
      </c>
      <c r="C47" s="8">
        <f>CHOOSE( CONTROL!$C$32, 3.4332, 3.4298) * CHOOSE(CONTROL!$C$15, $D$11, 100%, $F$11)</f>
        <v>3.4331999999999998</v>
      </c>
      <c r="D47" s="8">
        <f>CHOOSE( CONTROL!$C$32, 3.4375, 3.4341) * CHOOSE( CONTROL!$C$15, $D$11, 100%, $F$11)</f>
        <v>3.4375</v>
      </c>
      <c r="E47" s="12">
        <f>CHOOSE( CONTROL!$C$32, 3.4347, 3.4313) * CHOOSE( CONTROL!$C$15, $D$11, 100%, $F$11)</f>
        <v>3.4346999999999999</v>
      </c>
      <c r="F47" s="4">
        <f>CHOOSE( CONTROL!$C$32, 4.1386, 4.1352) * CHOOSE(CONTROL!$C$15, $D$11, 100%, $F$11)</f>
        <v>4.1386000000000003</v>
      </c>
      <c r="G47" s="8">
        <f>CHOOSE( CONTROL!$C$32, 3.3304, 3.3271) * CHOOSE( CONTROL!$C$15, $D$11, 100%, $F$11)</f>
        <v>3.3304</v>
      </c>
      <c r="H47" s="4">
        <f>CHOOSE( CONTROL!$C$32, 4.2769, 4.2736) * CHOOSE(CONTROL!$C$15, $D$11, 100%, $F$11)</f>
        <v>4.2769000000000004</v>
      </c>
      <c r="I47" s="8">
        <f>CHOOSE( CONTROL!$C$32, 3.3769, 3.3736) * CHOOSE(CONTROL!$C$15, $D$11, 100%, $F$11)</f>
        <v>3.3769</v>
      </c>
      <c r="J47" s="4">
        <f>CHOOSE( CONTROL!$C$32, 3.2593, 3.256) * CHOOSE(CONTROL!$C$15, $D$11, 100%, $F$11)</f>
        <v>3.2593000000000001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3.4366, 3.4332) * CHOOSE(CONTROL!$C$15, $D$11, 100%, $F$11)</f>
        <v>3.4365999999999999</v>
      </c>
      <c r="C48" s="8">
        <f>CHOOSE( CONTROL!$C$32, 3.4447, 3.4413) * CHOOSE(CONTROL!$C$15, $D$11, 100%, $F$11)</f>
        <v>3.4447000000000001</v>
      </c>
      <c r="D48" s="8">
        <f>CHOOSE( CONTROL!$C$32, 3.4491, 3.4457) * CHOOSE( CONTROL!$C$15, $D$11, 100%, $F$11)</f>
        <v>3.4491000000000001</v>
      </c>
      <c r="E48" s="12">
        <f>CHOOSE( CONTROL!$C$32, 3.4463, 3.4429) * CHOOSE( CONTROL!$C$15, $D$11, 100%, $F$11)</f>
        <v>3.4462999999999999</v>
      </c>
      <c r="F48" s="4">
        <f>CHOOSE( CONTROL!$C$32, 4.15, 4.1466) * CHOOSE(CONTROL!$C$15, $D$11, 100%, $F$11)</f>
        <v>4.1500000000000004</v>
      </c>
      <c r="G48" s="8">
        <f>CHOOSE( CONTROL!$C$32, 3.3417, 3.3384) * CHOOSE( CONTROL!$C$15, $D$11, 100%, $F$11)</f>
        <v>3.3416999999999999</v>
      </c>
      <c r="H48" s="4">
        <f>CHOOSE( CONTROL!$C$32, 4.2881, 4.2848) * CHOOSE(CONTROL!$C$15, $D$11, 100%, $F$11)</f>
        <v>4.2881</v>
      </c>
      <c r="I48" s="8">
        <f>CHOOSE( CONTROL!$C$32, 3.3883, 3.3851) * CHOOSE(CONTROL!$C$15, $D$11, 100%, $F$11)</f>
        <v>3.3883000000000001</v>
      </c>
      <c r="J48" s="4">
        <f>CHOOSE( CONTROL!$C$32, 3.2703, 3.267) * CHOOSE(CONTROL!$C$15, $D$11, 100%, $F$11)</f>
        <v>3.2703000000000002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3.4262, 3.4228) * CHOOSE(CONTROL!$C$15, $D$11, 100%, $F$11)</f>
        <v>3.4262000000000001</v>
      </c>
      <c r="C49" s="8">
        <f>CHOOSE( CONTROL!$C$32, 3.4343, 3.4309) * CHOOSE(CONTROL!$C$15, $D$11, 100%, $F$11)</f>
        <v>3.4342999999999999</v>
      </c>
      <c r="D49" s="8">
        <f>CHOOSE( CONTROL!$C$32, 3.4386, 3.4352) * CHOOSE( CONTROL!$C$15, $D$11, 100%, $F$11)</f>
        <v>3.4386000000000001</v>
      </c>
      <c r="E49" s="12">
        <f>CHOOSE( CONTROL!$C$32, 3.4358, 3.4324) * CHOOSE( CONTROL!$C$15, $D$11, 100%, $F$11)</f>
        <v>3.4358</v>
      </c>
      <c r="F49" s="4">
        <f>CHOOSE( CONTROL!$C$32, 4.1396, 4.1362) * CHOOSE(CONTROL!$C$15, $D$11, 100%, $F$11)</f>
        <v>4.1395999999999997</v>
      </c>
      <c r="G49" s="8">
        <f>CHOOSE( CONTROL!$C$32, 3.3315, 3.3282) * CHOOSE( CONTROL!$C$15, $D$11, 100%, $F$11)</f>
        <v>3.3315000000000001</v>
      </c>
      <c r="H49" s="4">
        <f>CHOOSE( CONTROL!$C$32, 4.278, 4.2746) * CHOOSE(CONTROL!$C$15, $D$11, 100%, $F$11)</f>
        <v>4.2779999999999996</v>
      </c>
      <c r="I49" s="8">
        <f>CHOOSE( CONTROL!$C$32, 3.3782, 3.3749) * CHOOSE(CONTROL!$C$15, $D$11, 100%, $F$11)</f>
        <v>3.3782000000000001</v>
      </c>
      <c r="J49" s="4">
        <f>CHOOSE( CONTROL!$C$32, 3.2603, 3.257) * CHOOSE(CONTROL!$C$15, $D$11, 100%, $F$11)</f>
        <v>3.2603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3.444 * CHOOSE(CONTROL!$C$15, $D$11, 100%, $F$11)</f>
        <v>3.444</v>
      </c>
      <c r="C50" s="8">
        <f>3.4494 * CHOOSE(CONTROL!$C$15, $D$11, 100%, $F$11)</f>
        <v>3.4493999999999998</v>
      </c>
      <c r="D50" s="8">
        <f>3.4587 * CHOOSE( CONTROL!$C$15, $D$11, 100%, $F$11)</f>
        <v>3.4586999999999999</v>
      </c>
      <c r="E50" s="12">
        <f>3.4551 * CHOOSE( CONTROL!$C$15, $D$11, 100%, $F$11)</f>
        <v>3.4550999999999998</v>
      </c>
      <c r="F50" s="4">
        <f>4.1591 * CHOOSE(CONTROL!$C$15, $D$11, 100%, $F$11)</f>
        <v>4.1590999999999996</v>
      </c>
      <c r="G50" s="8">
        <f>3.3501 * CHOOSE( CONTROL!$C$15, $D$11, 100%, $F$11)</f>
        <v>3.3500999999999999</v>
      </c>
      <c r="H50" s="4">
        <f>4.297 * CHOOSE(CONTROL!$C$15, $D$11, 100%, $F$11)</f>
        <v>4.2969999999999997</v>
      </c>
      <c r="I50" s="8">
        <f>3.3977 * CHOOSE(CONTROL!$C$15, $D$11, 100%, $F$11)</f>
        <v>3.3976999999999999</v>
      </c>
      <c r="J50" s="4">
        <f>3.279 * CHOOSE(CONTROL!$C$15, $D$11, 100%, $F$11)</f>
        <v>3.2789999999999999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3.5186 * CHOOSE(CONTROL!$C$15, $D$11, 100%, $F$11)</f>
        <v>3.5186000000000002</v>
      </c>
      <c r="C51" s="8">
        <f>3.5238 * CHOOSE(CONTROL!$C$15, $D$11, 100%, $F$11)</f>
        <v>3.5238</v>
      </c>
      <c r="D51" s="8">
        <f>3.5166 * CHOOSE( CONTROL!$C$15, $D$11, 100%, $F$11)</f>
        <v>3.5165999999999999</v>
      </c>
      <c r="E51" s="12">
        <f>3.5187 * CHOOSE( CONTROL!$C$15, $D$11, 100%, $F$11)</f>
        <v>3.5186999999999999</v>
      </c>
      <c r="F51" s="4">
        <f>4.169 * CHOOSE(CONTROL!$C$15, $D$11, 100%, $F$11)</f>
        <v>4.1689999999999996</v>
      </c>
      <c r="G51" s="8">
        <f>3.4364 * CHOOSE( CONTROL!$C$15, $D$11, 100%, $F$11)</f>
        <v>3.4363999999999999</v>
      </c>
      <c r="H51" s="4">
        <f>4.3067 * CHOOSE(CONTROL!$C$15, $D$11, 100%, $F$11)</f>
        <v>4.3067000000000002</v>
      </c>
      <c r="I51" s="8">
        <f>3.5132 * CHOOSE(CONTROL!$C$15, $D$11, 100%, $F$11)</f>
        <v>3.5131999999999999</v>
      </c>
      <c r="J51" s="4">
        <f>3.351 * CHOOSE(CONTROL!$C$15, $D$11, 100%, $F$11)</f>
        <v>3.351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3.6873 * CHOOSE(CONTROL!$C$15, $D$11, 100%, $F$11)</f>
        <v>3.6873</v>
      </c>
      <c r="C52" s="8">
        <f>3.6925 * CHOOSE(CONTROL!$C$15, $D$11, 100%, $F$11)</f>
        <v>3.6924999999999999</v>
      </c>
      <c r="D52" s="8">
        <f>3.6868 * CHOOSE( CONTROL!$C$15, $D$11, 100%, $F$11)</f>
        <v>3.6867999999999999</v>
      </c>
      <c r="E52" s="12">
        <f>3.6883 * CHOOSE( CONTROL!$C$15, $D$11, 100%, $F$11)</f>
        <v>3.6882999999999999</v>
      </c>
      <c r="F52" s="4">
        <f>4.3378 * CHOOSE(CONTROL!$C$15, $D$11, 100%, $F$11)</f>
        <v>4.3377999999999997</v>
      </c>
      <c r="G52" s="8">
        <f>3.6023 * CHOOSE( CONTROL!$C$15, $D$11, 100%, $F$11)</f>
        <v>3.6023000000000001</v>
      </c>
      <c r="H52" s="4">
        <f>4.4715 * CHOOSE(CONTROL!$C$15, $D$11, 100%, $F$11)</f>
        <v>4.4714999999999998</v>
      </c>
      <c r="I52" s="8">
        <f>3.6799 * CHOOSE(CONTROL!$C$15, $D$11, 100%, $F$11)</f>
        <v>3.6798999999999999</v>
      </c>
      <c r="J52" s="4">
        <f>3.513 * CHOOSE(CONTROL!$C$15, $D$11, 100%, $F$11)</f>
        <v>3.5129999999999999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4.2303 * CHOOSE(CONTROL!$C$15, $D$11, 100%, $F$11)</f>
        <v>4.2302999999999997</v>
      </c>
      <c r="C53" s="8">
        <f>4.2355 * CHOOSE(CONTROL!$C$15, $D$11, 100%, $F$11)</f>
        <v>4.2355</v>
      </c>
      <c r="D53" s="8">
        <f>4.2156 * CHOOSE( CONTROL!$C$15, $D$11, 100%, $F$11)</f>
        <v>4.2156000000000002</v>
      </c>
      <c r="E53" s="12">
        <f>4.2223 * CHOOSE( CONTROL!$C$15, $D$11, 100%, $F$11)</f>
        <v>4.2222999999999997</v>
      </c>
      <c r="F53" s="4">
        <f>4.8807 * CHOOSE(CONTROL!$C$15, $D$11, 100%, $F$11)</f>
        <v>4.8807</v>
      </c>
      <c r="G53" s="8">
        <f>4.1158 * CHOOSE( CONTROL!$C$15, $D$11, 100%, $F$11)</f>
        <v>4.1158000000000001</v>
      </c>
      <c r="H53" s="4">
        <f>5.0018 * CHOOSE(CONTROL!$C$15, $D$11, 100%, $F$11)</f>
        <v>5.0018000000000002</v>
      </c>
      <c r="I53" s="8">
        <f>4.158 * CHOOSE(CONTROL!$C$15, $D$11, 100%, $F$11)</f>
        <v>4.1580000000000004</v>
      </c>
      <c r="J53" s="4">
        <f>4.0343 * CHOOSE(CONTROL!$C$15, $D$11, 100%, $F$11)</f>
        <v>4.0343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3.9586 * CHOOSE(CONTROL!$C$15, $D$11, 100%, $F$11)</f>
        <v>3.9586000000000001</v>
      </c>
      <c r="C54" s="8">
        <f>3.9638 * CHOOSE(CONTROL!$C$15, $D$11, 100%, $F$11)</f>
        <v>3.9638</v>
      </c>
      <c r="D54" s="8">
        <f>3.9439 * CHOOSE( CONTROL!$C$15, $D$11, 100%, $F$11)</f>
        <v>3.9439000000000002</v>
      </c>
      <c r="E54" s="12">
        <f>3.9506 * CHOOSE( CONTROL!$C$15, $D$11, 100%, $F$11)</f>
        <v>3.9506000000000001</v>
      </c>
      <c r="F54" s="4">
        <f>4.6091 * CHOOSE(CONTROL!$C$15, $D$11, 100%, $F$11)</f>
        <v>4.6090999999999998</v>
      </c>
      <c r="G54" s="8">
        <f>3.8504 * CHOOSE( CONTROL!$C$15, $D$11, 100%, $F$11)</f>
        <v>3.8504</v>
      </c>
      <c r="H54" s="4">
        <f>4.7365 * CHOOSE(CONTROL!$C$15, $D$11, 100%, $F$11)</f>
        <v>4.7365000000000004</v>
      </c>
      <c r="I54" s="8">
        <f>3.897 * CHOOSE(CONTROL!$C$15, $D$11, 100%, $F$11)</f>
        <v>3.8969999999999998</v>
      </c>
      <c r="J54" s="4">
        <f>3.7735 * CHOOSE(CONTROL!$C$15, $D$11, 100%, $F$11)</f>
        <v>3.7734999999999999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3.875 * CHOOSE(CONTROL!$C$15, $D$11, 100%, $F$11)</f>
        <v>3.875</v>
      </c>
      <c r="C55" s="8">
        <f>3.8802 * CHOOSE(CONTROL!$C$15, $D$11, 100%, $F$11)</f>
        <v>3.8801999999999999</v>
      </c>
      <c r="D55" s="8">
        <f>3.8599 * CHOOSE( CONTROL!$C$15, $D$11, 100%, $F$11)</f>
        <v>3.8599000000000001</v>
      </c>
      <c r="E55" s="12">
        <f>3.8668 * CHOOSE( CONTROL!$C$15, $D$11, 100%, $F$11)</f>
        <v>3.8668</v>
      </c>
      <c r="F55" s="4">
        <f>4.5254 * CHOOSE(CONTROL!$C$15, $D$11, 100%, $F$11)</f>
        <v>4.5254000000000003</v>
      </c>
      <c r="G55" s="8">
        <f>3.7684 * CHOOSE( CONTROL!$C$15, $D$11, 100%, $F$11)</f>
        <v>3.7684000000000002</v>
      </c>
      <c r="H55" s="4">
        <f>4.6548 * CHOOSE(CONTROL!$C$15, $D$11, 100%, $F$11)</f>
        <v>4.6547999999999998</v>
      </c>
      <c r="I55" s="8">
        <f>3.8155 * CHOOSE(CONTROL!$C$15, $D$11, 100%, $F$11)</f>
        <v>3.8155000000000001</v>
      </c>
      <c r="J55" s="4">
        <f>3.6932 * CHOOSE(CONTROL!$C$15, $D$11, 100%, $F$11)</f>
        <v>3.6932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3.9342 * CHOOSE(CONTROL!$C$15, $D$11, 100%, $F$11)</f>
        <v>3.9342000000000001</v>
      </c>
      <c r="C56" s="8">
        <f>3.9388 * CHOOSE(CONTROL!$C$15, $D$11, 100%, $F$11)</f>
        <v>3.9388000000000001</v>
      </c>
      <c r="D56" s="8">
        <f>3.9697 * CHOOSE( CONTROL!$C$15, $D$11, 100%, $F$11)</f>
        <v>3.9697</v>
      </c>
      <c r="E56" s="12">
        <f>3.959 * CHOOSE( CONTROL!$C$15, $D$11, 100%, $F$11)</f>
        <v>3.9590000000000001</v>
      </c>
      <c r="F56" s="4">
        <f>4.649 * CHOOSE(CONTROL!$C$15, $D$11, 100%, $F$11)</f>
        <v>4.649</v>
      </c>
      <c r="G56" s="8">
        <f>3.8276 * CHOOSE( CONTROL!$C$15, $D$11, 100%, $F$11)</f>
        <v>3.8275999999999999</v>
      </c>
      <c r="H56" s="4">
        <f>4.7755 * CHOOSE(CONTROL!$C$15, $D$11, 100%, $F$11)</f>
        <v>4.7755000000000001</v>
      </c>
      <c r="I56" s="8">
        <f>3.865 * CHOOSE(CONTROL!$C$15, $D$11, 100%, $F$11)</f>
        <v>3.8650000000000002</v>
      </c>
      <c r="J56" s="4">
        <f>3.7493 * CHOOSE(CONTROL!$C$15, $D$11, 100%, $F$11)</f>
        <v>3.7492999999999999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4.043, 4.0396) * CHOOSE(CONTROL!$C$15, $D$11, 100%, $F$11)</f>
        <v>4.0430000000000001</v>
      </c>
      <c r="C57" s="8">
        <f>CHOOSE( CONTROL!$C$32, 4.0511, 4.0477) * CHOOSE(CONTROL!$C$15, $D$11, 100%, $F$11)</f>
        <v>4.0510999999999999</v>
      </c>
      <c r="D57" s="8">
        <f>CHOOSE( CONTROL!$C$32, 4.0767, 4.0733) * CHOOSE( CONTROL!$C$15, $D$11, 100%, $F$11)</f>
        <v>4.0766999999999998</v>
      </c>
      <c r="E57" s="12">
        <f>CHOOSE( CONTROL!$C$32, 4.0662, 4.0628) * CHOOSE( CONTROL!$C$15, $D$11, 100%, $F$11)</f>
        <v>4.0662000000000003</v>
      </c>
      <c r="F57" s="4">
        <f>CHOOSE( CONTROL!$C$32, 4.7565, 4.753) * CHOOSE(CONTROL!$C$15, $D$11, 100%, $F$11)</f>
        <v>4.7565</v>
      </c>
      <c r="G57" s="8">
        <f>CHOOSE( CONTROL!$C$32, 3.9332, 3.9299) * CHOOSE( CONTROL!$C$15, $D$11, 100%, $F$11)</f>
        <v>3.9331999999999998</v>
      </c>
      <c r="H57" s="4">
        <f>CHOOSE( CONTROL!$C$32, 4.8804, 4.8771) * CHOOSE(CONTROL!$C$15, $D$11, 100%, $F$11)</f>
        <v>4.8803999999999998</v>
      </c>
      <c r="I57" s="8">
        <f>CHOOSE( CONTROL!$C$32, 3.9683, 3.9651) * CHOOSE(CONTROL!$C$15, $D$11, 100%, $F$11)</f>
        <v>3.9683000000000002</v>
      </c>
      <c r="J57" s="4">
        <f>CHOOSE( CONTROL!$C$32, 3.8525, 3.8492) * CHOOSE(CONTROL!$C$15, $D$11, 100%, $F$11)</f>
        <v>3.8525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3.9786, 3.9752) * CHOOSE(CONTROL!$C$15, $D$11, 100%, $F$11)</f>
        <v>3.9786000000000001</v>
      </c>
      <c r="C58" s="8">
        <f>CHOOSE( CONTROL!$C$32, 3.9866, 3.9832) * CHOOSE(CONTROL!$C$15, $D$11, 100%, $F$11)</f>
        <v>3.9866000000000001</v>
      </c>
      <c r="D58" s="8">
        <f>CHOOSE( CONTROL!$C$32, 4.0125, 4.009) * CHOOSE( CONTROL!$C$15, $D$11, 100%, $F$11)</f>
        <v>4.0125000000000002</v>
      </c>
      <c r="E58" s="12">
        <f>CHOOSE( CONTROL!$C$32, 4.0019, 3.9984) * CHOOSE( CONTROL!$C$15, $D$11, 100%, $F$11)</f>
        <v>4.0019</v>
      </c>
      <c r="F58" s="4">
        <f>CHOOSE( CONTROL!$C$32, 4.692, 4.6886) * CHOOSE(CONTROL!$C$15, $D$11, 100%, $F$11)</f>
        <v>4.6920000000000002</v>
      </c>
      <c r="G58" s="8">
        <f>CHOOSE( CONTROL!$C$32, 3.8706, 3.8673) * CHOOSE( CONTROL!$C$15, $D$11, 100%, $F$11)</f>
        <v>3.8706</v>
      </c>
      <c r="H58" s="4">
        <f>CHOOSE( CONTROL!$C$32, 4.8175, 4.8141) * CHOOSE(CONTROL!$C$15, $D$11, 100%, $F$11)</f>
        <v>4.8174999999999999</v>
      </c>
      <c r="I58" s="8">
        <f>CHOOSE( CONTROL!$C$32, 3.9074, 3.9041) * CHOOSE(CONTROL!$C$15, $D$11, 100%, $F$11)</f>
        <v>3.9074</v>
      </c>
      <c r="J58" s="4">
        <f>CHOOSE( CONTROL!$C$32, 3.7906, 3.7873) * CHOOSE(CONTROL!$C$15, $D$11, 100%, $F$11)</f>
        <v>3.7906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4.1483, 4.1449) * CHOOSE(CONTROL!$C$15, $D$11, 100%, $F$11)</f>
        <v>4.1482999999999999</v>
      </c>
      <c r="C59" s="8">
        <f>CHOOSE( CONTROL!$C$32, 4.1564, 4.153) * CHOOSE(CONTROL!$C$15, $D$11, 100%, $F$11)</f>
        <v>4.1563999999999997</v>
      </c>
      <c r="D59" s="8">
        <f>CHOOSE( CONTROL!$C$32, 4.1824, 4.179) * CHOOSE( CONTROL!$C$15, $D$11, 100%, $F$11)</f>
        <v>4.1824000000000003</v>
      </c>
      <c r="E59" s="12">
        <f>CHOOSE( CONTROL!$C$32, 4.1717, 4.1683) * CHOOSE( CONTROL!$C$15, $D$11, 100%, $F$11)</f>
        <v>4.1717000000000004</v>
      </c>
      <c r="F59" s="4">
        <f>CHOOSE( CONTROL!$C$32, 4.8617, 4.8583) * CHOOSE(CONTROL!$C$15, $D$11, 100%, $F$11)</f>
        <v>4.8616999999999999</v>
      </c>
      <c r="G59" s="8">
        <f>CHOOSE( CONTROL!$C$32, 4.0367, 4.0334) * CHOOSE( CONTROL!$C$15, $D$11, 100%, $F$11)</f>
        <v>4.0366999999999997</v>
      </c>
      <c r="H59" s="4">
        <f>CHOOSE( CONTROL!$C$32, 4.9832, 4.9799) * CHOOSE(CONTROL!$C$15, $D$11, 100%, $F$11)</f>
        <v>4.9832000000000001</v>
      </c>
      <c r="I59" s="8">
        <f>CHOOSE( CONTROL!$C$32, 4.0715, 4.0683) * CHOOSE(CONTROL!$C$15, $D$11, 100%, $F$11)</f>
        <v>4.0715000000000003</v>
      </c>
      <c r="J59" s="4">
        <f>CHOOSE( CONTROL!$C$32, 3.9536, 3.9503) * CHOOSE(CONTROL!$C$15, $D$11, 100%, $F$11)</f>
        <v>3.9535999999999998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3.8307, 3.8273) * CHOOSE(CONTROL!$C$15, $D$11, 100%, $F$11)</f>
        <v>3.8307000000000002</v>
      </c>
      <c r="C60" s="8">
        <f>CHOOSE( CONTROL!$C$32, 3.8388, 3.8354) * CHOOSE(CONTROL!$C$15, $D$11, 100%, $F$11)</f>
        <v>3.8388</v>
      </c>
      <c r="D60" s="8">
        <f>CHOOSE( CONTROL!$C$32, 3.8649, 3.8615) * CHOOSE( CONTROL!$C$15, $D$11, 100%, $F$11)</f>
        <v>3.8649</v>
      </c>
      <c r="E60" s="12">
        <f>CHOOSE( CONTROL!$C$32, 3.8542, 3.8508) * CHOOSE( CONTROL!$C$15, $D$11, 100%, $F$11)</f>
        <v>3.8542000000000001</v>
      </c>
      <c r="F60" s="4">
        <f>CHOOSE( CONTROL!$C$32, 4.5441, 4.5407) * CHOOSE(CONTROL!$C$15, $D$11, 100%, $F$11)</f>
        <v>4.5441000000000003</v>
      </c>
      <c r="G60" s="8">
        <f>CHOOSE( CONTROL!$C$32, 3.7266, 3.7233) * CHOOSE( CONTROL!$C$15, $D$11, 100%, $F$11)</f>
        <v>3.7265999999999999</v>
      </c>
      <c r="H60" s="4">
        <f>CHOOSE( CONTROL!$C$32, 4.673, 4.6697) * CHOOSE(CONTROL!$C$15, $D$11, 100%, $F$11)</f>
        <v>4.673</v>
      </c>
      <c r="I60" s="8">
        <f>CHOOSE( CONTROL!$C$32, 3.7669, 3.7636) * CHOOSE(CONTROL!$C$15, $D$11, 100%, $F$11)</f>
        <v>3.7669000000000001</v>
      </c>
      <c r="J60" s="4">
        <f>CHOOSE( CONTROL!$C$32, 3.6486, 3.6454) * CHOOSE(CONTROL!$C$15, $D$11, 100%, $F$11)</f>
        <v>3.6486000000000001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3.7512, 3.7478) * CHOOSE(CONTROL!$C$15, $D$11, 100%, $F$11)</f>
        <v>3.7511999999999999</v>
      </c>
      <c r="C61" s="8">
        <f>CHOOSE( CONTROL!$C$32, 3.7593, 3.7558) * CHOOSE(CONTROL!$C$15, $D$11, 100%, $F$11)</f>
        <v>3.7593000000000001</v>
      </c>
      <c r="D61" s="8">
        <f>CHOOSE( CONTROL!$C$32, 3.7853, 3.7819) * CHOOSE( CONTROL!$C$15, $D$11, 100%, $F$11)</f>
        <v>3.7852999999999999</v>
      </c>
      <c r="E61" s="12">
        <f>CHOOSE( CONTROL!$C$32, 3.7746, 3.7712) * CHOOSE( CONTROL!$C$15, $D$11, 100%, $F$11)</f>
        <v>3.7746</v>
      </c>
      <c r="F61" s="4">
        <f>CHOOSE( CONTROL!$C$32, 4.4646, 4.4612) * CHOOSE(CONTROL!$C$15, $D$11, 100%, $F$11)</f>
        <v>4.4645999999999999</v>
      </c>
      <c r="G61" s="8">
        <f>CHOOSE( CONTROL!$C$32, 3.6489, 3.6456) * CHOOSE( CONTROL!$C$15, $D$11, 100%, $F$11)</f>
        <v>3.6488999999999998</v>
      </c>
      <c r="H61" s="4">
        <f>CHOOSE( CONTROL!$C$32, 4.5954, 4.592) * CHOOSE(CONTROL!$C$15, $D$11, 100%, $F$11)</f>
        <v>4.5953999999999997</v>
      </c>
      <c r="I61" s="8">
        <f>CHOOSE( CONTROL!$C$32, 3.6903, 3.6871) * CHOOSE(CONTROL!$C$15, $D$11, 100%, $F$11)</f>
        <v>3.6903000000000001</v>
      </c>
      <c r="J61" s="4">
        <f>CHOOSE( CONTROL!$C$32, 3.5723, 3.569) * CHOOSE(CONTROL!$C$15, $D$11, 100%, $F$11)</f>
        <v>3.5722999999999998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3.9112 * CHOOSE(CONTROL!$C$15, $D$11, 100%, $F$11)</f>
        <v>3.9112</v>
      </c>
      <c r="C62" s="8">
        <f>3.9166 * CHOOSE(CONTROL!$C$15, $D$11, 100%, $F$11)</f>
        <v>3.9165999999999999</v>
      </c>
      <c r="D62" s="8">
        <f>3.9477 * CHOOSE( CONTROL!$C$15, $D$11, 100%, $F$11)</f>
        <v>3.9477000000000002</v>
      </c>
      <c r="E62" s="12">
        <f>3.9369 * CHOOSE( CONTROL!$C$15, $D$11, 100%, $F$11)</f>
        <v>3.9369000000000001</v>
      </c>
      <c r="F62" s="4">
        <f>4.6263 * CHOOSE(CONTROL!$C$15, $D$11, 100%, $F$11)</f>
        <v>4.6262999999999996</v>
      </c>
      <c r="G62" s="8">
        <f>3.8065 * CHOOSE( CONTROL!$C$15, $D$11, 100%, $F$11)</f>
        <v>3.8065000000000002</v>
      </c>
      <c r="H62" s="4">
        <f>4.7533 * CHOOSE(CONTROL!$C$15, $D$11, 100%, $F$11)</f>
        <v>4.7533000000000003</v>
      </c>
      <c r="I62" s="8">
        <f>3.8465 * CHOOSE(CONTROL!$C$15, $D$11, 100%, $F$11)</f>
        <v>3.8464999999999998</v>
      </c>
      <c r="J62" s="4">
        <f>3.7275 * CHOOSE(CONTROL!$C$15, $D$11, 100%, $F$11)</f>
        <v>3.7275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4.2156 * CHOOSE(CONTROL!$C$15, $D$11, 100%, $F$11)</f>
        <v>4.2156000000000002</v>
      </c>
      <c r="C63" s="8">
        <f>4.2208 * CHOOSE(CONTROL!$C$15, $D$11, 100%, $F$11)</f>
        <v>4.2207999999999997</v>
      </c>
      <c r="D63" s="8">
        <f>4.2136 * CHOOSE( CONTROL!$C$15, $D$11, 100%, $F$11)</f>
        <v>4.2135999999999996</v>
      </c>
      <c r="E63" s="12">
        <f>4.2157 * CHOOSE( CONTROL!$C$15, $D$11, 100%, $F$11)</f>
        <v>4.2157</v>
      </c>
      <c r="F63" s="4">
        <f>4.866 * CHOOSE(CONTROL!$C$15, $D$11, 100%, $F$11)</f>
        <v>4.8659999999999997</v>
      </c>
      <c r="G63" s="8">
        <f>4.1172 * CHOOSE( CONTROL!$C$15, $D$11, 100%, $F$11)</f>
        <v>4.1172000000000004</v>
      </c>
      <c r="H63" s="4">
        <f>4.9874 * CHOOSE(CONTROL!$C$15, $D$11, 100%, $F$11)</f>
        <v>4.9874000000000001</v>
      </c>
      <c r="I63" s="8">
        <f>4.1828 * CHOOSE(CONTROL!$C$15, $D$11, 100%, $F$11)</f>
        <v>4.1828000000000003</v>
      </c>
      <c r="J63" s="4">
        <f>4.0202 * CHOOSE(CONTROL!$C$15, $D$11, 100%, $F$11)</f>
        <v>4.0202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4.208 * CHOOSE(CONTROL!$C$15, $D$11, 100%, $F$11)</f>
        <v>4.2080000000000002</v>
      </c>
      <c r="C64" s="8">
        <f>4.2131 * CHOOSE(CONTROL!$C$15, $D$11, 100%, $F$11)</f>
        <v>4.2130999999999998</v>
      </c>
      <c r="D64" s="8">
        <f>4.2074 * CHOOSE( CONTROL!$C$15, $D$11, 100%, $F$11)</f>
        <v>4.2073999999999998</v>
      </c>
      <c r="E64" s="12">
        <f>4.2089 * CHOOSE( CONTROL!$C$15, $D$11, 100%, $F$11)</f>
        <v>4.2088999999999999</v>
      </c>
      <c r="F64" s="4">
        <f>4.8584 * CHOOSE(CONTROL!$C$15, $D$11, 100%, $F$11)</f>
        <v>4.8583999999999996</v>
      </c>
      <c r="G64" s="8">
        <f>4.1108 * CHOOSE( CONTROL!$C$15, $D$11, 100%, $F$11)</f>
        <v>4.1108000000000002</v>
      </c>
      <c r="H64" s="4">
        <f>4.98 * CHOOSE(CONTROL!$C$15, $D$11, 100%, $F$11)</f>
        <v>4.9800000000000004</v>
      </c>
      <c r="I64" s="8">
        <f>4.1801 * CHOOSE(CONTROL!$C$15, $D$11, 100%, $F$11)</f>
        <v>4.1801000000000004</v>
      </c>
      <c r="J64" s="4">
        <f>4.0129 * CHOOSE(CONTROL!$C$15, $D$11, 100%, $F$11)</f>
        <v>4.0129000000000001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4.4473 * CHOOSE(CONTROL!$C$15, $D$11, 100%, $F$11)</f>
        <v>4.4473000000000003</v>
      </c>
      <c r="C65" s="8">
        <f>4.4525 * CHOOSE(CONTROL!$C$15, $D$11, 100%, $F$11)</f>
        <v>4.4524999999999997</v>
      </c>
      <c r="D65" s="8">
        <f>4.4326 * CHOOSE( CONTROL!$C$15, $D$11, 100%, $F$11)</f>
        <v>4.4325999999999999</v>
      </c>
      <c r="E65" s="12">
        <f>4.4393 * CHOOSE( CONTROL!$C$15, $D$11, 100%, $F$11)</f>
        <v>4.4393000000000002</v>
      </c>
      <c r="F65" s="4">
        <f>5.0978 * CHOOSE(CONTROL!$C$15, $D$11, 100%, $F$11)</f>
        <v>5.0978000000000003</v>
      </c>
      <c r="G65" s="8">
        <f>4.3277 * CHOOSE( CONTROL!$C$15, $D$11, 100%, $F$11)</f>
        <v>4.3277000000000001</v>
      </c>
      <c r="H65" s="4">
        <f>5.2138 * CHOOSE(CONTROL!$C$15, $D$11, 100%, $F$11)</f>
        <v>5.2138</v>
      </c>
      <c r="I65" s="8">
        <f>4.3664 * CHOOSE(CONTROL!$C$15, $D$11, 100%, $F$11)</f>
        <v>4.3663999999999996</v>
      </c>
      <c r="J65" s="4">
        <f>4.2427 * CHOOSE(CONTROL!$C$15, $D$11, 100%, $F$11)</f>
        <v>4.2427000000000001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4.1616 * CHOOSE(CONTROL!$C$15, $D$11, 100%, $F$11)</f>
        <v>4.1616</v>
      </c>
      <c r="C66" s="8">
        <f>4.1668 * CHOOSE(CONTROL!$C$15, $D$11, 100%, $F$11)</f>
        <v>4.1668000000000003</v>
      </c>
      <c r="D66" s="8">
        <f>4.1469 * CHOOSE( CONTROL!$C$15, $D$11, 100%, $F$11)</f>
        <v>4.1468999999999996</v>
      </c>
      <c r="E66" s="12">
        <f>4.1536 * CHOOSE( CONTROL!$C$15, $D$11, 100%, $F$11)</f>
        <v>4.1536</v>
      </c>
      <c r="F66" s="4">
        <f>4.8121 * CHOOSE(CONTROL!$C$15, $D$11, 100%, $F$11)</f>
        <v>4.8121</v>
      </c>
      <c r="G66" s="8">
        <f>4.0487 * CHOOSE( CONTROL!$C$15, $D$11, 100%, $F$11)</f>
        <v>4.0487000000000002</v>
      </c>
      <c r="H66" s="4">
        <f>4.9347 * CHOOSE(CONTROL!$C$15, $D$11, 100%, $F$11)</f>
        <v>4.9347000000000003</v>
      </c>
      <c r="I66" s="8">
        <f>4.092 * CHOOSE(CONTROL!$C$15, $D$11, 100%, $F$11)</f>
        <v>4.0919999999999996</v>
      </c>
      <c r="J66" s="4">
        <f>3.9684 * CHOOSE(CONTROL!$C$15, $D$11, 100%, $F$11)</f>
        <v>3.9683999999999999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4.0736 * CHOOSE(CONTROL!$C$15, $D$11, 100%, $F$11)</f>
        <v>4.0735999999999999</v>
      </c>
      <c r="C67" s="8">
        <f>4.0788 * CHOOSE(CONTROL!$C$15, $D$11, 100%, $F$11)</f>
        <v>4.0788000000000002</v>
      </c>
      <c r="D67" s="8">
        <f>4.0585 * CHOOSE( CONTROL!$C$15, $D$11, 100%, $F$11)</f>
        <v>4.0585000000000004</v>
      </c>
      <c r="E67" s="12">
        <f>4.0654 * CHOOSE( CONTROL!$C$15, $D$11, 100%, $F$11)</f>
        <v>4.0654000000000003</v>
      </c>
      <c r="F67" s="4">
        <f>4.7241 * CHOOSE(CONTROL!$C$15, $D$11, 100%, $F$11)</f>
        <v>4.7241</v>
      </c>
      <c r="G67" s="8">
        <f>3.9625 * CHOOSE( CONTROL!$C$15, $D$11, 100%, $F$11)</f>
        <v>3.9624999999999999</v>
      </c>
      <c r="H67" s="4">
        <f>4.8488 * CHOOSE(CONTROL!$C$15, $D$11, 100%, $F$11)</f>
        <v>4.8487999999999998</v>
      </c>
      <c r="I67" s="8">
        <f>4.0063 * CHOOSE(CONTROL!$C$15, $D$11, 100%, $F$11)</f>
        <v>4.0063000000000004</v>
      </c>
      <c r="J67" s="4">
        <f>3.8839 * CHOOSE(CONTROL!$C$15, $D$11, 100%, $F$11)</f>
        <v>3.8839000000000001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4.1359 * CHOOSE(CONTROL!$C$15, $D$11, 100%, $F$11)</f>
        <v>4.1359000000000004</v>
      </c>
      <c r="C68" s="8">
        <f>4.1405 * CHOOSE(CONTROL!$C$15, $D$11, 100%, $F$11)</f>
        <v>4.1405000000000003</v>
      </c>
      <c r="D68" s="8">
        <f>4.1714 * CHOOSE( CONTROL!$C$15, $D$11, 100%, $F$11)</f>
        <v>4.1714000000000002</v>
      </c>
      <c r="E68" s="12">
        <f>4.1607 * CHOOSE( CONTROL!$C$15, $D$11, 100%, $F$11)</f>
        <v>4.1607000000000003</v>
      </c>
      <c r="F68" s="4">
        <f>4.8507 * CHOOSE(CONTROL!$C$15, $D$11, 100%, $F$11)</f>
        <v>4.8506999999999998</v>
      </c>
      <c r="G68" s="8">
        <f>4.0245 * CHOOSE( CONTROL!$C$15, $D$11, 100%, $F$11)</f>
        <v>4.0244999999999997</v>
      </c>
      <c r="H68" s="4">
        <f>4.9724 * CHOOSE(CONTROL!$C$15, $D$11, 100%, $F$11)</f>
        <v>4.9724000000000004</v>
      </c>
      <c r="I68" s="8">
        <f>4.0587 * CHOOSE(CONTROL!$C$15, $D$11, 100%, $F$11)</f>
        <v>4.0587</v>
      </c>
      <c r="J68" s="4">
        <f>3.943 * CHOOSE(CONTROL!$C$15, $D$11, 100%, $F$11)</f>
        <v>3.9430000000000001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4.2501, 4.2467) * CHOOSE(CONTROL!$C$15, $D$11, 100%, $F$11)</f>
        <v>4.2500999999999998</v>
      </c>
      <c r="C69" s="8">
        <f>CHOOSE( CONTROL!$C$32, 4.2582, 4.2548) * CHOOSE(CONTROL!$C$15, $D$11, 100%, $F$11)</f>
        <v>4.2582000000000004</v>
      </c>
      <c r="D69" s="8">
        <f>CHOOSE( CONTROL!$C$32, 4.2838, 4.2804) * CHOOSE( CONTROL!$C$15, $D$11, 100%, $F$11)</f>
        <v>4.2838000000000003</v>
      </c>
      <c r="E69" s="12">
        <f>CHOOSE( CONTROL!$C$32, 4.2733, 4.2699) * CHOOSE( CONTROL!$C$15, $D$11, 100%, $F$11)</f>
        <v>4.2732999999999999</v>
      </c>
      <c r="F69" s="4">
        <f>CHOOSE( CONTROL!$C$32, 4.9635, 4.9601) * CHOOSE(CONTROL!$C$15, $D$11, 100%, $F$11)</f>
        <v>4.9634999999999998</v>
      </c>
      <c r="G69" s="8">
        <f>CHOOSE( CONTROL!$C$32, 4.1355, 4.1322) * CHOOSE( CONTROL!$C$15, $D$11, 100%, $F$11)</f>
        <v>4.1355000000000004</v>
      </c>
      <c r="H69" s="4">
        <f>CHOOSE( CONTROL!$C$32, 5.0826, 5.0793) * CHOOSE(CONTROL!$C$15, $D$11, 100%, $F$11)</f>
        <v>5.0826000000000002</v>
      </c>
      <c r="I69" s="8">
        <f>CHOOSE( CONTROL!$C$32, 4.1672, 4.164) * CHOOSE(CONTROL!$C$15, $D$11, 100%, $F$11)</f>
        <v>4.1672000000000002</v>
      </c>
      <c r="J69" s="4">
        <f>CHOOSE( CONTROL!$C$32, 4.0513, 4.048) * CHOOSE(CONTROL!$C$15, $D$11, 100%, $F$11)</f>
        <v>4.0513000000000003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4.1823, 4.1789) * CHOOSE(CONTROL!$C$15, $D$11, 100%, $F$11)</f>
        <v>4.1822999999999997</v>
      </c>
      <c r="C70" s="8">
        <f>CHOOSE( CONTROL!$C$32, 4.1904, 4.187) * CHOOSE(CONTROL!$C$15, $D$11, 100%, $F$11)</f>
        <v>4.1904000000000003</v>
      </c>
      <c r="D70" s="8">
        <f>CHOOSE( CONTROL!$C$32, 4.2162, 4.2128) * CHOOSE( CONTROL!$C$15, $D$11, 100%, $F$11)</f>
        <v>4.2161999999999997</v>
      </c>
      <c r="E70" s="12">
        <f>CHOOSE( CONTROL!$C$32, 4.2056, 4.2022) * CHOOSE( CONTROL!$C$15, $D$11, 100%, $F$11)</f>
        <v>4.2055999999999996</v>
      </c>
      <c r="F70" s="4">
        <f>CHOOSE( CONTROL!$C$32, 4.8957, 4.8923) * CHOOSE(CONTROL!$C$15, $D$11, 100%, $F$11)</f>
        <v>4.8956999999999997</v>
      </c>
      <c r="G70" s="8">
        <f>CHOOSE( CONTROL!$C$32, 4.0696, 4.0663) * CHOOSE( CONTROL!$C$15, $D$11, 100%, $F$11)</f>
        <v>4.0696000000000003</v>
      </c>
      <c r="H70" s="4">
        <f>CHOOSE( CONTROL!$C$32, 5.0164, 5.0131) * CHOOSE(CONTROL!$C$15, $D$11, 100%, $F$11)</f>
        <v>5.0164</v>
      </c>
      <c r="I70" s="8">
        <f>CHOOSE( CONTROL!$C$32, 4.1031, 4.0998) * CHOOSE(CONTROL!$C$15, $D$11, 100%, $F$11)</f>
        <v>4.1031000000000004</v>
      </c>
      <c r="J70" s="4">
        <f>CHOOSE( CONTROL!$C$32, 3.9862, 3.9829) * CHOOSE(CONTROL!$C$15, $D$11, 100%, $F$11)</f>
        <v>3.9862000000000002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4.3608, 4.3574) * CHOOSE(CONTROL!$C$15, $D$11, 100%, $F$11)</f>
        <v>4.3608000000000002</v>
      </c>
      <c r="C71" s="8">
        <f>CHOOSE( CONTROL!$C$32, 4.3689, 4.3655) * CHOOSE(CONTROL!$C$15, $D$11, 100%, $F$11)</f>
        <v>4.3689</v>
      </c>
      <c r="D71" s="8">
        <f>CHOOSE( CONTROL!$C$32, 4.3949, 4.3915) * CHOOSE( CONTROL!$C$15, $D$11, 100%, $F$11)</f>
        <v>4.3948999999999998</v>
      </c>
      <c r="E71" s="12">
        <f>CHOOSE( CONTROL!$C$32, 4.3842, 4.3808) * CHOOSE( CONTROL!$C$15, $D$11, 100%, $F$11)</f>
        <v>4.3841999999999999</v>
      </c>
      <c r="F71" s="4">
        <f>CHOOSE( CONTROL!$C$32, 5.0742, 5.0708) * CHOOSE(CONTROL!$C$15, $D$11, 100%, $F$11)</f>
        <v>5.0742000000000003</v>
      </c>
      <c r="G71" s="8">
        <f>CHOOSE( CONTROL!$C$32, 4.2443, 4.2409) * CHOOSE( CONTROL!$C$15, $D$11, 100%, $F$11)</f>
        <v>4.2443</v>
      </c>
      <c r="H71" s="4">
        <f>CHOOSE( CONTROL!$C$32, 5.1908, 5.1875) * CHOOSE(CONTROL!$C$15, $D$11, 100%, $F$11)</f>
        <v>5.1908000000000003</v>
      </c>
      <c r="I71" s="8">
        <f>CHOOSE( CONTROL!$C$32, 4.2757, 4.2724) * CHOOSE(CONTROL!$C$15, $D$11, 100%, $F$11)</f>
        <v>4.2756999999999996</v>
      </c>
      <c r="J71" s="4">
        <f>CHOOSE( CONTROL!$C$32, 4.1576, 4.1543) * CHOOSE(CONTROL!$C$15, $D$11, 100%, $F$11)</f>
        <v>4.1576000000000004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4.0268, 4.0234) * CHOOSE(CONTROL!$C$15, $D$11, 100%, $F$11)</f>
        <v>4.0267999999999997</v>
      </c>
      <c r="C72" s="8">
        <f>CHOOSE( CONTROL!$C$32, 4.0349, 4.0315) * CHOOSE(CONTROL!$C$15, $D$11, 100%, $F$11)</f>
        <v>4.0349000000000004</v>
      </c>
      <c r="D72" s="8">
        <f>CHOOSE( CONTROL!$C$32, 4.061, 4.0576) * CHOOSE( CONTROL!$C$15, $D$11, 100%, $F$11)</f>
        <v>4.0609999999999999</v>
      </c>
      <c r="E72" s="12">
        <f>CHOOSE( CONTROL!$C$32, 4.0503, 4.0469) * CHOOSE( CONTROL!$C$15, $D$11, 100%, $F$11)</f>
        <v>4.0503</v>
      </c>
      <c r="F72" s="4">
        <f>CHOOSE( CONTROL!$C$32, 4.7402, 4.7368) * CHOOSE(CONTROL!$C$15, $D$11, 100%, $F$11)</f>
        <v>4.7401999999999997</v>
      </c>
      <c r="G72" s="8">
        <f>CHOOSE( CONTROL!$C$32, 3.9182, 3.9149) * CHOOSE( CONTROL!$C$15, $D$11, 100%, $F$11)</f>
        <v>3.9182000000000001</v>
      </c>
      <c r="H72" s="4">
        <f>CHOOSE( CONTROL!$C$32, 4.8646, 4.8612) * CHOOSE(CONTROL!$C$15, $D$11, 100%, $F$11)</f>
        <v>4.8646000000000003</v>
      </c>
      <c r="I72" s="8">
        <f>CHOOSE( CONTROL!$C$32, 3.9552, 3.952) * CHOOSE(CONTROL!$C$15, $D$11, 100%, $F$11)</f>
        <v>3.9552</v>
      </c>
      <c r="J72" s="4">
        <f>CHOOSE( CONTROL!$C$32, 3.8369, 3.8336) * CHOOSE(CONTROL!$C$15, $D$11, 100%, $F$11)</f>
        <v>3.8369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3.9432, 3.9398) * CHOOSE(CONTROL!$C$15, $D$11, 100%, $F$11)</f>
        <v>3.9432</v>
      </c>
      <c r="C73" s="8">
        <f>CHOOSE( CONTROL!$C$32, 3.9512, 3.9478) * CHOOSE(CONTROL!$C$15, $D$11, 100%, $F$11)</f>
        <v>3.9512</v>
      </c>
      <c r="D73" s="8">
        <f>CHOOSE( CONTROL!$C$32, 3.9773, 3.9739) * CHOOSE( CONTROL!$C$15, $D$11, 100%, $F$11)</f>
        <v>3.9773000000000001</v>
      </c>
      <c r="E73" s="12">
        <f>CHOOSE( CONTROL!$C$32, 3.9666, 3.9632) * CHOOSE( CONTROL!$C$15, $D$11, 100%, $F$11)</f>
        <v>3.9666000000000001</v>
      </c>
      <c r="F73" s="4">
        <f>CHOOSE( CONTROL!$C$32, 4.6566, 4.6532) * CHOOSE(CONTROL!$C$15, $D$11, 100%, $F$11)</f>
        <v>4.6566000000000001</v>
      </c>
      <c r="G73" s="8">
        <f>CHOOSE( CONTROL!$C$32, 3.8364, 3.8331) * CHOOSE( CONTROL!$C$15, $D$11, 100%, $F$11)</f>
        <v>3.8363999999999998</v>
      </c>
      <c r="H73" s="4">
        <f>CHOOSE( CONTROL!$C$32, 4.7829, 4.7795) * CHOOSE(CONTROL!$C$15, $D$11, 100%, $F$11)</f>
        <v>4.7828999999999997</v>
      </c>
      <c r="I73" s="8">
        <f>CHOOSE( CONTROL!$C$32, 3.8748, 3.8715) * CHOOSE(CONTROL!$C$15, $D$11, 100%, $F$11)</f>
        <v>3.8748</v>
      </c>
      <c r="J73" s="4">
        <f>CHOOSE( CONTROL!$C$32, 3.7566, 3.7533) * CHOOSE(CONTROL!$C$15, $D$11, 100%, $F$11)</f>
        <v>3.7566000000000002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4.1117 * CHOOSE(CONTROL!$C$15, $D$11, 100%, $F$11)</f>
        <v>4.1116999999999999</v>
      </c>
      <c r="C74" s="8">
        <f>4.1171 * CHOOSE(CONTROL!$C$15, $D$11, 100%, $F$11)</f>
        <v>4.1170999999999998</v>
      </c>
      <c r="D74" s="8">
        <f>4.1482 * CHOOSE( CONTROL!$C$15, $D$11, 100%, $F$11)</f>
        <v>4.1482000000000001</v>
      </c>
      <c r="E74" s="12">
        <f>4.1374 * CHOOSE( CONTROL!$C$15, $D$11, 100%, $F$11)</f>
        <v>4.1374000000000004</v>
      </c>
      <c r="F74" s="4">
        <f>4.8269 * CHOOSE(CONTROL!$C$15, $D$11, 100%, $F$11)</f>
        <v>4.8269000000000002</v>
      </c>
      <c r="G74" s="8">
        <f>4.0023 * CHOOSE( CONTROL!$C$15, $D$11, 100%, $F$11)</f>
        <v>4.0023</v>
      </c>
      <c r="H74" s="4">
        <f>4.9492 * CHOOSE(CONTROL!$C$15, $D$11, 100%, $F$11)</f>
        <v>4.9492000000000003</v>
      </c>
      <c r="I74" s="8">
        <f>4.0391 * CHOOSE(CONTROL!$C$15, $D$11, 100%, $F$11)</f>
        <v>4.0391000000000004</v>
      </c>
      <c r="J74" s="4">
        <f>3.9201 * CHOOSE(CONTROL!$C$15, $D$11, 100%, $F$11)</f>
        <v>3.9201000000000001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4.4318 * CHOOSE(CONTROL!$C$15, $D$11, 100%, $F$11)</f>
        <v>4.4318</v>
      </c>
      <c r="C75" s="8">
        <f>4.437 * CHOOSE(CONTROL!$C$15, $D$11, 100%, $F$11)</f>
        <v>4.4370000000000003</v>
      </c>
      <c r="D75" s="8">
        <f>4.4299 * CHOOSE( CONTROL!$C$15, $D$11, 100%, $F$11)</f>
        <v>4.4298999999999999</v>
      </c>
      <c r="E75" s="12">
        <f>4.4319 * CHOOSE( CONTROL!$C$15, $D$11, 100%, $F$11)</f>
        <v>4.4318999999999997</v>
      </c>
      <c r="F75" s="4">
        <f>5.0823 * CHOOSE(CONTROL!$C$15, $D$11, 100%, $F$11)</f>
        <v>5.0823</v>
      </c>
      <c r="G75" s="8">
        <f>4.3284 * CHOOSE( CONTROL!$C$15, $D$11, 100%, $F$11)</f>
        <v>4.3284000000000002</v>
      </c>
      <c r="H75" s="4">
        <f>5.1987 * CHOOSE(CONTROL!$C$15, $D$11, 100%, $F$11)</f>
        <v>5.1986999999999997</v>
      </c>
      <c r="I75" s="8">
        <f>4.3905 * CHOOSE(CONTROL!$C$15, $D$11, 100%, $F$11)</f>
        <v>4.3905000000000003</v>
      </c>
      <c r="J75" s="4">
        <f>4.2278 * CHOOSE(CONTROL!$C$15, $D$11, 100%, $F$11)</f>
        <v>4.2278000000000002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4.4238 * CHOOSE(CONTROL!$C$15, $D$11, 100%, $F$11)</f>
        <v>4.4238</v>
      </c>
      <c r="C76" s="8">
        <f>4.429 * CHOOSE(CONTROL!$C$15, $D$11, 100%, $F$11)</f>
        <v>4.4290000000000003</v>
      </c>
      <c r="D76" s="8">
        <f>4.4233 * CHOOSE( CONTROL!$C$15, $D$11, 100%, $F$11)</f>
        <v>4.4233000000000002</v>
      </c>
      <c r="E76" s="12">
        <f>4.4248 * CHOOSE( CONTROL!$C$15, $D$11, 100%, $F$11)</f>
        <v>4.4248000000000003</v>
      </c>
      <c r="F76" s="4">
        <f>5.0743 * CHOOSE(CONTROL!$C$15, $D$11, 100%, $F$11)</f>
        <v>5.0743</v>
      </c>
      <c r="G76" s="8">
        <f>4.3216 * CHOOSE( CONTROL!$C$15, $D$11, 100%, $F$11)</f>
        <v>4.3216000000000001</v>
      </c>
      <c r="H76" s="4">
        <f>5.1908 * CHOOSE(CONTROL!$C$15, $D$11, 100%, $F$11)</f>
        <v>5.1908000000000003</v>
      </c>
      <c r="I76" s="8">
        <f>4.3874 * CHOOSE(CONTROL!$C$15, $D$11, 100%, $F$11)</f>
        <v>4.3874000000000004</v>
      </c>
      <c r="J76" s="4">
        <f>4.2201 * CHOOSE(CONTROL!$C$15, $D$11, 100%, $F$11)</f>
        <v>4.2201000000000004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5.5314 * CHOOSE(CONTROL!$C$15, $D$11, 100%, $F$11)</f>
        <v>5.5313999999999997</v>
      </c>
      <c r="C77" s="8">
        <f>5.5366 * CHOOSE(CONTROL!$C$15, $D$11, 100%, $F$11)</f>
        <v>5.5366</v>
      </c>
      <c r="D77" s="8">
        <f>5.5167 * CHOOSE( CONTROL!$C$15, $D$11, 100%, $F$11)</f>
        <v>5.5167000000000002</v>
      </c>
      <c r="E77" s="12">
        <f>5.5234 * CHOOSE( CONTROL!$C$15, $D$11, 100%, $F$11)</f>
        <v>5.5233999999999996</v>
      </c>
      <c r="F77" s="4">
        <f>6.1818 * CHOOSE(CONTROL!$C$15, $D$11, 100%, $F$11)</f>
        <v>6.1818</v>
      </c>
      <c r="G77" s="8">
        <f>5.3865 * CHOOSE( CONTROL!$C$15, $D$11, 100%, $F$11)</f>
        <v>5.3864999999999998</v>
      </c>
      <c r="H77" s="4">
        <f>6.2726 * CHOOSE(CONTROL!$C$15, $D$11, 100%, $F$11)</f>
        <v>6.2725999999999997</v>
      </c>
      <c r="I77" s="8">
        <f>5.4078 * CHOOSE(CONTROL!$C$15, $D$11, 100%, $F$11)</f>
        <v>5.4077999999999999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5.1756 * CHOOSE(CONTROL!$C$15, $D$11, 100%, $F$11)</f>
        <v>5.1756000000000002</v>
      </c>
      <c r="C78" s="8">
        <f>5.1808 * CHOOSE(CONTROL!$C$15, $D$11, 100%, $F$11)</f>
        <v>5.1807999999999996</v>
      </c>
      <c r="D78" s="8">
        <f>5.1609 * CHOOSE( CONTROL!$C$15, $D$11, 100%, $F$11)</f>
        <v>5.1608999999999998</v>
      </c>
      <c r="E78" s="12">
        <f>5.1676 * CHOOSE( CONTROL!$C$15, $D$11, 100%, $F$11)</f>
        <v>5.1676000000000002</v>
      </c>
      <c r="F78" s="4">
        <f>5.8261 * CHOOSE(CONTROL!$C$15, $D$11, 100%, $F$11)</f>
        <v>5.8261000000000003</v>
      </c>
      <c r="G78" s="8">
        <f>5.039 * CHOOSE( CONTROL!$C$15, $D$11, 100%, $F$11)</f>
        <v>5.0389999999999997</v>
      </c>
      <c r="H78" s="4">
        <f>5.9251 * CHOOSE(CONTROL!$C$15, $D$11, 100%, $F$11)</f>
        <v>5.9250999999999996</v>
      </c>
      <c r="I78" s="8">
        <f>5.066 * CHOOSE(CONTROL!$C$15, $D$11, 100%, $F$11)</f>
        <v>5.0659999999999998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5.066 * CHOOSE(CONTROL!$C$15, $D$11, 100%, $F$11)</f>
        <v>5.0659999999999998</v>
      </c>
      <c r="C79" s="8">
        <f>5.0712 * CHOOSE(CONTROL!$C$15, $D$11, 100%, $F$11)</f>
        <v>5.0712000000000002</v>
      </c>
      <c r="D79" s="8">
        <f>5.0509 * CHOOSE( CONTROL!$C$15, $D$11, 100%, $F$11)</f>
        <v>5.0509000000000004</v>
      </c>
      <c r="E79" s="12">
        <f>5.0578 * CHOOSE( CONTROL!$C$15, $D$11, 100%, $F$11)</f>
        <v>5.0578000000000003</v>
      </c>
      <c r="F79" s="4">
        <f>5.7165 * CHOOSE(CONTROL!$C$15, $D$11, 100%, $F$11)</f>
        <v>5.7164999999999999</v>
      </c>
      <c r="G79" s="8">
        <f>4.9318 * CHOOSE( CONTROL!$C$15, $D$11, 100%, $F$11)</f>
        <v>4.9318</v>
      </c>
      <c r="H79" s="4">
        <f>5.8181 * CHOOSE(CONTROL!$C$15, $D$11, 100%, $F$11)</f>
        <v>5.8181000000000003</v>
      </c>
      <c r="I79" s="8">
        <f>4.9596 * CHOOSE(CONTROL!$C$15, $D$11, 100%, $F$11)</f>
        <v>4.9596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5.1434 * CHOOSE(CONTROL!$C$15, $D$11, 100%, $F$11)</f>
        <v>5.1433999999999997</v>
      </c>
      <c r="C80" s="8">
        <f>5.148 * CHOOSE(CONTROL!$C$15, $D$11, 100%, $F$11)</f>
        <v>5.1479999999999997</v>
      </c>
      <c r="D80" s="8">
        <f>5.1789 * CHOOSE( CONTROL!$C$15, $D$11, 100%, $F$11)</f>
        <v>5.1788999999999996</v>
      </c>
      <c r="E80" s="12">
        <f>5.1682 * CHOOSE( CONTROL!$C$15, $D$11, 100%, $F$11)</f>
        <v>5.1681999999999997</v>
      </c>
      <c r="F80" s="4">
        <f>5.8582 * CHOOSE(CONTROL!$C$15, $D$11, 100%, $F$11)</f>
        <v>5.8582000000000001</v>
      </c>
      <c r="G80" s="8">
        <f>5.0086 * CHOOSE( CONTROL!$C$15, $D$11, 100%, $F$11)</f>
        <v>5.0086000000000004</v>
      </c>
      <c r="H80" s="4">
        <f>5.9565 * CHOOSE(CONTROL!$C$15, $D$11, 100%, $F$11)</f>
        <v>5.9565000000000001</v>
      </c>
      <c r="I80" s="8">
        <f>5.0265 * CHOOSE(CONTROL!$C$15, $D$11, 100%, $F$11)</f>
        <v>5.0265000000000004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5.2844, 5.281) * CHOOSE(CONTROL!$C$15, $D$11, 100%, $F$11)</f>
        <v>5.2843999999999998</v>
      </c>
      <c r="C81" s="8">
        <f>CHOOSE( CONTROL!$C$32, 5.2925, 5.2891) * CHOOSE(CONTROL!$C$15, $D$11, 100%, $F$11)</f>
        <v>5.2925000000000004</v>
      </c>
      <c r="D81" s="8">
        <f>CHOOSE( CONTROL!$C$32, 5.3181, 5.3147) * CHOOSE( CONTROL!$C$15, $D$11, 100%, $F$11)</f>
        <v>5.3181000000000003</v>
      </c>
      <c r="E81" s="12">
        <f>CHOOSE( CONTROL!$C$32, 5.3076, 5.3042) * CHOOSE( CONTROL!$C$15, $D$11, 100%, $F$11)</f>
        <v>5.3075999999999999</v>
      </c>
      <c r="F81" s="4">
        <f>CHOOSE( CONTROL!$C$32, 5.9979, 5.9944) * CHOOSE(CONTROL!$C$15, $D$11, 100%, $F$11)</f>
        <v>5.9978999999999996</v>
      </c>
      <c r="G81" s="8">
        <f>CHOOSE( CONTROL!$C$32, 5.1457, 5.1424) * CHOOSE( CONTROL!$C$15, $D$11, 100%, $F$11)</f>
        <v>5.1456999999999997</v>
      </c>
      <c r="H81" s="4">
        <f>CHOOSE( CONTROL!$C$32, 6.0929, 6.0896) * CHOOSE(CONTROL!$C$15, $D$11, 100%, $F$11)</f>
        <v>6.0929000000000002</v>
      </c>
      <c r="I81" s="8">
        <f>CHOOSE( CONTROL!$C$32, 5.1608, 5.1575) * CHOOSE(CONTROL!$C$15, $D$11, 100%, $F$11)</f>
        <v>5.1608000000000001</v>
      </c>
      <c r="J81" s="4">
        <f>CHOOSE( CONTROL!$C$32, 5.0443, 5.0411) * CHOOSE(CONTROL!$C$15, $D$11, 100%, $F$11)</f>
        <v>5.0442999999999998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5.2, 5.1966) * CHOOSE(CONTROL!$C$15, $D$11, 100%, $F$11)</f>
        <v>5.2</v>
      </c>
      <c r="C82" s="8">
        <f>CHOOSE( CONTROL!$C$32, 5.2081, 5.2047) * CHOOSE(CONTROL!$C$15, $D$11, 100%, $F$11)</f>
        <v>5.2081</v>
      </c>
      <c r="D82" s="8">
        <f>CHOOSE( CONTROL!$C$32, 5.2339, 5.2305) * CHOOSE( CONTROL!$C$15, $D$11, 100%, $F$11)</f>
        <v>5.2339000000000002</v>
      </c>
      <c r="E82" s="12">
        <f>CHOOSE( CONTROL!$C$32, 5.2233, 5.2199) * CHOOSE( CONTROL!$C$15, $D$11, 100%, $F$11)</f>
        <v>5.2233000000000001</v>
      </c>
      <c r="F82" s="4">
        <f>CHOOSE( CONTROL!$C$32, 5.9134, 5.91) * CHOOSE(CONTROL!$C$15, $D$11, 100%, $F$11)</f>
        <v>5.9134000000000002</v>
      </c>
      <c r="G82" s="8">
        <f>CHOOSE( CONTROL!$C$32, 5.0636, 5.0602) * CHOOSE( CONTROL!$C$15, $D$11, 100%, $F$11)</f>
        <v>5.0636000000000001</v>
      </c>
      <c r="H82" s="4">
        <f>CHOOSE( CONTROL!$C$32, 6.0104, 6.0071) * CHOOSE(CONTROL!$C$15, $D$11, 100%, $F$11)</f>
        <v>6.0103999999999997</v>
      </c>
      <c r="I82" s="8">
        <f>CHOOSE( CONTROL!$C$32, 5.0807, 5.0774) * CHOOSE(CONTROL!$C$15, $D$11, 100%, $F$11)</f>
        <v>5.0807000000000002</v>
      </c>
      <c r="J82" s="4">
        <f>CHOOSE( CONTROL!$C$32, 4.9633, 4.96) * CHOOSE(CONTROL!$C$15, $D$11, 100%, $F$11)</f>
        <v>4.9633000000000003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5.4223, 5.4189) * CHOOSE(CONTROL!$C$15, $D$11, 100%, $F$11)</f>
        <v>5.4222999999999999</v>
      </c>
      <c r="C83" s="8">
        <f>CHOOSE( CONTROL!$C$32, 5.4304, 5.427) * CHOOSE(CONTROL!$C$15, $D$11, 100%, $F$11)</f>
        <v>5.4303999999999997</v>
      </c>
      <c r="D83" s="8">
        <f>CHOOSE( CONTROL!$C$32, 5.4564, 5.453) * CHOOSE( CONTROL!$C$15, $D$11, 100%, $F$11)</f>
        <v>5.4564000000000004</v>
      </c>
      <c r="E83" s="12">
        <f>CHOOSE( CONTROL!$C$32, 5.4457, 5.4423) * CHOOSE( CONTROL!$C$15, $D$11, 100%, $F$11)</f>
        <v>5.4457000000000004</v>
      </c>
      <c r="F83" s="4">
        <f>CHOOSE( CONTROL!$C$32, 6.1357, 6.1323) * CHOOSE(CONTROL!$C$15, $D$11, 100%, $F$11)</f>
        <v>6.1356999999999999</v>
      </c>
      <c r="G83" s="8">
        <f>CHOOSE( CONTROL!$C$32, 5.281, 5.2777) * CHOOSE( CONTROL!$C$15, $D$11, 100%, $F$11)</f>
        <v>5.2809999999999997</v>
      </c>
      <c r="H83" s="4">
        <f>CHOOSE( CONTROL!$C$32, 6.2276, 6.2242) * CHOOSE(CONTROL!$C$15, $D$11, 100%, $F$11)</f>
        <v>6.2275999999999998</v>
      </c>
      <c r="I83" s="8">
        <f>CHOOSE( CONTROL!$C$32, 5.2953, 5.292) * CHOOSE(CONTROL!$C$15, $D$11, 100%, $F$11)</f>
        <v>5.2953000000000001</v>
      </c>
      <c r="J83" s="4">
        <f>CHOOSE( CONTROL!$C$32, 5.1767, 5.1735) * CHOOSE(CONTROL!$C$15, $D$11, 100%, $F$11)</f>
        <v>5.1767000000000003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5.0064, 5.0029) * CHOOSE(CONTROL!$C$15, $D$11, 100%, $F$11)</f>
        <v>5.0064000000000002</v>
      </c>
      <c r="C84" s="8">
        <f>CHOOSE( CONTROL!$C$32, 5.0144, 5.011) * CHOOSE(CONTROL!$C$15, $D$11, 100%, $F$11)</f>
        <v>5.0144000000000002</v>
      </c>
      <c r="D84" s="8">
        <f>CHOOSE( CONTROL!$C$32, 5.0406, 5.0372) * CHOOSE( CONTROL!$C$15, $D$11, 100%, $F$11)</f>
        <v>5.0406000000000004</v>
      </c>
      <c r="E84" s="12">
        <f>CHOOSE( CONTROL!$C$32, 5.0299, 5.0265) * CHOOSE( CONTROL!$C$15, $D$11, 100%, $F$11)</f>
        <v>5.0298999999999996</v>
      </c>
      <c r="F84" s="4">
        <f>CHOOSE( CONTROL!$C$32, 5.7198, 5.7164) * CHOOSE(CONTROL!$C$15, $D$11, 100%, $F$11)</f>
        <v>5.7198000000000002</v>
      </c>
      <c r="G84" s="8">
        <f>CHOOSE( CONTROL!$C$32, 4.8749, 4.8716) * CHOOSE( CONTROL!$C$15, $D$11, 100%, $F$11)</f>
        <v>4.8749000000000002</v>
      </c>
      <c r="H84" s="4">
        <f>CHOOSE( CONTROL!$C$32, 5.8213, 5.818) * CHOOSE(CONTROL!$C$15, $D$11, 100%, $F$11)</f>
        <v>5.8212999999999999</v>
      </c>
      <c r="I84" s="8">
        <f>CHOOSE( CONTROL!$C$32, 4.8962, 4.8929) * CHOOSE(CONTROL!$C$15, $D$11, 100%, $F$11)</f>
        <v>4.8962000000000003</v>
      </c>
      <c r="J84" s="4">
        <f>CHOOSE( CONTROL!$C$32, 4.7774, 4.7741) * CHOOSE(CONTROL!$C$15, $D$11, 100%, $F$11)</f>
        <v>4.7774000000000001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4.9022, 4.8988) * CHOOSE(CONTROL!$C$15, $D$11, 100%, $F$11)</f>
        <v>4.9021999999999997</v>
      </c>
      <c r="C85" s="8">
        <f>CHOOSE( CONTROL!$C$32, 4.9103, 4.9069) * CHOOSE(CONTROL!$C$15, $D$11, 100%, $F$11)</f>
        <v>4.9103000000000003</v>
      </c>
      <c r="D85" s="8">
        <f>CHOOSE( CONTROL!$C$32, 4.9364, 4.933) * CHOOSE( CONTROL!$C$15, $D$11, 100%, $F$11)</f>
        <v>4.9363999999999999</v>
      </c>
      <c r="E85" s="12">
        <f>CHOOSE( CONTROL!$C$32, 4.9257, 4.9223) * CHOOSE( CONTROL!$C$15, $D$11, 100%, $F$11)</f>
        <v>4.9257</v>
      </c>
      <c r="F85" s="4">
        <f>CHOOSE( CONTROL!$C$32, 5.6156, 5.6122) * CHOOSE(CONTROL!$C$15, $D$11, 100%, $F$11)</f>
        <v>5.6155999999999997</v>
      </c>
      <c r="G85" s="8">
        <f>CHOOSE( CONTROL!$C$32, 4.7731, 4.7698) * CHOOSE( CONTROL!$C$15, $D$11, 100%, $F$11)</f>
        <v>4.7731000000000003</v>
      </c>
      <c r="H85" s="4">
        <f>CHOOSE( CONTROL!$C$32, 5.7196, 5.7162) * CHOOSE(CONTROL!$C$15, $D$11, 100%, $F$11)</f>
        <v>5.7195999999999998</v>
      </c>
      <c r="I85" s="8">
        <f>CHOOSE( CONTROL!$C$32, 4.796, 4.7927) * CHOOSE(CONTROL!$C$15, $D$11, 100%, $F$11)</f>
        <v>4.7960000000000003</v>
      </c>
      <c r="J85" s="4">
        <f>CHOOSE( CONTROL!$C$32, 4.6774, 4.6741) * CHOOSE(CONTROL!$C$15, $D$11, 100%, $F$11)</f>
        <v>4.6773999999999996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5.1133 * CHOOSE(CONTROL!$C$15, $D$11, 100%, $F$11)</f>
        <v>5.1132999999999997</v>
      </c>
      <c r="C86" s="8">
        <f>5.1188 * CHOOSE(CONTROL!$C$15, $D$11, 100%, $F$11)</f>
        <v>5.1188000000000002</v>
      </c>
      <c r="D86" s="8">
        <f>5.1499 * CHOOSE( CONTROL!$C$15, $D$11, 100%, $F$11)</f>
        <v>5.1498999999999997</v>
      </c>
      <c r="E86" s="12">
        <f>5.139 * CHOOSE( CONTROL!$C$15, $D$11, 100%, $F$11)</f>
        <v>5.1390000000000002</v>
      </c>
      <c r="F86" s="4">
        <f>5.8285 * CHOOSE(CONTROL!$C$15, $D$11, 100%, $F$11)</f>
        <v>5.8285</v>
      </c>
      <c r="G86" s="8">
        <f>4.9806 * CHOOSE( CONTROL!$C$15, $D$11, 100%, $F$11)</f>
        <v>4.9805999999999999</v>
      </c>
      <c r="H86" s="4">
        <f>5.9275 * CHOOSE(CONTROL!$C$15, $D$11, 100%, $F$11)</f>
        <v>5.9275000000000002</v>
      </c>
      <c r="I86" s="8">
        <f>5.0013 * CHOOSE(CONTROL!$C$15, $D$11, 100%, $F$11)</f>
        <v>5.0012999999999996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5.5121 * CHOOSE(CONTROL!$C$15, $D$11, 100%, $F$11)</f>
        <v>5.5121000000000002</v>
      </c>
      <c r="C87" s="8">
        <f>5.5173 * CHOOSE(CONTROL!$C$15, $D$11, 100%, $F$11)</f>
        <v>5.5172999999999996</v>
      </c>
      <c r="D87" s="8">
        <f>5.5101 * CHOOSE( CONTROL!$C$15, $D$11, 100%, $F$11)</f>
        <v>5.5101000000000004</v>
      </c>
      <c r="E87" s="12">
        <f>5.5122 * CHOOSE( CONTROL!$C$15, $D$11, 100%, $F$11)</f>
        <v>5.5122</v>
      </c>
      <c r="F87" s="4">
        <f>6.1626 * CHOOSE(CONTROL!$C$15, $D$11, 100%, $F$11)</f>
        <v>6.1626000000000003</v>
      </c>
      <c r="G87" s="8">
        <f>5.3835 * CHOOSE( CONTROL!$C$15, $D$11, 100%, $F$11)</f>
        <v>5.3834999999999997</v>
      </c>
      <c r="H87" s="4">
        <f>6.2538 * CHOOSE(CONTROL!$C$15, $D$11, 100%, $F$11)</f>
        <v>6.2538</v>
      </c>
      <c r="I87" s="8">
        <f>5.4282 * CHOOSE(CONTROL!$C$15, $D$11, 100%, $F$11)</f>
        <v>5.4282000000000004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5.5021 * CHOOSE(CONTROL!$C$15, $D$11, 100%, $F$11)</f>
        <v>5.5021000000000004</v>
      </c>
      <c r="C88" s="8">
        <f>5.5073 * CHOOSE(CONTROL!$C$15, $D$11, 100%, $F$11)</f>
        <v>5.5072999999999999</v>
      </c>
      <c r="D88" s="8">
        <f>5.5016 * CHOOSE( CONTROL!$C$15, $D$11, 100%, $F$11)</f>
        <v>5.5015999999999998</v>
      </c>
      <c r="E88" s="12">
        <f>5.5031 * CHOOSE( CONTROL!$C$15, $D$11, 100%, $F$11)</f>
        <v>5.5030999999999999</v>
      </c>
      <c r="F88" s="4">
        <f>6.1526 * CHOOSE(CONTROL!$C$15, $D$11, 100%, $F$11)</f>
        <v>6.1525999999999996</v>
      </c>
      <c r="G88" s="8">
        <f>5.3748 * CHOOSE( CONTROL!$C$15, $D$11, 100%, $F$11)</f>
        <v>5.3747999999999996</v>
      </c>
      <c r="H88" s="4">
        <f>6.244 * CHOOSE(CONTROL!$C$15, $D$11, 100%, $F$11)</f>
        <v>6.2439999999999998</v>
      </c>
      <c r="I88" s="8">
        <f>5.4232 * CHOOSE(CONTROL!$C$15, $D$11, 100%, $F$11)</f>
        <v>5.4231999999999996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5.9638 * CHOOSE(CONTROL!$C$15, $D$11, 100%, $F$11)</f>
        <v>5.9638</v>
      </c>
      <c r="C89" s="8">
        <f>5.969 * CHOOSE(CONTROL!$C$15, $D$11, 100%, $F$11)</f>
        <v>5.9690000000000003</v>
      </c>
      <c r="D89" s="8">
        <f>5.9491 * CHOOSE( CONTROL!$C$15, $D$11, 100%, $F$11)</f>
        <v>5.9490999999999996</v>
      </c>
      <c r="E89" s="12">
        <f>5.9558 * CHOOSE( CONTROL!$C$15, $D$11, 100%, $F$11)</f>
        <v>5.9558</v>
      </c>
      <c r="F89" s="4">
        <f>6.6143 * CHOOSE(CONTROL!$C$15, $D$11, 100%, $F$11)</f>
        <v>6.6143000000000001</v>
      </c>
      <c r="G89" s="8">
        <f>5.8089 * CHOOSE( CONTROL!$C$15, $D$11, 100%, $F$11)</f>
        <v>5.8089000000000004</v>
      </c>
      <c r="H89" s="4">
        <f>6.6949 * CHOOSE(CONTROL!$C$15, $D$11, 100%, $F$11)</f>
        <v>6.6948999999999996</v>
      </c>
      <c r="I89" s="8">
        <f>5.8232 * CHOOSE(CONTROL!$C$15, $D$11, 100%, $F$11)</f>
        <v>5.8231999999999999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5.5801 * CHOOSE(CONTROL!$C$15, $D$11, 100%, $F$11)</f>
        <v>5.5800999999999998</v>
      </c>
      <c r="C90" s="8">
        <f>5.5853 * CHOOSE(CONTROL!$C$15, $D$11, 100%, $F$11)</f>
        <v>5.5853000000000002</v>
      </c>
      <c r="D90" s="8">
        <f>5.5653 * CHOOSE( CONTROL!$C$15, $D$11, 100%, $F$11)</f>
        <v>5.5652999999999997</v>
      </c>
      <c r="E90" s="12">
        <f>5.5721 * CHOOSE( CONTROL!$C$15, $D$11, 100%, $F$11)</f>
        <v>5.5720999999999998</v>
      </c>
      <c r="F90" s="4">
        <f>6.2306 * CHOOSE(CONTROL!$C$15, $D$11, 100%, $F$11)</f>
        <v>6.2305999999999999</v>
      </c>
      <c r="G90" s="8">
        <f>5.4341 * CHOOSE( CONTROL!$C$15, $D$11, 100%, $F$11)</f>
        <v>5.4340999999999999</v>
      </c>
      <c r="H90" s="4">
        <f>6.3202 * CHOOSE(CONTROL!$C$15, $D$11, 100%, $F$11)</f>
        <v>6.3201999999999998</v>
      </c>
      <c r="I90" s="8">
        <f>5.4545 * CHOOSE(CONTROL!$C$15, $D$11, 100%, $F$11)</f>
        <v>5.4545000000000003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5.4619 * CHOOSE(CONTROL!$C$15, $D$11, 100%, $F$11)</f>
        <v>5.4619</v>
      </c>
      <c r="C91" s="8">
        <f>5.4671 * CHOOSE(CONTROL!$C$15, $D$11, 100%, $F$11)</f>
        <v>5.4671000000000003</v>
      </c>
      <c r="D91" s="8">
        <f>5.4468 * CHOOSE( CONTROL!$C$15, $D$11, 100%, $F$11)</f>
        <v>5.4467999999999996</v>
      </c>
      <c r="E91" s="12">
        <f>5.4537 * CHOOSE( CONTROL!$C$15, $D$11, 100%, $F$11)</f>
        <v>5.4537000000000004</v>
      </c>
      <c r="F91" s="4">
        <f>6.1124 * CHOOSE(CONTROL!$C$15, $D$11, 100%, $F$11)</f>
        <v>6.1124000000000001</v>
      </c>
      <c r="G91" s="8">
        <f>5.3184 * CHOOSE( CONTROL!$C$15, $D$11, 100%, $F$11)</f>
        <v>5.3183999999999996</v>
      </c>
      <c r="H91" s="4">
        <f>6.2047 * CHOOSE(CONTROL!$C$15, $D$11, 100%, $F$11)</f>
        <v>6.2046999999999999</v>
      </c>
      <c r="I91" s="8">
        <f>5.3398 * CHOOSE(CONTROL!$C$15, $D$11, 100%, $F$11)</f>
        <v>5.3398000000000003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5.5453 * CHOOSE(CONTROL!$C$15, $D$11, 100%, $F$11)</f>
        <v>5.5453000000000001</v>
      </c>
      <c r="C92" s="8">
        <f>5.5499 * CHOOSE(CONTROL!$C$15, $D$11, 100%, $F$11)</f>
        <v>5.5499000000000001</v>
      </c>
      <c r="D92" s="8">
        <f>5.5808 * CHOOSE( CONTROL!$C$15, $D$11, 100%, $F$11)</f>
        <v>5.5808</v>
      </c>
      <c r="E92" s="12">
        <f>5.5701 * CHOOSE( CONTROL!$C$15, $D$11, 100%, $F$11)</f>
        <v>5.5701000000000001</v>
      </c>
      <c r="F92" s="4">
        <f>6.2601 * CHOOSE(CONTROL!$C$15, $D$11, 100%, $F$11)</f>
        <v>6.2601000000000004</v>
      </c>
      <c r="G92" s="8">
        <f>5.4011 * CHOOSE( CONTROL!$C$15, $D$11, 100%, $F$11)</f>
        <v>5.4010999999999996</v>
      </c>
      <c r="H92" s="4">
        <f>6.349 * CHOOSE(CONTROL!$C$15, $D$11, 100%, $F$11)</f>
        <v>6.3490000000000002</v>
      </c>
      <c r="I92" s="8">
        <f>5.4125 * CHOOSE(CONTROL!$C$15, $D$11, 100%, $F$11)</f>
        <v>5.4124999999999996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5.697, 5.6936) * CHOOSE(CONTROL!$C$15, $D$11, 100%, $F$11)</f>
        <v>5.6970000000000001</v>
      </c>
      <c r="C93" s="8">
        <f>CHOOSE( CONTROL!$C$32, 5.7051, 5.7017) * CHOOSE(CONTROL!$C$15, $D$11, 100%, $F$11)</f>
        <v>5.7050999999999998</v>
      </c>
      <c r="D93" s="8">
        <f>CHOOSE( CONTROL!$C$32, 5.7307, 5.7273) * CHOOSE( CONTROL!$C$15, $D$11, 100%, $F$11)</f>
        <v>5.7306999999999997</v>
      </c>
      <c r="E93" s="12">
        <f>CHOOSE( CONTROL!$C$32, 5.7202, 5.7168) * CHOOSE( CONTROL!$C$15, $D$11, 100%, $F$11)</f>
        <v>5.7202000000000002</v>
      </c>
      <c r="F93" s="4">
        <f>CHOOSE( CONTROL!$C$32, 6.4104, 6.407) * CHOOSE(CONTROL!$C$15, $D$11, 100%, $F$11)</f>
        <v>6.4104000000000001</v>
      </c>
      <c r="G93" s="8">
        <f>CHOOSE( CONTROL!$C$32, 5.5487, 5.5454) * CHOOSE( CONTROL!$C$15, $D$11, 100%, $F$11)</f>
        <v>5.5487000000000002</v>
      </c>
      <c r="H93" s="4">
        <f>CHOOSE( CONTROL!$C$32, 6.4959, 6.4925) * CHOOSE(CONTROL!$C$15, $D$11, 100%, $F$11)</f>
        <v>6.4958999999999998</v>
      </c>
      <c r="I93" s="8">
        <f>CHOOSE( CONTROL!$C$32, 5.5571, 5.5539) * CHOOSE(CONTROL!$C$15, $D$11, 100%, $F$11)</f>
        <v>5.5571000000000002</v>
      </c>
      <c r="J93" s="4">
        <f>CHOOSE( CONTROL!$C$32, 5.4405, 5.4372) * CHOOSE(CONTROL!$C$15, $D$11, 100%, $F$11)</f>
        <v>5.4405000000000001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5.606, 5.6025) * CHOOSE(CONTROL!$C$15, $D$11, 100%, $F$11)</f>
        <v>5.6059999999999999</v>
      </c>
      <c r="C94" s="8">
        <f>CHOOSE( CONTROL!$C$32, 5.614, 5.6106) * CHOOSE(CONTROL!$C$15, $D$11, 100%, $F$11)</f>
        <v>5.6139999999999999</v>
      </c>
      <c r="D94" s="8">
        <f>CHOOSE( CONTROL!$C$32, 5.6398, 5.6364) * CHOOSE( CONTROL!$C$15, $D$11, 100%, $F$11)</f>
        <v>5.6398000000000001</v>
      </c>
      <c r="E94" s="12">
        <f>CHOOSE( CONTROL!$C$32, 5.6292, 5.6258) * CHOOSE( CONTROL!$C$15, $D$11, 100%, $F$11)</f>
        <v>5.6292</v>
      </c>
      <c r="F94" s="4">
        <f>CHOOSE( CONTROL!$C$32, 6.3194, 6.316) * CHOOSE(CONTROL!$C$15, $D$11, 100%, $F$11)</f>
        <v>6.3193999999999999</v>
      </c>
      <c r="G94" s="8">
        <f>CHOOSE( CONTROL!$C$32, 5.4601, 5.4567) * CHOOSE( CONTROL!$C$15, $D$11, 100%, $F$11)</f>
        <v>5.4600999999999997</v>
      </c>
      <c r="H94" s="4">
        <f>CHOOSE( CONTROL!$C$32, 6.4069, 6.4036) * CHOOSE(CONTROL!$C$15, $D$11, 100%, $F$11)</f>
        <v>6.4069000000000003</v>
      </c>
      <c r="I94" s="8">
        <f>CHOOSE( CONTROL!$C$32, 5.4706, 5.4673) * CHOOSE(CONTROL!$C$15, $D$11, 100%, $F$11)</f>
        <v>5.4706000000000001</v>
      </c>
      <c r="J94" s="4">
        <f>CHOOSE( CONTROL!$C$32, 5.3531, 5.3498) * CHOOSE(CONTROL!$C$15, $D$11, 100%, $F$11)</f>
        <v>5.3531000000000004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5.8457, 5.8423) * CHOOSE(CONTROL!$C$15, $D$11, 100%, $F$11)</f>
        <v>5.8456999999999999</v>
      </c>
      <c r="C95" s="8">
        <f>CHOOSE( CONTROL!$C$32, 5.8538, 5.8504) * CHOOSE(CONTROL!$C$15, $D$11, 100%, $F$11)</f>
        <v>5.8537999999999997</v>
      </c>
      <c r="D95" s="8">
        <f>CHOOSE( CONTROL!$C$32, 5.8798, 5.8764) * CHOOSE( CONTROL!$C$15, $D$11, 100%, $F$11)</f>
        <v>5.8798000000000004</v>
      </c>
      <c r="E95" s="12">
        <f>CHOOSE( CONTROL!$C$32, 5.8691, 5.8657) * CHOOSE( CONTROL!$C$15, $D$11, 100%, $F$11)</f>
        <v>5.8691000000000004</v>
      </c>
      <c r="F95" s="4">
        <f>CHOOSE( CONTROL!$C$32, 6.5592, 6.5558) * CHOOSE(CONTROL!$C$15, $D$11, 100%, $F$11)</f>
        <v>6.5591999999999997</v>
      </c>
      <c r="G95" s="8">
        <f>CHOOSE( CONTROL!$C$32, 5.6946, 5.6913) * CHOOSE( CONTROL!$C$15, $D$11, 100%, $F$11)</f>
        <v>5.6946000000000003</v>
      </c>
      <c r="H95" s="4">
        <f>CHOOSE( CONTROL!$C$32, 6.6411, 6.6378) * CHOOSE(CONTROL!$C$15, $D$11, 100%, $F$11)</f>
        <v>6.6410999999999998</v>
      </c>
      <c r="I95" s="8">
        <f>CHOOSE( CONTROL!$C$32, 5.702, 5.6988) * CHOOSE(CONTROL!$C$15, $D$11, 100%, $F$11)</f>
        <v>5.702</v>
      </c>
      <c r="J95" s="4">
        <f>CHOOSE( CONTROL!$C$32, 5.5833, 5.58) * CHOOSE(CONTROL!$C$15, $D$11, 100%, $F$11)</f>
        <v>5.5833000000000004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5.3971, 5.3937) * CHOOSE(CONTROL!$C$15, $D$11, 100%, $F$11)</f>
        <v>5.3971</v>
      </c>
      <c r="C96" s="8">
        <f>CHOOSE( CONTROL!$C$32, 5.4052, 5.4018) * CHOOSE(CONTROL!$C$15, $D$11, 100%, $F$11)</f>
        <v>5.4051999999999998</v>
      </c>
      <c r="D96" s="8">
        <f>CHOOSE( CONTROL!$C$32, 5.4313, 5.4279) * CHOOSE( CONTROL!$C$15, $D$11, 100%, $F$11)</f>
        <v>5.4313000000000002</v>
      </c>
      <c r="E96" s="12">
        <f>CHOOSE( CONTROL!$C$32, 5.4206, 5.4172) * CHOOSE( CONTROL!$C$15, $D$11, 100%, $F$11)</f>
        <v>5.4206000000000003</v>
      </c>
      <c r="F96" s="4">
        <f>CHOOSE( CONTROL!$C$32, 6.1105, 6.1071) * CHOOSE(CONTROL!$C$15, $D$11, 100%, $F$11)</f>
        <v>6.1105</v>
      </c>
      <c r="G96" s="8">
        <f>CHOOSE( CONTROL!$C$32, 5.2565, 5.2532) * CHOOSE( CONTROL!$C$15, $D$11, 100%, $F$11)</f>
        <v>5.2565</v>
      </c>
      <c r="H96" s="4">
        <f>CHOOSE( CONTROL!$C$32, 6.2029, 6.1996) * CHOOSE(CONTROL!$C$15, $D$11, 100%, $F$11)</f>
        <v>6.2028999999999996</v>
      </c>
      <c r="I96" s="8">
        <f>CHOOSE( CONTROL!$C$32, 5.2715, 5.2682) * CHOOSE(CONTROL!$C$15, $D$11, 100%, $F$11)</f>
        <v>5.2714999999999996</v>
      </c>
      <c r="J96" s="4">
        <f>CHOOSE( CONTROL!$C$32, 5.1525, 5.1493) * CHOOSE(CONTROL!$C$15, $D$11, 100%, $F$11)</f>
        <v>5.1524999999999999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5.2847, 5.2813) * CHOOSE(CONTROL!$C$15, $D$11, 100%, $F$11)</f>
        <v>5.2847</v>
      </c>
      <c r="C97" s="8">
        <f>CHOOSE( CONTROL!$C$32, 5.2928, 5.2894) * CHOOSE(CONTROL!$C$15, $D$11, 100%, $F$11)</f>
        <v>5.2927999999999997</v>
      </c>
      <c r="D97" s="8">
        <f>CHOOSE( CONTROL!$C$32, 5.3189, 5.3155) * CHOOSE( CONTROL!$C$15, $D$11, 100%, $F$11)</f>
        <v>5.3189000000000002</v>
      </c>
      <c r="E97" s="12">
        <f>CHOOSE( CONTROL!$C$32, 5.3082, 5.3048) * CHOOSE( CONTROL!$C$15, $D$11, 100%, $F$11)</f>
        <v>5.3082000000000003</v>
      </c>
      <c r="F97" s="4">
        <f>CHOOSE( CONTROL!$C$32, 5.9982, 5.9948) * CHOOSE(CONTROL!$C$15, $D$11, 100%, $F$11)</f>
        <v>5.9981999999999998</v>
      </c>
      <c r="G97" s="8">
        <f>CHOOSE( CONTROL!$C$32, 5.1468, 5.1435) * CHOOSE( CONTROL!$C$15, $D$11, 100%, $F$11)</f>
        <v>5.1467999999999998</v>
      </c>
      <c r="H97" s="4">
        <f>CHOOSE( CONTROL!$C$32, 6.0932, 6.0899) * CHOOSE(CONTROL!$C$15, $D$11, 100%, $F$11)</f>
        <v>6.0932000000000004</v>
      </c>
      <c r="I97" s="8">
        <f>CHOOSE( CONTROL!$C$32, 5.1635, 5.1602) * CHOOSE(CONTROL!$C$15, $D$11, 100%, $F$11)</f>
        <v>5.1635</v>
      </c>
      <c r="J97" s="4">
        <f>CHOOSE( CONTROL!$C$32, 5.0447, 5.0414) * CHOOSE(CONTROL!$C$15, $D$11, 100%, $F$11)</f>
        <v>5.0446999999999997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5.5129 * CHOOSE(CONTROL!$C$15, $D$11, 100%, $F$11)</f>
        <v>5.5129000000000001</v>
      </c>
      <c r="C98" s="8">
        <f>5.5183 * CHOOSE(CONTROL!$C$15, $D$11, 100%, $F$11)</f>
        <v>5.5183</v>
      </c>
      <c r="D98" s="8">
        <f>5.5494 * CHOOSE( CONTROL!$C$15, $D$11, 100%, $F$11)</f>
        <v>5.5494000000000003</v>
      </c>
      <c r="E98" s="12">
        <f>5.5386 * CHOOSE( CONTROL!$C$15, $D$11, 100%, $F$11)</f>
        <v>5.5385999999999997</v>
      </c>
      <c r="F98" s="4">
        <f>6.228 * CHOOSE(CONTROL!$C$15, $D$11, 100%, $F$11)</f>
        <v>6.2279999999999998</v>
      </c>
      <c r="G98" s="8">
        <f>5.3708 * CHOOSE( CONTROL!$C$15, $D$11, 100%, $F$11)</f>
        <v>5.3708</v>
      </c>
      <c r="H98" s="4">
        <f>6.3177 * CHOOSE(CONTROL!$C$15, $D$11, 100%, $F$11)</f>
        <v>6.3177000000000003</v>
      </c>
      <c r="I98" s="8">
        <f>5.3851 * CHOOSE(CONTROL!$C$15, $D$11, 100%, $F$11)</f>
        <v>5.3851000000000004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5.943 * CHOOSE(CONTROL!$C$15, $D$11, 100%, $F$11)</f>
        <v>5.9429999999999996</v>
      </c>
      <c r="C99" s="8">
        <f>5.9482 * CHOOSE(CONTROL!$C$15, $D$11, 100%, $F$11)</f>
        <v>5.9481999999999999</v>
      </c>
      <c r="D99" s="8">
        <f>5.9411 * CHOOSE( CONTROL!$C$15, $D$11, 100%, $F$11)</f>
        <v>5.9410999999999996</v>
      </c>
      <c r="E99" s="12">
        <f>5.9431 * CHOOSE( CONTROL!$C$15, $D$11, 100%, $F$11)</f>
        <v>5.9431000000000003</v>
      </c>
      <c r="F99" s="4">
        <f>6.5935 * CHOOSE(CONTROL!$C$15, $D$11, 100%, $F$11)</f>
        <v>6.5934999999999997</v>
      </c>
      <c r="G99" s="8">
        <f>5.8044 * CHOOSE( CONTROL!$C$15, $D$11, 100%, $F$11)</f>
        <v>5.8044000000000002</v>
      </c>
      <c r="H99" s="4">
        <f>6.6747 * CHOOSE(CONTROL!$C$15, $D$11, 100%, $F$11)</f>
        <v>6.6746999999999996</v>
      </c>
      <c r="I99" s="8">
        <f>5.8421 * CHOOSE(CONTROL!$C$15, $D$11, 100%, $F$11)</f>
        <v>5.8421000000000003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5.9323 * CHOOSE(CONTROL!$C$15, $D$11, 100%, $F$11)</f>
        <v>5.9322999999999997</v>
      </c>
      <c r="C100" s="8">
        <f>5.9375 * CHOOSE(CONTROL!$C$15, $D$11, 100%, $F$11)</f>
        <v>5.9375</v>
      </c>
      <c r="D100" s="8">
        <f>5.9318 * CHOOSE( CONTROL!$C$15, $D$11, 100%, $F$11)</f>
        <v>5.9318</v>
      </c>
      <c r="E100" s="12">
        <f>5.9333 * CHOOSE( CONTROL!$C$15, $D$11, 100%, $F$11)</f>
        <v>5.9333</v>
      </c>
      <c r="F100" s="4">
        <f>6.5827 * CHOOSE(CONTROL!$C$15, $D$11, 100%, $F$11)</f>
        <v>6.5827</v>
      </c>
      <c r="G100" s="8">
        <f>5.7949 * CHOOSE( CONTROL!$C$15, $D$11, 100%, $F$11)</f>
        <v>5.7949000000000002</v>
      </c>
      <c r="H100" s="4">
        <f>6.6641 * CHOOSE(CONTROL!$C$15, $D$11, 100%, $F$11)</f>
        <v>6.6641000000000004</v>
      </c>
      <c r="I100" s="8">
        <f>5.8364 * CHOOSE(CONTROL!$C$15, $D$11, 100%, $F$11)</f>
        <v>5.8364000000000003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6.2863 * CHOOSE(CONTROL!$C$15, $D$11, 100%, $F$11)</f>
        <v>6.2862999999999998</v>
      </c>
      <c r="C101" s="8">
        <f>6.2915 * CHOOSE(CONTROL!$C$15, $D$11, 100%, $F$11)</f>
        <v>6.2915000000000001</v>
      </c>
      <c r="D101" s="8">
        <f>6.2716 * CHOOSE( CONTROL!$C$15, $D$11, 100%, $F$11)</f>
        <v>6.2716000000000003</v>
      </c>
      <c r="E101" s="12">
        <f>6.2783 * CHOOSE( CONTROL!$C$15, $D$11, 100%, $F$11)</f>
        <v>6.2782999999999998</v>
      </c>
      <c r="F101" s="4">
        <f>6.9368 * CHOOSE(CONTROL!$C$15, $D$11, 100%, $F$11)</f>
        <v>6.9367999999999999</v>
      </c>
      <c r="G101" s="8">
        <f>6.1239 * CHOOSE( CONTROL!$C$15, $D$11, 100%, $F$11)</f>
        <v>6.1238999999999999</v>
      </c>
      <c r="H101" s="4">
        <f>7.0099 * CHOOSE(CONTROL!$C$15, $D$11, 100%, $F$11)</f>
        <v>7.0099</v>
      </c>
      <c r="I101" s="8">
        <f>6.1329 * CHOOSE(CONTROL!$C$15, $D$11, 100%, $F$11)</f>
        <v>6.1329000000000002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5.8817 * CHOOSE(CONTROL!$C$15, $D$11, 100%, $F$11)</f>
        <v>5.8817000000000004</v>
      </c>
      <c r="C102" s="8">
        <f>5.8869 * CHOOSE(CONTROL!$C$15, $D$11, 100%, $F$11)</f>
        <v>5.8868999999999998</v>
      </c>
      <c r="D102" s="8">
        <f>5.867 * CHOOSE( CONTROL!$C$15, $D$11, 100%, $F$11)</f>
        <v>5.867</v>
      </c>
      <c r="E102" s="12">
        <f>5.8737 * CHOOSE( CONTROL!$C$15, $D$11, 100%, $F$11)</f>
        <v>5.8737000000000004</v>
      </c>
      <c r="F102" s="4">
        <f>6.5322 * CHOOSE(CONTROL!$C$15, $D$11, 100%, $F$11)</f>
        <v>6.5321999999999996</v>
      </c>
      <c r="G102" s="8">
        <f>5.7287 * CHOOSE( CONTROL!$C$15, $D$11, 100%, $F$11)</f>
        <v>5.7286999999999999</v>
      </c>
      <c r="H102" s="4">
        <f>6.6148 * CHOOSE(CONTROL!$C$15, $D$11, 100%, $F$11)</f>
        <v>6.6147999999999998</v>
      </c>
      <c r="I102" s="8">
        <f>5.7443 * CHOOSE(CONTROL!$C$15, $D$11, 100%, $F$11)</f>
        <v>5.7443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5.7571 * CHOOSE(CONTROL!$C$15, $D$11, 100%, $F$11)</f>
        <v>5.7571000000000003</v>
      </c>
      <c r="C103" s="8">
        <f>5.7623 * CHOOSE(CONTROL!$C$15, $D$11, 100%, $F$11)</f>
        <v>5.7622999999999998</v>
      </c>
      <c r="D103" s="8">
        <f>5.742 * CHOOSE( CONTROL!$C$15, $D$11, 100%, $F$11)</f>
        <v>5.742</v>
      </c>
      <c r="E103" s="12">
        <f>5.7489 * CHOOSE( CONTROL!$C$15, $D$11, 100%, $F$11)</f>
        <v>5.7488999999999999</v>
      </c>
      <c r="F103" s="4">
        <f>6.4076 * CHOOSE(CONTROL!$C$15, $D$11, 100%, $F$11)</f>
        <v>6.4076000000000004</v>
      </c>
      <c r="G103" s="8">
        <f>5.6067 * CHOOSE( CONTROL!$C$15, $D$11, 100%, $F$11)</f>
        <v>5.6067</v>
      </c>
      <c r="H103" s="4">
        <f>6.4931 * CHOOSE(CONTROL!$C$15, $D$11, 100%, $F$11)</f>
        <v>6.4931000000000001</v>
      </c>
      <c r="I103" s="8">
        <f>5.6234 * CHOOSE(CONTROL!$C$15, $D$11, 100%, $F$11)</f>
        <v>5.6234000000000002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5.845 * CHOOSE(CONTROL!$C$15, $D$11, 100%, $F$11)</f>
        <v>5.8449999999999998</v>
      </c>
      <c r="C104" s="8">
        <f>5.8496 * CHOOSE(CONTROL!$C$15, $D$11, 100%, $F$11)</f>
        <v>5.8495999999999997</v>
      </c>
      <c r="D104" s="8">
        <f>5.8805 * CHOOSE( CONTROL!$C$15, $D$11, 100%, $F$11)</f>
        <v>5.8804999999999996</v>
      </c>
      <c r="E104" s="12">
        <f>5.8698 * CHOOSE( CONTROL!$C$15, $D$11, 100%, $F$11)</f>
        <v>5.8697999999999997</v>
      </c>
      <c r="F104" s="4">
        <f>6.5598 * CHOOSE(CONTROL!$C$15, $D$11, 100%, $F$11)</f>
        <v>6.5598000000000001</v>
      </c>
      <c r="G104" s="8">
        <f>5.6938 * CHOOSE( CONTROL!$C$15, $D$11, 100%, $F$11)</f>
        <v>5.6938000000000004</v>
      </c>
      <c r="H104" s="4">
        <f>6.6417 * CHOOSE(CONTROL!$C$15, $D$11, 100%, $F$11)</f>
        <v>6.6417000000000002</v>
      </c>
      <c r="I104" s="8">
        <f>5.7004 * CHOOSE(CONTROL!$C$15, $D$11, 100%, $F$11)</f>
        <v>5.7004000000000001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6.0047, 6.0013) * CHOOSE(CONTROL!$C$15, $D$11, 100%, $F$11)</f>
        <v>6.0046999999999997</v>
      </c>
      <c r="C105" s="8">
        <f>CHOOSE( CONTROL!$C$32, 6.0128, 6.0094) * CHOOSE(CONTROL!$C$15, $D$11, 100%, $F$11)</f>
        <v>6.0128000000000004</v>
      </c>
      <c r="D105" s="8">
        <f>CHOOSE( CONTROL!$C$32, 6.0384, 6.035) * CHOOSE( CONTROL!$C$15, $D$11, 100%, $F$11)</f>
        <v>6.0384000000000002</v>
      </c>
      <c r="E105" s="12">
        <f>CHOOSE( CONTROL!$C$32, 6.0279, 6.0245) * CHOOSE( CONTROL!$C$15, $D$11, 100%, $F$11)</f>
        <v>6.0278999999999998</v>
      </c>
      <c r="F105" s="4">
        <f>CHOOSE( CONTROL!$C$32, 6.7181, 6.7147) * CHOOSE(CONTROL!$C$15, $D$11, 100%, $F$11)</f>
        <v>6.7180999999999997</v>
      </c>
      <c r="G105" s="8">
        <f>CHOOSE( CONTROL!$C$32, 5.8492, 5.8459) * CHOOSE( CONTROL!$C$15, $D$11, 100%, $F$11)</f>
        <v>5.8491999999999997</v>
      </c>
      <c r="H105" s="4">
        <f>CHOOSE( CONTROL!$C$32, 6.7964, 6.7931) * CHOOSE(CONTROL!$C$15, $D$11, 100%, $F$11)</f>
        <v>6.7964000000000002</v>
      </c>
      <c r="I105" s="8">
        <f>CHOOSE( CONTROL!$C$32, 5.8527, 5.8494) * CHOOSE(CONTROL!$C$15, $D$11, 100%, $F$11)</f>
        <v>5.8526999999999996</v>
      </c>
      <c r="J105" s="4">
        <f>CHOOSE( CONTROL!$C$32, 5.7359, 5.7326) * CHOOSE(CONTROL!$C$15, $D$11, 100%, $F$11)</f>
        <v>5.7359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5.9087, 5.9053) * CHOOSE(CONTROL!$C$15, $D$11, 100%, $F$11)</f>
        <v>5.9086999999999996</v>
      </c>
      <c r="C106" s="8">
        <f>CHOOSE( CONTROL!$C$32, 5.9168, 5.9134) * CHOOSE(CONTROL!$C$15, $D$11, 100%, $F$11)</f>
        <v>5.9168000000000003</v>
      </c>
      <c r="D106" s="8">
        <f>CHOOSE( CONTROL!$C$32, 5.9426, 5.9392) * CHOOSE( CONTROL!$C$15, $D$11, 100%, $F$11)</f>
        <v>5.9425999999999997</v>
      </c>
      <c r="E106" s="12">
        <f>CHOOSE( CONTROL!$C$32, 5.932, 5.9286) * CHOOSE( CONTROL!$C$15, $D$11, 100%, $F$11)</f>
        <v>5.9320000000000004</v>
      </c>
      <c r="F106" s="4">
        <f>CHOOSE( CONTROL!$C$32, 6.6221, 6.6187) * CHOOSE(CONTROL!$C$15, $D$11, 100%, $F$11)</f>
        <v>6.6220999999999997</v>
      </c>
      <c r="G106" s="8">
        <f>CHOOSE( CONTROL!$C$32, 5.7558, 5.7524) * CHOOSE( CONTROL!$C$15, $D$11, 100%, $F$11)</f>
        <v>5.7557999999999998</v>
      </c>
      <c r="H106" s="4">
        <f>CHOOSE( CONTROL!$C$32, 6.7026, 6.6993) * CHOOSE(CONTROL!$C$15, $D$11, 100%, $F$11)</f>
        <v>6.7026000000000003</v>
      </c>
      <c r="I106" s="8">
        <f>CHOOSE( CONTROL!$C$32, 5.7614, 5.7582) * CHOOSE(CONTROL!$C$15, $D$11, 100%, $F$11)</f>
        <v>5.7614000000000001</v>
      </c>
      <c r="J106" s="4">
        <f>CHOOSE( CONTROL!$C$32, 5.6437, 5.6405) * CHOOSE(CONTROL!$C$15, $D$11, 100%, $F$11)</f>
        <v>5.6436999999999999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6.1615, 6.1581) * CHOOSE(CONTROL!$C$15, $D$11, 100%, $F$11)</f>
        <v>6.1615000000000002</v>
      </c>
      <c r="C107" s="8">
        <f>CHOOSE( CONTROL!$C$32, 6.1696, 6.1662) * CHOOSE(CONTROL!$C$15, $D$11, 100%, $F$11)</f>
        <v>6.1696</v>
      </c>
      <c r="D107" s="8">
        <f>CHOOSE( CONTROL!$C$32, 6.1956, 6.1922) * CHOOSE( CONTROL!$C$15, $D$11, 100%, $F$11)</f>
        <v>6.1955999999999998</v>
      </c>
      <c r="E107" s="12">
        <f>CHOOSE( CONTROL!$C$32, 6.1849, 6.1815) * CHOOSE( CONTROL!$C$15, $D$11, 100%, $F$11)</f>
        <v>6.1848999999999998</v>
      </c>
      <c r="F107" s="4">
        <f>CHOOSE( CONTROL!$C$32, 6.8749, 6.8715) * CHOOSE(CONTROL!$C$15, $D$11, 100%, $F$11)</f>
        <v>6.8749000000000002</v>
      </c>
      <c r="G107" s="8">
        <f>CHOOSE( CONTROL!$C$32, 6.003, 5.9997) * CHOOSE( CONTROL!$C$15, $D$11, 100%, $F$11)</f>
        <v>6.0030000000000001</v>
      </c>
      <c r="H107" s="4">
        <f>CHOOSE( CONTROL!$C$32, 6.9495, 6.9462) * CHOOSE(CONTROL!$C$15, $D$11, 100%, $F$11)</f>
        <v>6.9494999999999996</v>
      </c>
      <c r="I107" s="8">
        <f>CHOOSE( CONTROL!$C$32, 6.0054, 6.0021) * CHOOSE(CONTROL!$C$15, $D$11, 100%, $F$11)</f>
        <v>6.0053999999999998</v>
      </c>
      <c r="J107" s="4">
        <f>CHOOSE( CONTROL!$C$32, 5.8864, 5.8832) * CHOOSE(CONTROL!$C$15, $D$11, 100%, $F$11)</f>
        <v>5.8864000000000001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5.6885, 5.6851) * CHOOSE(CONTROL!$C$15, $D$11, 100%, $F$11)</f>
        <v>5.6885000000000003</v>
      </c>
      <c r="C108" s="8">
        <f>CHOOSE( CONTROL!$C$32, 5.6966, 5.6932) * CHOOSE(CONTROL!$C$15, $D$11, 100%, $F$11)</f>
        <v>5.6966000000000001</v>
      </c>
      <c r="D108" s="8">
        <f>CHOOSE( CONTROL!$C$32, 5.7227, 5.7193) * CHOOSE( CONTROL!$C$15, $D$11, 100%, $F$11)</f>
        <v>5.7226999999999997</v>
      </c>
      <c r="E108" s="12">
        <f>CHOOSE( CONTROL!$C$32, 5.712, 5.7086) * CHOOSE( CONTROL!$C$15, $D$11, 100%, $F$11)</f>
        <v>5.7119999999999997</v>
      </c>
      <c r="F108" s="4">
        <f>CHOOSE( CONTROL!$C$32, 6.4019, 6.3985) * CHOOSE(CONTROL!$C$15, $D$11, 100%, $F$11)</f>
        <v>6.4019000000000004</v>
      </c>
      <c r="G108" s="8">
        <f>CHOOSE( CONTROL!$C$32, 5.5412, 5.5378) * CHOOSE( CONTROL!$C$15, $D$11, 100%, $F$11)</f>
        <v>5.5411999999999999</v>
      </c>
      <c r="H108" s="4">
        <f>CHOOSE( CONTROL!$C$32, 6.4875, 6.4842) * CHOOSE(CONTROL!$C$15, $D$11, 100%, $F$11)</f>
        <v>6.4874999999999998</v>
      </c>
      <c r="I108" s="8">
        <f>CHOOSE( CONTROL!$C$32, 5.5514, 5.5482) * CHOOSE(CONTROL!$C$15, $D$11, 100%, $F$11)</f>
        <v>5.5514000000000001</v>
      </c>
      <c r="J108" s="4">
        <f>CHOOSE( CONTROL!$C$32, 5.4323, 5.429) * CHOOSE(CONTROL!$C$15, $D$11, 100%, $F$11)</f>
        <v>5.4322999999999997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5.57, 5.5666) * CHOOSE(CONTROL!$C$15, $D$11, 100%, $F$11)</f>
        <v>5.57</v>
      </c>
      <c r="C109" s="8">
        <f>CHOOSE( CONTROL!$C$32, 5.5781, 5.5747) * CHOOSE(CONTROL!$C$15, $D$11, 100%, $F$11)</f>
        <v>5.5781000000000001</v>
      </c>
      <c r="D109" s="8">
        <f>CHOOSE( CONTROL!$C$32, 5.6042, 5.6008) * CHOOSE( CONTROL!$C$15, $D$11, 100%, $F$11)</f>
        <v>5.6041999999999996</v>
      </c>
      <c r="E109" s="12">
        <f>CHOOSE( CONTROL!$C$32, 5.5935, 5.5901) * CHOOSE( CONTROL!$C$15, $D$11, 100%, $F$11)</f>
        <v>5.5934999999999997</v>
      </c>
      <c r="F109" s="4">
        <f>CHOOSE( CONTROL!$C$32, 6.2835, 6.2801) * CHOOSE(CONTROL!$C$15, $D$11, 100%, $F$11)</f>
        <v>6.2835000000000001</v>
      </c>
      <c r="G109" s="8">
        <f>CHOOSE( CONTROL!$C$32, 5.4254, 5.4221) * CHOOSE( CONTROL!$C$15, $D$11, 100%, $F$11)</f>
        <v>5.4253999999999998</v>
      </c>
      <c r="H109" s="4">
        <f>CHOOSE( CONTROL!$C$32, 6.3719, 6.3685) * CHOOSE(CONTROL!$C$15, $D$11, 100%, $F$11)</f>
        <v>6.3719000000000001</v>
      </c>
      <c r="I109" s="8">
        <f>CHOOSE( CONTROL!$C$32, 5.4375, 5.4342) * CHOOSE(CONTROL!$C$15, $D$11, 100%, $F$11)</f>
        <v>5.4375</v>
      </c>
      <c r="J109" s="4">
        <f>CHOOSE( CONTROL!$C$32, 5.3186, 5.3153) * CHOOSE(CONTROL!$C$15, $D$11, 100%, $F$11)</f>
        <v>5.3186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5.8109 * CHOOSE(CONTROL!$C$15, $D$11, 100%, $F$11)</f>
        <v>5.8109000000000002</v>
      </c>
      <c r="C110" s="8">
        <f>5.8163 * CHOOSE(CONTROL!$C$15, $D$11, 100%, $F$11)</f>
        <v>5.8163</v>
      </c>
      <c r="D110" s="8">
        <f>5.8474 * CHOOSE( CONTROL!$C$15, $D$11, 100%, $F$11)</f>
        <v>5.8474000000000004</v>
      </c>
      <c r="E110" s="12">
        <f>5.8366 * CHOOSE( CONTROL!$C$15, $D$11, 100%, $F$11)</f>
        <v>5.8365999999999998</v>
      </c>
      <c r="F110" s="4">
        <f>6.526 * CHOOSE(CONTROL!$C$15, $D$11, 100%, $F$11)</f>
        <v>6.5259999999999998</v>
      </c>
      <c r="G110" s="8">
        <f>5.6619 * CHOOSE( CONTROL!$C$15, $D$11, 100%, $F$11)</f>
        <v>5.6619000000000002</v>
      </c>
      <c r="H110" s="4">
        <f>6.6087 * CHOOSE(CONTROL!$C$15, $D$11, 100%, $F$11)</f>
        <v>6.6086999999999998</v>
      </c>
      <c r="I110" s="8">
        <f>5.6713 * CHOOSE(CONTROL!$C$15, $D$11, 100%, $F$11)</f>
        <v>5.6712999999999996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6.2644 * CHOOSE(CONTROL!$C$15, $D$11, 100%, $F$11)</f>
        <v>6.2644000000000002</v>
      </c>
      <c r="C111" s="8">
        <f>6.2696 * CHOOSE(CONTROL!$C$15, $D$11, 100%, $F$11)</f>
        <v>6.2695999999999996</v>
      </c>
      <c r="D111" s="8">
        <f>6.2624 * CHOOSE( CONTROL!$C$15, $D$11, 100%, $F$11)</f>
        <v>6.2624000000000004</v>
      </c>
      <c r="E111" s="12">
        <f>6.2645 * CHOOSE( CONTROL!$C$15, $D$11, 100%, $F$11)</f>
        <v>6.2645</v>
      </c>
      <c r="F111" s="4">
        <f>6.9149 * CHOOSE(CONTROL!$C$15, $D$11, 100%, $F$11)</f>
        <v>6.9149000000000003</v>
      </c>
      <c r="G111" s="8">
        <f>6.1183 * CHOOSE( CONTROL!$C$15, $D$11, 100%, $F$11)</f>
        <v>6.1182999999999996</v>
      </c>
      <c r="H111" s="4">
        <f>6.9885 * CHOOSE(CONTROL!$C$15, $D$11, 100%, $F$11)</f>
        <v>6.9885000000000002</v>
      </c>
      <c r="I111" s="8">
        <f>6.1508 * CHOOSE(CONTROL!$C$15, $D$11, 100%, $F$11)</f>
        <v>6.1508000000000003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6.2531 * CHOOSE(CONTROL!$C$15, $D$11, 100%, $F$11)</f>
        <v>6.2530999999999999</v>
      </c>
      <c r="C112" s="8">
        <f>6.2582 * CHOOSE(CONTROL!$C$15, $D$11, 100%, $F$11)</f>
        <v>6.2582000000000004</v>
      </c>
      <c r="D112" s="8">
        <f>6.2525 * CHOOSE( CONTROL!$C$15, $D$11, 100%, $F$11)</f>
        <v>6.2525000000000004</v>
      </c>
      <c r="E112" s="12">
        <f>6.254 * CHOOSE( CONTROL!$C$15, $D$11, 100%, $F$11)</f>
        <v>6.2539999999999996</v>
      </c>
      <c r="F112" s="4">
        <f>6.9035 * CHOOSE(CONTROL!$C$15, $D$11, 100%, $F$11)</f>
        <v>6.9035000000000002</v>
      </c>
      <c r="G112" s="8">
        <f>6.1082 * CHOOSE( CONTROL!$C$15, $D$11, 100%, $F$11)</f>
        <v>6.1082000000000001</v>
      </c>
      <c r="H112" s="4">
        <f>6.9775 * CHOOSE(CONTROL!$C$15, $D$11, 100%, $F$11)</f>
        <v>6.9775</v>
      </c>
      <c r="I112" s="8">
        <f>6.1445 * CHOOSE(CONTROL!$C$15, $D$11, 100%, $F$11)</f>
        <v>6.1444999999999999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6.5473 * CHOOSE(CONTROL!$C$15, $D$11, 100%, $F$11)</f>
        <v>6.5472999999999999</v>
      </c>
      <c r="C113" s="8">
        <f>6.5525 * CHOOSE(CONTROL!$C$15, $D$11, 100%, $F$11)</f>
        <v>6.5525000000000002</v>
      </c>
      <c r="D113" s="8">
        <f>6.5326 * CHOOSE( CONTROL!$C$15, $D$11, 100%, $F$11)</f>
        <v>6.5326000000000004</v>
      </c>
      <c r="E113" s="12">
        <f>6.5393 * CHOOSE( CONTROL!$C$15, $D$11, 100%, $F$11)</f>
        <v>6.5392999999999999</v>
      </c>
      <c r="F113" s="4">
        <f>7.1977 * CHOOSE(CONTROL!$C$15, $D$11, 100%, $F$11)</f>
        <v>7.1977000000000002</v>
      </c>
      <c r="G113" s="8">
        <f>6.3788 * CHOOSE( CONTROL!$C$15, $D$11, 100%, $F$11)</f>
        <v>6.3788</v>
      </c>
      <c r="H113" s="4">
        <f>7.2648 * CHOOSE(CONTROL!$C$15, $D$11, 100%, $F$11)</f>
        <v>7.2648000000000001</v>
      </c>
      <c r="I113" s="8">
        <f>6.3836 * CHOOSE(CONTROL!$C$15, $D$11, 100%, $F$11)</f>
        <v>6.3836000000000004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6.1258 * CHOOSE(CONTROL!$C$15, $D$11, 100%, $F$11)</f>
        <v>6.1257999999999999</v>
      </c>
      <c r="C114" s="8">
        <f>6.131 * CHOOSE(CONTROL!$C$15, $D$11, 100%, $F$11)</f>
        <v>6.1310000000000002</v>
      </c>
      <c r="D114" s="8">
        <f>6.1111 * CHOOSE( CONTROL!$C$15, $D$11, 100%, $F$11)</f>
        <v>6.1111000000000004</v>
      </c>
      <c r="E114" s="12">
        <f>6.1178 * CHOOSE( CONTROL!$C$15, $D$11, 100%, $F$11)</f>
        <v>6.1177999999999999</v>
      </c>
      <c r="F114" s="4">
        <f>6.7763 * CHOOSE(CONTROL!$C$15, $D$11, 100%, $F$11)</f>
        <v>6.7763</v>
      </c>
      <c r="G114" s="8">
        <f>5.9671 * CHOOSE( CONTROL!$C$15, $D$11, 100%, $F$11)</f>
        <v>5.9671000000000003</v>
      </c>
      <c r="H114" s="4">
        <f>6.8532 * CHOOSE(CONTROL!$C$15, $D$11, 100%, $F$11)</f>
        <v>6.8532000000000002</v>
      </c>
      <c r="I114" s="8">
        <f>5.9787 * CHOOSE(CONTROL!$C$15, $D$11, 100%, $F$11)</f>
        <v>5.9786999999999999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5.996 * CHOOSE(CONTROL!$C$15, $D$11, 100%, $F$11)</f>
        <v>5.9960000000000004</v>
      </c>
      <c r="C115" s="8">
        <f>6.0012 * CHOOSE(CONTROL!$C$15, $D$11, 100%, $F$11)</f>
        <v>6.0011999999999999</v>
      </c>
      <c r="D115" s="8">
        <f>5.9809 * CHOOSE( CONTROL!$C$15, $D$11, 100%, $F$11)</f>
        <v>5.9809000000000001</v>
      </c>
      <c r="E115" s="12">
        <f>5.9878 * CHOOSE( CONTROL!$C$15, $D$11, 100%, $F$11)</f>
        <v>5.9878</v>
      </c>
      <c r="F115" s="4">
        <f>6.6465 * CHOOSE(CONTROL!$C$15, $D$11, 100%, $F$11)</f>
        <v>6.6464999999999996</v>
      </c>
      <c r="G115" s="8">
        <f>5.8401 * CHOOSE( CONTROL!$C$15, $D$11, 100%, $F$11)</f>
        <v>5.8400999999999996</v>
      </c>
      <c r="H115" s="4">
        <f>6.7264 * CHOOSE(CONTROL!$C$15, $D$11, 100%, $F$11)</f>
        <v>6.7263999999999999</v>
      </c>
      <c r="I115" s="8">
        <f>5.8529 * CHOOSE(CONTROL!$C$15, $D$11, 100%, $F$11)</f>
        <v>5.8529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6.0875 * CHOOSE(CONTROL!$C$15, $D$11, 100%, $F$11)</f>
        <v>6.0875000000000004</v>
      </c>
      <c r="C116" s="8">
        <f>6.0921 * CHOOSE(CONTROL!$C$15, $D$11, 100%, $F$11)</f>
        <v>6.0921000000000003</v>
      </c>
      <c r="D116" s="8">
        <f>6.123 * CHOOSE( CONTROL!$C$15, $D$11, 100%, $F$11)</f>
        <v>6.1230000000000002</v>
      </c>
      <c r="E116" s="12">
        <f>6.1123 * CHOOSE( CONTROL!$C$15, $D$11, 100%, $F$11)</f>
        <v>6.1123000000000003</v>
      </c>
      <c r="F116" s="4">
        <f>6.8023 * CHOOSE(CONTROL!$C$15, $D$11, 100%, $F$11)</f>
        <v>6.8022999999999998</v>
      </c>
      <c r="G116" s="8">
        <f>5.9307 * CHOOSE( CONTROL!$C$15, $D$11, 100%, $F$11)</f>
        <v>5.9306999999999999</v>
      </c>
      <c r="H116" s="4">
        <f>6.8786 * CHOOSE(CONTROL!$C$15, $D$11, 100%, $F$11)</f>
        <v>6.8785999999999996</v>
      </c>
      <c r="I116" s="8">
        <f>5.9334 * CHOOSE(CONTROL!$C$15, $D$11, 100%, $F$11)</f>
        <v>5.9333999999999998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6.2537, 6.2503) * CHOOSE(CONTROL!$C$15, $D$11, 100%, $F$11)</f>
        <v>6.2537000000000003</v>
      </c>
      <c r="C117" s="8">
        <f>CHOOSE( CONTROL!$C$32, 6.2618, 6.2584) * CHOOSE(CONTROL!$C$15, $D$11, 100%, $F$11)</f>
        <v>6.2618</v>
      </c>
      <c r="D117" s="8">
        <f>CHOOSE( CONTROL!$C$32, 6.2874, 6.284) * CHOOSE( CONTROL!$C$15, $D$11, 100%, $F$11)</f>
        <v>6.2873999999999999</v>
      </c>
      <c r="E117" s="12">
        <f>CHOOSE( CONTROL!$C$32, 6.2769, 6.2735) * CHOOSE( CONTROL!$C$15, $D$11, 100%, $F$11)</f>
        <v>6.2769000000000004</v>
      </c>
      <c r="F117" s="4">
        <f>CHOOSE( CONTROL!$C$32, 6.9671, 6.9637) * CHOOSE(CONTROL!$C$15, $D$11, 100%, $F$11)</f>
        <v>6.9671000000000003</v>
      </c>
      <c r="G117" s="8">
        <f>CHOOSE( CONTROL!$C$32, 6.0924, 6.0891) * CHOOSE( CONTROL!$C$15, $D$11, 100%, $F$11)</f>
        <v>6.0923999999999996</v>
      </c>
      <c r="H117" s="4">
        <f>CHOOSE( CONTROL!$C$32, 7.0396, 7.0363) * CHOOSE(CONTROL!$C$15, $D$11, 100%, $F$11)</f>
        <v>7.0396000000000001</v>
      </c>
      <c r="I117" s="8">
        <f>CHOOSE( CONTROL!$C$32, 6.0919, 6.0886) * CHOOSE(CONTROL!$C$15, $D$11, 100%, $F$11)</f>
        <v>6.0918999999999999</v>
      </c>
      <c r="J117" s="4">
        <f>CHOOSE( CONTROL!$C$32, 5.975, 5.9717) * CHOOSE(CONTROL!$C$15, $D$11, 100%, $F$11)</f>
        <v>5.9749999999999996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6.1537, 6.1503) * CHOOSE(CONTROL!$C$15, $D$11, 100%, $F$11)</f>
        <v>6.1536999999999997</v>
      </c>
      <c r="C118" s="8">
        <f>CHOOSE( CONTROL!$C$32, 6.1618, 6.1584) * CHOOSE(CONTROL!$C$15, $D$11, 100%, $F$11)</f>
        <v>6.1618000000000004</v>
      </c>
      <c r="D118" s="8">
        <f>CHOOSE( CONTROL!$C$32, 6.1876, 6.1842) * CHOOSE( CONTROL!$C$15, $D$11, 100%, $F$11)</f>
        <v>6.1875999999999998</v>
      </c>
      <c r="E118" s="12">
        <f>CHOOSE( CONTROL!$C$32, 6.177, 6.1736) * CHOOSE( CONTROL!$C$15, $D$11, 100%, $F$11)</f>
        <v>6.1769999999999996</v>
      </c>
      <c r="F118" s="4">
        <f>CHOOSE( CONTROL!$C$32, 6.8671, 6.8637) * CHOOSE(CONTROL!$C$15, $D$11, 100%, $F$11)</f>
        <v>6.8670999999999998</v>
      </c>
      <c r="G118" s="8">
        <f>CHOOSE( CONTROL!$C$32, 5.9951, 5.9917) * CHOOSE( CONTROL!$C$15, $D$11, 100%, $F$11)</f>
        <v>5.9950999999999999</v>
      </c>
      <c r="H118" s="4">
        <f>CHOOSE( CONTROL!$C$32, 6.9419, 6.9386) * CHOOSE(CONTROL!$C$15, $D$11, 100%, $F$11)</f>
        <v>6.9419000000000004</v>
      </c>
      <c r="I118" s="8">
        <f>CHOOSE( CONTROL!$C$32, 5.9968, 5.9935) * CHOOSE(CONTROL!$C$15, $D$11, 100%, $F$11)</f>
        <v>5.9968000000000004</v>
      </c>
      <c r="J118" s="4">
        <f>CHOOSE( CONTROL!$C$32, 5.8789, 5.8757) * CHOOSE(CONTROL!$C$15, $D$11, 100%, $F$11)</f>
        <v>5.8788999999999998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6.417, 6.4136) * CHOOSE(CONTROL!$C$15, $D$11, 100%, $F$11)</f>
        <v>6.4169999999999998</v>
      </c>
      <c r="C119" s="8">
        <f>CHOOSE( CONTROL!$C$32, 6.4251, 6.4217) * CHOOSE(CONTROL!$C$15, $D$11, 100%, $F$11)</f>
        <v>6.4250999999999996</v>
      </c>
      <c r="D119" s="8">
        <f>CHOOSE( CONTROL!$C$32, 6.4512, 6.4478) * CHOOSE( CONTROL!$C$15, $D$11, 100%, $F$11)</f>
        <v>6.4512</v>
      </c>
      <c r="E119" s="12">
        <f>CHOOSE( CONTROL!$C$32, 6.4405, 6.4371) * CHOOSE( CONTROL!$C$15, $D$11, 100%, $F$11)</f>
        <v>6.4405000000000001</v>
      </c>
      <c r="F119" s="4">
        <f>CHOOSE( CONTROL!$C$32, 7.1305, 7.1271) * CHOOSE(CONTROL!$C$15, $D$11, 100%, $F$11)</f>
        <v>7.1304999999999996</v>
      </c>
      <c r="G119" s="8">
        <f>CHOOSE( CONTROL!$C$32, 6.2526, 6.2493) * CHOOSE( CONTROL!$C$15, $D$11, 100%, $F$11)</f>
        <v>6.2526000000000002</v>
      </c>
      <c r="H119" s="4">
        <f>CHOOSE( CONTROL!$C$32, 7.1991, 7.1958) * CHOOSE(CONTROL!$C$15, $D$11, 100%, $F$11)</f>
        <v>7.1990999999999996</v>
      </c>
      <c r="I119" s="8">
        <f>CHOOSE( CONTROL!$C$32, 6.2508, 6.2476) * CHOOSE(CONTROL!$C$15, $D$11, 100%, $F$11)</f>
        <v>6.2507999999999999</v>
      </c>
      <c r="J119" s="4">
        <f>CHOOSE( CONTROL!$C$32, 6.1318, 6.1285) * CHOOSE(CONTROL!$C$15, $D$11, 100%, $F$11)</f>
        <v>6.1318000000000001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5.9243, 5.9209) * CHOOSE(CONTROL!$C$15, $D$11, 100%, $F$11)</f>
        <v>5.9242999999999997</v>
      </c>
      <c r="C120" s="8">
        <f>CHOOSE( CONTROL!$C$32, 5.9324, 5.929) * CHOOSE(CONTROL!$C$15, $D$11, 100%, $F$11)</f>
        <v>5.9324000000000003</v>
      </c>
      <c r="D120" s="8">
        <f>CHOOSE( CONTROL!$C$32, 5.9585, 5.9551) * CHOOSE( CONTROL!$C$15, $D$11, 100%, $F$11)</f>
        <v>5.9584999999999999</v>
      </c>
      <c r="E120" s="12">
        <f>CHOOSE( CONTROL!$C$32, 5.9478, 5.9444) * CHOOSE( CONTROL!$C$15, $D$11, 100%, $F$11)</f>
        <v>5.9478</v>
      </c>
      <c r="F120" s="4">
        <f>CHOOSE( CONTROL!$C$32, 6.6377, 6.6343) * CHOOSE(CONTROL!$C$15, $D$11, 100%, $F$11)</f>
        <v>6.6376999999999997</v>
      </c>
      <c r="G120" s="8">
        <f>CHOOSE( CONTROL!$C$32, 5.7715, 5.7682) * CHOOSE( CONTROL!$C$15, $D$11, 100%, $F$11)</f>
        <v>5.7714999999999996</v>
      </c>
      <c r="H120" s="4">
        <f>CHOOSE( CONTROL!$C$32, 6.7179, 6.7145) * CHOOSE(CONTROL!$C$15, $D$11, 100%, $F$11)</f>
        <v>6.7179000000000002</v>
      </c>
      <c r="I120" s="8">
        <f>CHOOSE( CONTROL!$C$32, 5.7779, 5.7747) * CHOOSE(CONTROL!$C$15, $D$11, 100%, $F$11)</f>
        <v>5.7778999999999998</v>
      </c>
      <c r="J120" s="4">
        <f>CHOOSE( CONTROL!$C$32, 5.6587, 5.6554) * CHOOSE(CONTROL!$C$15, $D$11, 100%, $F$11)</f>
        <v>5.6586999999999996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5.8009, 5.7975) * CHOOSE(CONTROL!$C$15, $D$11, 100%, $F$11)</f>
        <v>5.8009000000000004</v>
      </c>
      <c r="C121" s="8">
        <f>CHOOSE( CONTROL!$C$32, 5.809, 5.8056) * CHOOSE(CONTROL!$C$15, $D$11, 100%, $F$11)</f>
        <v>5.8090000000000002</v>
      </c>
      <c r="D121" s="8">
        <f>CHOOSE( CONTROL!$C$32, 5.8351, 5.8317) * CHOOSE( CONTROL!$C$15, $D$11, 100%, $F$11)</f>
        <v>5.8350999999999997</v>
      </c>
      <c r="E121" s="12">
        <f>CHOOSE( CONTROL!$C$32, 5.8244, 5.821) * CHOOSE( CONTROL!$C$15, $D$11, 100%, $F$11)</f>
        <v>5.8243999999999998</v>
      </c>
      <c r="F121" s="4">
        <f>CHOOSE( CONTROL!$C$32, 6.5143, 6.5109) * CHOOSE(CONTROL!$C$15, $D$11, 100%, $F$11)</f>
        <v>6.5143000000000004</v>
      </c>
      <c r="G121" s="8">
        <f>CHOOSE( CONTROL!$C$32, 5.6509, 5.6476) * CHOOSE( CONTROL!$C$15, $D$11, 100%, $F$11)</f>
        <v>5.6509</v>
      </c>
      <c r="H121" s="4">
        <f>CHOOSE( CONTROL!$C$32, 6.5973, 6.594) * CHOOSE(CONTROL!$C$15, $D$11, 100%, $F$11)</f>
        <v>6.5972999999999997</v>
      </c>
      <c r="I121" s="8">
        <f>CHOOSE( CONTROL!$C$32, 5.6593, 5.656) * CHOOSE(CONTROL!$C$15, $D$11, 100%, $F$11)</f>
        <v>5.6593</v>
      </c>
      <c r="J121" s="4">
        <f>CHOOSE( CONTROL!$C$32, 5.5402, 5.537) * CHOOSE(CONTROL!$C$15, $D$11, 100%, $F$11)</f>
        <v>5.5401999999999996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6.052 * CHOOSE(CONTROL!$C$15, $D$11, 100%, $F$11)</f>
        <v>6.0519999999999996</v>
      </c>
      <c r="C122" s="8">
        <f>6.0574 * CHOOSE(CONTROL!$C$15, $D$11, 100%, $F$11)</f>
        <v>6.0574000000000003</v>
      </c>
      <c r="D122" s="8">
        <f>6.0885 * CHOOSE( CONTROL!$C$15, $D$11, 100%, $F$11)</f>
        <v>6.0884999999999998</v>
      </c>
      <c r="E122" s="12">
        <f>6.0777 * CHOOSE( CONTROL!$C$15, $D$11, 100%, $F$11)</f>
        <v>6.0777000000000001</v>
      </c>
      <c r="F122" s="4">
        <f>6.7671 * CHOOSE(CONTROL!$C$15, $D$11, 100%, $F$11)</f>
        <v>6.7671000000000001</v>
      </c>
      <c r="G122" s="8">
        <f>5.8974 * CHOOSE( CONTROL!$C$15, $D$11, 100%, $F$11)</f>
        <v>5.8974000000000002</v>
      </c>
      <c r="H122" s="4">
        <f>6.8442 * CHOOSE(CONTROL!$C$15, $D$11, 100%, $F$11)</f>
        <v>6.8441999999999998</v>
      </c>
      <c r="I122" s="8">
        <f>5.9029 * CHOOSE(CONTROL!$C$15, $D$11, 100%, $F$11)</f>
        <v>5.9028999999999998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6.5245 * CHOOSE(CONTROL!$C$15, $D$11, 100%, $F$11)</f>
        <v>6.5244999999999997</v>
      </c>
      <c r="C123" s="8">
        <f>6.5296 * CHOOSE(CONTROL!$C$15, $D$11, 100%, $F$11)</f>
        <v>6.5296000000000003</v>
      </c>
      <c r="D123" s="8">
        <f>6.5225 * CHOOSE( CONTROL!$C$15, $D$11, 100%, $F$11)</f>
        <v>6.5225</v>
      </c>
      <c r="E123" s="12">
        <f>6.5246 * CHOOSE( CONTROL!$C$15, $D$11, 100%, $F$11)</f>
        <v>6.5246000000000004</v>
      </c>
      <c r="F123" s="4">
        <f>7.1749 * CHOOSE(CONTROL!$C$15, $D$11, 100%, $F$11)</f>
        <v>7.1749000000000001</v>
      </c>
      <c r="G123" s="8">
        <f>6.3723 * CHOOSE( CONTROL!$C$15, $D$11, 100%, $F$11)</f>
        <v>6.3723000000000001</v>
      </c>
      <c r="H123" s="4">
        <f>7.2425 * CHOOSE(CONTROL!$C$15, $D$11, 100%, $F$11)</f>
        <v>7.2424999999999997</v>
      </c>
      <c r="I123" s="8">
        <f>6.4006 * CHOOSE(CONTROL!$C$15, $D$11, 100%, $F$11)</f>
        <v>6.4005999999999998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6.5126 * CHOOSE(CONTROL!$C$15, $D$11, 100%, $F$11)</f>
        <v>6.5125999999999999</v>
      </c>
      <c r="C124" s="8">
        <f>6.5178 * CHOOSE(CONTROL!$C$15, $D$11, 100%, $F$11)</f>
        <v>6.5178000000000003</v>
      </c>
      <c r="D124" s="8">
        <f>6.5121 * CHOOSE( CONTROL!$C$15, $D$11, 100%, $F$11)</f>
        <v>6.5121000000000002</v>
      </c>
      <c r="E124" s="12">
        <f>6.5136 * CHOOSE( CONTROL!$C$15, $D$11, 100%, $F$11)</f>
        <v>6.5136000000000003</v>
      </c>
      <c r="F124" s="4">
        <f>7.1631 * CHOOSE(CONTROL!$C$15, $D$11, 100%, $F$11)</f>
        <v>7.1631</v>
      </c>
      <c r="G124" s="8">
        <f>6.3618 * CHOOSE( CONTROL!$C$15, $D$11, 100%, $F$11)</f>
        <v>6.3617999999999997</v>
      </c>
      <c r="H124" s="4">
        <f>7.231 * CHOOSE(CONTROL!$C$15, $D$11, 100%, $F$11)</f>
        <v>7.2309999999999999</v>
      </c>
      <c r="I124" s="8">
        <f>6.3939 * CHOOSE(CONTROL!$C$15, $D$11, 100%, $F$11)</f>
        <v>6.3939000000000004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6.7469 * CHOOSE(CONTROL!$C$15, $D$11, 100%, $F$11)</f>
        <v>6.7469000000000001</v>
      </c>
      <c r="C125" s="8">
        <f>6.7521 * CHOOSE(CONTROL!$C$15, $D$11, 100%, $F$11)</f>
        <v>6.7521000000000004</v>
      </c>
      <c r="D125" s="8">
        <f>6.7322 * CHOOSE( CONTROL!$C$15, $D$11, 100%, $F$11)</f>
        <v>6.7321999999999997</v>
      </c>
      <c r="E125" s="12">
        <f>6.7389 * CHOOSE( CONTROL!$C$15, $D$11, 100%, $F$11)</f>
        <v>6.7389000000000001</v>
      </c>
      <c r="F125" s="4">
        <f>7.3974 * CHOOSE(CONTROL!$C$15, $D$11, 100%, $F$11)</f>
        <v>7.3974000000000002</v>
      </c>
      <c r="G125" s="8">
        <f>6.5738 * CHOOSE( CONTROL!$C$15, $D$11, 100%, $F$11)</f>
        <v>6.5738000000000003</v>
      </c>
      <c r="H125" s="4">
        <f>7.4598 * CHOOSE(CONTROL!$C$15, $D$11, 100%, $F$11)</f>
        <v>7.4598000000000004</v>
      </c>
      <c r="I125" s="8">
        <f>6.5754 * CHOOSE(CONTROL!$C$15, $D$11, 100%, $F$11)</f>
        <v>6.5754000000000001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6.3126 * CHOOSE(CONTROL!$C$15, $D$11, 100%, $F$11)</f>
        <v>6.3125999999999998</v>
      </c>
      <c r="C126" s="8">
        <f>6.3178 * CHOOSE(CONTROL!$C$15, $D$11, 100%, $F$11)</f>
        <v>6.3178000000000001</v>
      </c>
      <c r="D126" s="8">
        <f>6.2978 * CHOOSE( CONTROL!$C$15, $D$11, 100%, $F$11)</f>
        <v>6.2977999999999996</v>
      </c>
      <c r="E126" s="12">
        <f>6.3046 * CHOOSE( CONTROL!$C$15, $D$11, 100%, $F$11)</f>
        <v>6.3045999999999998</v>
      </c>
      <c r="F126" s="4">
        <f>6.963 * CHOOSE(CONTROL!$C$15, $D$11, 100%, $F$11)</f>
        <v>6.9630000000000001</v>
      </c>
      <c r="G126" s="8">
        <f>6.1495 * CHOOSE( CONTROL!$C$15, $D$11, 100%, $F$11)</f>
        <v>6.1494999999999997</v>
      </c>
      <c r="H126" s="4">
        <f>7.0356 * CHOOSE(CONTROL!$C$15, $D$11, 100%, $F$11)</f>
        <v>7.0355999999999996</v>
      </c>
      <c r="I126" s="8">
        <f>6.1581 * CHOOSE(CONTROL!$C$15, $D$11, 100%, $F$11)</f>
        <v>6.1581000000000001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6.1788 * CHOOSE(CONTROL!$C$15, $D$11, 100%, $F$11)</f>
        <v>6.1787999999999998</v>
      </c>
      <c r="C127" s="8">
        <f>6.184 * CHOOSE(CONTROL!$C$15, $D$11, 100%, $F$11)</f>
        <v>6.1840000000000002</v>
      </c>
      <c r="D127" s="8">
        <f>6.1637 * CHOOSE( CONTROL!$C$15, $D$11, 100%, $F$11)</f>
        <v>6.1637000000000004</v>
      </c>
      <c r="E127" s="12">
        <f>6.1706 * CHOOSE( CONTROL!$C$15, $D$11, 100%, $F$11)</f>
        <v>6.1706000000000003</v>
      </c>
      <c r="F127" s="4">
        <f>6.8293 * CHOOSE(CONTROL!$C$15, $D$11, 100%, $F$11)</f>
        <v>6.8292999999999999</v>
      </c>
      <c r="G127" s="8">
        <f>6.0186 * CHOOSE( CONTROL!$C$15, $D$11, 100%, $F$11)</f>
        <v>6.0186000000000002</v>
      </c>
      <c r="H127" s="4">
        <f>6.9049 * CHOOSE(CONTROL!$C$15, $D$11, 100%, $F$11)</f>
        <v>6.9048999999999996</v>
      </c>
      <c r="I127" s="8">
        <f>6.0285 * CHOOSE(CONTROL!$C$15, $D$11, 100%, $F$11)</f>
        <v>6.0285000000000002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6.273 * CHOOSE(CONTROL!$C$15, $D$11, 100%, $F$11)</f>
        <v>6.2729999999999997</v>
      </c>
      <c r="C128" s="8">
        <f>6.2777 * CHOOSE(CONTROL!$C$15, $D$11, 100%, $F$11)</f>
        <v>6.2777000000000003</v>
      </c>
      <c r="D128" s="8">
        <f>6.3085 * CHOOSE( CONTROL!$C$15, $D$11, 100%, $F$11)</f>
        <v>6.3085000000000004</v>
      </c>
      <c r="E128" s="12">
        <f>6.2978 * CHOOSE( CONTROL!$C$15, $D$11, 100%, $F$11)</f>
        <v>6.2977999999999996</v>
      </c>
      <c r="F128" s="4">
        <f>6.9878 * CHOOSE(CONTROL!$C$15, $D$11, 100%, $F$11)</f>
        <v>6.9878</v>
      </c>
      <c r="G128" s="8">
        <f>6.1119 * CHOOSE( CONTROL!$C$15, $D$11, 100%, $F$11)</f>
        <v>6.1119000000000003</v>
      </c>
      <c r="H128" s="4">
        <f>7.0598 * CHOOSE(CONTROL!$C$15, $D$11, 100%, $F$11)</f>
        <v>7.0598000000000001</v>
      </c>
      <c r="I128" s="8">
        <f>6.1116 * CHOOSE(CONTROL!$C$15, $D$11, 100%, $F$11)</f>
        <v>6.1116000000000001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6.4442, 6.4408) * CHOOSE(CONTROL!$C$15, $D$11, 100%, $F$11)</f>
        <v>6.4442000000000004</v>
      </c>
      <c r="C129" s="8">
        <f>CHOOSE( CONTROL!$C$32, 6.4523, 6.4489) * CHOOSE(CONTROL!$C$15, $D$11, 100%, $F$11)</f>
        <v>6.4523000000000001</v>
      </c>
      <c r="D129" s="8">
        <f>CHOOSE( CONTROL!$C$32, 6.4779, 6.4745) * CHOOSE( CONTROL!$C$15, $D$11, 100%, $F$11)</f>
        <v>6.4779</v>
      </c>
      <c r="E129" s="12">
        <f>CHOOSE( CONTROL!$C$32, 6.4674, 6.464) * CHOOSE( CONTROL!$C$15, $D$11, 100%, $F$11)</f>
        <v>6.4673999999999996</v>
      </c>
      <c r="F129" s="4">
        <f>CHOOSE( CONTROL!$C$32, 7.1576, 7.1542) * CHOOSE(CONTROL!$C$15, $D$11, 100%, $F$11)</f>
        <v>7.1576000000000004</v>
      </c>
      <c r="G129" s="8">
        <f>CHOOSE( CONTROL!$C$32, 6.2785, 6.2751) * CHOOSE( CONTROL!$C$15, $D$11, 100%, $F$11)</f>
        <v>6.2785000000000002</v>
      </c>
      <c r="H129" s="4">
        <f>CHOOSE( CONTROL!$C$32, 7.2256, 7.2223) * CHOOSE(CONTROL!$C$15, $D$11, 100%, $F$11)</f>
        <v>7.2256</v>
      </c>
      <c r="I129" s="8">
        <f>CHOOSE( CONTROL!$C$32, 6.2749, 6.2716) * CHOOSE(CONTROL!$C$15, $D$11, 100%, $F$11)</f>
        <v>6.2748999999999997</v>
      </c>
      <c r="J129" s="4">
        <f>CHOOSE( CONTROL!$C$32, 6.1578, 6.1546) * CHOOSE(CONTROL!$C$15, $D$11, 100%, $F$11)</f>
        <v>6.1577999999999999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6.3411, 6.3377) * CHOOSE(CONTROL!$C$15, $D$11, 100%, $F$11)</f>
        <v>6.3411</v>
      </c>
      <c r="C130" s="8">
        <f>CHOOSE( CONTROL!$C$32, 6.3492, 6.3458) * CHOOSE(CONTROL!$C$15, $D$11, 100%, $F$11)</f>
        <v>6.3491999999999997</v>
      </c>
      <c r="D130" s="8">
        <f>CHOOSE( CONTROL!$C$32, 6.375, 6.3716) * CHOOSE( CONTROL!$C$15, $D$11, 100%, $F$11)</f>
        <v>6.375</v>
      </c>
      <c r="E130" s="12">
        <f>CHOOSE( CONTROL!$C$32, 6.3644, 6.361) * CHOOSE( CONTROL!$C$15, $D$11, 100%, $F$11)</f>
        <v>6.3643999999999998</v>
      </c>
      <c r="F130" s="4">
        <f>CHOOSE( CONTROL!$C$32, 7.0546, 7.0511) * CHOOSE(CONTROL!$C$15, $D$11, 100%, $F$11)</f>
        <v>7.0545999999999998</v>
      </c>
      <c r="G130" s="8">
        <f>CHOOSE( CONTROL!$C$32, 6.1781, 6.1748) * CHOOSE( CONTROL!$C$15, $D$11, 100%, $F$11)</f>
        <v>6.1780999999999997</v>
      </c>
      <c r="H130" s="4">
        <f>CHOOSE( CONTROL!$C$32, 7.125, 7.1216) * CHOOSE(CONTROL!$C$15, $D$11, 100%, $F$11)</f>
        <v>7.125</v>
      </c>
      <c r="I130" s="8">
        <f>CHOOSE( CONTROL!$C$32, 6.1768, 6.1735) * CHOOSE(CONTROL!$C$15, $D$11, 100%, $F$11)</f>
        <v>6.1768000000000001</v>
      </c>
      <c r="J130" s="4">
        <f>CHOOSE( CONTROL!$C$32, 6.0589, 6.0556) * CHOOSE(CONTROL!$C$15, $D$11, 100%, $F$11)</f>
        <v>6.0589000000000004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6.6125, 6.6091) * CHOOSE(CONTROL!$C$15, $D$11, 100%, $F$11)</f>
        <v>6.6124999999999998</v>
      </c>
      <c r="C131" s="8">
        <f>CHOOSE( CONTROL!$C$32, 6.6206, 6.6172) * CHOOSE(CONTROL!$C$15, $D$11, 100%, $F$11)</f>
        <v>6.6205999999999996</v>
      </c>
      <c r="D131" s="8">
        <f>CHOOSE( CONTROL!$C$32, 6.6466, 6.6432) * CHOOSE( CONTROL!$C$15, $D$11, 100%, $F$11)</f>
        <v>6.6466000000000003</v>
      </c>
      <c r="E131" s="12">
        <f>CHOOSE( CONTROL!$C$32, 6.6359, 6.6325) * CHOOSE( CONTROL!$C$15, $D$11, 100%, $F$11)</f>
        <v>6.6359000000000004</v>
      </c>
      <c r="F131" s="4">
        <f>CHOOSE( CONTROL!$C$32, 7.326, 7.3226) * CHOOSE(CONTROL!$C$15, $D$11, 100%, $F$11)</f>
        <v>7.3259999999999996</v>
      </c>
      <c r="G131" s="8">
        <f>CHOOSE( CONTROL!$C$32, 6.4435, 6.4402) * CHOOSE( CONTROL!$C$15, $D$11, 100%, $F$11)</f>
        <v>6.4435000000000002</v>
      </c>
      <c r="H131" s="4">
        <f>CHOOSE( CONTROL!$C$32, 7.3901, 7.3867) * CHOOSE(CONTROL!$C$15, $D$11, 100%, $F$11)</f>
        <v>7.3901000000000003</v>
      </c>
      <c r="I131" s="8">
        <f>CHOOSE( CONTROL!$C$32, 6.4386, 6.4353) * CHOOSE(CONTROL!$C$15, $D$11, 100%, $F$11)</f>
        <v>6.4386000000000001</v>
      </c>
      <c r="J131" s="4">
        <f>CHOOSE( CONTROL!$C$32, 6.3195, 6.3162) * CHOOSE(CONTROL!$C$15, $D$11, 100%, $F$11)</f>
        <v>6.3194999999999997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6.1047, 6.1013) * CHOOSE(CONTROL!$C$15, $D$11, 100%, $F$11)</f>
        <v>6.1047000000000002</v>
      </c>
      <c r="C132" s="8">
        <f>CHOOSE( CONTROL!$C$32, 6.1128, 6.1094) * CHOOSE(CONTROL!$C$15, $D$11, 100%, $F$11)</f>
        <v>6.1128</v>
      </c>
      <c r="D132" s="8">
        <f>CHOOSE( CONTROL!$C$32, 6.1389, 6.1355) * CHOOSE( CONTROL!$C$15, $D$11, 100%, $F$11)</f>
        <v>6.1388999999999996</v>
      </c>
      <c r="E132" s="12">
        <f>CHOOSE( CONTROL!$C$32, 6.1282, 6.1248) * CHOOSE( CONTROL!$C$15, $D$11, 100%, $F$11)</f>
        <v>6.1281999999999996</v>
      </c>
      <c r="F132" s="4">
        <f>CHOOSE( CONTROL!$C$32, 6.8181, 6.8147) * CHOOSE(CONTROL!$C$15, $D$11, 100%, $F$11)</f>
        <v>6.8181000000000003</v>
      </c>
      <c r="G132" s="8">
        <f>CHOOSE( CONTROL!$C$32, 5.9477, 5.9443) * CHOOSE( CONTROL!$C$15, $D$11, 100%, $F$11)</f>
        <v>5.9477000000000002</v>
      </c>
      <c r="H132" s="4">
        <f>CHOOSE( CONTROL!$C$32, 6.8941, 6.8907) * CHOOSE(CONTROL!$C$15, $D$11, 100%, $F$11)</f>
        <v>6.8940999999999999</v>
      </c>
      <c r="I132" s="8">
        <f>CHOOSE( CONTROL!$C$32, 5.9512, 5.948) * CHOOSE(CONTROL!$C$15, $D$11, 100%, $F$11)</f>
        <v>5.9512</v>
      </c>
      <c r="J132" s="4">
        <f>CHOOSE( CONTROL!$C$32, 5.8319, 5.8286) * CHOOSE(CONTROL!$C$15, $D$11, 100%, $F$11)</f>
        <v>5.8319000000000001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5.9775, 5.9741) * CHOOSE(CONTROL!$C$15, $D$11, 100%, $F$11)</f>
        <v>5.9775</v>
      </c>
      <c r="C133" s="8">
        <f>CHOOSE( CONTROL!$C$32, 5.9856, 5.9822) * CHOOSE(CONTROL!$C$15, $D$11, 100%, $F$11)</f>
        <v>5.9855999999999998</v>
      </c>
      <c r="D133" s="8">
        <f>CHOOSE( CONTROL!$C$32, 6.0117, 6.0083) * CHOOSE( CONTROL!$C$15, $D$11, 100%, $F$11)</f>
        <v>6.0117000000000003</v>
      </c>
      <c r="E133" s="12">
        <f>CHOOSE( CONTROL!$C$32, 6.001, 5.9976) * CHOOSE( CONTROL!$C$15, $D$11, 100%, $F$11)</f>
        <v>6.0010000000000003</v>
      </c>
      <c r="F133" s="4">
        <f>CHOOSE( CONTROL!$C$32, 6.691, 6.6876) * CHOOSE(CONTROL!$C$15, $D$11, 100%, $F$11)</f>
        <v>6.6909999999999998</v>
      </c>
      <c r="G133" s="8">
        <f>CHOOSE( CONTROL!$C$32, 5.8234, 5.8201) * CHOOSE( CONTROL!$C$15, $D$11, 100%, $F$11)</f>
        <v>5.8234000000000004</v>
      </c>
      <c r="H133" s="4">
        <f>CHOOSE( CONTROL!$C$32, 6.7699, 6.7665) * CHOOSE(CONTROL!$C$15, $D$11, 100%, $F$11)</f>
        <v>6.7698999999999998</v>
      </c>
      <c r="I133" s="8">
        <f>CHOOSE( CONTROL!$C$32, 5.8289, 5.8257) * CHOOSE(CONTROL!$C$15, $D$11, 100%, $F$11)</f>
        <v>5.8289</v>
      </c>
      <c r="J133" s="4">
        <f>CHOOSE( CONTROL!$C$32, 5.7098, 5.7065) * CHOOSE(CONTROL!$C$15, $D$11, 100%, $F$11)</f>
        <v>5.7098000000000004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6.2364 * CHOOSE(CONTROL!$C$15, $D$11, 100%, $F$11)</f>
        <v>6.2363999999999997</v>
      </c>
      <c r="C134" s="8">
        <f>6.2419 * CHOOSE(CONTROL!$C$15, $D$11, 100%, $F$11)</f>
        <v>6.2419000000000002</v>
      </c>
      <c r="D134" s="8">
        <f>6.273 * CHOOSE( CONTROL!$C$15, $D$11, 100%, $F$11)</f>
        <v>6.2729999999999997</v>
      </c>
      <c r="E134" s="12">
        <f>6.2621 * CHOOSE( CONTROL!$C$15, $D$11, 100%, $F$11)</f>
        <v>6.2621000000000002</v>
      </c>
      <c r="F134" s="4">
        <f>6.9516 * CHOOSE(CONTROL!$C$15, $D$11, 100%, $F$11)</f>
        <v>6.9516</v>
      </c>
      <c r="G134" s="8">
        <f>6.0776 * CHOOSE( CONTROL!$C$15, $D$11, 100%, $F$11)</f>
        <v>6.0776000000000003</v>
      </c>
      <c r="H134" s="4">
        <f>7.0244 * CHOOSE(CONTROL!$C$15, $D$11, 100%, $F$11)</f>
        <v>7.0244</v>
      </c>
      <c r="I134" s="8">
        <f>6.0801 * CHOOSE(CONTROL!$C$15, $D$11, 100%, $F$11)</f>
        <v>6.0800999999999998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6.7234 * CHOOSE(CONTROL!$C$15, $D$11, 100%, $F$11)</f>
        <v>6.7233999999999998</v>
      </c>
      <c r="C135" s="8">
        <f>6.7286 * CHOOSE(CONTROL!$C$15, $D$11, 100%, $F$11)</f>
        <v>6.7286000000000001</v>
      </c>
      <c r="D135" s="8">
        <f>6.7214 * CHOOSE( CONTROL!$C$15, $D$11, 100%, $F$11)</f>
        <v>6.7214</v>
      </c>
      <c r="E135" s="12">
        <f>6.7235 * CHOOSE( CONTROL!$C$15, $D$11, 100%, $F$11)</f>
        <v>6.7234999999999996</v>
      </c>
      <c r="F135" s="4">
        <f>7.3739 * CHOOSE(CONTROL!$C$15, $D$11, 100%, $F$11)</f>
        <v>7.3738999999999999</v>
      </c>
      <c r="G135" s="8">
        <f>6.5666 * CHOOSE( CONTROL!$C$15, $D$11, 100%, $F$11)</f>
        <v>6.5666000000000002</v>
      </c>
      <c r="H135" s="4">
        <f>7.4368 * CHOOSE(CONTROL!$C$15, $D$11, 100%, $F$11)</f>
        <v>7.4367999999999999</v>
      </c>
      <c r="I135" s="8">
        <f>6.5917 * CHOOSE(CONTROL!$C$15, $D$11, 100%, $F$11)</f>
        <v>6.5917000000000003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6.7112 * CHOOSE(CONTROL!$C$15, $D$11, 100%, $F$11)</f>
        <v>6.7111999999999998</v>
      </c>
      <c r="C136" s="8">
        <f>6.7164 * CHOOSE(CONTROL!$C$15, $D$11, 100%, $F$11)</f>
        <v>6.7164000000000001</v>
      </c>
      <c r="D136" s="8">
        <f>6.7107 * CHOOSE( CONTROL!$C$15, $D$11, 100%, $F$11)</f>
        <v>6.7107000000000001</v>
      </c>
      <c r="E136" s="12">
        <f>6.7122 * CHOOSE( CONTROL!$C$15, $D$11, 100%, $F$11)</f>
        <v>6.7122000000000002</v>
      </c>
      <c r="F136" s="4">
        <f>7.3617 * CHOOSE(CONTROL!$C$15, $D$11, 100%, $F$11)</f>
        <v>7.3616999999999999</v>
      </c>
      <c r="G136" s="8">
        <f>6.5557 * CHOOSE( CONTROL!$C$15, $D$11, 100%, $F$11)</f>
        <v>6.5556999999999999</v>
      </c>
      <c r="H136" s="4">
        <f>7.4249 * CHOOSE(CONTROL!$C$15, $D$11, 100%, $F$11)</f>
        <v>7.4249000000000001</v>
      </c>
      <c r="I136" s="8">
        <f>6.5846 * CHOOSE(CONTROL!$C$15, $D$11, 100%, $F$11)</f>
        <v>6.5846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6.9519 * CHOOSE(CONTROL!$C$15, $D$11, 100%, $F$11)</f>
        <v>6.9519000000000002</v>
      </c>
      <c r="C137" s="8">
        <f>6.9571 * CHOOSE(CONTROL!$C$15, $D$11, 100%, $F$11)</f>
        <v>6.9570999999999996</v>
      </c>
      <c r="D137" s="8">
        <f>6.9372 * CHOOSE( CONTROL!$C$15, $D$11, 100%, $F$11)</f>
        <v>6.9371999999999998</v>
      </c>
      <c r="E137" s="12">
        <f>6.9439 * CHOOSE( CONTROL!$C$15, $D$11, 100%, $F$11)</f>
        <v>6.9439000000000002</v>
      </c>
      <c r="F137" s="4">
        <f>7.6024 * CHOOSE(CONTROL!$C$15, $D$11, 100%, $F$11)</f>
        <v>7.6024000000000003</v>
      </c>
      <c r="G137" s="8">
        <f>6.774 * CHOOSE( CONTROL!$C$15, $D$11, 100%, $F$11)</f>
        <v>6.774</v>
      </c>
      <c r="H137" s="4">
        <f>7.6601 * CHOOSE(CONTROL!$C$15, $D$11, 100%, $F$11)</f>
        <v>7.6600999999999999</v>
      </c>
      <c r="I137" s="8">
        <f>6.7723 * CHOOSE(CONTROL!$C$15, $D$11, 100%, $F$11)</f>
        <v>6.7723000000000004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6.5043 * CHOOSE(CONTROL!$C$15, $D$11, 100%, $F$11)</f>
        <v>6.5042999999999997</v>
      </c>
      <c r="C138" s="8">
        <f>6.5095 * CHOOSE(CONTROL!$C$15, $D$11, 100%, $F$11)</f>
        <v>6.5095000000000001</v>
      </c>
      <c r="D138" s="8">
        <f>6.4896 * CHOOSE( CONTROL!$C$15, $D$11, 100%, $F$11)</f>
        <v>6.4896000000000003</v>
      </c>
      <c r="E138" s="12">
        <f>6.4963 * CHOOSE( CONTROL!$C$15, $D$11, 100%, $F$11)</f>
        <v>6.4962999999999997</v>
      </c>
      <c r="F138" s="4">
        <f>7.1548 * CHOOSE(CONTROL!$C$15, $D$11, 100%, $F$11)</f>
        <v>7.1547999999999998</v>
      </c>
      <c r="G138" s="8">
        <f>6.3368 * CHOOSE( CONTROL!$C$15, $D$11, 100%, $F$11)</f>
        <v>6.3368000000000002</v>
      </c>
      <c r="H138" s="4">
        <f>7.2229 * CHOOSE(CONTROL!$C$15, $D$11, 100%, $F$11)</f>
        <v>7.2229000000000001</v>
      </c>
      <c r="I138" s="8">
        <f>6.3423 * CHOOSE(CONTROL!$C$15, $D$11, 100%, $F$11)</f>
        <v>6.3422999999999998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6.3665 * CHOOSE(CONTROL!$C$15, $D$11, 100%, $F$11)</f>
        <v>6.3665000000000003</v>
      </c>
      <c r="C139" s="8">
        <f>6.3717 * CHOOSE(CONTROL!$C$15, $D$11, 100%, $F$11)</f>
        <v>6.3716999999999997</v>
      </c>
      <c r="D139" s="8">
        <f>6.3514 * CHOOSE( CONTROL!$C$15, $D$11, 100%, $F$11)</f>
        <v>6.3513999999999999</v>
      </c>
      <c r="E139" s="12">
        <f>6.3583 * CHOOSE( CONTROL!$C$15, $D$11, 100%, $F$11)</f>
        <v>6.3582999999999998</v>
      </c>
      <c r="F139" s="4">
        <f>7.0169 * CHOOSE(CONTROL!$C$15, $D$11, 100%, $F$11)</f>
        <v>7.0168999999999997</v>
      </c>
      <c r="G139" s="8">
        <f>6.2019 * CHOOSE( CONTROL!$C$15, $D$11, 100%, $F$11)</f>
        <v>6.2019000000000002</v>
      </c>
      <c r="H139" s="4">
        <f>7.0882 * CHOOSE(CONTROL!$C$15, $D$11, 100%, $F$11)</f>
        <v>7.0881999999999996</v>
      </c>
      <c r="I139" s="8">
        <f>6.2087 * CHOOSE(CONTROL!$C$15, $D$11, 100%, $F$11)</f>
        <v>6.2087000000000003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6.4636 * CHOOSE(CONTROL!$C$15, $D$11, 100%, $F$11)</f>
        <v>6.4635999999999996</v>
      </c>
      <c r="C140" s="8">
        <f>6.4682 * CHOOSE(CONTROL!$C$15, $D$11, 100%, $F$11)</f>
        <v>6.4682000000000004</v>
      </c>
      <c r="D140" s="8">
        <f>6.4991 * CHOOSE( CONTROL!$C$15, $D$11, 100%, $F$11)</f>
        <v>6.4991000000000003</v>
      </c>
      <c r="E140" s="12">
        <f>6.4884 * CHOOSE( CONTROL!$C$15, $D$11, 100%, $F$11)</f>
        <v>6.4884000000000004</v>
      </c>
      <c r="F140" s="4">
        <f>7.1784 * CHOOSE(CONTROL!$C$15, $D$11, 100%, $F$11)</f>
        <v>7.1783999999999999</v>
      </c>
      <c r="G140" s="8">
        <f>6.298 * CHOOSE( CONTROL!$C$15, $D$11, 100%, $F$11)</f>
        <v>6.298</v>
      </c>
      <c r="H140" s="4">
        <f>7.2459 * CHOOSE(CONTROL!$C$15, $D$11, 100%, $F$11)</f>
        <v>7.2458999999999998</v>
      </c>
      <c r="I140" s="8">
        <f>6.2946 * CHOOSE(CONTROL!$C$15, $D$11, 100%, $F$11)</f>
        <v>6.2946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6.6398, 6.6364) * CHOOSE(CONTROL!$C$15, $D$11, 100%, $F$11)</f>
        <v>6.6398000000000001</v>
      </c>
      <c r="C141" s="8">
        <f>CHOOSE( CONTROL!$C$32, 6.6479, 6.6445) * CHOOSE(CONTROL!$C$15, $D$11, 100%, $F$11)</f>
        <v>6.6478999999999999</v>
      </c>
      <c r="D141" s="8">
        <f>CHOOSE( CONTROL!$C$32, 6.6735, 6.6701) * CHOOSE( CONTROL!$C$15, $D$11, 100%, $F$11)</f>
        <v>6.6734999999999998</v>
      </c>
      <c r="E141" s="12">
        <f>CHOOSE( CONTROL!$C$32, 6.663, 6.6596) * CHOOSE( CONTROL!$C$15, $D$11, 100%, $F$11)</f>
        <v>6.6630000000000003</v>
      </c>
      <c r="F141" s="4">
        <f>CHOOSE( CONTROL!$C$32, 7.3532, 7.3498) * CHOOSE(CONTROL!$C$15, $D$11, 100%, $F$11)</f>
        <v>7.3532000000000002</v>
      </c>
      <c r="G141" s="8">
        <f>CHOOSE( CONTROL!$C$32, 6.4695, 6.4662) * CHOOSE( CONTROL!$C$15, $D$11, 100%, $F$11)</f>
        <v>6.4695</v>
      </c>
      <c r="H141" s="4">
        <f>CHOOSE( CONTROL!$C$32, 7.4167, 7.4134) * CHOOSE(CONTROL!$C$15, $D$11, 100%, $F$11)</f>
        <v>7.4166999999999996</v>
      </c>
      <c r="I141" s="8">
        <f>CHOOSE( CONTROL!$C$32, 6.4628, 6.4595) * CHOOSE(CONTROL!$C$15, $D$11, 100%, $F$11)</f>
        <v>6.4627999999999997</v>
      </c>
      <c r="J141" s="4">
        <f>CHOOSE( CONTROL!$C$32, 6.3456, 6.3424) * CHOOSE(CONTROL!$C$15, $D$11, 100%, $F$11)</f>
        <v>6.3456000000000001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6.5336, 6.5302) * CHOOSE(CONTROL!$C$15, $D$11, 100%, $F$11)</f>
        <v>6.5335999999999999</v>
      </c>
      <c r="C142" s="8">
        <f>CHOOSE( CONTROL!$C$32, 6.5417, 6.5383) * CHOOSE(CONTROL!$C$15, $D$11, 100%, $F$11)</f>
        <v>6.5416999999999996</v>
      </c>
      <c r="D142" s="8">
        <f>CHOOSE( CONTROL!$C$32, 6.5675, 6.5641) * CHOOSE( CONTROL!$C$15, $D$11, 100%, $F$11)</f>
        <v>6.5674999999999999</v>
      </c>
      <c r="E142" s="12">
        <f>CHOOSE( CONTROL!$C$32, 6.5569, 6.5535) * CHOOSE( CONTROL!$C$15, $D$11, 100%, $F$11)</f>
        <v>6.5568999999999997</v>
      </c>
      <c r="F142" s="4">
        <f>CHOOSE( CONTROL!$C$32, 7.247, 7.2436) * CHOOSE(CONTROL!$C$15, $D$11, 100%, $F$11)</f>
        <v>7.2469999999999999</v>
      </c>
      <c r="G142" s="8">
        <f>CHOOSE( CONTROL!$C$32, 6.3661, 6.3628) * CHOOSE( CONTROL!$C$15, $D$11, 100%, $F$11)</f>
        <v>6.3661000000000003</v>
      </c>
      <c r="H142" s="4">
        <f>CHOOSE( CONTROL!$C$32, 7.313, 7.3096) * CHOOSE(CONTROL!$C$15, $D$11, 100%, $F$11)</f>
        <v>7.3129999999999997</v>
      </c>
      <c r="I142" s="8">
        <f>CHOOSE( CONTROL!$C$32, 6.3617, 6.3584) * CHOOSE(CONTROL!$C$15, $D$11, 100%, $F$11)</f>
        <v>6.3616999999999999</v>
      </c>
      <c r="J142" s="4">
        <f>CHOOSE( CONTROL!$C$32, 6.2437, 6.2404) * CHOOSE(CONTROL!$C$15, $D$11, 100%, $F$11)</f>
        <v>6.2436999999999996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6.8133, 6.8099) * CHOOSE(CONTROL!$C$15, $D$11, 100%, $F$11)</f>
        <v>6.8132999999999999</v>
      </c>
      <c r="C143" s="8">
        <f>CHOOSE( CONTROL!$C$32, 6.8214, 6.818) * CHOOSE(CONTROL!$C$15, $D$11, 100%, $F$11)</f>
        <v>6.8213999999999997</v>
      </c>
      <c r="D143" s="8">
        <f>CHOOSE( CONTROL!$C$32, 6.8474, 6.844) * CHOOSE( CONTROL!$C$15, $D$11, 100%, $F$11)</f>
        <v>6.8474000000000004</v>
      </c>
      <c r="E143" s="12">
        <f>CHOOSE( CONTROL!$C$32, 6.8367, 6.8333) * CHOOSE( CONTROL!$C$15, $D$11, 100%, $F$11)</f>
        <v>6.8367000000000004</v>
      </c>
      <c r="F143" s="4">
        <f>CHOOSE( CONTROL!$C$32, 7.5267, 7.5233) * CHOOSE(CONTROL!$C$15, $D$11, 100%, $F$11)</f>
        <v>7.5266999999999999</v>
      </c>
      <c r="G143" s="8">
        <f>CHOOSE( CONTROL!$C$32, 6.6396, 6.6363) * CHOOSE( CONTROL!$C$15, $D$11, 100%, $F$11)</f>
        <v>6.6395999999999997</v>
      </c>
      <c r="H143" s="4">
        <f>CHOOSE( CONTROL!$C$32, 7.5861, 7.5828) * CHOOSE(CONTROL!$C$15, $D$11, 100%, $F$11)</f>
        <v>7.5861000000000001</v>
      </c>
      <c r="I143" s="8">
        <f>CHOOSE( CONTROL!$C$32, 6.6314, 6.6282) * CHOOSE(CONTROL!$C$15, $D$11, 100%, $F$11)</f>
        <v>6.6314000000000002</v>
      </c>
      <c r="J143" s="4">
        <f>CHOOSE( CONTROL!$C$32, 6.5122, 6.5089) * CHOOSE(CONTROL!$C$15, $D$11, 100%, $F$11)</f>
        <v>6.5122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6.29, 6.2865) * CHOOSE(CONTROL!$C$15, $D$11, 100%, $F$11)</f>
        <v>6.29</v>
      </c>
      <c r="C144" s="8">
        <f>CHOOSE( CONTROL!$C$32, 6.298, 6.2946) * CHOOSE(CONTROL!$C$15, $D$11, 100%, $F$11)</f>
        <v>6.298</v>
      </c>
      <c r="D144" s="8">
        <f>CHOOSE( CONTROL!$C$32, 6.3242, 6.3208) * CHOOSE( CONTROL!$C$15, $D$11, 100%, $F$11)</f>
        <v>6.3242000000000003</v>
      </c>
      <c r="E144" s="12">
        <f>CHOOSE( CONTROL!$C$32, 6.3135, 6.3101) * CHOOSE( CONTROL!$C$15, $D$11, 100%, $F$11)</f>
        <v>6.3135000000000003</v>
      </c>
      <c r="F144" s="4">
        <f>CHOOSE( CONTROL!$C$32, 7.0034, 7) * CHOOSE(CONTROL!$C$15, $D$11, 100%, $F$11)</f>
        <v>7.0034000000000001</v>
      </c>
      <c r="G144" s="8">
        <f>CHOOSE( CONTROL!$C$32, 6.1286, 6.1253) * CHOOSE( CONTROL!$C$15, $D$11, 100%, $F$11)</f>
        <v>6.1285999999999996</v>
      </c>
      <c r="H144" s="4">
        <f>CHOOSE( CONTROL!$C$32, 7.075, 7.0717) * CHOOSE(CONTROL!$C$15, $D$11, 100%, $F$11)</f>
        <v>7.0750000000000002</v>
      </c>
      <c r="I144" s="8">
        <f>CHOOSE( CONTROL!$C$32, 6.1292, 6.1259) * CHOOSE(CONTROL!$C$15, $D$11, 100%, $F$11)</f>
        <v>6.1292</v>
      </c>
      <c r="J144" s="4">
        <f>CHOOSE( CONTROL!$C$32, 6.0098, 6.0065) * CHOOSE(CONTROL!$C$15, $D$11, 100%, $F$11)</f>
        <v>6.0098000000000003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6.1589, 6.1555) * CHOOSE(CONTROL!$C$15, $D$11, 100%, $F$11)</f>
        <v>6.1589</v>
      </c>
      <c r="C145" s="8">
        <f>CHOOSE( CONTROL!$C$32, 6.167, 6.1636) * CHOOSE(CONTROL!$C$15, $D$11, 100%, $F$11)</f>
        <v>6.1669999999999998</v>
      </c>
      <c r="D145" s="8">
        <f>CHOOSE( CONTROL!$C$32, 6.1931, 6.1897) * CHOOSE( CONTROL!$C$15, $D$11, 100%, $F$11)</f>
        <v>6.1931000000000003</v>
      </c>
      <c r="E145" s="12">
        <f>CHOOSE( CONTROL!$C$32, 6.1824, 6.179) * CHOOSE( CONTROL!$C$15, $D$11, 100%, $F$11)</f>
        <v>6.1824000000000003</v>
      </c>
      <c r="F145" s="4">
        <f>CHOOSE( CONTROL!$C$32, 6.8723, 6.8689) * CHOOSE(CONTROL!$C$15, $D$11, 100%, $F$11)</f>
        <v>6.8723000000000001</v>
      </c>
      <c r="G145" s="8">
        <f>CHOOSE( CONTROL!$C$32, 6.0006, 5.9972) * CHOOSE( CONTROL!$C$15, $D$11, 100%, $F$11)</f>
        <v>6.0006000000000004</v>
      </c>
      <c r="H145" s="4">
        <f>CHOOSE( CONTROL!$C$32, 6.947, 6.9437) * CHOOSE(CONTROL!$C$15, $D$11, 100%, $F$11)</f>
        <v>6.9470000000000001</v>
      </c>
      <c r="I145" s="8">
        <f>CHOOSE( CONTROL!$C$32, 6.0032, 5.9999) * CHOOSE(CONTROL!$C$15, $D$11, 100%, $F$11)</f>
        <v>6.0031999999999996</v>
      </c>
      <c r="J145" s="4">
        <f>CHOOSE( CONTROL!$C$32, 5.8839, 5.8807) * CHOOSE(CONTROL!$C$15, $D$11, 100%, $F$11)</f>
        <v>5.8838999999999997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6.4259 * CHOOSE(CONTROL!$C$15, $D$11, 100%, $F$11)</f>
        <v>6.4259000000000004</v>
      </c>
      <c r="C146" s="8">
        <f>6.4313 * CHOOSE(CONTROL!$C$15, $D$11, 100%, $F$11)</f>
        <v>6.4313000000000002</v>
      </c>
      <c r="D146" s="8">
        <f>6.4624 * CHOOSE( CONTROL!$C$15, $D$11, 100%, $F$11)</f>
        <v>6.4623999999999997</v>
      </c>
      <c r="E146" s="12">
        <f>6.4516 * CHOOSE( CONTROL!$C$15, $D$11, 100%, $F$11)</f>
        <v>6.4516</v>
      </c>
      <c r="F146" s="4">
        <f>7.141 * CHOOSE(CONTROL!$C$15, $D$11, 100%, $F$11)</f>
        <v>7.141</v>
      </c>
      <c r="G146" s="8">
        <f>6.2626 * CHOOSE( CONTROL!$C$15, $D$11, 100%, $F$11)</f>
        <v>6.2625999999999999</v>
      </c>
      <c r="H146" s="4">
        <f>7.2094 * CHOOSE(CONTROL!$C$15, $D$11, 100%, $F$11)</f>
        <v>7.2093999999999996</v>
      </c>
      <c r="I146" s="8">
        <f>6.2621 * CHOOSE(CONTROL!$C$15, $D$11, 100%, $F$11)</f>
        <v>6.2621000000000002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6.9277 * CHOOSE(CONTROL!$C$15, $D$11, 100%, $F$11)</f>
        <v>6.9276999999999997</v>
      </c>
      <c r="C147" s="8">
        <f>6.9329 * CHOOSE(CONTROL!$C$15, $D$11, 100%, $F$11)</f>
        <v>6.9329000000000001</v>
      </c>
      <c r="D147" s="8">
        <f>6.9257 * CHOOSE( CONTROL!$C$15, $D$11, 100%, $F$11)</f>
        <v>6.9257</v>
      </c>
      <c r="E147" s="12">
        <f>6.9278 * CHOOSE( CONTROL!$C$15, $D$11, 100%, $F$11)</f>
        <v>6.9278000000000004</v>
      </c>
      <c r="F147" s="4">
        <f>7.5782 * CHOOSE(CONTROL!$C$15, $D$11, 100%, $F$11)</f>
        <v>7.5781999999999998</v>
      </c>
      <c r="G147" s="8">
        <f>6.7661 * CHOOSE( CONTROL!$C$15, $D$11, 100%, $F$11)</f>
        <v>6.7660999999999998</v>
      </c>
      <c r="H147" s="4">
        <f>7.6364 * CHOOSE(CONTROL!$C$15, $D$11, 100%, $F$11)</f>
        <v>7.6364000000000001</v>
      </c>
      <c r="I147" s="8">
        <f>6.788 * CHOOSE(CONTROL!$C$15, $D$11, 100%, $F$11)</f>
        <v>6.7880000000000003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6.9152 * CHOOSE(CONTROL!$C$15, $D$11, 100%, $F$11)</f>
        <v>6.9151999999999996</v>
      </c>
      <c r="C148" s="8">
        <f>6.9203 * CHOOSE(CONTROL!$C$15, $D$11, 100%, $F$11)</f>
        <v>6.9203000000000001</v>
      </c>
      <c r="D148" s="8">
        <f>6.9146 * CHOOSE( CONTROL!$C$15, $D$11, 100%, $F$11)</f>
        <v>6.9146000000000001</v>
      </c>
      <c r="E148" s="12">
        <f>6.9161 * CHOOSE( CONTROL!$C$15, $D$11, 100%, $F$11)</f>
        <v>6.9161000000000001</v>
      </c>
      <c r="F148" s="4">
        <f>7.5656 * CHOOSE(CONTROL!$C$15, $D$11, 100%, $F$11)</f>
        <v>7.5655999999999999</v>
      </c>
      <c r="G148" s="8">
        <f>6.7549 * CHOOSE( CONTROL!$C$15, $D$11, 100%, $F$11)</f>
        <v>6.7549000000000001</v>
      </c>
      <c r="H148" s="4">
        <f>7.6241 * CHOOSE(CONTROL!$C$15, $D$11, 100%, $F$11)</f>
        <v>7.6241000000000003</v>
      </c>
      <c r="I148" s="8">
        <f>6.7805 * CHOOSE(CONTROL!$C$15, $D$11, 100%, $F$11)</f>
        <v>6.7805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7.1625 * CHOOSE(CONTROL!$C$15, $D$11, 100%, $F$11)</f>
        <v>7.1624999999999996</v>
      </c>
      <c r="C149" s="8">
        <f>7.1677 * CHOOSE(CONTROL!$C$15, $D$11, 100%, $F$11)</f>
        <v>7.1677</v>
      </c>
      <c r="D149" s="8">
        <f>7.1478 * CHOOSE( CONTROL!$C$15, $D$11, 100%, $F$11)</f>
        <v>7.1478000000000002</v>
      </c>
      <c r="E149" s="12">
        <f>7.1545 * CHOOSE( CONTROL!$C$15, $D$11, 100%, $F$11)</f>
        <v>7.1544999999999996</v>
      </c>
      <c r="F149" s="4">
        <f>7.8129 * CHOOSE(CONTROL!$C$15, $D$11, 100%, $F$11)</f>
        <v>7.8129</v>
      </c>
      <c r="G149" s="8">
        <f>6.9796 * CHOOSE( CONTROL!$C$15, $D$11, 100%, $F$11)</f>
        <v>6.9795999999999996</v>
      </c>
      <c r="H149" s="4">
        <f>7.8657 * CHOOSE(CONTROL!$C$15, $D$11, 100%, $F$11)</f>
        <v>7.8657000000000004</v>
      </c>
      <c r="I149" s="8">
        <f>6.9746 * CHOOSE(CONTROL!$C$15, $D$11, 100%, $F$11)</f>
        <v>6.9745999999999997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6.7013 * CHOOSE(CONTROL!$C$15, $D$11, 100%, $F$11)</f>
        <v>6.7012999999999998</v>
      </c>
      <c r="C150" s="8">
        <f>6.7064 * CHOOSE(CONTROL!$C$15, $D$11, 100%, $F$11)</f>
        <v>6.7064000000000004</v>
      </c>
      <c r="D150" s="8">
        <f>6.6865 * CHOOSE( CONTROL!$C$15, $D$11, 100%, $F$11)</f>
        <v>6.6864999999999997</v>
      </c>
      <c r="E150" s="12">
        <f>6.6932 * CHOOSE( CONTROL!$C$15, $D$11, 100%, $F$11)</f>
        <v>6.6932</v>
      </c>
      <c r="F150" s="4">
        <f>7.3517 * CHOOSE(CONTROL!$C$15, $D$11, 100%, $F$11)</f>
        <v>7.3517000000000001</v>
      </c>
      <c r="G150" s="8">
        <f>6.5292 * CHOOSE( CONTROL!$C$15, $D$11, 100%, $F$11)</f>
        <v>6.5292000000000003</v>
      </c>
      <c r="H150" s="4">
        <f>7.4152 * CHOOSE(CONTROL!$C$15, $D$11, 100%, $F$11)</f>
        <v>7.4151999999999996</v>
      </c>
      <c r="I150" s="8">
        <f>6.5315 * CHOOSE(CONTROL!$C$15, $D$11, 100%, $F$11)</f>
        <v>6.5315000000000003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6.5592 * CHOOSE(CONTROL!$C$15, $D$11, 100%, $F$11)</f>
        <v>6.5591999999999997</v>
      </c>
      <c r="C151" s="8">
        <f>6.5644 * CHOOSE(CONTROL!$C$15, $D$11, 100%, $F$11)</f>
        <v>6.5644</v>
      </c>
      <c r="D151" s="8">
        <f>6.5441 * CHOOSE( CONTROL!$C$15, $D$11, 100%, $F$11)</f>
        <v>6.5441000000000003</v>
      </c>
      <c r="E151" s="12">
        <f>6.551 * CHOOSE( CONTROL!$C$15, $D$11, 100%, $F$11)</f>
        <v>6.5510000000000002</v>
      </c>
      <c r="F151" s="4">
        <f>7.2097 * CHOOSE(CONTROL!$C$15, $D$11, 100%, $F$11)</f>
        <v>7.2096999999999998</v>
      </c>
      <c r="G151" s="8">
        <f>6.3901 * CHOOSE( CONTROL!$C$15, $D$11, 100%, $F$11)</f>
        <v>6.3901000000000003</v>
      </c>
      <c r="H151" s="4">
        <f>7.2765 * CHOOSE(CONTROL!$C$15, $D$11, 100%, $F$11)</f>
        <v>7.2765000000000004</v>
      </c>
      <c r="I151" s="8">
        <f>6.3939 * CHOOSE(CONTROL!$C$15, $D$11, 100%, $F$11)</f>
        <v>6.3939000000000004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6.6592 * CHOOSE(CONTROL!$C$15, $D$11, 100%, $F$11)</f>
        <v>6.6592000000000002</v>
      </c>
      <c r="C152" s="8">
        <f>6.6639 * CHOOSE(CONTROL!$C$15, $D$11, 100%, $F$11)</f>
        <v>6.6638999999999999</v>
      </c>
      <c r="D152" s="8">
        <f>6.6947 * CHOOSE( CONTROL!$C$15, $D$11, 100%, $F$11)</f>
        <v>6.6947000000000001</v>
      </c>
      <c r="E152" s="12">
        <f>6.684 * CHOOSE( CONTROL!$C$15, $D$11, 100%, $F$11)</f>
        <v>6.6840000000000002</v>
      </c>
      <c r="F152" s="4">
        <f>7.374 * CHOOSE(CONTROL!$C$15, $D$11, 100%, $F$11)</f>
        <v>7.3739999999999997</v>
      </c>
      <c r="G152" s="8">
        <f>6.4891 * CHOOSE( CONTROL!$C$15, $D$11, 100%, $F$11)</f>
        <v>6.4890999999999996</v>
      </c>
      <c r="H152" s="4">
        <f>7.437 * CHOOSE(CONTROL!$C$15, $D$11, 100%, $F$11)</f>
        <v>7.4370000000000003</v>
      </c>
      <c r="I152" s="8">
        <f>6.4826 * CHOOSE(CONTROL!$C$15, $D$11, 100%, $F$11)</f>
        <v>6.4825999999999997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6.8407, 6.8373) * CHOOSE(CONTROL!$C$15, $D$11, 100%, $F$11)</f>
        <v>6.8407</v>
      </c>
      <c r="C153" s="8">
        <f>CHOOSE( CONTROL!$C$32, 6.8488, 6.8454) * CHOOSE(CONTROL!$C$15, $D$11, 100%, $F$11)</f>
        <v>6.8487999999999998</v>
      </c>
      <c r="D153" s="8">
        <f>CHOOSE( CONTROL!$C$32, 6.8744, 6.871) * CHOOSE( CONTROL!$C$15, $D$11, 100%, $F$11)</f>
        <v>6.8743999999999996</v>
      </c>
      <c r="E153" s="12">
        <f>CHOOSE( CONTROL!$C$32, 6.8639, 6.8605) * CHOOSE( CONTROL!$C$15, $D$11, 100%, $F$11)</f>
        <v>6.8639000000000001</v>
      </c>
      <c r="F153" s="4">
        <f>CHOOSE( CONTROL!$C$32, 7.5541, 7.5507) * CHOOSE(CONTROL!$C$15, $D$11, 100%, $F$11)</f>
        <v>7.5541</v>
      </c>
      <c r="G153" s="8">
        <f>CHOOSE( CONTROL!$C$32, 6.6657, 6.6624) * CHOOSE( CONTROL!$C$15, $D$11, 100%, $F$11)</f>
        <v>6.6657000000000002</v>
      </c>
      <c r="H153" s="4">
        <f>CHOOSE( CONTROL!$C$32, 7.6129, 7.6096) * CHOOSE(CONTROL!$C$15, $D$11, 100%, $F$11)</f>
        <v>7.6128999999999998</v>
      </c>
      <c r="I153" s="8">
        <f>CHOOSE( CONTROL!$C$32, 6.6557, 6.6524) * CHOOSE(CONTROL!$C$15, $D$11, 100%, $F$11)</f>
        <v>6.6557000000000004</v>
      </c>
      <c r="J153" s="4">
        <f>CHOOSE( CONTROL!$C$32, 6.5385, 6.5352) * CHOOSE(CONTROL!$C$15, $D$11, 100%, $F$11)</f>
        <v>6.5385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6.7312, 6.7278) * CHOOSE(CONTROL!$C$15, $D$11, 100%, $F$11)</f>
        <v>6.7312000000000003</v>
      </c>
      <c r="C154" s="8">
        <f>CHOOSE( CONTROL!$C$32, 6.7393, 6.7359) * CHOOSE(CONTROL!$C$15, $D$11, 100%, $F$11)</f>
        <v>6.7393000000000001</v>
      </c>
      <c r="D154" s="8">
        <f>CHOOSE( CONTROL!$C$32, 6.7651, 6.7617) * CHOOSE( CONTROL!$C$15, $D$11, 100%, $F$11)</f>
        <v>6.7651000000000003</v>
      </c>
      <c r="E154" s="12">
        <f>CHOOSE( CONTROL!$C$32, 6.7545, 6.7511) * CHOOSE( CONTROL!$C$15, $D$11, 100%, $F$11)</f>
        <v>6.7545000000000002</v>
      </c>
      <c r="F154" s="4">
        <f>CHOOSE( CONTROL!$C$32, 7.4447, 7.4413) * CHOOSE(CONTROL!$C$15, $D$11, 100%, $F$11)</f>
        <v>7.4447000000000001</v>
      </c>
      <c r="G154" s="8">
        <f>CHOOSE( CONTROL!$C$32, 6.5591, 6.5558) * CHOOSE( CONTROL!$C$15, $D$11, 100%, $F$11)</f>
        <v>6.5590999999999999</v>
      </c>
      <c r="H154" s="4">
        <f>CHOOSE( CONTROL!$C$32, 7.506, 7.5027) * CHOOSE(CONTROL!$C$15, $D$11, 100%, $F$11)</f>
        <v>7.5060000000000002</v>
      </c>
      <c r="I154" s="8">
        <f>CHOOSE( CONTROL!$C$32, 6.5515, 6.5483) * CHOOSE(CONTROL!$C$15, $D$11, 100%, $F$11)</f>
        <v>6.5514999999999999</v>
      </c>
      <c r="J154" s="4">
        <f>CHOOSE( CONTROL!$C$32, 6.4334, 6.4302) * CHOOSE(CONTROL!$C$15, $D$11, 100%, $F$11)</f>
        <v>6.4333999999999998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7.0194, 7.016) * CHOOSE(CONTROL!$C$15, $D$11, 100%, $F$11)</f>
        <v>7.0194000000000001</v>
      </c>
      <c r="C155" s="8">
        <f>CHOOSE( CONTROL!$C$32, 7.0275, 7.0241) * CHOOSE(CONTROL!$C$15, $D$11, 100%, $F$11)</f>
        <v>7.0274999999999999</v>
      </c>
      <c r="D155" s="8">
        <f>CHOOSE( CONTROL!$C$32, 7.0535, 7.0501) * CHOOSE( CONTROL!$C$15, $D$11, 100%, $F$11)</f>
        <v>7.0534999999999997</v>
      </c>
      <c r="E155" s="12">
        <f>CHOOSE( CONTROL!$C$32, 7.0428, 7.0394) * CHOOSE( CONTROL!$C$15, $D$11, 100%, $F$11)</f>
        <v>7.0427999999999997</v>
      </c>
      <c r="F155" s="4">
        <f>CHOOSE( CONTROL!$C$32, 7.7329, 7.7295) * CHOOSE(CONTROL!$C$15, $D$11, 100%, $F$11)</f>
        <v>7.7328999999999999</v>
      </c>
      <c r="G155" s="8">
        <f>CHOOSE( CONTROL!$C$32, 6.841, 6.8376) * CHOOSE( CONTROL!$C$15, $D$11, 100%, $F$11)</f>
        <v>6.8410000000000002</v>
      </c>
      <c r="H155" s="4">
        <f>CHOOSE( CONTROL!$C$32, 7.7875, 7.7841) * CHOOSE(CONTROL!$C$15, $D$11, 100%, $F$11)</f>
        <v>7.7874999999999996</v>
      </c>
      <c r="I155" s="8">
        <f>CHOOSE( CONTROL!$C$32, 6.8295, 6.8262) * CHOOSE(CONTROL!$C$15, $D$11, 100%, $F$11)</f>
        <v>6.8295000000000003</v>
      </c>
      <c r="J155" s="4">
        <f>CHOOSE( CONTROL!$C$32, 6.7101, 6.7069) * CHOOSE(CONTROL!$C$15, $D$11, 100%, $F$11)</f>
        <v>6.7100999999999997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6.4802, 6.4768) * CHOOSE(CONTROL!$C$15, $D$11, 100%, $F$11)</f>
        <v>6.4802</v>
      </c>
      <c r="C156" s="8">
        <f>CHOOSE( CONTROL!$C$32, 6.4883, 6.4849) * CHOOSE(CONTROL!$C$15, $D$11, 100%, $F$11)</f>
        <v>6.4882999999999997</v>
      </c>
      <c r="D156" s="8">
        <f>CHOOSE( CONTROL!$C$32, 6.5144, 6.511) * CHOOSE( CONTROL!$C$15, $D$11, 100%, $F$11)</f>
        <v>6.5144000000000002</v>
      </c>
      <c r="E156" s="12">
        <f>CHOOSE( CONTROL!$C$32, 6.5037, 6.5003) * CHOOSE( CONTROL!$C$15, $D$11, 100%, $F$11)</f>
        <v>6.5037000000000003</v>
      </c>
      <c r="F156" s="4">
        <f>CHOOSE( CONTROL!$C$32, 7.1936, 7.1902) * CHOOSE(CONTROL!$C$15, $D$11, 100%, $F$11)</f>
        <v>7.1936</v>
      </c>
      <c r="G156" s="8">
        <f>CHOOSE( CONTROL!$C$32, 6.3144, 6.3111) * CHOOSE( CONTROL!$C$15, $D$11, 100%, $F$11)</f>
        <v>6.3144</v>
      </c>
      <c r="H156" s="4">
        <f>CHOOSE( CONTROL!$C$32, 7.2608, 7.2575) * CHOOSE(CONTROL!$C$15, $D$11, 100%, $F$11)</f>
        <v>7.2607999999999997</v>
      </c>
      <c r="I156" s="8">
        <f>CHOOSE( CONTROL!$C$32, 6.3119, 6.3086) * CHOOSE(CONTROL!$C$15, $D$11, 100%, $F$11)</f>
        <v>6.3118999999999996</v>
      </c>
      <c r="J156" s="4">
        <f>CHOOSE( CONTROL!$C$32, 6.1924, 6.1891) * CHOOSE(CONTROL!$C$15, $D$11, 100%, $F$11)</f>
        <v>6.1924000000000001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6.3452, 6.3418) * CHOOSE(CONTROL!$C$15, $D$11, 100%, $F$11)</f>
        <v>6.3452000000000002</v>
      </c>
      <c r="C157" s="8">
        <f>CHOOSE( CONTROL!$C$32, 6.3532, 6.3498) * CHOOSE(CONTROL!$C$15, $D$11, 100%, $F$11)</f>
        <v>6.3532000000000002</v>
      </c>
      <c r="D157" s="8">
        <f>CHOOSE( CONTROL!$C$32, 6.3793, 6.3759) * CHOOSE( CONTROL!$C$15, $D$11, 100%, $F$11)</f>
        <v>6.3792999999999997</v>
      </c>
      <c r="E157" s="12">
        <f>CHOOSE( CONTROL!$C$32, 6.3686, 6.3652) * CHOOSE( CONTROL!$C$15, $D$11, 100%, $F$11)</f>
        <v>6.3685999999999998</v>
      </c>
      <c r="F157" s="4">
        <f>CHOOSE( CONTROL!$C$32, 7.0586, 7.0552) * CHOOSE(CONTROL!$C$15, $D$11, 100%, $F$11)</f>
        <v>7.0586000000000002</v>
      </c>
      <c r="G157" s="8">
        <f>CHOOSE( CONTROL!$C$32, 6.1825, 6.1792) * CHOOSE( CONTROL!$C$15, $D$11, 100%, $F$11)</f>
        <v>6.1825000000000001</v>
      </c>
      <c r="H157" s="4">
        <f>CHOOSE( CONTROL!$C$32, 7.1289, 7.1256) * CHOOSE(CONTROL!$C$15, $D$11, 100%, $F$11)</f>
        <v>7.1288999999999998</v>
      </c>
      <c r="I157" s="8">
        <f>CHOOSE( CONTROL!$C$32, 6.1821, 6.1788) * CHOOSE(CONTROL!$C$15, $D$11, 100%, $F$11)</f>
        <v>6.1821000000000002</v>
      </c>
      <c r="J157" s="4">
        <f>CHOOSE( CONTROL!$C$32, 6.0628, 6.0595) * CHOOSE(CONTROL!$C$15, $D$11, 100%, $F$11)</f>
        <v>6.0628000000000002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6.6204 * CHOOSE(CONTROL!$C$15, $D$11, 100%, $F$11)</f>
        <v>6.6204000000000001</v>
      </c>
      <c r="C158" s="8">
        <f>6.6258 * CHOOSE(CONTROL!$C$15, $D$11, 100%, $F$11)</f>
        <v>6.6257999999999999</v>
      </c>
      <c r="D158" s="8">
        <f>6.6569 * CHOOSE( CONTROL!$C$15, $D$11, 100%, $F$11)</f>
        <v>6.6569000000000003</v>
      </c>
      <c r="E158" s="12">
        <f>6.6461 * CHOOSE( CONTROL!$C$15, $D$11, 100%, $F$11)</f>
        <v>6.6460999999999997</v>
      </c>
      <c r="F158" s="4">
        <f>7.3356 * CHOOSE(CONTROL!$C$15, $D$11, 100%, $F$11)</f>
        <v>7.3356000000000003</v>
      </c>
      <c r="G158" s="8">
        <f>6.4526 * CHOOSE( CONTROL!$C$15, $D$11, 100%, $F$11)</f>
        <v>6.4526000000000003</v>
      </c>
      <c r="H158" s="4">
        <f>7.3994 * CHOOSE(CONTROL!$C$15, $D$11, 100%, $F$11)</f>
        <v>7.3994</v>
      </c>
      <c r="I158" s="8">
        <f>6.4489 * CHOOSE(CONTROL!$C$15, $D$11, 100%, $F$11)</f>
        <v>6.4489000000000001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7.1375 * CHOOSE(CONTROL!$C$15, $D$11, 100%, $F$11)</f>
        <v>7.1375000000000002</v>
      </c>
      <c r="C159" s="8">
        <f>7.1427 * CHOOSE(CONTROL!$C$15, $D$11, 100%, $F$11)</f>
        <v>7.1426999999999996</v>
      </c>
      <c r="D159" s="8">
        <f>7.1355 * CHOOSE( CONTROL!$C$15, $D$11, 100%, $F$11)</f>
        <v>7.1355000000000004</v>
      </c>
      <c r="E159" s="12">
        <f>7.1376 * CHOOSE( CONTROL!$C$15, $D$11, 100%, $F$11)</f>
        <v>7.1375999999999999</v>
      </c>
      <c r="F159" s="4">
        <f>7.788 * CHOOSE(CONTROL!$C$15, $D$11, 100%, $F$11)</f>
        <v>7.7880000000000003</v>
      </c>
      <c r="G159" s="8">
        <f>6.971 * CHOOSE( CONTROL!$C$15, $D$11, 100%, $F$11)</f>
        <v>6.9710000000000001</v>
      </c>
      <c r="H159" s="4">
        <f>7.8413 * CHOOSE(CONTROL!$C$15, $D$11, 100%, $F$11)</f>
        <v>7.8413000000000004</v>
      </c>
      <c r="I159" s="8">
        <f>6.9895 * CHOOSE(CONTROL!$C$15, $D$11, 100%, $F$11)</f>
        <v>6.9894999999999996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7.1246 * CHOOSE(CONTROL!$C$15, $D$11, 100%, $F$11)</f>
        <v>7.1246</v>
      </c>
      <c r="C160" s="8">
        <f>7.1298 * CHOOSE(CONTROL!$C$15, $D$11, 100%, $F$11)</f>
        <v>7.1298000000000004</v>
      </c>
      <c r="D160" s="8">
        <f>7.124 * CHOOSE( CONTROL!$C$15, $D$11, 100%, $F$11)</f>
        <v>7.1239999999999997</v>
      </c>
      <c r="E160" s="12">
        <f>7.1256 * CHOOSE( CONTROL!$C$15, $D$11, 100%, $F$11)</f>
        <v>7.1256000000000004</v>
      </c>
      <c r="F160" s="4">
        <f>7.775 * CHOOSE(CONTROL!$C$15, $D$11, 100%, $F$11)</f>
        <v>7.7750000000000004</v>
      </c>
      <c r="G160" s="8">
        <f>6.9594 * CHOOSE( CONTROL!$C$15, $D$11, 100%, $F$11)</f>
        <v>6.9593999999999996</v>
      </c>
      <c r="H160" s="4">
        <f>7.8287 * CHOOSE(CONTROL!$C$15, $D$11, 100%, $F$11)</f>
        <v>7.8287000000000004</v>
      </c>
      <c r="I160" s="8">
        <f>6.9817 * CHOOSE(CONTROL!$C$15, $D$11, 100%, $F$11)</f>
        <v>6.9817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7.3787 * CHOOSE(CONTROL!$C$15, $D$11, 100%, $F$11)</f>
        <v>7.3787000000000003</v>
      </c>
      <c r="C161" s="8">
        <f>7.3838 * CHOOSE(CONTROL!$C$15, $D$11, 100%, $F$11)</f>
        <v>7.3837999999999999</v>
      </c>
      <c r="D161" s="8">
        <f>7.3639 * CHOOSE( CONTROL!$C$15, $D$11, 100%, $F$11)</f>
        <v>7.3639000000000001</v>
      </c>
      <c r="E161" s="12">
        <f>7.3706 * CHOOSE( CONTROL!$C$15, $D$11, 100%, $F$11)</f>
        <v>7.3705999999999996</v>
      </c>
      <c r="F161" s="4">
        <f>8.0291 * CHOOSE(CONTROL!$C$15, $D$11, 100%, $F$11)</f>
        <v>8.0290999999999997</v>
      </c>
      <c r="G161" s="8">
        <f>7.1908 * CHOOSE( CONTROL!$C$15, $D$11, 100%, $F$11)</f>
        <v>7.1908000000000003</v>
      </c>
      <c r="H161" s="4">
        <f>8.0768 * CHOOSE(CONTROL!$C$15, $D$11, 100%, $F$11)</f>
        <v>8.0768000000000004</v>
      </c>
      <c r="I161" s="8">
        <f>7.1822 * CHOOSE(CONTROL!$C$15, $D$11, 100%, $F$11)</f>
        <v>7.1821999999999999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6.9035 * CHOOSE(CONTROL!$C$15, $D$11, 100%, $F$11)</f>
        <v>6.9035000000000002</v>
      </c>
      <c r="C162" s="8">
        <f>6.9087 * CHOOSE(CONTROL!$C$15, $D$11, 100%, $F$11)</f>
        <v>6.9086999999999996</v>
      </c>
      <c r="D162" s="8">
        <f>6.8887 * CHOOSE( CONTROL!$C$15, $D$11, 100%, $F$11)</f>
        <v>6.8887</v>
      </c>
      <c r="E162" s="12">
        <f>6.8955 * CHOOSE( CONTROL!$C$15, $D$11, 100%, $F$11)</f>
        <v>6.8955000000000002</v>
      </c>
      <c r="F162" s="4">
        <f>7.5539 * CHOOSE(CONTROL!$C$15, $D$11, 100%, $F$11)</f>
        <v>7.5538999999999996</v>
      </c>
      <c r="G162" s="8">
        <f>6.7267 * CHOOSE( CONTROL!$C$15, $D$11, 100%, $F$11)</f>
        <v>6.7267000000000001</v>
      </c>
      <c r="H162" s="4">
        <f>7.6127 * CHOOSE(CONTROL!$C$15, $D$11, 100%, $F$11)</f>
        <v>7.6127000000000002</v>
      </c>
      <c r="I162" s="8">
        <f>6.7257 * CHOOSE(CONTROL!$C$15, $D$11, 100%, $F$11)</f>
        <v>6.7256999999999998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6.7571 * CHOOSE(CONTROL!$C$15, $D$11, 100%, $F$11)</f>
        <v>6.7571000000000003</v>
      </c>
      <c r="C163" s="8">
        <f>6.7623 * CHOOSE(CONTROL!$C$15, $D$11, 100%, $F$11)</f>
        <v>6.7622999999999998</v>
      </c>
      <c r="D163" s="8">
        <f>6.742 * CHOOSE( CONTROL!$C$15, $D$11, 100%, $F$11)</f>
        <v>6.742</v>
      </c>
      <c r="E163" s="12">
        <f>6.7489 * CHOOSE( CONTROL!$C$15, $D$11, 100%, $F$11)</f>
        <v>6.7488999999999999</v>
      </c>
      <c r="F163" s="4">
        <f>7.4076 * CHOOSE(CONTROL!$C$15, $D$11, 100%, $F$11)</f>
        <v>7.4076000000000004</v>
      </c>
      <c r="G163" s="8">
        <f>6.5834 * CHOOSE( CONTROL!$C$15, $D$11, 100%, $F$11)</f>
        <v>6.5834000000000001</v>
      </c>
      <c r="H163" s="4">
        <f>7.4698 * CHOOSE(CONTROL!$C$15, $D$11, 100%, $F$11)</f>
        <v>7.4698000000000002</v>
      </c>
      <c r="I163" s="8">
        <f>6.584 * CHOOSE(CONTROL!$C$15, $D$11, 100%, $F$11)</f>
        <v>6.5839999999999996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6.8601 * CHOOSE(CONTROL!$C$15, $D$11, 100%, $F$11)</f>
        <v>6.8601000000000001</v>
      </c>
      <c r="C164" s="8">
        <f>6.8648 * CHOOSE(CONTROL!$C$15, $D$11, 100%, $F$11)</f>
        <v>6.8647999999999998</v>
      </c>
      <c r="D164" s="8">
        <f>6.8957 * CHOOSE( CONTROL!$C$15, $D$11, 100%, $F$11)</f>
        <v>6.8956999999999997</v>
      </c>
      <c r="E164" s="12">
        <f>6.885 * CHOOSE( CONTROL!$C$15, $D$11, 100%, $F$11)</f>
        <v>6.8849999999999998</v>
      </c>
      <c r="F164" s="4">
        <f>7.5749 * CHOOSE(CONTROL!$C$15, $D$11, 100%, $F$11)</f>
        <v>7.5749000000000004</v>
      </c>
      <c r="G164" s="8">
        <f>6.6853 * CHOOSE( CONTROL!$C$15, $D$11, 100%, $F$11)</f>
        <v>6.6852999999999998</v>
      </c>
      <c r="H164" s="4">
        <f>7.6332 * CHOOSE(CONTROL!$C$15, $D$11, 100%, $F$11)</f>
        <v>7.6332000000000004</v>
      </c>
      <c r="I164" s="8">
        <f>6.6756 * CHOOSE(CONTROL!$C$15, $D$11, 100%, $F$11)</f>
        <v>6.6756000000000002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7.0469, 7.0435) * CHOOSE(CONTROL!$C$15, $D$11, 100%, $F$11)</f>
        <v>7.0468999999999999</v>
      </c>
      <c r="C165" s="8">
        <f>CHOOSE( CONTROL!$C$32, 7.055, 7.0516) * CHOOSE(CONTROL!$C$15, $D$11, 100%, $F$11)</f>
        <v>7.0549999999999997</v>
      </c>
      <c r="D165" s="8">
        <f>CHOOSE( CONTROL!$C$32, 7.0806, 7.0772) * CHOOSE( CONTROL!$C$15, $D$11, 100%, $F$11)</f>
        <v>7.0805999999999996</v>
      </c>
      <c r="E165" s="12">
        <f>CHOOSE( CONTROL!$C$32, 7.0701, 7.0667) * CHOOSE( CONTROL!$C$15, $D$11, 100%, $F$11)</f>
        <v>7.0701000000000001</v>
      </c>
      <c r="F165" s="4">
        <f>CHOOSE( CONTROL!$C$32, 7.7604, 7.757) * CHOOSE(CONTROL!$C$15, $D$11, 100%, $F$11)</f>
        <v>7.7603999999999997</v>
      </c>
      <c r="G165" s="8">
        <f>CHOOSE( CONTROL!$C$32, 6.8672, 6.8639) * CHOOSE( CONTROL!$C$15, $D$11, 100%, $F$11)</f>
        <v>6.8672000000000004</v>
      </c>
      <c r="H165" s="4">
        <f>CHOOSE( CONTROL!$C$32, 7.8143, 7.811) * CHOOSE(CONTROL!$C$15, $D$11, 100%, $F$11)</f>
        <v>7.8143000000000002</v>
      </c>
      <c r="I165" s="8">
        <f>CHOOSE( CONTROL!$C$32, 6.8538, 6.8506) * CHOOSE(CONTROL!$C$15, $D$11, 100%, $F$11)</f>
        <v>6.8537999999999997</v>
      </c>
      <c r="J165" s="4">
        <f>CHOOSE( CONTROL!$C$32, 6.7365, 6.7333) * CHOOSE(CONTROL!$C$15, $D$11, 100%, $F$11)</f>
        <v>6.7365000000000004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6.9342, 6.9308) * CHOOSE(CONTROL!$C$15, $D$11, 100%, $F$11)</f>
        <v>6.9341999999999997</v>
      </c>
      <c r="C166" s="8">
        <f>CHOOSE( CONTROL!$C$32, 6.9423, 6.9389) * CHOOSE(CONTROL!$C$15, $D$11, 100%, $F$11)</f>
        <v>6.9423000000000004</v>
      </c>
      <c r="D166" s="8">
        <f>CHOOSE( CONTROL!$C$32, 6.9681, 6.9647) * CHOOSE( CONTROL!$C$15, $D$11, 100%, $F$11)</f>
        <v>6.9680999999999997</v>
      </c>
      <c r="E166" s="12">
        <f>CHOOSE( CONTROL!$C$32, 6.9575, 6.9541) * CHOOSE( CONTROL!$C$15, $D$11, 100%, $F$11)</f>
        <v>6.9574999999999996</v>
      </c>
      <c r="F166" s="4">
        <f>CHOOSE( CONTROL!$C$32, 7.6476, 7.6442) * CHOOSE(CONTROL!$C$15, $D$11, 100%, $F$11)</f>
        <v>7.6475999999999997</v>
      </c>
      <c r="G166" s="8">
        <f>CHOOSE( CONTROL!$C$32, 6.7574, 6.754) * CHOOSE( CONTROL!$C$15, $D$11, 100%, $F$11)</f>
        <v>6.7573999999999996</v>
      </c>
      <c r="H166" s="4">
        <f>CHOOSE( CONTROL!$C$32, 7.7042, 7.7009) * CHOOSE(CONTROL!$C$15, $D$11, 100%, $F$11)</f>
        <v>7.7042000000000002</v>
      </c>
      <c r="I166" s="8">
        <f>CHOOSE( CONTROL!$C$32, 6.7465, 6.7432) * CHOOSE(CONTROL!$C$15, $D$11, 100%, $F$11)</f>
        <v>6.7465000000000002</v>
      </c>
      <c r="J166" s="4">
        <f>CHOOSE( CONTROL!$C$32, 6.6283, 6.625) * CHOOSE(CONTROL!$C$15, $D$11, 100%, $F$11)</f>
        <v>6.6283000000000003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7.2311, 7.2277) * CHOOSE(CONTROL!$C$15, $D$11, 100%, $F$11)</f>
        <v>7.2310999999999996</v>
      </c>
      <c r="C167" s="8">
        <f>CHOOSE( CONTROL!$C$32, 7.2392, 7.2358) * CHOOSE(CONTROL!$C$15, $D$11, 100%, $F$11)</f>
        <v>7.2392000000000003</v>
      </c>
      <c r="D167" s="8">
        <f>CHOOSE( CONTROL!$C$32, 7.2652, 7.2618) * CHOOSE( CONTROL!$C$15, $D$11, 100%, $F$11)</f>
        <v>7.2652000000000001</v>
      </c>
      <c r="E167" s="12">
        <f>CHOOSE( CONTROL!$C$32, 7.2545, 7.2511) * CHOOSE( CONTROL!$C$15, $D$11, 100%, $F$11)</f>
        <v>7.2545000000000002</v>
      </c>
      <c r="F167" s="4">
        <f>CHOOSE( CONTROL!$C$32, 7.9445, 7.9411) * CHOOSE(CONTROL!$C$15, $D$11, 100%, $F$11)</f>
        <v>7.9444999999999997</v>
      </c>
      <c r="G167" s="8">
        <f>CHOOSE( CONTROL!$C$32, 7.0477, 7.0444) * CHOOSE( CONTROL!$C$15, $D$11, 100%, $F$11)</f>
        <v>7.0476999999999999</v>
      </c>
      <c r="H167" s="4">
        <f>CHOOSE( CONTROL!$C$32, 7.9942, 7.9909) * CHOOSE(CONTROL!$C$15, $D$11, 100%, $F$11)</f>
        <v>7.9942000000000002</v>
      </c>
      <c r="I167" s="8">
        <f>CHOOSE( CONTROL!$C$32, 7.0328, 7.0295) * CHOOSE(CONTROL!$C$15, $D$11, 100%, $F$11)</f>
        <v>7.0327999999999999</v>
      </c>
      <c r="J167" s="4">
        <f>CHOOSE( CONTROL!$C$32, 6.9134, 6.9101) * CHOOSE(CONTROL!$C$15, $D$11, 100%, $F$11)</f>
        <v>6.9134000000000002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6.6755, 6.6721) * CHOOSE(CONTROL!$C$15, $D$11, 100%, $F$11)</f>
        <v>6.6755000000000004</v>
      </c>
      <c r="C168" s="8">
        <f>CHOOSE( CONTROL!$C$32, 6.6836, 6.6802) * CHOOSE(CONTROL!$C$15, $D$11, 100%, $F$11)</f>
        <v>6.6836000000000002</v>
      </c>
      <c r="D168" s="8">
        <f>CHOOSE( CONTROL!$C$32, 6.7097, 6.7063) * CHOOSE( CONTROL!$C$15, $D$11, 100%, $F$11)</f>
        <v>6.7096999999999998</v>
      </c>
      <c r="E168" s="12">
        <f>CHOOSE( CONTROL!$C$32, 6.699, 6.6956) * CHOOSE( CONTROL!$C$15, $D$11, 100%, $F$11)</f>
        <v>6.6989999999999998</v>
      </c>
      <c r="F168" s="4">
        <f>CHOOSE( CONTROL!$C$32, 7.389, 7.3856) * CHOOSE(CONTROL!$C$15, $D$11, 100%, $F$11)</f>
        <v>7.3890000000000002</v>
      </c>
      <c r="G168" s="8">
        <f>CHOOSE( CONTROL!$C$32, 6.5052, 6.5019) * CHOOSE( CONTROL!$C$15, $D$11, 100%, $F$11)</f>
        <v>6.5052000000000003</v>
      </c>
      <c r="H168" s="4">
        <f>CHOOSE( CONTROL!$C$32, 7.4516, 7.4483) * CHOOSE(CONTROL!$C$15, $D$11, 100%, $F$11)</f>
        <v>7.4516</v>
      </c>
      <c r="I168" s="8">
        <f>CHOOSE( CONTROL!$C$32, 6.4996, 6.4963) * CHOOSE(CONTROL!$C$15, $D$11, 100%, $F$11)</f>
        <v>6.4996</v>
      </c>
      <c r="J168" s="4">
        <f>CHOOSE( CONTROL!$C$32, 6.38, 6.3767) * CHOOSE(CONTROL!$C$15, $D$11, 100%, $F$11)</f>
        <v>6.38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6.5364, 6.533) * CHOOSE(CONTROL!$C$15, $D$11, 100%, $F$11)</f>
        <v>6.5364000000000004</v>
      </c>
      <c r="C169" s="8">
        <f>CHOOSE( CONTROL!$C$32, 6.5445, 6.5411) * CHOOSE(CONTROL!$C$15, $D$11, 100%, $F$11)</f>
        <v>6.5445000000000002</v>
      </c>
      <c r="D169" s="8">
        <f>CHOOSE( CONTROL!$C$32, 6.5706, 6.5672) * CHOOSE( CONTROL!$C$15, $D$11, 100%, $F$11)</f>
        <v>6.5705999999999998</v>
      </c>
      <c r="E169" s="12">
        <f>CHOOSE( CONTROL!$C$32, 6.5599, 6.5565) * CHOOSE( CONTROL!$C$15, $D$11, 100%, $F$11)</f>
        <v>6.5598999999999998</v>
      </c>
      <c r="F169" s="4">
        <f>CHOOSE( CONTROL!$C$32, 7.2498, 7.2464) * CHOOSE(CONTROL!$C$15, $D$11, 100%, $F$11)</f>
        <v>7.2497999999999996</v>
      </c>
      <c r="G169" s="8">
        <f>CHOOSE( CONTROL!$C$32, 6.3693, 6.366) * CHOOSE( CONTROL!$C$15, $D$11, 100%, $F$11)</f>
        <v>6.3693</v>
      </c>
      <c r="H169" s="4">
        <f>CHOOSE( CONTROL!$C$32, 7.3157, 7.3124) * CHOOSE(CONTROL!$C$15, $D$11, 100%, $F$11)</f>
        <v>7.3156999999999996</v>
      </c>
      <c r="I169" s="8">
        <f>CHOOSE( CONTROL!$C$32, 6.3658, 6.3625) * CHOOSE(CONTROL!$C$15, $D$11, 100%, $F$11)</f>
        <v>6.3658000000000001</v>
      </c>
      <c r="J169" s="4">
        <f>CHOOSE( CONTROL!$C$32, 6.2464, 6.2431) * CHOOSE(CONTROL!$C$15, $D$11, 100%, $F$11)</f>
        <v>6.2464000000000004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6.8201 * CHOOSE(CONTROL!$C$15, $D$11, 100%, $F$11)</f>
        <v>6.8201000000000001</v>
      </c>
      <c r="C170" s="8">
        <f>6.8256 * CHOOSE(CONTROL!$C$15, $D$11, 100%, $F$11)</f>
        <v>6.8255999999999997</v>
      </c>
      <c r="D170" s="8">
        <f>6.8567 * CHOOSE( CONTROL!$C$15, $D$11, 100%, $F$11)</f>
        <v>6.8567</v>
      </c>
      <c r="E170" s="12">
        <f>6.8458 * CHOOSE( CONTROL!$C$15, $D$11, 100%, $F$11)</f>
        <v>6.8457999999999997</v>
      </c>
      <c r="F170" s="4">
        <f>7.5353 * CHOOSE(CONTROL!$C$15, $D$11, 100%, $F$11)</f>
        <v>7.5353000000000003</v>
      </c>
      <c r="G170" s="8">
        <f>6.6477 * CHOOSE( CONTROL!$C$15, $D$11, 100%, $F$11)</f>
        <v>6.6477000000000004</v>
      </c>
      <c r="H170" s="4">
        <f>7.5945 * CHOOSE(CONTROL!$C$15, $D$11, 100%, $F$11)</f>
        <v>7.5945</v>
      </c>
      <c r="I170" s="8">
        <f>6.6408 * CHOOSE(CONTROL!$C$15, $D$11, 100%, $F$11)</f>
        <v>6.6407999999999996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7.3529 * CHOOSE(CONTROL!$C$15, $D$11, 100%, $F$11)</f>
        <v>7.3529</v>
      </c>
      <c r="C171" s="8">
        <f>7.3581 * CHOOSE(CONTROL!$C$15, $D$11, 100%, $F$11)</f>
        <v>7.3581000000000003</v>
      </c>
      <c r="D171" s="8">
        <f>7.351 * CHOOSE( CONTROL!$C$15, $D$11, 100%, $F$11)</f>
        <v>7.351</v>
      </c>
      <c r="E171" s="12">
        <f>7.353 * CHOOSE( CONTROL!$C$15, $D$11, 100%, $F$11)</f>
        <v>7.3529999999999998</v>
      </c>
      <c r="F171" s="4">
        <f>8.0034 * CHOOSE(CONTROL!$C$15, $D$11, 100%, $F$11)</f>
        <v>8.0033999999999992</v>
      </c>
      <c r="G171" s="8">
        <f>7.1814 * CHOOSE( CONTROL!$C$15, $D$11, 100%, $F$11)</f>
        <v>7.1814</v>
      </c>
      <c r="H171" s="4">
        <f>8.0517 * CHOOSE(CONTROL!$C$15, $D$11, 100%, $F$11)</f>
        <v>8.0517000000000003</v>
      </c>
      <c r="I171" s="8">
        <f>7.1964 * CHOOSE(CONTROL!$C$15, $D$11, 100%, $F$11)</f>
        <v>7.1963999999999997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7.3396 * CHOOSE(CONTROL!$C$15, $D$11, 100%, $F$11)</f>
        <v>7.3395999999999999</v>
      </c>
      <c r="C172" s="8">
        <f>7.3448 * CHOOSE(CONTROL!$C$15, $D$11, 100%, $F$11)</f>
        <v>7.3448000000000002</v>
      </c>
      <c r="D172" s="8">
        <f>7.3391 * CHOOSE( CONTROL!$C$15, $D$11, 100%, $F$11)</f>
        <v>7.3391000000000002</v>
      </c>
      <c r="E172" s="12">
        <f>7.3406 * CHOOSE( CONTROL!$C$15, $D$11, 100%, $F$11)</f>
        <v>7.3406000000000002</v>
      </c>
      <c r="F172" s="4">
        <f>7.9901 * CHOOSE(CONTROL!$C$15, $D$11, 100%, $F$11)</f>
        <v>7.9901</v>
      </c>
      <c r="G172" s="8">
        <f>7.1695 * CHOOSE( CONTROL!$C$15, $D$11, 100%, $F$11)</f>
        <v>7.1695000000000002</v>
      </c>
      <c r="H172" s="4">
        <f>8.0387 * CHOOSE(CONTROL!$C$15, $D$11, 100%, $F$11)</f>
        <v>8.0387000000000004</v>
      </c>
      <c r="I172" s="8">
        <f>7.1883 * CHOOSE(CONTROL!$C$15, $D$11, 100%, $F$11)</f>
        <v>7.1882999999999999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7.6006 * CHOOSE(CONTROL!$C$15, $D$11, 100%, $F$11)</f>
        <v>7.6006</v>
      </c>
      <c r="C173" s="8">
        <f>7.6058 * CHOOSE(CONTROL!$C$15, $D$11, 100%, $F$11)</f>
        <v>7.6058000000000003</v>
      </c>
      <c r="D173" s="8">
        <f>7.5859 * CHOOSE( CONTROL!$C$15, $D$11, 100%, $F$11)</f>
        <v>7.5858999999999996</v>
      </c>
      <c r="E173" s="12">
        <f>7.5926 * CHOOSE( CONTROL!$C$15, $D$11, 100%, $F$11)</f>
        <v>7.5926</v>
      </c>
      <c r="F173" s="4">
        <f>8.2511 * CHOOSE(CONTROL!$C$15, $D$11, 100%, $F$11)</f>
        <v>8.2510999999999992</v>
      </c>
      <c r="G173" s="8">
        <f>7.4076 * CHOOSE( CONTROL!$C$15, $D$11, 100%, $F$11)</f>
        <v>7.4076000000000004</v>
      </c>
      <c r="H173" s="4">
        <f>8.2936 * CHOOSE(CONTROL!$C$15, $D$11, 100%, $F$11)</f>
        <v>8.2935999999999996</v>
      </c>
      <c r="I173" s="8">
        <f>7.3955 * CHOOSE(CONTROL!$C$15, $D$11, 100%, $F$11)</f>
        <v>7.3955000000000002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7.1111 * CHOOSE(CONTROL!$C$15, $D$11, 100%, $F$11)</f>
        <v>7.1111000000000004</v>
      </c>
      <c r="C174" s="8">
        <f>7.1163 * CHOOSE(CONTROL!$C$15, $D$11, 100%, $F$11)</f>
        <v>7.1162999999999998</v>
      </c>
      <c r="D174" s="8">
        <f>7.0964 * CHOOSE( CONTROL!$C$15, $D$11, 100%, $F$11)</f>
        <v>7.0964</v>
      </c>
      <c r="E174" s="12">
        <f>7.1031 * CHOOSE( CONTROL!$C$15, $D$11, 100%, $F$11)</f>
        <v>7.1031000000000004</v>
      </c>
      <c r="F174" s="4">
        <f>7.7616 * CHOOSE(CONTROL!$C$15, $D$11, 100%, $F$11)</f>
        <v>7.7615999999999996</v>
      </c>
      <c r="G174" s="8">
        <f>6.9294 * CHOOSE( CONTROL!$C$15, $D$11, 100%, $F$11)</f>
        <v>6.9294000000000002</v>
      </c>
      <c r="H174" s="4">
        <f>7.8155 * CHOOSE(CONTROL!$C$15, $D$11, 100%, $F$11)</f>
        <v>7.8155000000000001</v>
      </c>
      <c r="I174" s="8">
        <f>6.9252 * CHOOSE(CONTROL!$C$15, $D$11, 100%, $F$11)</f>
        <v>6.9252000000000002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6.9603 * CHOOSE(CONTROL!$C$15, $D$11, 100%, $F$11)</f>
        <v>6.9603000000000002</v>
      </c>
      <c r="C175" s="8">
        <f>6.9655 * CHOOSE(CONTROL!$C$15, $D$11, 100%, $F$11)</f>
        <v>6.9654999999999996</v>
      </c>
      <c r="D175" s="8">
        <f>6.9452 * CHOOSE( CONTROL!$C$15, $D$11, 100%, $F$11)</f>
        <v>6.9451999999999998</v>
      </c>
      <c r="E175" s="12">
        <f>6.9521 * CHOOSE( CONTROL!$C$15, $D$11, 100%, $F$11)</f>
        <v>6.9520999999999997</v>
      </c>
      <c r="F175" s="4">
        <f>7.6108 * CHOOSE(CONTROL!$C$15, $D$11, 100%, $F$11)</f>
        <v>7.6108000000000002</v>
      </c>
      <c r="G175" s="8">
        <f>6.7819 * CHOOSE( CONTROL!$C$15, $D$11, 100%, $F$11)</f>
        <v>6.7819000000000003</v>
      </c>
      <c r="H175" s="4">
        <f>7.6682 * CHOOSE(CONTROL!$C$15, $D$11, 100%, $F$11)</f>
        <v>7.6681999999999997</v>
      </c>
      <c r="I175" s="8">
        <f>6.7792 * CHOOSE(CONTROL!$C$15, $D$11, 100%, $F$11)</f>
        <v>6.7792000000000003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7.0664 * CHOOSE(CONTROL!$C$15, $D$11, 100%, $F$11)</f>
        <v>7.0663999999999998</v>
      </c>
      <c r="C176" s="8">
        <f>7.0711 * CHOOSE(CONTROL!$C$15, $D$11, 100%, $F$11)</f>
        <v>7.0711000000000004</v>
      </c>
      <c r="D176" s="8">
        <f>7.102 * CHOOSE( CONTROL!$C$15, $D$11, 100%, $F$11)</f>
        <v>7.1020000000000003</v>
      </c>
      <c r="E176" s="12">
        <f>7.0913 * CHOOSE( CONTROL!$C$15, $D$11, 100%, $F$11)</f>
        <v>7.0913000000000004</v>
      </c>
      <c r="F176" s="4">
        <f>7.7812 * CHOOSE(CONTROL!$C$15, $D$11, 100%, $F$11)</f>
        <v>7.7812000000000001</v>
      </c>
      <c r="G176" s="8">
        <f>6.8868 * CHOOSE( CONTROL!$C$15, $D$11, 100%, $F$11)</f>
        <v>6.8868</v>
      </c>
      <c r="H176" s="4">
        <f>7.8347 * CHOOSE(CONTROL!$C$15, $D$11, 100%, $F$11)</f>
        <v>7.8346999999999998</v>
      </c>
      <c r="I176" s="8">
        <f>6.8738 * CHOOSE(CONTROL!$C$15, $D$11, 100%, $F$11)</f>
        <v>6.8738000000000001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7.2587, 7.2553) * CHOOSE(CONTROL!$C$15, $D$11, 100%, $F$11)</f>
        <v>7.2587000000000002</v>
      </c>
      <c r="C177" s="8">
        <f>CHOOSE( CONTROL!$C$32, 7.2668, 7.2634) * CHOOSE(CONTROL!$C$15, $D$11, 100%, $F$11)</f>
        <v>7.2667999999999999</v>
      </c>
      <c r="D177" s="8">
        <f>CHOOSE( CONTROL!$C$32, 7.2924, 7.289) * CHOOSE( CONTROL!$C$15, $D$11, 100%, $F$11)</f>
        <v>7.2923999999999998</v>
      </c>
      <c r="E177" s="12">
        <f>CHOOSE( CONTROL!$C$32, 7.2819, 7.2785) * CHOOSE( CONTROL!$C$15, $D$11, 100%, $F$11)</f>
        <v>7.2819000000000003</v>
      </c>
      <c r="F177" s="4">
        <f>CHOOSE( CONTROL!$C$32, 7.9722, 7.9688) * CHOOSE(CONTROL!$C$15, $D$11, 100%, $F$11)</f>
        <v>7.9722</v>
      </c>
      <c r="G177" s="8">
        <f>CHOOSE( CONTROL!$C$32, 7.0741, 7.0707) * CHOOSE( CONTROL!$C$15, $D$11, 100%, $F$11)</f>
        <v>7.0740999999999996</v>
      </c>
      <c r="H177" s="4">
        <f>CHOOSE( CONTROL!$C$32, 8.0212, 8.0179) * CHOOSE(CONTROL!$C$15, $D$11, 100%, $F$11)</f>
        <v>8.0212000000000003</v>
      </c>
      <c r="I177" s="8">
        <f>CHOOSE( CONTROL!$C$32, 7.0573, 7.054) * CHOOSE(CONTROL!$C$15, $D$11, 100%, $F$11)</f>
        <v>7.0572999999999997</v>
      </c>
      <c r="J177" s="4">
        <f>CHOOSE( CONTROL!$C$32, 6.9399, 6.9366) * CHOOSE(CONTROL!$C$15, $D$11, 100%, $F$11)</f>
        <v>6.9398999999999997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7.1426, 7.1392) * CHOOSE(CONTROL!$C$15, $D$11, 100%, $F$11)</f>
        <v>7.1425999999999998</v>
      </c>
      <c r="C178" s="8">
        <f>CHOOSE( CONTROL!$C$32, 7.1507, 7.1473) * CHOOSE(CONTROL!$C$15, $D$11, 100%, $F$11)</f>
        <v>7.1506999999999996</v>
      </c>
      <c r="D178" s="8">
        <f>CHOOSE( CONTROL!$C$32, 7.1765, 7.1731) * CHOOSE( CONTROL!$C$15, $D$11, 100%, $F$11)</f>
        <v>7.1764999999999999</v>
      </c>
      <c r="E178" s="12">
        <f>CHOOSE( CONTROL!$C$32, 7.1659, 7.1625) * CHOOSE( CONTROL!$C$15, $D$11, 100%, $F$11)</f>
        <v>7.1658999999999997</v>
      </c>
      <c r="F178" s="4">
        <f>CHOOSE( CONTROL!$C$32, 7.856, 7.8526) * CHOOSE(CONTROL!$C$15, $D$11, 100%, $F$11)</f>
        <v>7.8559999999999999</v>
      </c>
      <c r="G178" s="8">
        <f>CHOOSE( CONTROL!$C$32, 6.9609, 6.9576) * CHOOSE( CONTROL!$C$15, $D$11, 100%, $F$11)</f>
        <v>6.9608999999999996</v>
      </c>
      <c r="H178" s="4">
        <f>CHOOSE( CONTROL!$C$32, 7.9078, 7.9044) * CHOOSE(CONTROL!$C$15, $D$11, 100%, $F$11)</f>
        <v>7.9077999999999999</v>
      </c>
      <c r="I178" s="8">
        <f>CHOOSE( CONTROL!$C$32, 6.9467, 6.9434) * CHOOSE(CONTROL!$C$15, $D$11, 100%, $F$11)</f>
        <v>6.9466999999999999</v>
      </c>
      <c r="J178" s="4">
        <f>CHOOSE( CONTROL!$C$32, 6.8284, 6.8251) * CHOOSE(CONTROL!$C$15, $D$11, 100%, $F$11)</f>
        <v>6.8284000000000002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7.4485, 7.4451) * CHOOSE(CONTROL!$C$15, $D$11, 100%, $F$11)</f>
        <v>7.4485000000000001</v>
      </c>
      <c r="C179" s="8">
        <f>CHOOSE( CONTROL!$C$32, 7.4566, 7.4531) * CHOOSE(CONTROL!$C$15, $D$11, 100%, $F$11)</f>
        <v>7.4565999999999999</v>
      </c>
      <c r="D179" s="8">
        <f>CHOOSE( CONTROL!$C$32, 7.4826, 7.4792) * CHOOSE( CONTROL!$C$15, $D$11, 100%, $F$11)</f>
        <v>7.4825999999999997</v>
      </c>
      <c r="E179" s="12">
        <f>CHOOSE( CONTROL!$C$32, 7.4719, 7.4685) * CHOOSE( CONTROL!$C$15, $D$11, 100%, $F$11)</f>
        <v>7.4718999999999998</v>
      </c>
      <c r="F179" s="4">
        <f>CHOOSE( CONTROL!$C$32, 8.1619, 8.1585) * CHOOSE(CONTROL!$C$15, $D$11, 100%, $F$11)</f>
        <v>8.1618999999999993</v>
      </c>
      <c r="G179" s="8">
        <f>CHOOSE( CONTROL!$C$32, 7.26, 7.2567) * CHOOSE( CONTROL!$C$15, $D$11, 100%, $F$11)</f>
        <v>7.26</v>
      </c>
      <c r="H179" s="4">
        <f>CHOOSE( CONTROL!$C$32, 8.2065, 8.2032) * CHOOSE(CONTROL!$C$15, $D$11, 100%, $F$11)</f>
        <v>8.2065000000000001</v>
      </c>
      <c r="I179" s="8">
        <f>CHOOSE( CONTROL!$C$32, 7.2416, 7.2383) * CHOOSE(CONTROL!$C$15, $D$11, 100%, $F$11)</f>
        <v>7.2416</v>
      </c>
      <c r="J179" s="4">
        <f>CHOOSE( CONTROL!$C$32, 7.122, 7.1188) * CHOOSE(CONTROL!$C$15, $D$11, 100%, $F$11)</f>
        <v>7.1219999999999999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6.8761, 6.8727) * CHOOSE(CONTROL!$C$15, $D$11, 100%, $F$11)</f>
        <v>6.8761000000000001</v>
      </c>
      <c r="C180" s="8">
        <f>CHOOSE( CONTROL!$C$32, 6.8842, 6.8808) * CHOOSE(CONTROL!$C$15, $D$11, 100%, $F$11)</f>
        <v>6.8841999999999999</v>
      </c>
      <c r="D180" s="8">
        <f>CHOOSE( CONTROL!$C$32, 6.9103, 6.9069) * CHOOSE( CONTROL!$C$15, $D$11, 100%, $F$11)</f>
        <v>6.9103000000000003</v>
      </c>
      <c r="E180" s="12">
        <f>CHOOSE( CONTROL!$C$32, 6.8996, 6.8962) * CHOOSE( CONTROL!$C$15, $D$11, 100%, $F$11)</f>
        <v>6.8996000000000004</v>
      </c>
      <c r="F180" s="4">
        <f>CHOOSE( CONTROL!$C$32, 7.5895, 7.5861) * CHOOSE(CONTROL!$C$15, $D$11, 100%, $F$11)</f>
        <v>7.5895000000000001</v>
      </c>
      <c r="G180" s="8">
        <f>CHOOSE( CONTROL!$C$32, 6.7011, 6.6978) * CHOOSE( CONTROL!$C$15, $D$11, 100%, $F$11)</f>
        <v>6.7011000000000003</v>
      </c>
      <c r="H180" s="4">
        <f>CHOOSE( CONTROL!$C$32, 7.6475, 7.6442) * CHOOSE(CONTROL!$C$15, $D$11, 100%, $F$11)</f>
        <v>7.6475</v>
      </c>
      <c r="I180" s="8">
        <f>CHOOSE( CONTROL!$C$32, 6.6922, 6.689) * CHOOSE(CONTROL!$C$15, $D$11, 100%, $F$11)</f>
        <v>6.6921999999999997</v>
      </c>
      <c r="J180" s="4">
        <f>CHOOSE( CONTROL!$C$32, 6.5725, 6.5693) * CHOOSE(CONTROL!$C$15, $D$11, 100%, $F$11)</f>
        <v>6.5724999999999998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6.7328, 6.7294) * CHOOSE(CONTROL!$C$15, $D$11, 100%, $F$11)</f>
        <v>6.7328000000000001</v>
      </c>
      <c r="C181" s="8">
        <f>CHOOSE( CONTROL!$C$32, 6.7409, 6.7375) * CHOOSE(CONTROL!$C$15, $D$11, 100%, $F$11)</f>
        <v>6.7408999999999999</v>
      </c>
      <c r="D181" s="8">
        <f>CHOOSE( CONTROL!$C$32, 6.767, 6.7636) * CHOOSE( CONTROL!$C$15, $D$11, 100%, $F$11)</f>
        <v>6.7670000000000003</v>
      </c>
      <c r="E181" s="12">
        <f>CHOOSE( CONTROL!$C$32, 6.7563, 6.7529) * CHOOSE( CONTROL!$C$15, $D$11, 100%, $F$11)</f>
        <v>6.7563000000000004</v>
      </c>
      <c r="F181" s="4">
        <f>CHOOSE( CONTROL!$C$32, 7.4462, 7.4428) * CHOOSE(CONTROL!$C$15, $D$11, 100%, $F$11)</f>
        <v>7.4462000000000002</v>
      </c>
      <c r="G181" s="8">
        <f>CHOOSE( CONTROL!$C$32, 6.5611, 6.5578) * CHOOSE( CONTROL!$C$15, $D$11, 100%, $F$11)</f>
        <v>6.5610999999999997</v>
      </c>
      <c r="H181" s="4">
        <f>CHOOSE( CONTROL!$C$32, 7.5075, 7.5042) * CHOOSE(CONTROL!$C$15, $D$11, 100%, $F$11)</f>
        <v>7.5075000000000003</v>
      </c>
      <c r="I181" s="8">
        <f>CHOOSE( CONTROL!$C$32, 6.5544, 6.5511) * CHOOSE(CONTROL!$C$15, $D$11, 100%, $F$11)</f>
        <v>6.5544000000000002</v>
      </c>
      <c r="J181" s="4">
        <f>CHOOSE( CONTROL!$C$32, 6.4349, 6.4317) * CHOOSE(CONTROL!$C$15, $D$11, 100%, $F$11)</f>
        <v>6.4348999999999998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7.0252 * CHOOSE(CONTROL!$C$15, $D$11, 100%, $F$11)</f>
        <v>7.0251999999999999</v>
      </c>
      <c r="C182" s="8">
        <f>7.0307 * CHOOSE(CONTROL!$C$15, $D$11, 100%, $F$11)</f>
        <v>7.0307000000000004</v>
      </c>
      <c r="D182" s="8">
        <f>7.0618 * CHOOSE( CONTROL!$C$15, $D$11, 100%, $F$11)</f>
        <v>7.0617999999999999</v>
      </c>
      <c r="E182" s="12">
        <f>7.0509 * CHOOSE( CONTROL!$C$15, $D$11, 100%, $F$11)</f>
        <v>7.0509000000000004</v>
      </c>
      <c r="F182" s="4">
        <f>7.7404 * CHOOSE(CONTROL!$C$15, $D$11, 100%, $F$11)</f>
        <v>7.7404000000000002</v>
      </c>
      <c r="G182" s="8">
        <f>6.848 * CHOOSE( CONTROL!$C$15, $D$11, 100%, $F$11)</f>
        <v>6.8479999999999999</v>
      </c>
      <c r="H182" s="4">
        <f>7.7948 * CHOOSE(CONTROL!$C$15, $D$11, 100%, $F$11)</f>
        <v>7.7948000000000004</v>
      </c>
      <c r="I182" s="8">
        <f>6.8378 * CHOOSE(CONTROL!$C$15, $D$11, 100%, $F$11)</f>
        <v>6.8377999999999997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7.5741 * CHOOSE(CONTROL!$C$15, $D$11, 100%, $F$11)</f>
        <v>7.5740999999999996</v>
      </c>
      <c r="C183" s="8">
        <f>7.5793 * CHOOSE(CONTROL!$C$15, $D$11, 100%, $F$11)</f>
        <v>7.5792999999999999</v>
      </c>
      <c r="D183" s="8">
        <f>7.5722 * CHOOSE( CONTROL!$C$15, $D$11, 100%, $F$11)</f>
        <v>7.5721999999999996</v>
      </c>
      <c r="E183" s="12">
        <f>7.5742 * CHOOSE( CONTROL!$C$15, $D$11, 100%, $F$11)</f>
        <v>7.5742000000000003</v>
      </c>
      <c r="F183" s="4">
        <f>8.2246 * CHOOSE(CONTROL!$C$15, $D$11, 100%, $F$11)</f>
        <v>8.2246000000000006</v>
      </c>
      <c r="G183" s="8">
        <f>7.3975 * CHOOSE( CONTROL!$C$15, $D$11, 100%, $F$11)</f>
        <v>7.3975</v>
      </c>
      <c r="H183" s="4">
        <f>8.2678 * CHOOSE(CONTROL!$C$15, $D$11, 100%, $F$11)</f>
        <v>8.2677999999999994</v>
      </c>
      <c r="I183" s="8">
        <f>7.4089 * CHOOSE(CONTROL!$C$15, $D$11, 100%, $F$11)</f>
        <v>7.4089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7.5604 * CHOOSE(CONTROL!$C$15, $D$11, 100%, $F$11)</f>
        <v>7.5603999999999996</v>
      </c>
      <c r="C184" s="8">
        <f>7.5656 * CHOOSE(CONTROL!$C$15, $D$11, 100%, $F$11)</f>
        <v>7.5655999999999999</v>
      </c>
      <c r="D184" s="8">
        <f>7.5599 * CHOOSE( CONTROL!$C$15, $D$11, 100%, $F$11)</f>
        <v>7.5598999999999998</v>
      </c>
      <c r="E184" s="12">
        <f>7.5614 * CHOOSE( CONTROL!$C$15, $D$11, 100%, $F$11)</f>
        <v>7.5613999999999999</v>
      </c>
      <c r="F184" s="4">
        <f>8.2109 * CHOOSE(CONTROL!$C$15, $D$11, 100%, $F$11)</f>
        <v>8.2109000000000005</v>
      </c>
      <c r="G184" s="8">
        <f>7.3851 * CHOOSE( CONTROL!$C$15, $D$11, 100%, $F$11)</f>
        <v>7.3851000000000004</v>
      </c>
      <c r="H184" s="4">
        <f>8.2544 * CHOOSE(CONTROL!$C$15, $D$11, 100%, $F$11)</f>
        <v>8.2544000000000004</v>
      </c>
      <c r="I184" s="8">
        <f>7.4004 * CHOOSE(CONTROL!$C$15, $D$11, 100%, $F$11)</f>
        <v>7.4004000000000003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7.8286 * CHOOSE(CONTROL!$C$15, $D$11, 100%, $F$11)</f>
        <v>7.8285999999999998</v>
      </c>
      <c r="C185" s="8">
        <f>7.8337 * CHOOSE(CONTROL!$C$15, $D$11, 100%, $F$11)</f>
        <v>7.8337000000000003</v>
      </c>
      <c r="D185" s="8">
        <f>7.8138 * CHOOSE( CONTROL!$C$15, $D$11, 100%, $F$11)</f>
        <v>7.8137999999999996</v>
      </c>
      <c r="E185" s="12">
        <f>7.8205 * CHOOSE( CONTROL!$C$15, $D$11, 100%, $F$11)</f>
        <v>7.8205</v>
      </c>
      <c r="F185" s="4">
        <f>8.479 * CHOOSE(CONTROL!$C$15, $D$11, 100%, $F$11)</f>
        <v>8.4789999999999992</v>
      </c>
      <c r="G185" s="8">
        <f>7.6302 * CHOOSE( CONTROL!$C$15, $D$11, 100%, $F$11)</f>
        <v>7.6302000000000003</v>
      </c>
      <c r="H185" s="4">
        <f>8.5163 * CHOOSE(CONTROL!$C$15, $D$11, 100%, $F$11)</f>
        <v>8.5162999999999993</v>
      </c>
      <c r="I185" s="8">
        <f>7.6144 * CHOOSE(CONTROL!$C$15, $D$11, 100%, $F$11)</f>
        <v>7.6143999999999998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7.3243 * CHOOSE(CONTROL!$C$15, $D$11, 100%, $F$11)</f>
        <v>7.3243</v>
      </c>
      <c r="C186" s="8">
        <f>7.3295 * CHOOSE(CONTROL!$C$15, $D$11, 100%, $F$11)</f>
        <v>7.3295000000000003</v>
      </c>
      <c r="D186" s="8">
        <f>7.3095 * CHOOSE( CONTROL!$C$15, $D$11, 100%, $F$11)</f>
        <v>7.3094999999999999</v>
      </c>
      <c r="E186" s="12">
        <f>7.3163 * CHOOSE( CONTROL!$C$15, $D$11, 100%, $F$11)</f>
        <v>7.3163</v>
      </c>
      <c r="F186" s="4">
        <f>7.9748 * CHOOSE(CONTROL!$C$15, $D$11, 100%, $F$11)</f>
        <v>7.9748000000000001</v>
      </c>
      <c r="G186" s="8">
        <f>7.1377 * CHOOSE( CONTROL!$C$15, $D$11, 100%, $F$11)</f>
        <v>7.1376999999999997</v>
      </c>
      <c r="H186" s="4">
        <f>8.0237 * CHOOSE(CONTROL!$C$15, $D$11, 100%, $F$11)</f>
        <v>8.0236999999999998</v>
      </c>
      <c r="I186" s="8">
        <f>7.13 * CHOOSE(CONTROL!$C$15, $D$11, 100%, $F$11)</f>
        <v>7.13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7.169 * CHOOSE(CONTROL!$C$15, $D$11, 100%, $F$11)</f>
        <v>7.1689999999999996</v>
      </c>
      <c r="C187" s="8">
        <f>7.1742 * CHOOSE(CONTROL!$C$15, $D$11, 100%, $F$11)</f>
        <v>7.1741999999999999</v>
      </c>
      <c r="D187" s="8">
        <f>7.1539 * CHOOSE( CONTROL!$C$15, $D$11, 100%, $F$11)</f>
        <v>7.1539000000000001</v>
      </c>
      <c r="E187" s="12">
        <f>7.1608 * CHOOSE( CONTROL!$C$15, $D$11, 100%, $F$11)</f>
        <v>7.1608000000000001</v>
      </c>
      <c r="F187" s="4">
        <f>7.8194 * CHOOSE(CONTROL!$C$15, $D$11, 100%, $F$11)</f>
        <v>7.8193999999999999</v>
      </c>
      <c r="G187" s="8">
        <f>6.9857 * CHOOSE( CONTROL!$C$15, $D$11, 100%, $F$11)</f>
        <v>6.9856999999999996</v>
      </c>
      <c r="H187" s="4">
        <f>7.872 * CHOOSE(CONTROL!$C$15, $D$11, 100%, $F$11)</f>
        <v>7.8719999999999999</v>
      </c>
      <c r="I187" s="8">
        <f>6.9796 * CHOOSE(CONTROL!$C$15, $D$11, 100%, $F$11)</f>
        <v>6.9795999999999996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7.2783 * CHOOSE(CONTROL!$C$15, $D$11, 100%, $F$11)</f>
        <v>7.2782999999999998</v>
      </c>
      <c r="C188" s="8">
        <f>7.2829 * CHOOSE(CONTROL!$C$15, $D$11, 100%, $F$11)</f>
        <v>7.2828999999999997</v>
      </c>
      <c r="D188" s="8">
        <f>7.3138 * CHOOSE( CONTROL!$C$15, $D$11, 100%, $F$11)</f>
        <v>7.3137999999999996</v>
      </c>
      <c r="E188" s="12">
        <f>7.3031 * CHOOSE( CONTROL!$C$15, $D$11, 100%, $F$11)</f>
        <v>7.3030999999999997</v>
      </c>
      <c r="F188" s="4">
        <f>7.9931 * CHOOSE(CONTROL!$C$15, $D$11, 100%, $F$11)</f>
        <v>7.9931000000000001</v>
      </c>
      <c r="G188" s="8">
        <f>7.0937 * CHOOSE( CONTROL!$C$15, $D$11, 100%, $F$11)</f>
        <v>7.0937000000000001</v>
      </c>
      <c r="H188" s="4">
        <f>8.0416 * CHOOSE(CONTROL!$C$15, $D$11, 100%, $F$11)</f>
        <v>8.0416000000000007</v>
      </c>
      <c r="I188" s="8">
        <f>7.0772 * CHOOSE(CONTROL!$C$15, $D$11, 100%, $F$11)</f>
        <v>7.0772000000000004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7.4762, 7.4728) * CHOOSE(CONTROL!$C$15, $D$11, 100%, $F$11)</f>
        <v>7.4762000000000004</v>
      </c>
      <c r="C189" s="8">
        <f>CHOOSE( CONTROL!$C$32, 7.4843, 7.4809) * CHOOSE(CONTROL!$C$15, $D$11, 100%, $F$11)</f>
        <v>7.4843000000000002</v>
      </c>
      <c r="D189" s="8">
        <f>CHOOSE( CONTROL!$C$32, 7.5099, 7.5065) * CHOOSE( CONTROL!$C$15, $D$11, 100%, $F$11)</f>
        <v>7.5099</v>
      </c>
      <c r="E189" s="12">
        <f>CHOOSE( CONTROL!$C$32, 7.4994, 7.496) * CHOOSE( CONTROL!$C$15, $D$11, 100%, $F$11)</f>
        <v>7.4993999999999996</v>
      </c>
      <c r="F189" s="4">
        <f>CHOOSE( CONTROL!$C$32, 8.1896, 8.1862) * CHOOSE(CONTROL!$C$15, $D$11, 100%, $F$11)</f>
        <v>8.1896000000000004</v>
      </c>
      <c r="G189" s="8">
        <f>CHOOSE( CONTROL!$C$32, 7.2864, 7.2831) * CHOOSE( CONTROL!$C$15, $D$11, 100%, $F$11)</f>
        <v>7.2864000000000004</v>
      </c>
      <c r="H189" s="4">
        <f>CHOOSE( CONTROL!$C$32, 8.2336, 8.2303) * CHOOSE(CONTROL!$C$15, $D$11, 100%, $F$11)</f>
        <v>8.2335999999999991</v>
      </c>
      <c r="I189" s="8">
        <f>CHOOSE( CONTROL!$C$32, 7.2662, 7.2629) * CHOOSE(CONTROL!$C$15, $D$11, 100%, $F$11)</f>
        <v>7.2662000000000004</v>
      </c>
      <c r="J189" s="4">
        <f>CHOOSE( CONTROL!$C$32, 7.1487, 7.1454) * CHOOSE(CONTROL!$C$15, $D$11, 100%, $F$11)</f>
        <v>7.1486999999999998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7.3565, 7.3531) * CHOOSE(CONTROL!$C$15, $D$11, 100%, $F$11)</f>
        <v>7.3564999999999996</v>
      </c>
      <c r="C190" s="8">
        <f>CHOOSE( CONTROL!$C$32, 7.3646, 7.3612) * CHOOSE(CONTROL!$C$15, $D$11, 100%, $F$11)</f>
        <v>7.3646000000000003</v>
      </c>
      <c r="D190" s="8">
        <f>CHOOSE( CONTROL!$C$32, 7.3904, 7.387) * CHOOSE( CONTROL!$C$15, $D$11, 100%, $F$11)</f>
        <v>7.3903999999999996</v>
      </c>
      <c r="E190" s="12">
        <f>CHOOSE( CONTROL!$C$32, 7.3798, 7.3764) * CHOOSE( CONTROL!$C$15, $D$11, 100%, $F$11)</f>
        <v>7.3798000000000004</v>
      </c>
      <c r="F190" s="4">
        <f>CHOOSE( CONTROL!$C$32, 8.07, 8.0666) * CHOOSE(CONTROL!$C$15, $D$11, 100%, $F$11)</f>
        <v>8.07</v>
      </c>
      <c r="G190" s="8">
        <f>CHOOSE( CONTROL!$C$32, 7.1699, 7.1665) * CHOOSE( CONTROL!$C$15, $D$11, 100%, $F$11)</f>
        <v>7.1699000000000002</v>
      </c>
      <c r="H190" s="4">
        <f>CHOOSE( CONTROL!$C$32, 8.1167, 8.1134) * CHOOSE(CONTROL!$C$15, $D$11, 100%, $F$11)</f>
        <v>8.1166999999999998</v>
      </c>
      <c r="I190" s="8">
        <f>CHOOSE( CONTROL!$C$32, 7.1522, 7.1489) * CHOOSE(CONTROL!$C$15, $D$11, 100%, $F$11)</f>
        <v>7.1521999999999997</v>
      </c>
      <c r="J190" s="4">
        <f>CHOOSE( CONTROL!$C$32, 7.0338, 7.0305) * CHOOSE(CONTROL!$C$15, $D$11, 100%, $F$11)</f>
        <v>7.0338000000000003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7.6716, 7.6682) * CHOOSE(CONTROL!$C$15, $D$11, 100%, $F$11)</f>
        <v>7.6715999999999998</v>
      </c>
      <c r="C191" s="8">
        <f>CHOOSE( CONTROL!$C$32, 7.6797, 7.6763) * CHOOSE(CONTROL!$C$15, $D$11, 100%, $F$11)</f>
        <v>7.6797000000000004</v>
      </c>
      <c r="D191" s="8">
        <f>CHOOSE( CONTROL!$C$32, 7.7058, 7.7024) * CHOOSE( CONTROL!$C$15, $D$11, 100%, $F$11)</f>
        <v>7.7058</v>
      </c>
      <c r="E191" s="12">
        <f>CHOOSE( CONTROL!$C$32, 7.6951, 7.6917) * CHOOSE( CONTROL!$C$15, $D$11, 100%, $F$11)</f>
        <v>7.6951000000000001</v>
      </c>
      <c r="F191" s="4">
        <f>CHOOSE( CONTROL!$C$32, 8.3851, 8.3817) * CHOOSE(CONTROL!$C$15, $D$11, 100%, $F$11)</f>
        <v>8.3850999999999996</v>
      </c>
      <c r="G191" s="8">
        <f>CHOOSE( CONTROL!$C$32, 7.478, 7.4746) * CHOOSE( CONTROL!$C$15, $D$11, 100%, $F$11)</f>
        <v>7.4779999999999998</v>
      </c>
      <c r="H191" s="4">
        <f>CHOOSE( CONTROL!$C$32, 8.4245, 8.4212) * CHOOSE(CONTROL!$C$15, $D$11, 100%, $F$11)</f>
        <v>8.4245000000000001</v>
      </c>
      <c r="I191" s="8">
        <f>CHOOSE( CONTROL!$C$32, 7.456, 7.4527) * CHOOSE(CONTROL!$C$15, $D$11, 100%, $F$11)</f>
        <v>7.4560000000000004</v>
      </c>
      <c r="J191" s="4">
        <f>CHOOSE( CONTROL!$C$32, 7.3363, 7.333) * CHOOSE(CONTROL!$C$15, $D$11, 100%, $F$11)</f>
        <v>7.3362999999999996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7.0821, 7.0787) * CHOOSE(CONTROL!$C$15, $D$11, 100%, $F$11)</f>
        <v>7.0820999999999996</v>
      </c>
      <c r="C192" s="8">
        <f>CHOOSE( CONTROL!$C$32, 7.0901, 7.0867) * CHOOSE(CONTROL!$C$15, $D$11, 100%, $F$11)</f>
        <v>7.0900999999999996</v>
      </c>
      <c r="D192" s="8">
        <f>CHOOSE( CONTROL!$C$32, 7.1163, 7.1129) * CHOOSE( CONTROL!$C$15, $D$11, 100%, $F$11)</f>
        <v>7.1162999999999998</v>
      </c>
      <c r="E192" s="12">
        <f>CHOOSE( CONTROL!$C$32, 7.1056, 7.1022) * CHOOSE( CONTROL!$C$15, $D$11, 100%, $F$11)</f>
        <v>7.1055999999999999</v>
      </c>
      <c r="F192" s="4">
        <f>CHOOSE( CONTROL!$C$32, 7.7955, 7.7921) * CHOOSE(CONTROL!$C$15, $D$11, 100%, $F$11)</f>
        <v>7.7954999999999997</v>
      </c>
      <c r="G192" s="8">
        <f>CHOOSE( CONTROL!$C$32, 6.9023, 6.8989) * CHOOSE( CONTROL!$C$15, $D$11, 100%, $F$11)</f>
        <v>6.9023000000000003</v>
      </c>
      <c r="H192" s="4">
        <f>CHOOSE( CONTROL!$C$32, 7.8486, 7.8453) * CHOOSE(CONTROL!$C$15, $D$11, 100%, $F$11)</f>
        <v>7.8486000000000002</v>
      </c>
      <c r="I192" s="8">
        <f>CHOOSE( CONTROL!$C$32, 6.8901, 6.8868) * CHOOSE(CONTROL!$C$15, $D$11, 100%, $F$11)</f>
        <v>6.8901000000000003</v>
      </c>
      <c r="J192" s="4">
        <f>CHOOSE( CONTROL!$C$32, 6.7703, 6.767) * CHOOSE(CONTROL!$C$15, $D$11, 100%, $F$11)</f>
        <v>6.7702999999999998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6.9344, 6.931) * CHOOSE(CONTROL!$C$15, $D$11, 100%, $F$11)</f>
        <v>6.9344000000000001</v>
      </c>
      <c r="C193" s="8">
        <f>CHOOSE( CONTROL!$C$32, 6.9425, 6.9391) * CHOOSE(CONTROL!$C$15, $D$11, 100%, $F$11)</f>
        <v>6.9424999999999999</v>
      </c>
      <c r="D193" s="8">
        <f>CHOOSE( CONTROL!$C$32, 6.9686, 6.9652) * CHOOSE( CONTROL!$C$15, $D$11, 100%, $F$11)</f>
        <v>6.9686000000000003</v>
      </c>
      <c r="E193" s="12">
        <f>CHOOSE( CONTROL!$C$32, 6.9579, 6.9545) * CHOOSE( CONTROL!$C$15, $D$11, 100%, $F$11)</f>
        <v>6.9579000000000004</v>
      </c>
      <c r="F193" s="4">
        <f>CHOOSE( CONTROL!$C$32, 7.6479, 7.6444) * CHOOSE(CONTROL!$C$15, $D$11, 100%, $F$11)</f>
        <v>7.6478999999999999</v>
      </c>
      <c r="G193" s="8">
        <f>CHOOSE( CONTROL!$C$32, 6.758, 6.7547) * CHOOSE( CONTROL!$C$15, $D$11, 100%, $F$11)</f>
        <v>6.758</v>
      </c>
      <c r="H193" s="4">
        <f>CHOOSE( CONTROL!$C$32, 7.7044, 7.7011) * CHOOSE(CONTROL!$C$15, $D$11, 100%, $F$11)</f>
        <v>7.7043999999999997</v>
      </c>
      <c r="I193" s="8">
        <f>CHOOSE( CONTROL!$C$32, 6.7481, 6.7448) * CHOOSE(CONTROL!$C$15, $D$11, 100%, $F$11)</f>
        <v>6.7481</v>
      </c>
      <c r="J193" s="4">
        <f>CHOOSE( CONTROL!$C$32, 6.6285, 6.6252) * CHOOSE(CONTROL!$C$15, $D$11, 100%, $F$11)</f>
        <v>6.6284999999999998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7.2358 * CHOOSE(CONTROL!$C$15, $D$11, 100%, $F$11)</f>
        <v>7.2358000000000002</v>
      </c>
      <c r="C194" s="8">
        <f>7.2413 * CHOOSE(CONTROL!$C$15, $D$11, 100%, $F$11)</f>
        <v>7.2412999999999998</v>
      </c>
      <c r="D194" s="8">
        <f>7.2724 * CHOOSE( CONTROL!$C$15, $D$11, 100%, $F$11)</f>
        <v>7.2724000000000002</v>
      </c>
      <c r="E194" s="12">
        <f>7.2615 * CHOOSE( CONTROL!$C$15, $D$11, 100%, $F$11)</f>
        <v>7.2614999999999998</v>
      </c>
      <c r="F194" s="4">
        <f>7.951 * CHOOSE(CONTROL!$C$15, $D$11, 100%, $F$11)</f>
        <v>7.9509999999999996</v>
      </c>
      <c r="G194" s="8">
        <f>7.0537 * CHOOSE( CONTROL!$C$15, $D$11, 100%, $F$11)</f>
        <v>7.0537000000000001</v>
      </c>
      <c r="H194" s="4">
        <f>8.0005 * CHOOSE(CONTROL!$C$15, $D$11, 100%, $F$11)</f>
        <v>8.0005000000000006</v>
      </c>
      <c r="I194" s="8">
        <f>7.0401 * CHOOSE(CONTROL!$C$15, $D$11, 100%, $F$11)</f>
        <v>7.0400999999999998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7.8013 * CHOOSE(CONTROL!$C$15, $D$11, 100%, $F$11)</f>
        <v>7.8013000000000003</v>
      </c>
      <c r="C195" s="8">
        <f>7.8064 * CHOOSE(CONTROL!$C$15, $D$11, 100%, $F$11)</f>
        <v>7.8064</v>
      </c>
      <c r="D195" s="8">
        <f>7.7993 * CHOOSE( CONTROL!$C$15, $D$11, 100%, $F$11)</f>
        <v>7.7992999999999997</v>
      </c>
      <c r="E195" s="12">
        <f>7.8014 * CHOOSE( CONTROL!$C$15, $D$11, 100%, $F$11)</f>
        <v>7.8014000000000001</v>
      </c>
      <c r="F195" s="4">
        <f>8.4517 * CHOOSE(CONTROL!$C$15, $D$11, 100%, $F$11)</f>
        <v>8.4517000000000007</v>
      </c>
      <c r="G195" s="8">
        <f>7.6193 * CHOOSE( CONTROL!$C$15, $D$11, 100%, $F$11)</f>
        <v>7.6193</v>
      </c>
      <c r="H195" s="4">
        <f>8.4896 * CHOOSE(CONTROL!$C$15, $D$11, 100%, $F$11)</f>
        <v>8.4895999999999994</v>
      </c>
      <c r="I195" s="8">
        <f>7.6271 * CHOOSE(CONTROL!$C$15, $D$11, 100%, $F$11)</f>
        <v>7.6271000000000004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7.7871 * CHOOSE(CONTROL!$C$15, $D$11, 100%, $F$11)</f>
        <v>7.7870999999999997</v>
      </c>
      <c r="C196" s="8">
        <f>7.7923 * CHOOSE(CONTROL!$C$15, $D$11, 100%, $F$11)</f>
        <v>7.7923</v>
      </c>
      <c r="D196" s="8">
        <f>7.7866 * CHOOSE( CONTROL!$C$15, $D$11, 100%, $F$11)</f>
        <v>7.7866</v>
      </c>
      <c r="E196" s="12">
        <f>7.7881 * CHOOSE( CONTROL!$C$15, $D$11, 100%, $F$11)</f>
        <v>7.7881</v>
      </c>
      <c r="F196" s="4">
        <f>8.4376 * CHOOSE(CONTROL!$C$15, $D$11, 100%, $F$11)</f>
        <v>8.4375999999999998</v>
      </c>
      <c r="G196" s="8">
        <f>7.6066 * CHOOSE( CONTROL!$C$15, $D$11, 100%, $F$11)</f>
        <v>7.6066000000000003</v>
      </c>
      <c r="H196" s="4">
        <f>8.4758 * CHOOSE(CONTROL!$C$15, $D$11, 100%, $F$11)</f>
        <v>8.4757999999999996</v>
      </c>
      <c r="I196" s="8">
        <f>7.6181 * CHOOSE(CONTROL!$C$15, $D$11, 100%, $F$11)</f>
        <v>7.6181000000000001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8.0626 * CHOOSE(CONTROL!$C$15, $D$11, 100%, $F$11)</f>
        <v>8.0625999999999998</v>
      </c>
      <c r="C197" s="8">
        <f>8.0678 * CHOOSE(CONTROL!$C$15, $D$11, 100%, $F$11)</f>
        <v>8.0678000000000001</v>
      </c>
      <c r="D197" s="8">
        <f>8.0478 * CHOOSE( CONTROL!$C$15, $D$11, 100%, $F$11)</f>
        <v>8.0478000000000005</v>
      </c>
      <c r="E197" s="12">
        <f>8.0546 * CHOOSE( CONTROL!$C$15, $D$11, 100%, $F$11)</f>
        <v>8.0546000000000006</v>
      </c>
      <c r="F197" s="4">
        <f>8.713 * CHOOSE(CONTROL!$C$15, $D$11, 100%, $F$11)</f>
        <v>8.7129999999999992</v>
      </c>
      <c r="G197" s="8">
        <f>7.8588 * CHOOSE( CONTROL!$C$15, $D$11, 100%, $F$11)</f>
        <v>7.8587999999999996</v>
      </c>
      <c r="H197" s="4">
        <f>8.7448 * CHOOSE(CONTROL!$C$15, $D$11, 100%, $F$11)</f>
        <v>8.7447999999999997</v>
      </c>
      <c r="I197" s="8">
        <f>7.8392 * CHOOSE(CONTROL!$C$15, $D$11, 100%, $F$11)</f>
        <v>7.8391999999999999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7.5432 * CHOOSE(CONTROL!$C$15, $D$11, 100%, $F$11)</f>
        <v>7.5431999999999997</v>
      </c>
      <c r="C198" s="8">
        <f>7.5484 * CHOOSE(CONTROL!$C$15, $D$11, 100%, $F$11)</f>
        <v>7.5484</v>
      </c>
      <c r="D198" s="8">
        <f>7.5284 * CHOOSE( CONTROL!$C$15, $D$11, 100%, $F$11)</f>
        <v>7.5284000000000004</v>
      </c>
      <c r="E198" s="12">
        <f>7.5352 * CHOOSE( CONTROL!$C$15, $D$11, 100%, $F$11)</f>
        <v>7.5351999999999997</v>
      </c>
      <c r="F198" s="4">
        <f>8.1936 * CHOOSE(CONTROL!$C$15, $D$11, 100%, $F$11)</f>
        <v>8.1936</v>
      </c>
      <c r="G198" s="8">
        <f>7.3514 * CHOOSE( CONTROL!$C$15, $D$11, 100%, $F$11)</f>
        <v>7.3513999999999999</v>
      </c>
      <c r="H198" s="4">
        <f>8.2375 * CHOOSE(CONTROL!$C$15, $D$11, 100%, $F$11)</f>
        <v>8.2375000000000007</v>
      </c>
      <c r="I198" s="8">
        <f>7.3402 * CHOOSE(CONTROL!$C$15, $D$11, 100%, $F$11)</f>
        <v>7.3402000000000003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7.3832 * CHOOSE(CONTROL!$C$15, $D$11, 100%, $F$11)</f>
        <v>7.3832000000000004</v>
      </c>
      <c r="C199" s="8">
        <f>7.3884 * CHOOSE(CONTROL!$C$15, $D$11, 100%, $F$11)</f>
        <v>7.3883999999999999</v>
      </c>
      <c r="D199" s="8">
        <f>7.3681 * CHOOSE( CONTROL!$C$15, $D$11, 100%, $F$11)</f>
        <v>7.3681000000000001</v>
      </c>
      <c r="E199" s="12">
        <f>7.375 * CHOOSE( CONTROL!$C$15, $D$11, 100%, $F$11)</f>
        <v>7.375</v>
      </c>
      <c r="F199" s="4">
        <f>8.0337 * CHOOSE(CONTROL!$C$15, $D$11, 100%, $F$11)</f>
        <v>8.0336999999999996</v>
      </c>
      <c r="G199" s="8">
        <f>7.1949 * CHOOSE( CONTROL!$C$15, $D$11, 100%, $F$11)</f>
        <v>7.1948999999999996</v>
      </c>
      <c r="H199" s="4">
        <f>8.0813 * CHOOSE(CONTROL!$C$15, $D$11, 100%, $F$11)</f>
        <v>8.0813000000000006</v>
      </c>
      <c r="I199" s="8">
        <f>7.1854 * CHOOSE(CONTROL!$C$15, $D$11, 100%, $F$11)</f>
        <v>7.1853999999999996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7.4957 * CHOOSE(CONTROL!$C$15, $D$11, 100%, $F$11)</f>
        <v>7.4957000000000003</v>
      </c>
      <c r="C200" s="8">
        <f>7.5004 * CHOOSE(CONTROL!$C$15, $D$11, 100%, $F$11)</f>
        <v>7.5004</v>
      </c>
      <c r="D200" s="8">
        <f>7.5312 * CHOOSE( CONTROL!$C$15, $D$11, 100%, $F$11)</f>
        <v>7.5312000000000001</v>
      </c>
      <c r="E200" s="12">
        <f>7.5205 * CHOOSE( CONTROL!$C$15, $D$11, 100%, $F$11)</f>
        <v>7.5205000000000002</v>
      </c>
      <c r="F200" s="4">
        <f>8.2105 * CHOOSE(CONTROL!$C$15, $D$11, 100%, $F$11)</f>
        <v>8.2104999999999997</v>
      </c>
      <c r="G200" s="8">
        <f>7.3061 * CHOOSE( CONTROL!$C$15, $D$11, 100%, $F$11)</f>
        <v>7.3060999999999998</v>
      </c>
      <c r="H200" s="4">
        <f>8.254 * CHOOSE(CONTROL!$C$15, $D$11, 100%, $F$11)</f>
        <v>8.2539999999999996</v>
      </c>
      <c r="I200" s="8">
        <f>7.2861 * CHOOSE(CONTROL!$C$15, $D$11, 100%, $F$11)</f>
        <v>7.2861000000000002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7.6995, 7.6961) * CHOOSE(CONTROL!$C$15, $D$11, 100%, $F$11)</f>
        <v>7.6994999999999996</v>
      </c>
      <c r="C201" s="8">
        <f>CHOOSE( CONTROL!$C$32, 7.7076, 7.7041) * CHOOSE(CONTROL!$C$15, $D$11, 100%, $F$11)</f>
        <v>7.7076000000000002</v>
      </c>
      <c r="D201" s="8">
        <f>CHOOSE( CONTROL!$C$32, 7.7332, 7.7298) * CHOOSE( CONTROL!$C$15, $D$11, 100%, $F$11)</f>
        <v>7.7332000000000001</v>
      </c>
      <c r="E201" s="12">
        <f>CHOOSE( CONTROL!$C$32, 7.7227, 7.7193) * CHOOSE( CONTROL!$C$15, $D$11, 100%, $F$11)</f>
        <v>7.7226999999999997</v>
      </c>
      <c r="F201" s="4">
        <f>CHOOSE( CONTROL!$C$32, 8.4129, 8.4095) * CHOOSE(CONTROL!$C$15, $D$11, 100%, $F$11)</f>
        <v>8.4129000000000005</v>
      </c>
      <c r="G201" s="8">
        <f>CHOOSE( CONTROL!$C$32, 7.5045, 7.5012) * CHOOSE( CONTROL!$C$15, $D$11, 100%, $F$11)</f>
        <v>7.5045000000000002</v>
      </c>
      <c r="H201" s="4">
        <f>CHOOSE( CONTROL!$C$32, 8.4517, 8.4483) * CHOOSE(CONTROL!$C$15, $D$11, 100%, $F$11)</f>
        <v>8.4517000000000007</v>
      </c>
      <c r="I201" s="8">
        <f>CHOOSE( CONTROL!$C$32, 7.4807, 7.4774) * CHOOSE(CONTROL!$C$15, $D$11, 100%, $F$11)</f>
        <v>7.4806999999999997</v>
      </c>
      <c r="J201" s="4">
        <f>CHOOSE( CONTROL!$C$32, 7.363, 7.3598) * CHOOSE(CONTROL!$C$15, $D$11, 100%, $F$11)</f>
        <v>7.3630000000000004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7.5762, 7.5728) * CHOOSE(CONTROL!$C$15, $D$11, 100%, $F$11)</f>
        <v>7.5762</v>
      </c>
      <c r="C202" s="8">
        <f>CHOOSE( CONTROL!$C$32, 7.5843, 7.5809) * CHOOSE(CONTROL!$C$15, $D$11, 100%, $F$11)</f>
        <v>7.5842999999999998</v>
      </c>
      <c r="D202" s="8">
        <f>CHOOSE( CONTROL!$C$32, 7.6101, 7.6067) * CHOOSE( CONTROL!$C$15, $D$11, 100%, $F$11)</f>
        <v>7.6101000000000001</v>
      </c>
      <c r="E202" s="12">
        <f>CHOOSE( CONTROL!$C$32, 7.5995, 7.5961) * CHOOSE( CONTROL!$C$15, $D$11, 100%, $F$11)</f>
        <v>7.5994999999999999</v>
      </c>
      <c r="F202" s="4">
        <f>CHOOSE( CONTROL!$C$32, 8.2897, 8.2862) * CHOOSE(CONTROL!$C$15, $D$11, 100%, $F$11)</f>
        <v>8.2896999999999998</v>
      </c>
      <c r="G202" s="8">
        <f>CHOOSE( CONTROL!$C$32, 7.3844, 7.3811) * CHOOSE( CONTROL!$C$15, $D$11, 100%, $F$11)</f>
        <v>7.3844000000000003</v>
      </c>
      <c r="H202" s="4">
        <f>CHOOSE( CONTROL!$C$32, 8.3313, 8.328) * CHOOSE(CONTROL!$C$15, $D$11, 100%, $F$11)</f>
        <v>8.3313000000000006</v>
      </c>
      <c r="I202" s="8">
        <f>CHOOSE( CONTROL!$C$32, 7.3632, 7.3599) * CHOOSE(CONTROL!$C$15, $D$11, 100%, $F$11)</f>
        <v>7.3632</v>
      </c>
      <c r="J202" s="4">
        <f>CHOOSE( CONTROL!$C$32, 7.2447, 7.2414) * CHOOSE(CONTROL!$C$15, $D$11, 100%, $F$11)</f>
        <v>7.2446999999999999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7.9008, 7.8974) * CHOOSE(CONTROL!$C$15, $D$11, 100%, $F$11)</f>
        <v>7.9008000000000003</v>
      </c>
      <c r="C203" s="8">
        <f>CHOOSE( CONTROL!$C$32, 7.9089, 7.9055) * CHOOSE(CONTROL!$C$15, $D$11, 100%, $F$11)</f>
        <v>7.9089</v>
      </c>
      <c r="D203" s="8">
        <f>CHOOSE( CONTROL!$C$32, 7.9349, 7.9315) * CHOOSE( CONTROL!$C$15, $D$11, 100%, $F$11)</f>
        <v>7.9348999999999998</v>
      </c>
      <c r="E203" s="12">
        <f>CHOOSE( CONTROL!$C$32, 7.9242, 7.9208) * CHOOSE( CONTROL!$C$15, $D$11, 100%, $F$11)</f>
        <v>7.9241999999999999</v>
      </c>
      <c r="F203" s="4">
        <f>CHOOSE( CONTROL!$C$32, 8.6142, 8.6108) * CHOOSE(CONTROL!$C$15, $D$11, 100%, $F$11)</f>
        <v>8.6142000000000003</v>
      </c>
      <c r="G203" s="8">
        <f>CHOOSE( CONTROL!$C$32, 7.7018, 7.6984) * CHOOSE( CONTROL!$C$15, $D$11, 100%, $F$11)</f>
        <v>7.7018000000000004</v>
      </c>
      <c r="H203" s="4">
        <f>CHOOSE( CONTROL!$C$32, 8.6483, 8.645) * CHOOSE(CONTROL!$C$15, $D$11, 100%, $F$11)</f>
        <v>8.6483000000000008</v>
      </c>
      <c r="I203" s="8">
        <f>CHOOSE( CONTROL!$C$32, 7.6761, 7.6728) * CHOOSE(CONTROL!$C$15, $D$11, 100%, $F$11)</f>
        <v>7.6760999999999999</v>
      </c>
      <c r="J203" s="4">
        <f>CHOOSE( CONTROL!$C$32, 7.5563, 7.553) * CHOOSE(CONTROL!$C$15, $D$11, 100%, $F$11)</f>
        <v>7.5563000000000002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7.2935, 7.2901) * CHOOSE(CONTROL!$C$15, $D$11, 100%, $F$11)</f>
        <v>7.2934999999999999</v>
      </c>
      <c r="C204" s="8">
        <f>CHOOSE( CONTROL!$C$32, 7.3016, 7.2982) * CHOOSE(CONTROL!$C$15, $D$11, 100%, $F$11)</f>
        <v>7.3015999999999996</v>
      </c>
      <c r="D204" s="8">
        <f>CHOOSE( CONTROL!$C$32, 7.3277, 7.3243) * CHOOSE( CONTROL!$C$15, $D$11, 100%, $F$11)</f>
        <v>7.3277000000000001</v>
      </c>
      <c r="E204" s="12">
        <f>CHOOSE( CONTROL!$C$32, 7.317, 7.3136) * CHOOSE( CONTROL!$C$15, $D$11, 100%, $F$11)</f>
        <v>7.3170000000000002</v>
      </c>
      <c r="F204" s="4">
        <f>CHOOSE( CONTROL!$C$32, 8.0069, 8.0035) * CHOOSE(CONTROL!$C$15, $D$11, 100%, $F$11)</f>
        <v>8.0068999999999999</v>
      </c>
      <c r="G204" s="8">
        <f>CHOOSE( CONTROL!$C$32, 7.1088, 7.1055) * CHOOSE( CONTROL!$C$15, $D$11, 100%, $F$11)</f>
        <v>7.1087999999999996</v>
      </c>
      <c r="H204" s="4">
        <f>CHOOSE( CONTROL!$C$32, 8.0552, 8.0518) * CHOOSE(CONTROL!$C$15, $D$11, 100%, $F$11)</f>
        <v>8.0551999999999992</v>
      </c>
      <c r="I204" s="8">
        <f>CHOOSE( CONTROL!$C$32, 7.0932, 7.0899) * CHOOSE(CONTROL!$C$15, $D$11, 100%, $F$11)</f>
        <v>7.0932000000000004</v>
      </c>
      <c r="J204" s="4">
        <f>CHOOSE( CONTROL!$C$32, 6.9733, 6.97) * CHOOSE(CONTROL!$C$15, $D$11, 100%, $F$11)</f>
        <v>6.9733000000000001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7.1414, 7.138) * CHOOSE(CONTROL!$C$15, $D$11, 100%, $F$11)</f>
        <v>7.1414</v>
      </c>
      <c r="C205" s="8">
        <f>CHOOSE( CONTROL!$C$32, 7.1495, 7.1461) * CHOOSE(CONTROL!$C$15, $D$11, 100%, $F$11)</f>
        <v>7.1494999999999997</v>
      </c>
      <c r="D205" s="8">
        <f>CHOOSE( CONTROL!$C$32, 7.1756, 7.1722) * CHOOSE( CONTROL!$C$15, $D$11, 100%, $F$11)</f>
        <v>7.1756000000000002</v>
      </c>
      <c r="E205" s="12">
        <f>CHOOSE( CONTROL!$C$32, 7.1649, 7.1615) * CHOOSE( CONTROL!$C$15, $D$11, 100%, $F$11)</f>
        <v>7.1649000000000003</v>
      </c>
      <c r="F205" s="4">
        <f>CHOOSE( CONTROL!$C$32, 7.8549, 7.8515) * CHOOSE(CONTROL!$C$15, $D$11, 100%, $F$11)</f>
        <v>7.8548999999999998</v>
      </c>
      <c r="G205" s="8">
        <f>CHOOSE( CONTROL!$C$32, 6.9602, 6.9569) * CHOOSE( CONTROL!$C$15, $D$11, 100%, $F$11)</f>
        <v>6.9602000000000004</v>
      </c>
      <c r="H205" s="4">
        <f>CHOOSE( CONTROL!$C$32, 7.9066, 7.9033) * CHOOSE(CONTROL!$C$15, $D$11, 100%, $F$11)</f>
        <v>7.9066000000000001</v>
      </c>
      <c r="I205" s="8">
        <f>CHOOSE( CONTROL!$C$32, 6.947, 6.9437) * CHOOSE(CONTROL!$C$15, $D$11, 100%, $F$11)</f>
        <v>6.9470000000000001</v>
      </c>
      <c r="J205" s="4">
        <f>CHOOSE( CONTROL!$C$32, 6.8273, 6.824) * CHOOSE(CONTROL!$C$15, $D$11, 100%, $F$11)</f>
        <v>6.8273000000000001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7.4521 * CHOOSE(CONTROL!$C$15, $D$11, 100%, $F$11)</f>
        <v>7.4520999999999997</v>
      </c>
      <c r="C206" s="8">
        <f>7.4575 * CHOOSE(CONTROL!$C$15, $D$11, 100%, $F$11)</f>
        <v>7.4574999999999996</v>
      </c>
      <c r="D206" s="8">
        <f>7.4886 * CHOOSE( CONTROL!$C$15, $D$11, 100%, $F$11)</f>
        <v>7.4885999999999999</v>
      </c>
      <c r="E206" s="12">
        <f>7.4778 * CHOOSE( CONTROL!$C$15, $D$11, 100%, $F$11)</f>
        <v>7.4778000000000002</v>
      </c>
      <c r="F206" s="4">
        <f>8.1672 * CHOOSE(CONTROL!$C$15, $D$11, 100%, $F$11)</f>
        <v>8.1671999999999993</v>
      </c>
      <c r="G206" s="8">
        <f>7.2648 * CHOOSE( CONTROL!$C$15, $D$11, 100%, $F$11)</f>
        <v>7.2648000000000001</v>
      </c>
      <c r="H206" s="4">
        <f>8.2117 * CHOOSE(CONTROL!$C$15, $D$11, 100%, $F$11)</f>
        <v>8.2117000000000004</v>
      </c>
      <c r="I206" s="8">
        <f>7.2478 * CHOOSE(CONTROL!$C$15, $D$11, 100%, $F$11)</f>
        <v>7.2477999999999998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8.0344 * CHOOSE(CONTROL!$C$15, $D$11, 100%, $F$11)</f>
        <v>8.0343999999999998</v>
      </c>
      <c r="C207" s="8">
        <f>8.0396 * CHOOSE(CONTROL!$C$15, $D$11, 100%, $F$11)</f>
        <v>8.0396000000000001</v>
      </c>
      <c r="D207" s="8">
        <f>8.0325 * CHOOSE( CONTROL!$C$15, $D$11, 100%, $F$11)</f>
        <v>8.0325000000000006</v>
      </c>
      <c r="E207" s="12">
        <f>8.0345 * CHOOSE( CONTROL!$C$15, $D$11, 100%, $F$11)</f>
        <v>8.0344999999999995</v>
      </c>
      <c r="F207" s="4">
        <f>8.6849 * CHOOSE(CONTROL!$C$15, $D$11, 100%, $F$11)</f>
        <v>8.6849000000000007</v>
      </c>
      <c r="G207" s="8">
        <f>7.8471 * CHOOSE( CONTROL!$C$15, $D$11, 100%, $F$11)</f>
        <v>7.8471000000000002</v>
      </c>
      <c r="H207" s="4">
        <f>8.7173 * CHOOSE(CONTROL!$C$15, $D$11, 100%, $F$11)</f>
        <v>8.7172999999999998</v>
      </c>
      <c r="I207" s="8">
        <f>7.8511 * CHOOSE(CONTROL!$C$15, $D$11, 100%, $F$11)</f>
        <v>7.8510999999999997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8.0199 * CHOOSE(CONTROL!$C$15, $D$11, 100%, $F$11)</f>
        <v>8.0198999999999998</v>
      </c>
      <c r="C208" s="8">
        <f>8.0251 * CHOOSE(CONTROL!$C$15, $D$11, 100%, $F$11)</f>
        <v>8.0251000000000001</v>
      </c>
      <c r="D208" s="8">
        <f>8.0194 * CHOOSE( CONTROL!$C$15, $D$11, 100%, $F$11)</f>
        <v>8.0193999999999992</v>
      </c>
      <c r="E208" s="12">
        <f>8.0209 * CHOOSE( CONTROL!$C$15, $D$11, 100%, $F$11)</f>
        <v>8.0208999999999993</v>
      </c>
      <c r="F208" s="4">
        <f>8.6703 * CHOOSE(CONTROL!$C$15, $D$11, 100%, $F$11)</f>
        <v>8.6702999999999992</v>
      </c>
      <c r="G208" s="8">
        <f>7.8339 * CHOOSE( CONTROL!$C$15, $D$11, 100%, $F$11)</f>
        <v>7.8338999999999999</v>
      </c>
      <c r="H208" s="4">
        <f>8.7031 * CHOOSE(CONTROL!$C$15, $D$11, 100%, $F$11)</f>
        <v>8.7030999999999992</v>
      </c>
      <c r="I208" s="8">
        <f>7.8417 * CHOOSE(CONTROL!$C$15, $D$11, 100%, $F$11)</f>
        <v>7.8417000000000003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8.3028 * CHOOSE(CONTROL!$C$15, $D$11, 100%, $F$11)</f>
        <v>8.3027999999999995</v>
      </c>
      <c r="C209" s="8">
        <f>8.308 * CHOOSE(CONTROL!$C$15, $D$11, 100%, $F$11)</f>
        <v>8.3079999999999998</v>
      </c>
      <c r="D209" s="8">
        <f>8.2881 * CHOOSE( CONTROL!$C$15, $D$11, 100%, $F$11)</f>
        <v>8.2881</v>
      </c>
      <c r="E209" s="12">
        <f>8.2948 * CHOOSE( CONTROL!$C$15, $D$11, 100%, $F$11)</f>
        <v>8.2948000000000004</v>
      </c>
      <c r="F209" s="4">
        <f>8.9533 * CHOOSE(CONTROL!$C$15, $D$11, 100%, $F$11)</f>
        <v>8.9533000000000005</v>
      </c>
      <c r="G209" s="8">
        <f>8.0934 * CHOOSE( CONTROL!$C$15, $D$11, 100%, $F$11)</f>
        <v>8.0934000000000008</v>
      </c>
      <c r="H209" s="4">
        <f>8.9795 * CHOOSE(CONTROL!$C$15, $D$11, 100%, $F$11)</f>
        <v>8.9794999999999998</v>
      </c>
      <c r="I209" s="8">
        <f>8.07 * CHOOSE(CONTROL!$C$15, $D$11, 100%, $F$11)</f>
        <v>8.07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7.7679 * CHOOSE(CONTROL!$C$15, $D$11, 100%, $F$11)</f>
        <v>7.7679</v>
      </c>
      <c r="C210" s="8">
        <f>7.7731 * CHOOSE(CONTROL!$C$15, $D$11, 100%, $F$11)</f>
        <v>7.7731000000000003</v>
      </c>
      <c r="D210" s="8">
        <f>7.7531 * CHOOSE( CONTROL!$C$15, $D$11, 100%, $F$11)</f>
        <v>7.7530999999999999</v>
      </c>
      <c r="E210" s="12">
        <f>7.7599 * CHOOSE( CONTROL!$C$15, $D$11, 100%, $F$11)</f>
        <v>7.7599</v>
      </c>
      <c r="F210" s="4">
        <f>8.4183 * CHOOSE(CONTROL!$C$15, $D$11, 100%, $F$11)</f>
        <v>8.4183000000000003</v>
      </c>
      <c r="G210" s="8">
        <f>7.5709 * CHOOSE( CONTROL!$C$15, $D$11, 100%, $F$11)</f>
        <v>7.5709</v>
      </c>
      <c r="H210" s="4">
        <f>8.457 * CHOOSE(CONTROL!$C$15, $D$11, 100%, $F$11)</f>
        <v>8.4570000000000007</v>
      </c>
      <c r="I210" s="8">
        <f>7.5561 * CHOOSE(CONTROL!$C$15, $D$11, 100%, $F$11)</f>
        <v>7.5560999999999998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7.6031 * CHOOSE(CONTROL!$C$15, $D$11, 100%, $F$11)</f>
        <v>7.6031000000000004</v>
      </c>
      <c r="C211" s="8">
        <f>7.6083 * CHOOSE(CONTROL!$C$15, $D$11, 100%, $F$11)</f>
        <v>7.6082999999999998</v>
      </c>
      <c r="D211" s="8">
        <f>7.588 * CHOOSE( CONTROL!$C$15, $D$11, 100%, $F$11)</f>
        <v>7.5880000000000001</v>
      </c>
      <c r="E211" s="12">
        <f>7.5949 * CHOOSE( CONTROL!$C$15, $D$11, 100%, $F$11)</f>
        <v>7.5949</v>
      </c>
      <c r="F211" s="4">
        <f>8.2536 * CHOOSE(CONTROL!$C$15, $D$11, 100%, $F$11)</f>
        <v>8.2536000000000005</v>
      </c>
      <c r="G211" s="8">
        <f>7.4097 * CHOOSE( CONTROL!$C$15, $D$11, 100%, $F$11)</f>
        <v>7.4097</v>
      </c>
      <c r="H211" s="4">
        <f>8.2961 * CHOOSE(CONTROL!$C$15, $D$11, 100%, $F$11)</f>
        <v>8.2960999999999991</v>
      </c>
      <c r="I211" s="8">
        <f>7.3966 * CHOOSE(CONTROL!$C$15, $D$11, 100%, $F$11)</f>
        <v>7.3966000000000003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7.719 * CHOOSE(CONTROL!$C$15, $D$11, 100%, $F$11)</f>
        <v>7.7190000000000003</v>
      </c>
      <c r="C212" s="8">
        <f>7.7236 * CHOOSE(CONTROL!$C$15, $D$11, 100%, $F$11)</f>
        <v>7.7236000000000002</v>
      </c>
      <c r="D212" s="8">
        <f>7.7545 * CHOOSE( CONTROL!$C$15, $D$11, 100%, $F$11)</f>
        <v>7.7545000000000002</v>
      </c>
      <c r="E212" s="12">
        <f>7.7438 * CHOOSE( CONTROL!$C$15, $D$11, 100%, $F$11)</f>
        <v>7.7438000000000002</v>
      </c>
      <c r="F212" s="4">
        <f>8.4338 * CHOOSE(CONTROL!$C$15, $D$11, 100%, $F$11)</f>
        <v>8.4337999999999997</v>
      </c>
      <c r="G212" s="8">
        <f>7.5242 * CHOOSE( CONTROL!$C$15, $D$11, 100%, $F$11)</f>
        <v>7.5242000000000004</v>
      </c>
      <c r="H212" s="4">
        <f>8.4721 * CHOOSE(CONTROL!$C$15, $D$11, 100%, $F$11)</f>
        <v>8.4720999999999993</v>
      </c>
      <c r="I212" s="8">
        <f>7.5006 * CHOOSE(CONTROL!$C$15, $D$11, 100%, $F$11)</f>
        <v>7.5006000000000004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7.9287, 7.9253) * CHOOSE(CONTROL!$C$15, $D$11, 100%, $F$11)</f>
        <v>7.9287000000000001</v>
      </c>
      <c r="C213" s="8">
        <f>CHOOSE( CONTROL!$C$32, 7.9368, 7.9334) * CHOOSE(CONTROL!$C$15, $D$11, 100%, $F$11)</f>
        <v>7.9367999999999999</v>
      </c>
      <c r="D213" s="8">
        <f>CHOOSE( CONTROL!$C$32, 7.9624, 7.959) * CHOOSE( CONTROL!$C$15, $D$11, 100%, $F$11)</f>
        <v>7.9623999999999997</v>
      </c>
      <c r="E213" s="12">
        <f>CHOOSE( CONTROL!$C$32, 7.9519, 7.9485) * CHOOSE( CONTROL!$C$15, $D$11, 100%, $F$11)</f>
        <v>7.9519000000000002</v>
      </c>
      <c r="F213" s="4">
        <f>CHOOSE( CONTROL!$C$32, 8.6421, 8.6387) * CHOOSE(CONTROL!$C$15, $D$11, 100%, $F$11)</f>
        <v>8.6420999999999992</v>
      </c>
      <c r="G213" s="8">
        <f>CHOOSE( CONTROL!$C$32, 7.7284, 7.7251) * CHOOSE( CONTROL!$C$15, $D$11, 100%, $F$11)</f>
        <v>7.7283999999999997</v>
      </c>
      <c r="H213" s="4">
        <f>CHOOSE( CONTROL!$C$32, 8.6756, 8.6722) * CHOOSE(CONTROL!$C$15, $D$11, 100%, $F$11)</f>
        <v>8.6755999999999993</v>
      </c>
      <c r="I213" s="8">
        <f>CHOOSE( CONTROL!$C$32, 7.7008, 7.6976) * CHOOSE(CONTROL!$C$15, $D$11, 100%, $F$11)</f>
        <v>7.7008000000000001</v>
      </c>
      <c r="J213" s="4">
        <f>CHOOSE( CONTROL!$C$32, 7.5831, 7.5798) * CHOOSE(CONTROL!$C$15, $D$11, 100%, $F$11)</f>
        <v>7.5831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7.8018, 7.7984) * CHOOSE(CONTROL!$C$15, $D$11, 100%, $F$11)</f>
        <v>7.8018000000000001</v>
      </c>
      <c r="C214" s="8">
        <f>CHOOSE( CONTROL!$C$32, 7.8098, 7.8064) * CHOOSE(CONTROL!$C$15, $D$11, 100%, $F$11)</f>
        <v>7.8098000000000001</v>
      </c>
      <c r="D214" s="8">
        <f>CHOOSE( CONTROL!$C$32, 7.8357, 7.8322) * CHOOSE( CONTROL!$C$15, $D$11, 100%, $F$11)</f>
        <v>7.8357000000000001</v>
      </c>
      <c r="E214" s="12">
        <f>CHOOSE( CONTROL!$C$32, 7.8251, 7.8216) * CHOOSE( CONTROL!$C$15, $D$11, 100%, $F$11)</f>
        <v>7.8250999999999999</v>
      </c>
      <c r="F214" s="4">
        <f>CHOOSE( CONTROL!$C$32, 8.5152, 8.5118) * CHOOSE(CONTROL!$C$15, $D$11, 100%, $F$11)</f>
        <v>8.5152000000000001</v>
      </c>
      <c r="G214" s="8">
        <f>CHOOSE( CONTROL!$C$32, 7.6047, 7.6014) * CHOOSE( CONTROL!$C$15, $D$11, 100%, $F$11)</f>
        <v>7.6047000000000002</v>
      </c>
      <c r="H214" s="4">
        <f>CHOOSE( CONTROL!$C$32, 8.5516, 8.5483) * CHOOSE(CONTROL!$C$15, $D$11, 100%, $F$11)</f>
        <v>8.5516000000000005</v>
      </c>
      <c r="I214" s="8">
        <f>CHOOSE( CONTROL!$C$32, 7.5799, 7.5766) * CHOOSE(CONTROL!$C$15, $D$11, 100%, $F$11)</f>
        <v>7.5799000000000003</v>
      </c>
      <c r="J214" s="4">
        <f>CHOOSE( CONTROL!$C$32, 7.4612, 7.458) * CHOOSE(CONTROL!$C$15, $D$11, 100%, $F$11)</f>
        <v>7.4611999999999998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8.136, 8.1326) * CHOOSE(CONTROL!$C$15, $D$11, 100%, $F$11)</f>
        <v>8.1359999999999992</v>
      </c>
      <c r="C215" s="8">
        <f>CHOOSE( CONTROL!$C$32, 8.1441, 8.1407) * CHOOSE(CONTROL!$C$15, $D$11, 100%, $F$11)</f>
        <v>8.1440999999999999</v>
      </c>
      <c r="D215" s="8">
        <f>CHOOSE( CONTROL!$C$32, 8.1701, 8.1667) * CHOOSE( CONTROL!$C$15, $D$11, 100%, $F$11)</f>
        <v>8.1700999999999997</v>
      </c>
      <c r="E215" s="12">
        <f>CHOOSE( CONTROL!$C$32, 8.1594, 8.156) * CHOOSE( CONTROL!$C$15, $D$11, 100%, $F$11)</f>
        <v>8.1593999999999998</v>
      </c>
      <c r="F215" s="4">
        <f>CHOOSE( CONTROL!$C$32, 8.8494, 8.846) * CHOOSE(CONTROL!$C$15, $D$11, 100%, $F$11)</f>
        <v>8.8493999999999993</v>
      </c>
      <c r="G215" s="8">
        <f>CHOOSE( CONTROL!$C$32, 7.9315, 7.9282) * CHOOSE( CONTROL!$C$15, $D$11, 100%, $F$11)</f>
        <v>7.9314999999999998</v>
      </c>
      <c r="H215" s="4">
        <f>CHOOSE( CONTROL!$C$32, 8.8781, 8.8747) * CHOOSE(CONTROL!$C$15, $D$11, 100%, $F$11)</f>
        <v>8.8780999999999999</v>
      </c>
      <c r="I215" s="8">
        <f>CHOOSE( CONTROL!$C$32, 7.902, 7.8988) * CHOOSE(CONTROL!$C$15, $D$11, 100%, $F$11)</f>
        <v>7.9020000000000001</v>
      </c>
      <c r="J215" s="4">
        <f>CHOOSE( CONTROL!$C$32, 7.7822, 7.7789) * CHOOSE(CONTROL!$C$15, $D$11, 100%, $F$11)</f>
        <v>7.7821999999999996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7.5106, 7.5072) * CHOOSE(CONTROL!$C$15, $D$11, 100%, $F$11)</f>
        <v>7.5106000000000002</v>
      </c>
      <c r="C216" s="8">
        <f>CHOOSE( CONTROL!$C$32, 7.5187, 7.5153) * CHOOSE(CONTROL!$C$15, $D$11, 100%, $F$11)</f>
        <v>7.5186999999999999</v>
      </c>
      <c r="D216" s="8">
        <f>CHOOSE( CONTROL!$C$32, 7.5448, 7.5414) * CHOOSE( CONTROL!$C$15, $D$11, 100%, $F$11)</f>
        <v>7.5448000000000004</v>
      </c>
      <c r="E216" s="12">
        <f>CHOOSE( CONTROL!$C$32, 7.5341, 7.5307) * CHOOSE( CONTROL!$C$15, $D$11, 100%, $F$11)</f>
        <v>7.5340999999999996</v>
      </c>
      <c r="F216" s="4">
        <f>CHOOSE( CONTROL!$C$32, 8.224, 8.2206) * CHOOSE(CONTROL!$C$15, $D$11, 100%, $F$11)</f>
        <v>8.2240000000000002</v>
      </c>
      <c r="G216" s="8">
        <f>CHOOSE( CONTROL!$C$32, 7.3208, 7.3175) * CHOOSE( CONTROL!$C$15, $D$11, 100%, $F$11)</f>
        <v>7.3208000000000002</v>
      </c>
      <c r="H216" s="4">
        <f>CHOOSE( CONTROL!$C$32, 8.2672, 8.2639) * CHOOSE(CONTROL!$C$15, $D$11, 100%, $F$11)</f>
        <v>8.2672000000000008</v>
      </c>
      <c r="I216" s="8">
        <f>CHOOSE( CONTROL!$C$32, 7.3017, 7.2984) * CHOOSE(CONTROL!$C$15, $D$11, 100%, $F$11)</f>
        <v>7.3017000000000003</v>
      </c>
      <c r="J216" s="4">
        <f>CHOOSE( CONTROL!$C$32, 7.1817, 7.1784) * CHOOSE(CONTROL!$C$15, $D$11, 100%, $F$11)</f>
        <v>7.1817000000000002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7.354, 7.3506) * CHOOSE(CONTROL!$C$15, $D$11, 100%, $F$11)</f>
        <v>7.3540000000000001</v>
      </c>
      <c r="C217" s="8">
        <f>CHOOSE( CONTROL!$C$32, 7.3621, 7.3587) * CHOOSE(CONTROL!$C$15, $D$11, 100%, $F$11)</f>
        <v>7.3620999999999999</v>
      </c>
      <c r="D217" s="8">
        <f>CHOOSE( CONTROL!$C$32, 7.3882, 7.3847) * CHOOSE( CONTROL!$C$15, $D$11, 100%, $F$11)</f>
        <v>7.3882000000000003</v>
      </c>
      <c r="E217" s="12">
        <f>CHOOSE( CONTROL!$C$32, 7.3775, 7.374) * CHOOSE( CONTROL!$C$15, $D$11, 100%, $F$11)</f>
        <v>7.3775000000000004</v>
      </c>
      <c r="F217" s="4">
        <f>CHOOSE( CONTROL!$C$32, 8.0674, 8.064) * CHOOSE(CONTROL!$C$15, $D$11, 100%, $F$11)</f>
        <v>8.0673999999999992</v>
      </c>
      <c r="G217" s="8">
        <f>CHOOSE( CONTROL!$C$32, 7.1678, 7.1645) * CHOOSE( CONTROL!$C$15, $D$11, 100%, $F$11)</f>
        <v>7.1677999999999997</v>
      </c>
      <c r="H217" s="4">
        <f>CHOOSE( CONTROL!$C$32, 8.1142, 8.1109) * CHOOSE(CONTROL!$C$15, $D$11, 100%, $F$11)</f>
        <v>8.1142000000000003</v>
      </c>
      <c r="I217" s="8">
        <f>CHOOSE( CONTROL!$C$32, 7.1511, 7.1478) * CHOOSE(CONTROL!$C$15, $D$11, 100%, $F$11)</f>
        <v>7.1510999999999996</v>
      </c>
      <c r="J217" s="4">
        <f>CHOOSE( CONTROL!$C$32, 7.0313, 7.0281) * CHOOSE(CONTROL!$C$15, $D$11, 100%, $F$11)</f>
        <v>7.0312999999999999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7.674 * CHOOSE(CONTROL!$C$15, $D$11, 100%, $F$11)</f>
        <v>7.6740000000000004</v>
      </c>
      <c r="C218" s="8">
        <f>7.6795 * CHOOSE(CONTROL!$C$15, $D$11, 100%, $F$11)</f>
        <v>7.6795</v>
      </c>
      <c r="D218" s="8">
        <f>7.7106 * CHOOSE( CONTROL!$C$15, $D$11, 100%, $F$11)</f>
        <v>7.7106000000000003</v>
      </c>
      <c r="E218" s="12">
        <f>7.6997 * CHOOSE( CONTROL!$C$15, $D$11, 100%, $F$11)</f>
        <v>7.6997</v>
      </c>
      <c r="F218" s="4">
        <f>8.3892 * CHOOSE(CONTROL!$C$15, $D$11, 100%, $F$11)</f>
        <v>8.3892000000000007</v>
      </c>
      <c r="G218" s="8">
        <f>7.4816 * CHOOSE( CONTROL!$C$15, $D$11, 100%, $F$11)</f>
        <v>7.4816000000000003</v>
      </c>
      <c r="H218" s="4">
        <f>8.4285 * CHOOSE(CONTROL!$C$15, $D$11, 100%, $F$11)</f>
        <v>8.4284999999999997</v>
      </c>
      <c r="I218" s="8">
        <f>7.461 * CHOOSE(CONTROL!$C$15, $D$11, 100%, $F$11)</f>
        <v>7.4610000000000003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8.2738 * CHOOSE(CONTROL!$C$15, $D$11, 100%, $F$11)</f>
        <v>8.2737999999999996</v>
      </c>
      <c r="C219" s="8">
        <f>8.279 * CHOOSE(CONTROL!$C$15, $D$11, 100%, $F$11)</f>
        <v>8.2789999999999999</v>
      </c>
      <c r="D219" s="8">
        <f>8.2719 * CHOOSE( CONTROL!$C$15, $D$11, 100%, $F$11)</f>
        <v>8.2719000000000005</v>
      </c>
      <c r="E219" s="12">
        <f>8.2739 * CHOOSE( CONTROL!$C$15, $D$11, 100%, $F$11)</f>
        <v>8.2738999999999994</v>
      </c>
      <c r="F219" s="4">
        <f>8.9243 * CHOOSE(CONTROL!$C$15, $D$11, 100%, $F$11)</f>
        <v>8.9243000000000006</v>
      </c>
      <c r="G219" s="8">
        <f>8.0809 * CHOOSE( CONTROL!$C$15, $D$11, 100%, $F$11)</f>
        <v>8.0808999999999997</v>
      </c>
      <c r="H219" s="4">
        <f>8.9512 * CHOOSE(CONTROL!$C$15, $D$11, 100%, $F$11)</f>
        <v>8.9512</v>
      </c>
      <c r="I219" s="8">
        <f>8.0811 * CHOOSE(CONTROL!$C$15, $D$11, 100%, $F$11)</f>
        <v>8.0810999999999993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8.2589 * CHOOSE(CONTROL!$C$15, $D$11, 100%, $F$11)</f>
        <v>8.2589000000000006</v>
      </c>
      <c r="C220" s="8">
        <f>8.264 * CHOOSE(CONTROL!$C$15, $D$11, 100%, $F$11)</f>
        <v>8.2639999999999993</v>
      </c>
      <c r="D220" s="8">
        <f>8.2583 * CHOOSE( CONTROL!$C$15, $D$11, 100%, $F$11)</f>
        <v>8.2583000000000002</v>
      </c>
      <c r="E220" s="12">
        <f>8.2598 * CHOOSE( CONTROL!$C$15, $D$11, 100%, $F$11)</f>
        <v>8.2598000000000003</v>
      </c>
      <c r="F220" s="4">
        <f>8.9093 * CHOOSE(CONTROL!$C$15, $D$11, 100%, $F$11)</f>
        <v>8.9093</v>
      </c>
      <c r="G220" s="8">
        <f>8.0673 * CHOOSE( CONTROL!$C$15, $D$11, 100%, $F$11)</f>
        <v>8.0672999999999995</v>
      </c>
      <c r="H220" s="4">
        <f>8.9365 * CHOOSE(CONTROL!$C$15, $D$11, 100%, $F$11)</f>
        <v>8.9365000000000006</v>
      </c>
      <c r="I220" s="8">
        <f>8.0713 * CHOOSE(CONTROL!$C$15, $D$11, 100%, $F$11)</f>
        <v>8.0713000000000008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8.5495 * CHOOSE(CONTROL!$C$15, $D$11, 100%, $F$11)</f>
        <v>8.5495000000000001</v>
      </c>
      <c r="C221" s="8">
        <f>8.5546 * CHOOSE(CONTROL!$C$15, $D$11, 100%, $F$11)</f>
        <v>8.5546000000000006</v>
      </c>
      <c r="D221" s="8">
        <f>8.5347 * CHOOSE( CONTROL!$C$15, $D$11, 100%, $F$11)</f>
        <v>8.5347000000000008</v>
      </c>
      <c r="E221" s="12">
        <f>8.5414 * CHOOSE( CONTROL!$C$15, $D$11, 100%, $F$11)</f>
        <v>8.5413999999999994</v>
      </c>
      <c r="F221" s="4">
        <f>9.1999 * CHOOSE(CONTROL!$C$15, $D$11, 100%, $F$11)</f>
        <v>9.1998999999999995</v>
      </c>
      <c r="G221" s="8">
        <f>8.3343 * CHOOSE( CONTROL!$C$15, $D$11, 100%, $F$11)</f>
        <v>8.3343000000000007</v>
      </c>
      <c r="H221" s="4">
        <f>9.2204 * CHOOSE(CONTROL!$C$15, $D$11, 100%, $F$11)</f>
        <v>9.2203999999999997</v>
      </c>
      <c r="I221" s="8">
        <f>8.3069 * CHOOSE(CONTROL!$C$15, $D$11, 100%, $F$11)</f>
        <v>8.3069000000000006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7.9986 * CHOOSE(CONTROL!$C$15, $D$11, 100%, $F$11)</f>
        <v>7.9985999999999997</v>
      </c>
      <c r="C222" s="8">
        <f>8.0038 * CHOOSE(CONTROL!$C$15, $D$11, 100%, $F$11)</f>
        <v>8.0038</v>
      </c>
      <c r="D222" s="8">
        <f>7.9838 * CHOOSE( CONTROL!$C$15, $D$11, 100%, $F$11)</f>
        <v>7.9837999999999996</v>
      </c>
      <c r="E222" s="12">
        <f>7.9906 * CHOOSE( CONTROL!$C$15, $D$11, 100%, $F$11)</f>
        <v>7.9905999999999997</v>
      </c>
      <c r="F222" s="4">
        <f>8.649 * CHOOSE(CONTROL!$C$15, $D$11, 100%, $F$11)</f>
        <v>8.6489999999999991</v>
      </c>
      <c r="G222" s="8">
        <f>7.7962 * CHOOSE( CONTROL!$C$15, $D$11, 100%, $F$11)</f>
        <v>7.7961999999999998</v>
      </c>
      <c r="H222" s="4">
        <f>8.6823 * CHOOSE(CONTROL!$C$15, $D$11, 100%, $F$11)</f>
        <v>8.6822999999999997</v>
      </c>
      <c r="I222" s="8">
        <f>7.7777 * CHOOSE(CONTROL!$C$15, $D$11, 100%, $F$11)</f>
        <v>7.7777000000000003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7.8289 * CHOOSE(CONTROL!$C$15, $D$11, 100%, $F$11)</f>
        <v>7.8289</v>
      </c>
      <c r="C223" s="8">
        <f>7.8341 * CHOOSE(CONTROL!$C$15, $D$11, 100%, $F$11)</f>
        <v>7.8341000000000003</v>
      </c>
      <c r="D223" s="8">
        <f>7.8138 * CHOOSE( CONTROL!$C$15, $D$11, 100%, $F$11)</f>
        <v>7.8137999999999996</v>
      </c>
      <c r="E223" s="12">
        <f>7.8207 * CHOOSE( CONTROL!$C$15, $D$11, 100%, $F$11)</f>
        <v>7.8207000000000004</v>
      </c>
      <c r="F223" s="4">
        <f>8.4794 * CHOOSE(CONTROL!$C$15, $D$11, 100%, $F$11)</f>
        <v>8.4794</v>
      </c>
      <c r="G223" s="8">
        <f>7.6303 * CHOOSE( CONTROL!$C$15, $D$11, 100%, $F$11)</f>
        <v>7.6303000000000001</v>
      </c>
      <c r="H223" s="4">
        <f>8.5166 * CHOOSE(CONTROL!$C$15, $D$11, 100%, $F$11)</f>
        <v>8.5166000000000004</v>
      </c>
      <c r="I223" s="8">
        <f>7.6135 * CHOOSE(CONTROL!$C$15, $D$11, 100%, $F$11)</f>
        <v>7.6135000000000002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7.9482 * CHOOSE(CONTROL!$C$15, $D$11, 100%, $F$11)</f>
        <v>7.9481999999999999</v>
      </c>
      <c r="C224" s="8">
        <f>7.9529 * CHOOSE(CONTROL!$C$15, $D$11, 100%, $F$11)</f>
        <v>7.9528999999999996</v>
      </c>
      <c r="D224" s="8">
        <f>7.9837 * CHOOSE( CONTROL!$C$15, $D$11, 100%, $F$11)</f>
        <v>7.9836999999999998</v>
      </c>
      <c r="E224" s="12">
        <f>7.973 * CHOOSE( CONTROL!$C$15, $D$11, 100%, $F$11)</f>
        <v>7.9729999999999999</v>
      </c>
      <c r="F224" s="4">
        <f>8.663 * CHOOSE(CONTROL!$C$15, $D$11, 100%, $F$11)</f>
        <v>8.6630000000000003</v>
      </c>
      <c r="G224" s="8">
        <f>7.7481 * CHOOSE( CONTROL!$C$15, $D$11, 100%, $F$11)</f>
        <v>7.7481</v>
      </c>
      <c r="H224" s="4">
        <f>8.696 * CHOOSE(CONTROL!$C$15, $D$11, 100%, $F$11)</f>
        <v>8.6959999999999997</v>
      </c>
      <c r="I224" s="8">
        <f>7.7208 * CHOOSE(CONTROL!$C$15, $D$11, 100%, $F$11)</f>
        <v>7.7207999999999997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8.164, 8.1606) * CHOOSE(CONTROL!$C$15, $D$11, 100%, $F$11)</f>
        <v>8.1639999999999997</v>
      </c>
      <c r="C225" s="8">
        <f>CHOOSE( CONTROL!$C$32, 8.1721, 8.1687) * CHOOSE(CONTROL!$C$15, $D$11, 100%, $F$11)</f>
        <v>8.1721000000000004</v>
      </c>
      <c r="D225" s="8">
        <f>CHOOSE( CONTROL!$C$32, 8.1977, 8.1943) * CHOOSE( CONTROL!$C$15, $D$11, 100%, $F$11)</f>
        <v>8.1976999999999993</v>
      </c>
      <c r="E225" s="12">
        <f>CHOOSE( CONTROL!$C$32, 8.1872, 8.1838) * CHOOSE( CONTROL!$C$15, $D$11, 100%, $F$11)</f>
        <v>8.1872000000000007</v>
      </c>
      <c r="F225" s="4">
        <f>CHOOSE( CONTROL!$C$32, 8.8774, 8.874) * CHOOSE(CONTROL!$C$15, $D$11, 100%, $F$11)</f>
        <v>8.8773999999999997</v>
      </c>
      <c r="G225" s="8">
        <f>CHOOSE( CONTROL!$C$32, 7.9582, 7.9549) * CHOOSE( CONTROL!$C$15, $D$11, 100%, $F$11)</f>
        <v>7.9581999999999997</v>
      </c>
      <c r="H225" s="4">
        <f>CHOOSE( CONTROL!$C$32, 8.9054, 8.9021) * CHOOSE(CONTROL!$C$15, $D$11, 100%, $F$11)</f>
        <v>8.9054000000000002</v>
      </c>
      <c r="I225" s="8">
        <f>CHOOSE( CONTROL!$C$32, 7.9269, 7.9236) * CHOOSE(CONTROL!$C$15, $D$11, 100%, $F$11)</f>
        <v>7.9268999999999998</v>
      </c>
      <c r="J225" s="4">
        <f>CHOOSE( CONTROL!$C$32, 7.809, 7.8058) * CHOOSE(CONTROL!$C$15, $D$11, 100%, $F$11)</f>
        <v>7.8090000000000002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8.0333, 8.0299) * CHOOSE(CONTROL!$C$15, $D$11, 100%, $F$11)</f>
        <v>8.0333000000000006</v>
      </c>
      <c r="C226" s="8">
        <f>CHOOSE( CONTROL!$C$32, 8.0414, 8.038) * CHOOSE(CONTROL!$C$15, $D$11, 100%, $F$11)</f>
        <v>8.0413999999999994</v>
      </c>
      <c r="D226" s="8">
        <f>CHOOSE( CONTROL!$C$32, 8.0672, 8.0638) * CHOOSE( CONTROL!$C$15, $D$11, 100%, $F$11)</f>
        <v>8.0671999999999997</v>
      </c>
      <c r="E226" s="12">
        <f>CHOOSE( CONTROL!$C$32, 8.0566, 8.0532) * CHOOSE( CONTROL!$C$15, $D$11, 100%, $F$11)</f>
        <v>8.0565999999999995</v>
      </c>
      <c r="F226" s="4">
        <f>CHOOSE( CONTROL!$C$32, 8.7467, 8.7433) * CHOOSE(CONTROL!$C$15, $D$11, 100%, $F$11)</f>
        <v>8.7467000000000006</v>
      </c>
      <c r="G226" s="8">
        <f>CHOOSE( CONTROL!$C$32, 7.8309, 7.8275) * CHOOSE( CONTROL!$C$15, $D$11, 100%, $F$11)</f>
        <v>7.8308999999999997</v>
      </c>
      <c r="H226" s="4">
        <f>CHOOSE( CONTROL!$C$32, 8.7777, 8.7744) * CHOOSE(CONTROL!$C$15, $D$11, 100%, $F$11)</f>
        <v>8.7776999999999994</v>
      </c>
      <c r="I226" s="8">
        <f>CHOOSE( CONTROL!$C$32, 7.8023, 7.799) * CHOOSE(CONTROL!$C$15, $D$11, 100%, $F$11)</f>
        <v>7.8022999999999998</v>
      </c>
      <c r="J226" s="4">
        <f>CHOOSE( CONTROL!$C$32, 7.6835, 7.6803) * CHOOSE(CONTROL!$C$15, $D$11, 100%, $F$11)</f>
        <v>7.6835000000000004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8.3775, 8.3741) * CHOOSE(CONTROL!$C$15, $D$11, 100%, $F$11)</f>
        <v>8.3774999999999995</v>
      </c>
      <c r="C227" s="8">
        <f>CHOOSE( CONTROL!$C$32, 8.3856, 8.3822) * CHOOSE(CONTROL!$C$15, $D$11, 100%, $F$11)</f>
        <v>8.3856000000000002</v>
      </c>
      <c r="D227" s="8">
        <f>CHOOSE( CONTROL!$C$32, 8.4116, 8.4082) * CHOOSE( CONTROL!$C$15, $D$11, 100%, $F$11)</f>
        <v>8.4116</v>
      </c>
      <c r="E227" s="12">
        <f>CHOOSE( CONTROL!$C$32, 8.4009, 8.3975) * CHOOSE( CONTROL!$C$15, $D$11, 100%, $F$11)</f>
        <v>8.4009</v>
      </c>
      <c r="F227" s="4">
        <f>CHOOSE( CONTROL!$C$32, 9.091, 9.0875) * CHOOSE(CONTROL!$C$15, $D$11, 100%, $F$11)</f>
        <v>9.0909999999999993</v>
      </c>
      <c r="G227" s="8">
        <f>CHOOSE( CONTROL!$C$32, 8.1674, 8.1641) * CHOOSE( CONTROL!$C$15, $D$11, 100%, $F$11)</f>
        <v>8.1674000000000007</v>
      </c>
      <c r="H227" s="4">
        <f>CHOOSE( CONTROL!$C$32, 9.1139, 9.1106) * CHOOSE(CONTROL!$C$15, $D$11, 100%, $F$11)</f>
        <v>9.1138999999999992</v>
      </c>
      <c r="I227" s="8">
        <f>CHOOSE( CONTROL!$C$32, 8.134, 8.1308) * CHOOSE(CONTROL!$C$15, $D$11, 100%, $F$11)</f>
        <v>8.1340000000000003</v>
      </c>
      <c r="J227" s="4">
        <f>CHOOSE( CONTROL!$C$32, 8.014, 8.0108) * CHOOSE(CONTROL!$C$15, $D$11, 100%, $F$11)</f>
        <v>8.0139999999999993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7.7335, 7.73) * CHOOSE(CONTROL!$C$15, $D$11, 100%, $F$11)</f>
        <v>7.7335000000000003</v>
      </c>
      <c r="C228" s="8">
        <f>CHOOSE( CONTROL!$C$32, 7.7415, 7.7381) * CHOOSE(CONTROL!$C$15, $D$11, 100%, $F$11)</f>
        <v>7.7415000000000003</v>
      </c>
      <c r="D228" s="8">
        <f>CHOOSE( CONTROL!$C$32, 7.7677, 7.7643) * CHOOSE( CONTROL!$C$15, $D$11, 100%, $F$11)</f>
        <v>7.7676999999999996</v>
      </c>
      <c r="E228" s="12">
        <f>CHOOSE( CONTROL!$C$32, 7.757, 7.7536) * CHOOSE( CONTROL!$C$15, $D$11, 100%, $F$11)</f>
        <v>7.7569999999999997</v>
      </c>
      <c r="F228" s="4">
        <f>CHOOSE( CONTROL!$C$32, 8.4469, 8.4435) * CHOOSE(CONTROL!$C$15, $D$11, 100%, $F$11)</f>
        <v>8.4468999999999994</v>
      </c>
      <c r="G228" s="8">
        <f>CHOOSE( CONTROL!$C$32, 7.5385, 7.5352) * CHOOSE( CONTROL!$C$15, $D$11, 100%, $F$11)</f>
        <v>7.5385</v>
      </c>
      <c r="H228" s="4">
        <f>CHOOSE( CONTROL!$C$32, 8.4849, 8.4815) * CHOOSE(CONTROL!$C$15, $D$11, 100%, $F$11)</f>
        <v>8.4848999999999997</v>
      </c>
      <c r="I228" s="8">
        <f>CHOOSE( CONTROL!$C$32, 7.5158, 7.5125) * CHOOSE(CONTROL!$C$15, $D$11, 100%, $F$11)</f>
        <v>7.5157999999999996</v>
      </c>
      <c r="J228" s="4">
        <f>CHOOSE( CONTROL!$C$32, 7.3957, 7.3924) * CHOOSE(CONTROL!$C$15, $D$11, 100%, $F$11)</f>
        <v>7.3956999999999997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7.5722, 7.5688) * CHOOSE(CONTROL!$C$15, $D$11, 100%, $F$11)</f>
        <v>7.5721999999999996</v>
      </c>
      <c r="C229" s="8">
        <f>CHOOSE( CONTROL!$C$32, 7.5803, 7.5768) * CHOOSE(CONTROL!$C$15, $D$11, 100%, $F$11)</f>
        <v>7.5803000000000003</v>
      </c>
      <c r="D229" s="8">
        <f>CHOOSE( CONTROL!$C$32, 7.6063, 7.6029) * CHOOSE( CONTROL!$C$15, $D$11, 100%, $F$11)</f>
        <v>7.6063000000000001</v>
      </c>
      <c r="E229" s="12">
        <f>CHOOSE( CONTROL!$C$32, 7.5956, 7.5922) * CHOOSE( CONTROL!$C$15, $D$11, 100%, $F$11)</f>
        <v>7.5956000000000001</v>
      </c>
      <c r="F229" s="4">
        <f>CHOOSE( CONTROL!$C$32, 8.2856, 8.2822) * CHOOSE(CONTROL!$C$15, $D$11, 100%, $F$11)</f>
        <v>8.2856000000000005</v>
      </c>
      <c r="G229" s="8">
        <f>CHOOSE( CONTROL!$C$32, 7.3809, 7.3776) * CHOOSE( CONTROL!$C$15, $D$11, 100%, $F$11)</f>
        <v>7.3808999999999996</v>
      </c>
      <c r="H229" s="4">
        <f>CHOOSE( CONTROL!$C$32, 8.3273, 8.324) * CHOOSE(CONTROL!$C$15, $D$11, 100%, $F$11)</f>
        <v>8.3272999999999993</v>
      </c>
      <c r="I229" s="8">
        <f>CHOOSE( CONTROL!$C$32, 7.3607, 7.3574) * CHOOSE(CONTROL!$C$15, $D$11, 100%, $F$11)</f>
        <v>7.3606999999999996</v>
      </c>
      <c r="J229" s="4">
        <f>CHOOSE( CONTROL!$C$32, 7.2408, 7.2375) * CHOOSE(CONTROL!$C$15, $D$11, 100%, $F$11)</f>
        <v>7.2408000000000001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7.9019 * CHOOSE(CONTROL!$C$15, $D$11, 100%, $F$11)</f>
        <v>7.9019000000000004</v>
      </c>
      <c r="C230" s="8">
        <f>7.9074 * CHOOSE(CONTROL!$C$15, $D$11, 100%, $F$11)</f>
        <v>7.9074</v>
      </c>
      <c r="D230" s="8">
        <f>7.9384 * CHOOSE( CONTROL!$C$15, $D$11, 100%, $F$11)</f>
        <v>7.9383999999999997</v>
      </c>
      <c r="E230" s="12">
        <f>7.9276 * CHOOSE( CONTROL!$C$15, $D$11, 100%, $F$11)</f>
        <v>7.9276</v>
      </c>
      <c r="F230" s="4">
        <f>8.6171 * CHOOSE(CONTROL!$C$15, $D$11, 100%, $F$11)</f>
        <v>8.6171000000000006</v>
      </c>
      <c r="G230" s="8">
        <f>7.7042 * CHOOSE( CONTROL!$C$15, $D$11, 100%, $F$11)</f>
        <v>7.7042000000000002</v>
      </c>
      <c r="H230" s="4">
        <f>8.6511 * CHOOSE(CONTROL!$C$15, $D$11, 100%, $F$11)</f>
        <v>8.6510999999999996</v>
      </c>
      <c r="I230" s="8">
        <f>7.68 * CHOOSE(CONTROL!$C$15, $D$11, 100%, $F$11)</f>
        <v>7.68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8.5196 * CHOOSE(CONTROL!$C$15, $D$11, 100%, $F$11)</f>
        <v>8.5196000000000005</v>
      </c>
      <c r="C231" s="8">
        <f>8.5248 * CHOOSE(CONTROL!$C$15, $D$11, 100%, $F$11)</f>
        <v>8.5248000000000008</v>
      </c>
      <c r="D231" s="8">
        <f>8.5177 * CHOOSE( CONTROL!$C$15, $D$11, 100%, $F$11)</f>
        <v>8.5176999999999996</v>
      </c>
      <c r="E231" s="12">
        <f>8.5197 * CHOOSE( CONTROL!$C$15, $D$11, 100%, $F$11)</f>
        <v>8.5197000000000003</v>
      </c>
      <c r="F231" s="4">
        <f>9.1701 * CHOOSE(CONTROL!$C$15, $D$11, 100%, $F$11)</f>
        <v>9.1700999999999997</v>
      </c>
      <c r="G231" s="8">
        <f>8.3209 * CHOOSE( CONTROL!$C$15, $D$11, 100%, $F$11)</f>
        <v>8.3209</v>
      </c>
      <c r="H231" s="4">
        <f>9.1912 * CHOOSE(CONTROL!$C$15, $D$11, 100%, $F$11)</f>
        <v>9.1912000000000003</v>
      </c>
      <c r="I231" s="8">
        <f>8.3172 * CHOOSE(CONTROL!$C$15, $D$11, 100%, $F$11)</f>
        <v>8.3171999999999997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8.5042 * CHOOSE(CONTROL!$C$15, $D$11, 100%, $F$11)</f>
        <v>8.5042000000000009</v>
      </c>
      <c r="C232" s="8">
        <f>8.5094 * CHOOSE(CONTROL!$C$15, $D$11, 100%, $F$11)</f>
        <v>8.5093999999999994</v>
      </c>
      <c r="D232" s="8">
        <f>8.5037 * CHOOSE( CONTROL!$C$15, $D$11, 100%, $F$11)</f>
        <v>8.5037000000000003</v>
      </c>
      <c r="E232" s="12">
        <f>8.5052 * CHOOSE( CONTROL!$C$15, $D$11, 100%, $F$11)</f>
        <v>8.5052000000000003</v>
      </c>
      <c r="F232" s="4">
        <f>9.1547 * CHOOSE(CONTROL!$C$15, $D$11, 100%, $F$11)</f>
        <v>9.1547000000000001</v>
      </c>
      <c r="G232" s="8">
        <f>8.3069 * CHOOSE( CONTROL!$C$15, $D$11, 100%, $F$11)</f>
        <v>8.3069000000000006</v>
      </c>
      <c r="H232" s="4">
        <f>9.1761 * CHOOSE(CONTROL!$C$15, $D$11, 100%, $F$11)</f>
        <v>9.1760999999999999</v>
      </c>
      <c r="I232" s="8">
        <f>8.3069 * CHOOSE(CONTROL!$C$15, $D$11, 100%, $F$11)</f>
        <v>8.3069000000000006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8.8027 * CHOOSE(CONTROL!$C$15, $D$11, 100%, $F$11)</f>
        <v>8.8026999999999997</v>
      </c>
      <c r="C233" s="8">
        <f>8.8078 * CHOOSE(CONTROL!$C$15, $D$11, 100%, $F$11)</f>
        <v>8.8078000000000003</v>
      </c>
      <c r="D233" s="8">
        <f>8.7879 * CHOOSE( CONTROL!$C$15, $D$11, 100%, $F$11)</f>
        <v>8.7879000000000005</v>
      </c>
      <c r="E233" s="12">
        <f>8.7946 * CHOOSE( CONTROL!$C$15, $D$11, 100%, $F$11)</f>
        <v>8.7946000000000009</v>
      </c>
      <c r="F233" s="4">
        <f>9.4531 * CHOOSE(CONTROL!$C$15, $D$11, 100%, $F$11)</f>
        <v>9.4530999999999992</v>
      </c>
      <c r="G233" s="8">
        <f>8.5816 * CHOOSE( CONTROL!$C$15, $D$11, 100%, $F$11)</f>
        <v>8.5815999999999999</v>
      </c>
      <c r="H233" s="4">
        <f>9.4677 * CHOOSE(CONTROL!$C$15, $D$11, 100%, $F$11)</f>
        <v>9.4677000000000007</v>
      </c>
      <c r="I233" s="8">
        <f>8.5501 * CHOOSE(CONTROL!$C$15, $D$11, 100%, $F$11)</f>
        <v>8.5501000000000005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8.2354 * CHOOSE(CONTROL!$C$15, $D$11, 100%, $F$11)</f>
        <v>8.2354000000000003</v>
      </c>
      <c r="C234" s="8">
        <f>8.2406 * CHOOSE(CONTROL!$C$15, $D$11, 100%, $F$11)</f>
        <v>8.2406000000000006</v>
      </c>
      <c r="D234" s="8">
        <f>8.2207 * CHOOSE( CONTROL!$C$15, $D$11, 100%, $F$11)</f>
        <v>8.2207000000000008</v>
      </c>
      <c r="E234" s="12">
        <f>8.2274 * CHOOSE( CONTROL!$C$15, $D$11, 100%, $F$11)</f>
        <v>8.2273999999999994</v>
      </c>
      <c r="F234" s="4">
        <f>8.8859 * CHOOSE(CONTROL!$C$15, $D$11, 100%, $F$11)</f>
        <v>8.8858999999999995</v>
      </c>
      <c r="G234" s="8">
        <f>8.0276 * CHOOSE( CONTROL!$C$15, $D$11, 100%, $F$11)</f>
        <v>8.0275999999999996</v>
      </c>
      <c r="H234" s="4">
        <f>8.9136 * CHOOSE(CONTROL!$C$15, $D$11, 100%, $F$11)</f>
        <v>8.9136000000000006</v>
      </c>
      <c r="I234" s="8">
        <f>8.0052 * CHOOSE(CONTROL!$C$15, $D$11, 100%, $F$11)</f>
        <v>8.0052000000000003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8.0607 * CHOOSE(CONTROL!$C$15, $D$11, 100%, $F$11)</f>
        <v>8.0607000000000006</v>
      </c>
      <c r="C235" s="8">
        <f>8.0659 * CHOOSE(CONTROL!$C$15, $D$11, 100%, $F$11)</f>
        <v>8.0658999999999992</v>
      </c>
      <c r="D235" s="8">
        <f>8.0456 * CHOOSE( CONTROL!$C$15, $D$11, 100%, $F$11)</f>
        <v>8.0456000000000003</v>
      </c>
      <c r="E235" s="12">
        <f>8.0525 * CHOOSE( CONTROL!$C$15, $D$11, 100%, $F$11)</f>
        <v>8.0525000000000002</v>
      </c>
      <c r="F235" s="4">
        <f>8.7112 * CHOOSE(CONTROL!$C$15, $D$11, 100%, $F$11)</f>
        <v>8.7111999999999998</v>
      </c>
      <c r="G235" s="8">
        <f>7.8567 * CHOOSE( CONTROL!$C$15, $D$11, 100%, $F$11)</f>
        <v>7.8567</v>
      </c>
      <c r="H235" s="4">
        <f>8.743 * CHOOSE(CONTROL!$C$15, $D$11, 100%, $F$11)</f>
        <v>8.7430000000000003</v>
      </c>
      <c r="I235" s="8">
        <f>7.8362 * CHOOSE(CONTROL!$C$15, $D$11, 100%, $F$11)</f>
        <v>7.8361999999999998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8.1835 * CHOOSE(CONTROL!$C$15, $D$11, 100%, $F$11)</f>
        <v>8.1835000000000004</v>
      </c>
      <c r="C236" s="8">
        <f>8.1882 * CHOOSE(CONTROL!$C$15, $D$11, 100%, $F$11)</f>
        <v>8.1882000000000001</v>
      </c>
      <c r="D236" s="8">
        <f>8.2191 * CHOOSE( CONTROL!$C$15, $D$11, 100%, $F$11)</f>
        <v>8.2190999999999992</v>
      </c>
      <c r="E236" s="12">
        <f>8.2084 * CHOOSE( CONTROL!$C$15, $D$11, 100%, $F$11)</f>
        <v>8.2083999999999993</v>
      </c>
      <c r="F236" s="4">
        <f>8.8983 * CHOOSE(CONTROL!$C$15, $D$11, 100%, $F$11)</f>
        <v>8.8983000000000008</v>
      </c>
      <c r="G236" s="8">
        <f>7.9779 * CHOOSE( CONTROL!$C$15, $D$11, 100%, $F$11)</f>
        <v>7.9779</v>
      </c>
      <c r="H236" s="4">
        <f>8.9258 * CHOOSE(CONTROL!$C$15, $D$11, 100%, $F$11)</f>
        <v>8.9258000000000006</v>
      </c>
      <c r="I236" s="8">
        <f>7.9468 * CHOOSE(CONTROL!$C$15, $D$11, 100%, $F$11)</f>
        <v>7.9467999999999996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8.4056, 8.4022) * CHOOSE(CONTROL!$C$15, $D$11, 100%, $F$11)</f>
        <v>8.4055999999999997</v>
      </c>
      <c r="C237" s="8">
        <f>CHOOSE( CONTROL!$C$32, 8.4137, 8.4103) * CHOOSE(CONTROL!$C$15, $D$11, 100%, $F$11)</f>
        <v>8.4137000000000004</v>
      </c>
      <c r="D237" s="8">
        <f>CHOOSE( CONTROL!$C$32, 8.4393, 8.4359) * CHOOSE( CONTROL!$C$15, $D$11, 100%, $F$11)</f>
        <v>8.4392999999999994</v>
      </c>
      <c r="E237" s="12">
        <f>CHOOSE( CONTROL!$C$32, 8.4288, 8.4254) * CHOOSE( CONTROL!$C$15, $D$11, 100%, $F$11)</f>
        <v>8.4288000000000007</v>
      </c>
      <c r="F237" s="4">
        <f>CHOOSE( CONTROL!$C$32, 9.119, 9.1156) * CHOOSE(CONTROL!$C$15, $D$11, 100%, $F$11)</f>
        <v>9.1189999999999998</v>
      </c>
      <c r="G237" s="8">
        <f>CHOOSE( CONTROL!$C$32, 8.1942, 8.1909) * CHOOSE( CONTROL!$C$15, $D$11, 100%, $F$11)</f>
        <v>8.1942000000000004</v>
      </c>
      <c r="H237" s="4">
        <f>CHOOSE( CONTROL!$C$32, 9.1414, 9.138) * CHOOSE(CONTROL!$C$15, $D$11, 100%, $F$11)</f>
        <v>9.1414000000000009</v>
      </c>
      <c r="I237" s="8">
        <f>CHOOSE( CONTROL!$C$32, 8.159, 8.1557) * CHOOSE(CONTROL!$C$15, $D$11, 100%, $F$11)</f>
        <v>8.1590000000000007</v>
      </c>
      <c r="J237" s="4">
        <f>CHOOSE( CONTROL!$C$32, 8.041, 8.0377) * CHOOSE(CONTROL!$C$15, $D$11, 100%, $F$11)</f>
        <v>8.0410000000000004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8.271, 8.2676) * CHOOSE(CONTROL!$C$15, $D$11, 100%, $F$11)</f>
        <v>8.2710000000000008</v>
      </c>
      <c r="C238" s="8">
        <f>CHOOSE( CONTROL!$C$32, 8.2791, 8.2757) * CHOOSE(CONTROL!$C$15, $D$11, 100%, $F$11)</f>
        <v>8.2790999999999997</v>
      </c>
      <c r="D238" s="8">
        <f>CHOOSE( CONTROL!$C$32, 8.3049, 8.3015) * CHOOSE( CONTROL!$C$15, $D$11, 100%, $F$11)</f>
        <v>8.3048999999999999</v>
      </c>
      <c r="E238" s="12">
        <f>CHOOSE( CONTROL!$C$32, 8.2943, 8.2909) * CHOOSE( CONTROL!$C$15, $D$11, 100%, $F$11)</f>
        <v>8.2942999999999998</v>
      </c>
      <c r="F238" s="4">
        <f>CHOOSE( CONTROL!$C$32, 8.9844, 8.981) * CHOOSE(CONTROL!$C$15, $D$11, 100%, $F$11)</f>
        <v>8.9844000000000008</v>
      </c>
      <c r="G238" s="8">
        <f>CHOOSE( CONTROL!$C$32, 8.063, 8.0597) * CHOOSE( CONTROL!$C$15, $D$11, 100%, $F$11)</f>
        <v>8.0630000000000006</v>
      </c>
      <c r="H238" s="4">
        <f>CHOOSE( CONTROL!$C$32, 9.0099, 9.0066) * CHOOSE(CONTROL!$C$15, $D$11, 100%, $F$11)</f>
        <v>9.0099</v>
      </c>
      <c r="I238" s="8">
        <f>CHOOSE( CONTROL!$C$32, 8.0306, 8.0273) * CHOOSE(CONTROL!$C$15, $D$11, 100%, $F$11)</f>
        <v>8.0305999999999997</v>
      </c>
      <c r="J238" s="4">
        <f>CHOOSE( CONTROL!$C$32, 7.9118, 7.9085) * CHOOSE(CONTROL!$C$15, $D$11, 100%, $F$11)</f>
        <v>7.9118000000000004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8.6254, 8.622) * CHOOSE(CONTROL!$C$15, $D$11, 100%, $F$11)</f>
        <v>8.6254000000000008</v>
      </c>
      <c r="C239" s="8">
        <f>CHOOSE( CONTROL!$C$32, 8.6335, 8.6301) * CHOOSE(CONTROL!$C$15, $D$11, 100%, $F$11)</f>
        <v>8.6334999999999997</v>
      </c>
      <c r="D239" s="8">
        <f>CHOOSE( CONTROL!$C$32, 8.6596, 8.6562) * CHOOSE( CONTROL!$C$15, $D$11, 100%, $F$11)</f>
        <v>8.6595999999999993</v>
      </c>
      <c r="E239" s="12">
        <f>CHOOSE( CONTROL!$C$32, 8.6489, 8.6455) * CHOOSE( CONTROL!$C$15, $D$11, 100%, $F$11)</f>
        <v>8.6488999999999994</v>
      </c>
      <c r="F239" s="4">
        <f>CHOOSE( CONTROL!$C$32, 9.3389, 9.3355) * CHOOSE(CONTROL!$C$15, $D$11, 100%, $F$11)</f>
        <v>9.3389000000000006</v>
      </c>
      <c r="G239" s="8">
        <f>CHOOSE( CONTROL!$C$32, 8.4096, 8.4062) * CHOOSE( CONTROL!$C$15, $D$11, 100%, $F$11)</f>
        <v>8.4095999999999993</v>
      </c>
      <c r="H239" s="4">
        <f>CHOOSE( CONTROL!$C$32, 9.3561, 9.3528) * CHOOSE(CONTROL!$C$15, $D$11, 100%, $F$11)</f>
        <v>9.3560999999999996</v>
      </c>
      <c r="I239" s="8">
        <f>CHOOSE( CONTROL!$C$32, 8.3722, 8.3689) * CHOOSE(CONTROL!$C$15, $D$11, 100%, $F$11)</f>
        <v>8.3721999999999994</v>
      </c>
      <c r="J239" s="4">
        <f>CHOOSE( CONTROL!$C$32, 8.2521, 8.2488) * CHOOSE(CONTROL!$C$15, $D$11, 100%, $F$11)</f>
        <v>8.2521000000000004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7.9622, 7.9588) * CHOOSE(CONTROL!$C$15, $D$11, 100%, $F$11)</f>
        <v>7.9622000000000002</v>
      </c>
      <c r="C240" s="8">
        <f>CHOOSE( CONTROL!$C$32, 7.9703, 7.9669) * CHOOSE(CONTROL!$C$15, $D$11, 100%, $F$11)</f>
        <v>7.9702999999999999</v>
      </c>
      <c r="D240" s="8">
        <f>CHOOSE( CONTROL!$C$32, 7.9965, 7.993) * CHOOSE( CONTROL!$C$15, $D$11, 100%, $F$11)</f>
        <v>7.9965000000000002</v>
      </c>
      <c r="E240" s="12">
        <f>CHOOSE( CONTROL!$C$32, 7.9858, 7.9823) * CHOOSE( CONTROL!$C$15, $D$11, 100%, $F$11)</f>
        <v>7.9858000000000002</v>
      </c>
      <c r="F240" s="4">
        <f>CHOOSE( CONTROL!$C$32, 8.6757, 8.6723) * CHOOSE(CONTROL!$C$15, $D$11, 100%, $F$11)</f>
        <v>8.6757000000000009</v>
      </c>
      <c r="G240" s="8">
        <f>CHOOSE( CONTROL!$C$32, 7.7619, 7.7586) * CHOOSE( CONTROL!$C$15, $D$11, 100%, $F$11)</f>
        <v>7.7618999999999998</v>
      </c>
      <c r="H240" s="4">
        <f>CHOOSE( CONTROL!$C$32, 8.7083, 8.705) * CHOOSE(CONTROL!$C$15, $D$11, 100%, $F$11)</f>
        <v>8.7082999999999995</v>
      </c>
      <c r="I240" s="8">
        <f>CHOOSE( CONTROL!$C$32, 7.7355, 7.7323) * CHOOSE(CONTROL!$C$15, $D$11, 100%, $F$11)</f>
        <v>7.7355</v>
      </c>
      <c r="J240" s="4">
        <f>CHOOSE( CONTROL!$C$32, 7.6153, 7.6121) * CHOOSE(CONTROL!$C$15, $D$11, 100%, $F$11)</f>
        <v>7.6153000000000004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7.7962, 7.7928) * CHOOSE(CONTROL!$C$15, $D$11, 100%, $F$11)</f>
        <v>7.7961999999999998</v>
      </c>
      <c r="C241" s="8">
        <f>CHOOSE( CONTROL!$C$32, 7.8042, 7.8008) * CHOOSE(CONTROL!$C$15, $D$11, 100%, $F$11)</f>
        <v>7.8041999999999998</v>
      </c>
      <c r="D241" s="8">
        <f>CHOOSE( CONTROL!$C$32, 7.8303, 7.8269) * CHOOSE( CONTROL!$C$15, $D$11, 100%, $F$11)</f>
        <v>7.8303000000000003</v>
      </c>
      <c r="E241" s="12">
        <f>CHOOSE( CONTROL!$C$32, 7.8196, 7.8162) * CHOOSE( CONTROL!$C$15, $D$11, 100%, $F$11)</f>
        <v>7.8196000000000003</v>
      </c>
      <c r="F241" s="4">
        <f>CHOOSE( CONTROL!$C$32, 8.5096, 8.5062) * CHOOSE(CONTROL!$C$15, $D$11, 100%, $F$11)</f>
        <v>8.5096000000000007</v>
      </c>
      <c r="G241" s="8">
        <f>CHOOSE( CONTROL!$C$32, 7.5997, 7.5964) * CHOOSE( CONTROL!$C$15, $D$11, 100%, $F$11)</f>
        <v>7.5997000000000003</v>
      </c>
      <c r="H241" s="4">
        <f>CHOOSE( CONTROL!$C$32, 8.5461, 8.5428) * CHOOSE(CONTROL!$C$15, $D$11, 100%, $F$11)</f>
        <v>8.5460999999999991</v>
      </c>
      <c r="I241" s="8">
        <f>CHOOSE( CONTROL!$C$32, 7.5759, 7.5726) * CHOOSE(CONTROL!$C$15, $D$11, 100%, $F$11)</f>
        <v>7.5758999999999999</v>
      </c>
      <c r="J241" s="4">
        <f>CHOOSE( CONTROL!$C$32, 7.4559, 7.4526) * CHOOSE(CONTROL!$C$15, $D$11, 100%, $F$11)</f>
        <v>7.4558999999999997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8.1359 * CHOOSE(CONTROL!$C$15, $D$11, 100%, $F$11)</f>
        <v>8.1358999999999995</v>
      </c>
      <c r="C242" s="8">
        <f>8.1413 * CHOOSE(CONTROL!$C$15, $D$11, 100%, $F$11)</f>
        <v>8.1412999999999993</v>
      </c>
      <c r="D242" s="8">
        <f>8.1724 * CHOOSE( CONTROL!$C$15, $D$11, 100%, $F$11)</f>
        <v>8.1723999999999997</v>
      </c>
      <c r="E242" s="12">
        <f>8.1616 * CHOOSE( CONTROL!$C$15, $D$11, 100%, $F$11)</f>
        <v>8.1616</v>
      </c>
      <c r="F242" s="4">
        <f>8.851 * CHOOSE(CONTROL!$C$15, $D$11, 100%, $F$11)</f>
        <v>8.8510000000000009</v>
      </c>
      <c r="G242" s="8">
        <f>7.9327 * CHOOSE( CONTROL!$C$15, $D$11, 100%, $F$11)</f>
        <v>7.9326999999999996</v>
      </c>
      <c r="H242" s="4">
        <f>8.8796 * CHOOSE(CONTROL!$C$15, $D$11, 100%, $F$11)</f>
        <v>8.8795999999999999</v>
      </c>
      <c r="I242" s="8">
        <f>7.9047 * CHOOSE(CONTROL!$C$15, $D$11, 100%, $F$11)</f>
        <v>7.9047000000000001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8.7719 * CHOOSE(CONTROL!$C$15, $D$11, 100%, $F$11)</f>
        <v>8.7719000000000005</v>
      </c>
      <c r="C243" s="8">
        <f>8.7771 * CHOOSE(CONTROL!$C$15, $D$11, 100%, $F$11)</f>
        <v>8.7771000000000008</v>
      </c>
      <c r="D243" s="8">
        <f>8.77 * CHOOSE( CONTROL!$C$15, $D$11, 100%, $F$11)</f>
        <v>8.77</v>
      </c>
      <c r="E243" s="12">
        <f>8.772 * CHOOSE( CONTROL!$C$15, $D$11, 100%, $F$11)</f>
        <v>8.7720000000000002</v>
      </c>
      <c r="F243" s="4">
        <f>9.4224 * CHOOSE(CONTROL!$C$15, $D$11, 100%, $F$11)</f>
        <v>9.4223999999999997</v>
      </c>
      <c r="G243" s="8">
        <f>8.5674 * CHOOSE( CONTROL!$C$15, $D$11, 100%, $F$11)</f>
        <v>8.5673999999999992</v>
      </c>
      <c r="H243" s="4">
        <f>9.4377 * CHOOSE(CONTROL!$C$15, $D$11, 100%, $F$11)</f>
        <v>9.4376999999999995</v>
      </c>
      <c r="I243" s="8">
        <f>8.5595 * CHOOSE(CONTROL!$C$15, $D$11, 100%, $F$11)</f>
        <v>8.5594999999999999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8.756 * CHOOSE(CONTROL!$C$15, $D$11, 100%, $F$11)</f>
        <v>8.7560000000000002</v>
      </c>
      <c r="C244" s="8">
        <f>8.7612 * CHOOSE(CONTROL!$C$15, $D$11, 100%, $F$11)</f>
        <v>8.7612000000000005</v>
      </c>
      <c r="D244" s="8">
        <f>8.7555 * CHOOSE( CONTROL!$C$15, $D$11, 100%, $F$11)</f>
        <v>8.7554999999999996</v>
      </c>
      <c r="E244" s="12">
        <f>8.757 * CHOOSE( CONTROL!$C$15, $D$11, 100%, $F$11)</f>
        <v>8.7569999999999997</v>
      </c>
      <c r="F244" s="4">
        <f>9.4065 * CHOOSE(CONTROL!$C$15, $D$11, 100%, $F$11)</f>
        <v>9.4064999999999994</v>
      </c>
      <c r="G244" s="8">
        <f>8.5529 * CHOOSE( CONTROL!$C$15, $D$11, 100%, $F$11)</f>
        <v>8.5528999999999993</v>
      </c>
      <c r="H244" s="4">
        <f>9.4221 * CHOOSE(CONTROL!$C$15, $D$11, 100%, $F$11)</f>
        <v>9.4221000000000004</v>
      </c>
      <c r="I244" s="8">
        <f>8.5489 * CHOOSE(CONTROL!$C$15, $D$11, 100%, $F$11)</f>
        <v>8.5488999999999997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8.9781 * CHOOSE(CONTROL!$C$15, $D$11, 100%, $F$11)</f>
        <v>8.9780999999999995</v>
      </c>
      <c r="C245" s="8">
        <f>8.9833 * CHOOSE(CONTROL!$C$15, $D$11, 100%, $F$11)</f>
        <v>8.9832999999999998</v>
      </c>
      <c r="D245" s="8">
        <f>8.9634 * CHOOSE( CONTROL!$C$15, $D$11, 100%, $F$11)</f>
        <v>8.9634</v>
      </c>
      <c r="E245" s="12">
        <f>8.9701 * CHOOSE( CONTROL!$C$15, $D$11, 100%, $F$11)</f>
        <v>8.9701000000000004</v>
      </c>
      <c r="F245" s="4">
        <f>9.6286 * CHOOSE(CONTROL!$C$15, $D$11, 100%, $F$11)</f>
        <v>9.6286000000000005</v>
      </c>
      <c r="G245" s="8">
        <f>8.753 * CHOOSE( CONTROL!$C$15, $D$11, 100%, $F$11)</f>
        <v>8.7530000000000001</v>
      </c>
      <c r="H245" s="4">
        <f>9.6391 * CHOOSE(CONTROL!$C$15, $D$11, 100%, $F$11)</f>
        <v>9.6390999999999991</v>
      </c>
      <c r="I245" s="8">
        <f>8.7187 * CHOOSE(CONTROL!$C$15, $D$11, 100%, $F$11)</f>
        <v>8.7187000000000001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8.3995 * CHOOSE(CONTROL!$C$15, $D$11, 100%, $F$11)</f>
        <v>8.3994999999999997</v>
      </c>
      <c r="C246" s="8">
        <f>8.4047 * CHOOSE(CONTROL!$C$15, $D$11, 100%, $F$11)</f>
        <v>8.4047000000000001</v>
      </c>
      <c r="D246" s="8">
        <f>8.3848 * CHOOSE( CONTROL!$C$15, $D$11, 100%, $F$11)</f>
        <v>8.3848000000000003</v>
      </c>
      <c r="E246" s="12">
        <f>8.3915 * CHOOSE( CONTROL!$C$15, $D$11, 100%, $F$11)</f>
        <v>8.3915000000000006</v>
      </c>
      <c r="F246" s="4">
        <f>9.05 * CHOOSE(CONTROL!$C$15, $D$11, 100%, $F$11)</f>
        <v>9.0500000000000007</v>
      </c>
      <c r="G246" s="8">
        <f>8.1879 * CHOOSE( CONTROL!$C$15, $D$11, 100%, $F$11)</f>
        <v>8.1879000000000008</v>
      </c>
      <c r="H246" s="4">
        <f>9.0739 * CHOOSE(CONTROL!$C$15, $D$11, 100%, $F$11)</f>
        <v>9.0739000000000001</v>
      </c>
      <c r="I246" s="8">
        <f>8.1628 * CHOOSE(CONTROL!$C$15, $D$11, 100%, $F$11)</f>
        <v>8.1628000000000007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8.2213 * CHOOSE(CONTROL!$C$15, $D$11, 100%, $F$11)</f>
        <v>8.2212999999999994</v>
      </c>
      <c r="C247" s="8">
        <f>8.2265 * CHOOSE(CONTROL!$C$15, $D$11, 100%, $F$11)</f>
        <v>8.2264999999999997</v>
      </c>
      <c r="D247" s="8">
        <f>8.2062 * CHOOSE( CONTROL!$C$15, $D$11, 100%, $F$11)</f>
        <v>8.2062000000000008</v>
      </c>
      <c r="E247" s="12">
        <f>8.2131 * CHOOSE( CONTROL!$C$15, $D$11, 100%, $F$11)</f>
        <v>8.2131000000000007</v>
      </c>
      <c r="F247" s="4">
        <f>8.8718 * CHOOSE(CONTROL!$C$15, $D$11, 100%, $F$11)</f>
        <v>8.8718000000000004</v>
      </c>
      <c r="G247" s="8">
        <f>8.0136 * CHOOSE( CONTROL!$C$15, $D$11, 100%, $F$11)</f>
        <v>8.0136000000000003</v>
      </c>
      <c r="H247" s="4">
        <f>8.8999 * CHOOSE(CONTROL!$C$15, $D$11, 100%, $F$11)</f>
        <v>8.8999000000000006</v>
      </c>
      <c r="I247" s="8">
        <f>7.9905 * CHOOSE(CONTROL!$C$15, $D$11, 100%, $F$11)</f>
        <v>7.9904999999999999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8.3466 * CHOOSE(CONTROL!$C$15, $D$11, 100%, $F$11)</f>
        <v>8.3466000000000005</v>
      </c>
      <c r="C248" s="8">
        <f>8.3513 * CHOOSE(CONTROL!$C$15, $D$11, 100%, $F$11)</f>
        <v>8.3513000000000002</v>
      </c>
      <c r="D248" s="8">
        <f>8.3821 * CHOOSE( CONTROL!$C$15, $D$11, 100%, $F$11)</f>
        <v>8.3820999999999994</v>
      </c>
      <c r="E248" s="12">
        <f>8.3714 * CHOOSE( CONTROL!$C$15, $D$11, 100%, $F$11)</f>
        <v>8.3713999999999995</v>
      </c>
      <c r="F248" s="4">
        <f>9.0614 * CHOOSE(CONTROL!$C$15, $D$11, 100%, $F$11)</f>
        <v>9.0614000000000008</v>
      </c>
      <c r="G248" s="8">
        <f>8.1372 * CHOOSE( CONTROL!$C$15, $D$11, 100%, $F$11)</f>
        <v>8.1372</v>
      </c>
      <c r="H248" s="4">
        <f>9.0851 * CHOOSE(CONTROL!$C$15, $D$11, 100%, $F$11)</f>
        <v>9.0851000000000006</v>
      </c>
      <c r="I248" s="8">
        <f>8.1035 * CHOOSE(CONTROL!$C$15, $D$11, 100%, $F$11)</f>
        <v>8.1035000000000004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8.573, 8.5696) * CHOOSE(CONTROL!$C$15, $D$11, 100%, $F$11)</f>
        <v>8.5730000000000004</v>
      </c>
      <c r="C249" s="8">
        <f>CHOOSE( CONTROL!$C$32, 8.5811, 8.5777) * CHOOSE(CONTROL!$C$15, $D$11, 100%, $F$11)</f>
        <v>8.5810999999999993</v>
      </c>
      <c r="D249" s="8">
        <f>CHOOSE( CONTROL!$C$32, 8.6067, 8.6033) * CHOOSE( CONTROL!$C$15, $D$11, 100%, $F$11)</f>
        <v>8.6067</v>
      </c>
      <c r="E249" s="12">
        <f>CHOOSE( CONTROL!$C$32, 8.5962, 8.5928) * CHOOSE( CONTROL!$C$15, $D$11, 100%, $F$11)</f>
        <v>8.5961999999999996</v>
      </c>
      <c r="F249" s="4">
        <f>CHOOSE( CONTROL!$C$32, 9.2865, 9.2831) * CHOOSE(CONTROL!$C$15, $D$11, 100%, $F$11)</f>
        <v>9.2865000000000002</v>
      </c>
      <c r="G249" s="8">
        <f>CHOOSE( CONTROL!$C$32, 8.3577, 8.3544) * CHOOSE( CONTROL!$C$15, $D$11, 100%, $F$11)</f>
        <v>8.3576999999999995</v>
      </c>
      <c r="H249" s="4">
        <f>CHOOSE( CONTROL!$C$32, 9.3049, 9.3016) * CHOOSE(CONTROL!$C$15, $D$11, 100%, $F$11)</f>
        <v>9.3048999999999999</v>
      </c>
      <c r="I249" s="8">
        <f>CHOOSE( CONTROL!$C$32, 8.3198, 8.3165) * CHOOSE(CONTROL!$C$15, $D$11, 100%, $F$11)</f>
        <v>8.3198000000000008</v>
      </c>
      <c r="J249" s="4">
        <f>CHOOSE( CONTROL!$C$32, 8.2017, 8.1985) * CHOOSE(CONTROL!$C$15, $D$11, 100%, $F$11)</f>
        <v>8.2017000000000007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8.4357, 8.4323) * CHOOSE(CONTROL!$C$15, $D$11, 100%, $F$11)</f>
        <v>8.4357000000000006</v>
      </c>
      <c r="C250" s="8">
        <f>CHOOSE( CONTROL!$C$32, 8.4438, 8.4404) * CHOOSE(CONTROL!$C$15, $D$11, 100%, $F$11)</f>
        <v>8.4437999999999995</v>
      </c>
      <c r="D250" s="8">
        <f>CHOOSE( CONTROL!$C$32, 8.4696, 8.4662) * CHOOSE( CONTROL!$C$15, $D$11, 100%, $F$11)</f>
        <v>8.4695999999999998</v>
      </c>
      <c r="E250" s="12">
        <f>CHOOSE( CONTROL!$C$32, 8.459, 8.4556) * CHOOSE( CONTROL!$C$15, $D$11, 100%, $F$11)</f>
        <v>8.4589999999999996</v>
      </c>
      <c r="F250" s="4">
        <f>CHOOSE( CONTROL!$C$32, 9.1492, 9.1458) * CHOOSE(CONTROL!$C$15, $D$11, 100%, $F$11)</f>
        <v>9.1492000000000004</v>
      </c>
      <c r="G250" s="8">
        <f>CHOOSE( CONTROL!$C$32, 8.2239, 8.2206) * CHOOSE( CONTROL!$C$15, $D$11, 100%, $F$11)</f>
        <v>8.2239000000000004</v>
      </c>
      <c r="H250" s="4">
        <f>CHOOSE( CONTROL!$C$32, 9.1708, 9.1675) * CHOOSE(CONTROL!$C$15, $D$11, 100%, $F$11)</f>
        <v>9.1707999999999998</v>
      </c>
      <c r="I250" s="8">
        <f>CHOOSE( CONTROL!$C$32, 8.1889, 8.1856) * CHOOSE(CONTROL!$C$15, $D$11, 100%, $F$11)</f>
        <v>8.1889000000000003</v>
      </c>
      <c r="J250" s="4">
        <f>CHOOSE( CONTROL!$C$32, 8.0699, 8.0667) * CHOOSE(CONTROL!$C$15, $D$11, 100%, $F$11)</f>
        <v>8.0699000000000005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8.7973, 8.7939) * CHOOSE(CONTROL!$C$15, $D$11, 100%, $F$11)</f>
        <v>8.7972999999999999</v>
      </c>
      <c r="C251" s="8">
        <f>CHOOSE( CONTROL!$C$32, 8.8054, 8.802) * CHOOSE(CONTROL!$C$15, $D$11, 100%, $F$11)</f>
        <v>8.8054000000000006</v>
      </c>
      <c r="D251" s="8">
        <f>CHOOSE( CONTROL!$C$32, 8.8314, 8.828) * CHOOSE( CONTROL!$C$15, $D$11, 100%, $F$11)</f>
        <v>8.8314000000000004</v>
      </c>
      <c r="E251" s="12">
        <f>CHOOSE( CONTROL!$C$32, 8.8207, 8.8173) * CHOOSE( CONTROL!$C$15, $D$11, 100%, $F$11)</f>
        <v>8.8207000000000004</v>
      </c>
      <c r="F251" s="4">
        <f>CHOOSE( CONTROL!$C$32, 9.5107, 9.5073) * CHOOSE(CONTROL!$C$15, $D$11, 100%, $F$11)</f>
        <v>9.5106999999999999</v>
      </c>
      <c r="G251" s="8">
        <f>CHOOSE( CONTROL!$C$32, 8.5774, 8.5741) * CHOOSE( CONTROL!$C$15, $D$11, 100%, $F$11)</f>
        <v>8.5774000000000008</v>
      </c>
      <c r="H251" s="4">
        <f>CHOOSE( CONTROL!$C$32, 9.5239, 9.5206) * CHOOSE(CONTROL!$C$15, $D$11, 100%, $F$11)</f>
        <v>9.5238999999999994</v>
      </c>
      <c r="I251" s="8">
        <f>CHOOSE( CONTROL!$C$32, 8.5372, 8.534) * CHOOSE(CONTROL!$C$15, $D$11, 100%, $F$11)</f>
        <v>8.5372000000000003</v>
      </c>
      <c r="J251" s="4">
        <f>CHOOSE( CONTROL!$C$32, 8.417, 8.4138) * CHOOSE(CONTROL!$C$15, $D$11, 100%, $F$11)</f>
        <v>8.4169999999999998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8.1208, 8.1174) * CHOOSE(CONTROL!$C$15, $D$11, 100%, $F$11)</f>
        <v>8.1207999999999991</v>
      </c>
      <c r="C252" s="8">
        <f>CHOOSE( CONTROL!$C$32, 8.1289, 8.1255) * CHOOSE(CONTROL!$C$15, $D$11, 100%, $F$11)</f>
        <v>8.1288999999999998</v>
      </c>
      <c r="D252" s="8">
        <f>CHOOSE( CONTROL!$C$32, 8.155, 8.1516) * CHOOSE( CONTROL!$C$15, $D$11, 100%, $F$11)</f>
        <v>8.1549999999999994</v>
      </c>
      <c r="E252" s="12">
        <f>CHOOSE( CONTROL!$C$32, 8.1443, 8.1409) * CHOOSE( CONTROL!$C$15, $D$11, 100%, $F$11)</f>
        <v>8.1442999999999994</v>
      </c>
      <c r="F252" s="4">
        <f>CHOOSE( CONTROL!$C$32, 8.8342, 8.8308) * CHOOSE(CONTROL!$C$15, $D$11, 100%, $F$11)</f>
        <v>8.8341999999999992</v>
      </c>
      <c r="G252" s="8">
        <f>CHOOSE( CONTROL!$C$32, 7.9168, 7.9135) * CHOOSE( CONTROL!$C$15, $D$11, 100%, $F$11)</f>
        <v>7.9168000000000003</v>
      </c>
      <c r="H252" s="4">
        <f>CHOOSE( CONTROL!$C$32, 8.8632, 8.8599) * CHOOSE(CONTROL!$C$15, $D$11, 100%, $F$11)</f>
        <v>8.8632000000000009</v>
      </c>
      <c r="I252" s="8">
        <f>CHOOSE( CONTROL!$C$32, 7.8879, 7.8846) * CHOOSE(CONTROL!$C$15, $D$11, 100%, $F$11)</f>
        <v>7.8879000000000001</v>
      </c>
      <c r="J252" s="4">
        <f>CHOOSE( CONTROL!$C$32, 7.7676, 7.7643) * CHOOSE(CONTROL!$C$15, $D$11, 100%, $F$11)</f>
        <v>7.7675999999999998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7.9514, 7.948) * CHOOSE(CONTROL!$C$15, $D$11, 100%, $F$11)</f>
        <v>7.9513999999999996</v>
      </c>
      <c r="C253" s="8">
        <f>CHOOSE( CONTROL!$C$32, 7.9595, 7.9561) * CHOOSE(CONTROL!$C$15, $D$11, 100%, $F$11)</f>
        <v>7.9595000000000002</v>
      </c>
      <c r="D253" s="8">
        <f>CHOOSE( CONTROL!$C$32, 7.9856, 7.9822) * CHOOSE( CONTROL!$C$15, $D$11, 100%, $F$11)</f>
        <v>7.9855999999999998</v>
      </c>
      <c r="E253" s="12">
        <f>CHOOSE( CONTROL!$C$32, 7.9749, 7.9715) * CHOOSE( CONTROL!$C$15, $D$11, 100%, $F$11)</f>
        <v>7.9748999999999999</v>
      </c>
      <c r="F253" s="4">
        <f>CHOOSE( CONTROL!$C$32, 8.6648, 8.6614) * CHOOSE(CONTROL!$C$15, $D$11, 100%, $F$11)</f>
        <v>8.6647999999999996</v>
      </c>
      <c r="G253" s="8">
        <f>CHOOSE( CONTROL!$C$32, 7.7513, 7.748) * CHOOSE( CONTROL!$C$15, $D$11, 100%, $F$11)</f>
        <v>7.7512999999999996</v>
      </c>
      <c r="H253" s="4">
        <f>CHOOSE( CONTROL!$C$32, 8.6977, 8.6944) * CHOOSE(CONTROL!$C$15, $D$11, 100%, $F$11)</f>
        <v>8.6976999999999993</v>
      </c>
      <c r="I253" s="8">
        <f>CHOOSE( CONTROL!$C$32, 7.725, 7.7217) * CHOOSE(CONTROL!$C$15, $D$11, 100%, $F$11)</f>
        <v>7.7249999999999996</v>
      </c>
      <c r="J253" s="4">
        <f>CHOOSE( CONTROL!$C$32, 7.6049, 7.6017) * CHOOSE(CONTROL!$C$15, $D$11, 100%, $F$11)</f>
        <v>7.6048999999999998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8.298 * CHOOSE(CONTROL!$C$15, $D$11, 100%, $F$11)</f>
        <v>8.298</v>
      </c>
      <c r="C254" s="8">
        <f>8.3034 * CHOOSE(CONTROL!$C$15, $D$11, 100%, $F$11)</f>
        <v>8.3033999999999999</v>
      </c>
      <c r="D254" s="8">
        <f>8.3345 * CHOOSE( CONTROL!$C$15, $D$11, 100%, $F$11)</f>
        <v>8.3345000000000002</v>
      </c>
      <c r="E254" s="12">
        <f>8.3237 * CHOOSE( CONTROL!$C$15, $D$11, 100%, $F$11)</f>
        <v>8.3237000000000005</v>
      </c>
      <c r="F254" s="4">
        <f>9.0132 * CHOOSE(CONTROL!$C$15, $D$11, 100%, $F$11)</f>
        <v>9.0131999999999994</v>
      </c>
      <c r="G254" s="8">
        <f>8.0911 * CHOOSE( CONTROL!$C$15, $D$11, 100%, $F$11)</f>
        <v>8.0911000000000008</v>
      </c>
      <c r="H254" s="4">
        <f>9.038 * CHOOSE(CONTROL!$C$15, $D$11, 100%, $F$11)</f>
        <v>9.0380000000000003</v>
      </c>
      <c r="I254" s="8">
        <f>8.0604 * CHOOSE(CONTROL!$C$15, $D$11, 100%, $F$11)</f>
        <v>8.0603999999999996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8.9468 * CHOOSE(CONTROL!$C$15, $D$11, 100%, $F$11)</f>
        <v>8.9467999999999996</v>
      </c>
      <c r="C255" s="8">
        <f>8.952 * CHOOSE(CONTROL!$C$15, $D$11, 100%, $F$11)</f>
        <v>8.952</v>
      </c>
      <c r="D255" s="8">
        <f>8.9448 * CHOOSE( CONTROL!$C$15, $D$11, 100%, $F$11)</f>
        <v>8.9448000000000008</v>
      </c>
      <c r="E255" s="12">
        <f>8.9469 * CHOOSE( CONTROL!$C$15, $D$11, 100%, $F$11)</f>
        <v>8.9468999999999994</v>
      </c>
      <c r="F255" s="4">
        <f>9.5973 * CHOOSE(CONTROL!$C$15, $D$11, 100%, $F$11)</f>
        <v>9.5973000000000006</v>
      </c>
      <c r="G255" s="8">
        <f>8.7382 * CHOOSE( CONTROL!$C$15, $D$11, 100%, $F$11)</f>
        <v>8.7382000000000009</v>
      </c>
      <c r="H255" s="4">
        <f>9.6085 * CHOOSE(CONTROL!$C$15, $D$11, 100%, $F$11)</f>
        <v>9.6084999999999994</v>
      </c>
      <c r="I255" s="8">
        <f>8.7275 * CHOOSE(CONTROL!$C$15, $D$11, 100%, $F$11)</f>
        <v>8.7274999999999991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8.9306 * CHOOSE(CONTROL!$C$15, $D$11, 100%, $F$11)</f>
        <v>8.9306000000000001</v>
      </c>
      <c r="C256" s="8">
        <f>8.9358 * CHOOSE(CONTROL!$C$15, $D$11, 100%, $F$11)</f>
        <v>8.9358000000000004</v>
      </c>
      <c r="D256" s="8">
        <f>8.9301 * CHOOSE( CONTROL!$C$15, $D$11, 100%, $F$11)</f>
        <v>8.9300999999999995</v>
      </c>
      <c r="E256" s="12">
        <f>8.9316 * CHOOSE( CONTROL!$C$15, $D$11, 100%, $F$11)</f>
        <v>8.9315999999999995</v>
      </c>
      <c r="F256" s="4">
        <f>9.5811 * CHOOSE(CONTROL!$C$15, $D$11, 100%, $F$11)</f>
        <v>9.5810999999999993</v>
      </c>
      <c r="G256" s="8">
        <f>8.7234 * CHOOSE( CONTROL!$C$15, $D$11, 100%, $F$11)</f>
        <v>8.7233999999999998</v>
      </c>
      <c r="H256" s="4">
        <f>9.5926 * CHOOSE(CONTROL!$C$15, $D$11, 100%, $F$11)</f>
        <v>9.5925999999999991</v>
      </c>
      <c r="I256" s="8">
        <f>8.7165 * CHOOSE(CONTROL!$C$15, $D$11, 100%, $F$11)</f>
        <v>8.7164999999999999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9.1571 * CHOOSE(CONTROL!$C$15, $D$11, 100%, $F$11)</f>
        <v>9.1570999999999998</v>
      </c>
      <c r="C257" s="8">
        <f>9.1623 * CHOOSE(CONTROL!$C$15, $D$11, 100%, $F$11)</f>
        <v>9.1623000000000001</v>
      </c>
      <c r="D257" s="8">
        <f>9.1424 * CHOOSE( CONTROL!$C$15, $D$11, 100%, $F$11)</f>
        <v>9.1424000000000003</v>
      </c>
      <c r="E257" s="12">
        <f>9.1491 * CHOOSE( CONTROL!$C$15, $D$11, 100%, $F$11)</f>
        <v>9.1491000000000007</v>
      </c>
      <c r="F257" s="4">
        <f>9.8076 * CHOOSE(CONTROL!$C$15, $D$11, 100%, $F$11)</f>
        <v>9.8076000000000008</v>
      </c>
      <c r="G257" s="8">
        <f>8.9278 * CHOOSE( CONTROL!$C$15, $D$11, 100%, $F$11)</f>
        <v>8.9277999999999995</v>
      </c>
      <c r="H257" s="4">
        <f>9.8139 * CHOOSE(CONTROL!$C$15, $D$11, 100%, $F$11)</f>
        <v>9.8139000000000003</v>
      </c>
      <c r="I257" s="8">
        <f>8.8906 * CHOOSE(CONTROL!$C$15, $D$11, 100%, $F$11)</f>
        <v>8.8905999999999992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8.567 * CHOOSE(CONTROL!$C$15, $D$11, 100%, $F$11)</f>
        <v>8.5670000000000002</v>
      </c>
      <c r="C258" s="8">
        <f>8.5722 * CHOOSE(CONTROL!$C$15, $D$11, 100%, $F$11)</f>
        <v>8.5722000000000005</v>
      </c>
      <c r="D258" s="8">
        <f>8.5522 * CHOOSE( CONTROL!$C$15, $D$11, 100%, $F$11)</f>
        <v>8.5521999999999991</v>
      </c>
      <c r="E258" s="12">
        <f>8.559 * CHOOSE( CONTROL!$C$15, $D$11, 100%, $F$11)</f>
        <v>8.5589999999999993</v>
      </c>
      <c r="F258" s="4">
        <f>9.2174 * CHOOSE(CONTROL!$C$15, $D$11, 100%, $F$11)</f>
        <v>9.2173999999999996</v>
      </c>
      <c r="G258" s="8">
        <f>8.3514 * CHOOSE( CONTROL!$C$15, $D$11, 100%, $F$11)</f>
        <v>8.3513999999999999</v>
      </c>
      <c r="H258" s="4">
        <f>9.2375 * CHOOSE(CONTROL!$C$15, $D$11, 100%, $F$11)</f>
        <v>9.2375000000000007</v>
      </c>
      <c r="I258" s="8">
        <f>8.3237 * CHOOSE(CONTROL!$C$15, $D$11, 100%, $F$11)</f>
        <v>8.3237000000000005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8.3852 * CHOOSE(CONTROL!$C$15, $D$11, 100%, $F$11)</f>
        <v>8.3851999999999993</v>
      </c>
      <c r="C259" s="8">
        <f>8.3904 * CHOOSE(CONTROL!$C$15, $D$11, 100%, $F$11)</f>
        <v>8.3903999999999996</v>
      </c>
      <c r="D259" s="8">
        <f>8.3701 * CHOOSE( CONTROL!$C$15, $D$11, 100%, $F$11)</f>
        <v>8.3701000000000008</v>
      </c>
      <c r="E259" s="12">
        <f>8.377 * CHOOSE( CONTROL!$C$15, $D$11, 100%, $F$11)</f>
        <v>8.3770000000000007</v>
      </c>
      <c r="F259" s="4">
        <f>9.0357 * CHOOSE(CONTROL!$C$15, $D$11, 100%, $F$11)</f>
        <v>9.0357000000000003</v>
      </c>
      <c r="G259" s="8">
        <f>8.1736 * CHOOSE( CONTROL!$C$15, $D$11, 100%, $F$11)</f>
        <v>8.1736000000000004</v>
      </c>
      <c r="H259" s="4">
        <f>9.0599 * CHOOSE(CONTROL!$C$15, $D$11, 100%, $F$11)</f>
        <v>9.0599000000000007</v>
      </c>
      <c r="I259" s="8">
        <f>8.1479 * CHOOSE(CONTROL!$C$15, $D$11, 100%, $F$11)</f>
        <v>8.1478999999999999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8.513 * CHOOSE(CONTROL!$C$15, $D$11, 100%, $F$11)</f>
        <v>8.5129999999999999</v>
      </c>
      <c r="C260" s="8">
        <f>8.5176 * CHOOSE(CONTROL!$C$15, $D$11, 100%, $F$11)</f>
        <v>8.5175999999999998</v>
      </c>
      <c r="D260" s="8">
        <f>8.5485 * CHOOSE( CONTROL!$C$15, $D$11, 100%, $F$11)</f>
        <v>8.5485000000000007</v>
      </c>
      <c r="E260" s="12">
        <f>8.5378 * CHOOSE( CONTROL!$C$15, $D$11, 100%, $F$11)</f>
        <v>8.5378000000000007</v>
      </c>
      <c r="F260" s="4">
        <f>9.2278 * CHOOSE(CONTROL!$C$15, $D$11, 100%, $F$11)</f>
        <v>9.2278000000000002</v>
      </c>
      <c r="G260" s="8">
        <f>8.2997 * CHOOSE( CONTROL!$C$15, $D$11, 100%, $F$11)</f>
        <v>8.2996999999999996</v>
      </c>
      <c r="H260" s="4">
        <f>9.2476 * CHOOSE(CONTROL!$C$15, $D$11, 100%, $F$11)</f>
        <v>9.2476000000000003</v>
      </c>
      <c r="I260" s="8">
        <f>8.2633 * CHOOSE(CONTROL!$C$15, $D$11, 100%, $F$11)</f>
        <v>8.2632999999999992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8.7438, 8.7404) * CHOOSE(CONTROL!$C$15, $D$11, 100%, $F$11)</f>
        <v>8.7438000000000002</v>
      </c>
      <c r="C261" s="8">
        <f>CHOOSE( CONTROL!$C$32, 8.7519, 8.7485) * CHOOSE(CONTROL!$C$15, $D$11, 100%, $F$11)</f>
        <v>8.7518999999999991</v>
      </c>
      <c r="D261" s="8">
        <f>CHOOSE( CONTROL!$C$32, 8.7775, 8.7741) * CHOOSE( CONTROL!$C$15, $D$11, 100%, $F$11)</f>
        <v>8.7774999999999999</v>
      </c>
      <c r="E261" s="12">
        <f>CHOOSE( CONTROL!$C$32, 8.767, 8.7636) * CHOOSE( CONTROL!$C$15, $D$11, 100%, $F$11)</f>
        <v>8.7669999999999995</v>
      </c>
      <c r="F261" s="4">
        <f>CHOOSE( CONTROL!$C$32, 9.4572, 9.4538) * CHOOSE(CONTROL!$C$15, $D$11, 100%, $F$11)</f>
        <v>9.4572000000000003</v>
      </c>
      <c r="G261" s="8">
        <f>CHOOSE( CONTROL!$C$32, 8.5245, 8.5212) * CHOOSE( CONTROL!$C$15, $D$11, 100%, $F$11)</f>
        <v>8.5244999999999997</v>
      </c>
      <c r="H261" s="4">
        <f>CHOOSE( CONTROL!$C$32, 9.4717, 9.4684) * CHOOSE(CONTROL!$C$15, $D$11, 100%, $F$11)</f>
        <v>9.4717000000000002</v>
      </c>
      <c r="I261" s="8">
        <f>CHOOSE( CONTROL!$C$32, 8.4838, 8.4806) * CHOOSE(CONTROL!$C$15, $D$11, 100%, $F$11)</f>
        <v>8.4838000000000005</v>
      </c>
      <c r="J261" s="4">
        <f>CHOOSE( CONTROL!$C$32, 8.3657, 8.3624) * CHOOSE(CONTROL!$C$15, $D$11, 100%, $F$11)</f>
        <v>8.3657000000000004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8.6038, 8.6004) * CHOOSE(CONTROL!$C$15, $D$11, 100%, $F$11)</f>
        <v>8.6037999999999997</v>
      </c>
      <c r="C262" s="8">
        <f>CHOOSE( CONTROL!$C$32, 8.6119, 8.6085) * CHOOSE(CONTROL!$C$15, $D$11, 100%, $F$11)</f>
        <v>8.6119000000000003</v>
      </c>
      <c r="D262" s="8">
        <f>CHOOSE( CONTROL!$C$32, 8.6377, 8.6343) * CHOOSE( CONTROL!$C$15, $D$11, 100%, $F$11)</f>
        <v>8.6377000000000006</v>
      </c>
      <c r="E262" s="12">
        <f>CHOOSE( CONTROL!$C$32, 8.6271, 8.6237) * CHOOSE( CONTROL!$C$15, $D$11, 100%, $F$11)</f>
        <v>8.6271000000000004</v>
      </c>
      <c r="F262" s="4">
        <f>CHOOSE( CONTROL!$C$32, 9.3172, 9.3138) * CHOOSE(CONTROL!$C$15, $D$11, 100%, $F$11)</f>
        <v>9.3171999999999997</v>
      </c>
      <c r="G262" s="8">
        <f>CHOOSE( CONTROL!$C$32, 8.3881, 8.3847) * CHOOSE( CONTROL!$C$15, $D$11, 100%, $F$11)</f>
        <v>8.3880999999999997</v>
      </c>
      <c r="H262" s="4">
        <f>CHOOSE( CONTROL!$C$32, 9.3349, 9.3316) * CHOOSE(CONTROL!$C$15, $D$11, 100%, $F$11)</f>
        <v>9.3348999999999993</v>
      </c>
      <c r="I262" s="8">
        <f>CHOOSE( CONTROL!$C$32, 8.3503, 8.347) * CHOOSE(CONTROL!$C$15, $D$11, 100%, $F$11)</f>
        <v>8.3503000000000007</v>
      </c>
      <c r="J262" s="4">
        <f>CHOOSE( CONTROL!$C$32, 8.2313, 8.228) * CHOOSE(CONTROL!$C$15, $D$11, 100%, $F$11)</f>
        <v>8.2312999999999992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8.9725, 8.9691) * CHOOSE(CONTROL!$C$15, $D$11, 100%, $F$11)</f>
        <v>8.9725000000000001</v>
      </c>
      <c r="C263" s="8">
        <f>CHOOSE( CONTROL!$C$32, 8.9806, 8.9772) * CHOOSE(CONTROL!$C$15, $D$11, 100%, $F$11)</f>
        <v>8.9806000000000008</v>
      </c>
      <c r="D263" s="8">
        <f>CHOOSE( CONTROL!$C$32, 9.0067, 9.0033) * CHOOSE( CONTROL!$C$15, $D$11, 100%, $F$11)</f>
        <v>9.0067000000000004</v>
      </c>
      <c r="E263" s="12">
        <f>CHOOSE( CONTROL!$C$32, 8.996, 8.9926) * CHOOSE( CONTROL!$C$15, $D$11, 100%, $F$11)</f>
        <v>8.9960000000000004</v>
      </c>
      <c r="F263" s="4">
        <f>CHOOSE( CONTROL!$C$32, 9.686, 9.6826) * CHOOSE(CONTROL!$C$15, $D$11, 100%, $F$11)</f>
        <v>9.6859999999999999</v>
      </c>
      <c r="G263" s="8">
        <f>CHOOSE( CONTROL!$C$32, 8.7486, 8.7452) * CHOOSE( CONTROL!$C$15, $D$11, 100%, $F$11)</f>
        <v>8.7485999999999997</v>
      </c>
      <c r="H263" s="4">
        <f>CHOOSE( CONTROL!$C$32, 9.6951, 9.6918) * CHOOSE(CONTROL!$C$15, $D$11, 100%, $F$11)</f>
        <v>9.6951000000000001</v>
      </c>
      <c r="I263" s="8">
        <f>CHOOSE( CONTROL!$C$32, 8.7056, 8.7023) * CHOOSE(CONTROL!$C$15, $D$11, 100%, $F$11)</f>
        <v>8.7056000000000004</v>
      </c>
      <c r="J263" s="4">
        <f>CHOOSE( CONTROL!$C$32, 8.5853, 8.582) * CHOOSE(CONTROL!$C$15, $D$11, 100%, $F$11)</f>
        <v>8.5853000000000002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8.2825, 8.2791) * CHOOSE(CONTROL!$C$15, $D$11, 100%, $F$11)</f>
        <v>8.2825000000000006</v>
      </c>
      <c r="C264" s="8">
        <f>CHOOSE( CONTROL!$C$32, 8.2906, 8.2872) * CHOOSE(CONTROL!$C$15, $D$11, 100%, $F$11)</f>
        <v>8.2905999999999995</v>
      </c>
      <c r="D264" s="8">
        <f>CHOOSE( CONTROL!$C$32, 8.3168, 8.3134) * CHOOSE( CONTROL!$C$15, $D$11, 100%, $F$11)</f>
        <v>8.3168000000000006</v>
      </c>
      <c r="E264" s="12">
        <f>CHOOSE( CONTROL!$C$32, 8.3061, 8.3027) * CHOOSE( CONTROL!$C$15, $D$11, 100%, $F$11)</f>
        <v>8.3061000000000007</v>
      </c>
      <c r="F264" s="4">
        <f>CHOOSE( CONTROL!$C$32, 8.996, 8.9926) * CHOOSE(CONTROL!$C$15, $D$11, 100%, $F$11)</f>
        <v>8.9960000000000004</v>
      </c>
      <c r="G264" s="8">
        <f>CHOOSE( CONTROL!$C$32, 8.0748, 8.0715) * CHOOSE( CONTROL!$C$15, $D$11, 100%, $F$11)</f>
        <v>8.0747999999999998</v>
      </c>
      <c r="H264" s="4">
        <f>CHOOSE( CONTROL!$C$32, 9.0212, 9.0178) * CHOOSE(CONTROL!$C$15, $D$11, 100%, $F$11)</f>
        <v>9.0212000000000003</v>
      </c>
      <c r="I264" s="8">
        <f>CHOOSE( CONTROL!$C$32, 8.0432, 8.04) * CHOOSE(CONTROL!$C$15, $D$11, 100%, $F$11)</f>
        <v>8.0432000000000006</v>
      </c>
      <c r="J264" s="4">
        <f>CHOOSE( CONTROL!$C$32, 7.9228, 7.9196) * CHOOSE(CONTROL!$C$15, $D$11, 100%, $F$11)</f>
        <v>7.9227999999999996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8.1098, 8.1064) * CHOOSE(CONTROL!$C$15, $D$11, 100%, $F$11)</f>
        <v>8.1097999999999999</v>
      </c>
      <c r="C265" s="8">
        <f>CHOOSE( CONTROL!$C$32, 8.1178, 8.1144) * CHOOSE(CONTROL!$C$15, $D$11, 100%, $F$11)</f>
        <v>8.1178000000000008</v>
      </c>
      <c r="D265" s="8">
        <f>CHOOSE( CONTROL!$C$32, 8.1439, 8.1405) * CHOOSE( CONTROL!$C$15, $D$11, 100%, $F$11)</f>
        <v>8.1439000000000004</v>
      </c>
      <c r="E265" s="12">
        <f>CHOOSE( CONTROL!$C$32, 8.1332, 8.1298) * CHOOSE( CONTROL!$C$15, $D$11, 100%, $F$11)</f>
        <v>8.1332000000000004</v>
      </c>
      <c r="F265" s="4">
        <f>CHOOSE( CONTROL!$C$32, 8.8232, 8.8198) * CHOOSE(CONTROL!$C$15, $D$11, 100%, $F$11)</f>
        <v>8.8231999999999999</v>
      </c>
      <c r="G265" s="8">
        <f>CHOOSE( CONTROL!$C$32, 7.906, 7.9027) * CHOOSE( CONTROL!$C$15, $D$11, 100%, $F$11)</f>
        <v>7.9059999999999997</v>
      </c>
      <c r="H265" s="4">
        <f>CHOOSE( CONTROL!$C$32, 8.8524, 8.8491) * CHOOSE(CONTROL!$C$15, $D$11, 100%, $F$11)</f>
        <v>8.8523999999999994</v>
      </c>
      <c r="I265" s="8">
        <f>CHOOSE( CONTROL!$C$32, 7.8771, 7.8738) * CHOOSE(CONTROL!$C$15, $D$11, 100%, $F$11)</f>
        <v>7.8771000000000004</v>
      </c>
      <c r="J265" s="4">
        <f>CHOOSE( CONTROL!$C$32, 7.757, 7.7537) * CHOOSE(CONTROL!$C$15, $D$11, 100%, $F$11)</f>
        <v>7.7569999999999997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8.4634 * CHOOSE(CONTROL!$C$15, $D$11, 100%, $F$11)</f>
        <v>8.4634</v>
      </c>
      <c r="C266" s="8">
        <f>8.4688 * CHOOSE(CONTROL!$C$15, $D$11, 100%, $F$11)</f>
        <v>8.4687999999999999</v>
      </c>
      <c r="D266" s="8">
        <f>8.4999 * CHOOSE( CONTROL!$C$15, $D$11, 100%, $F$11)</f>
        <v>8.4999000000000002</v>
      </c>
      <c r="E266" s="12">
        <f>8.4891 * CHOOSE( CONTROL!$C$15, $D$11, 100%, $F$11)</f>
        <v>8.4891000000000005</v>
      </c>
      <c r="F266" s="4">
        <f>9.1785 * CHOOSE(CONTROL!$C$15, $D$11, 100%, $F$11)</f>
        <v>9.1784999999999997</v>
      </c>
      <c r="G266" s="8">
        <f>8.2526 * CHOOSE( CONTROL!$C$15, $D$11, 100%, $F$11)</f>
        <v>8.2525999999999993</v>
      </c>
      <c r="H266" s="4">
        <f>9.1995 * CHOOSE(CONTROL!$C$15, $D$11, 100%, $F$11)</f>
        <v>9.1995000000000005</v>
      </c>
      <c r="I266" s="8">
        <f>8.2193 * CHOOSE(CONTROL!$C$15, $D$11, 100%, $F$11)</f>
        <v>8.2193000000000005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9.1252 * CHOOSE(CONTROL!$C$15, $D$11, 100%, $F$11)</f>
        <v>9.1251999999999995</v>
      </c>
      <c r="C267" s="8">
        <f>9.1304 * CHOOSE(CONTROL!$C$15, $D$11, 100%, $F$11)</f>
        <v>9.1303999999999998</v>
      </c>
      <c r="D267" s="8">
        <f>9.1232 * CHOOSE( CONTROL!$C$15, $D$11, 100%, $F$11)</f>
        <v>9.1232000000000006</v>
      </c>
      <c r="E267" s="12">
        <f>9.1253 * CHOOSE( CONTROL!$C$15, $D$11, 100%, $F$11)</f>
        <v>9.1252999999999993</v>
      </c>
      <c r="F267" s="4">
        <f>9.7756 * CHOOSE(CONTROL!$C$15, $D$11, 100%, $F$11)</f>
        <v>9.7756000000000007</v>
      </c>
      <c r="G267" s="8">
        <f>8.9124 * CHOOSE( CONTROL!$C$15, $D$11, 100%, $F$11)</f>
        <v>8.9123999999999999</v>
      </c>
      <c r="H267" s="4">
        <f>9.7827 * CHOOSE(CONTROL!$C$15, $D$11, 100%, $F$11)</f>
        <v>9.7827000000000002</v>
      </c>
      <c r="I267" s="8">
        <f>8.8988 * CHOOSE(CONTROL!$C$15, $D$11, 100%, $F$11)</f>
        <v>8.8987999999999996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9.1086 * CHOOSE(CONTROL!$C$15, $D$11, 100%, $F$11)</f>
        <v>9.1085999999999991</v>
      </c>
      <c r="C268" s="8">
        <f>9.1138 * CHOOSE(CONTROL!$C$15, $D$11, 100%, $F$11)</f>
        <v>9.1137999999999995</v>
      </c>
      <c r="D268" s="8">
        <f>9.1081 * CHOOSE( CONTROL!$C$15, $D$11, 100%, $F$11)</f>
        <v>9.1081000000000003</v>
      </c>
      <c r="E268" s="12">
        <f>9.1096 * CHOOSE( CONTROL!$C$15, $D$11, 100%, $F$11)</f>
        <v>9.1096000000000004</v>
      </c>
      <c r="F268" s="4">
        <f>9.7591 * CHOOSE(CONTROL!$C$15, $D$11, 100%, $F$11)</f>
        <v>9.7591000000000001</v>
      </c>
      <c r="G268" s="8">
        <f>8.8973 * CHOOSE( CONTROL!$C$15, $D$11, 100%, $F$11)</f>
        <v>8.8972999999999995</v>
      </c>
      <c r="H268" s="4">
        <f>9.7665 * CHOOSE(CONTROL!$C$15, $D$11, 100%, $F$11)</f>
        <v>9.7665000000000006</v>
      </c>
      <c r="I268" s="8">
        <f>8.8876 * CHOOSE(CONTROL!$C$15, $D$11, 100%, $F$11)</f>
        <v>8.8876000000000008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9.3765 * CHOOSE(CONTROL!$C$15, $D$11, 100%, $F$11)</f>
        <v>9.3765000000000001</v>
      </c>
      <c r="C269" s="8">
        <f>9.3817 * CHOOSE(CONTROL!$C$15, $D$11, 100%, $F$11)</f>
        <v>9.3817000000000004</v>
      </c>
      <c r="D269" s="8">
        <f>9.3618 * CHOOSE( CONTROL!$C$15, $D$11, 100%, $F$11)</f>
        <v>9.3618000000000006</v>
      </c>
      <c r="E269" s="12">
        <f>9.3685 * CHOOSE( CONTROL!$C$15, $D$11, 100%, $F$11)</f>
        <v>9.3684999999999992</v>
      </c>
      <c r="F269" s="4">
        <f>10.0269 * CHOOSE(CONTROL!$C$15, $D$11, 100%, $F$11)</f>
        <v>10.026899999999999</v>
      </c>
      <c r="G269" s="8">
        <f>9.1421 * CHOOSE( CONTROL!$C$15, $D$11, 100%, $F$11)</f>
        <v>9.1420999999999992</v>
      </c>
      <c r="H269" s="4">
        <f>10.0281 * CHOOSE(CONTROL!$C$15, $D$11, 100%, $F$11)</f>
        <v>10.0281</v>
      </c>
      <c r="I269" s="8">
        <f>9.1013 * CHOOSE(CONTROL!$C$15, $D$11, 100%, $F$11)</f>
        <v>9.1013000000000002</v>
      </c>
      <c r="J269" s="4">
        <f>8.9752 * CHOOSE(CONTROL!$C$15, $D$11, 100%, $F$11)</f>
        <v>8.9751999999999992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8.7721 * CHOOSE(CONTROL!$C$15, $D$11, 100%, $F$11)</f>
        <v>8.7721</v>
      </c>
      <c r="C270" s="8">
        <f>8.7773 * CHOOSE(CONTROL!$C$15, $D$11, 100%, $F$11)</f>
        <v>8.7773000000000003</v>
      </c>
      <c r="D270" s="8">
        <f>8.7574 * CHOOSE( CONTROL!$C$15, $D$11, 100%, $F$11)</f>
        <v>8.7574000000000005</v>
      </c>
      <c r="E270" s="12">
        <f>8.7641 * CHOOSE( CONTROL!$C$15, $D$11, 100%, $F$11)</f>
        <v>8.7640999999999991</v>
      </c>
      <c r="F270" s="4">
        <f>9.4226 * CHOOSE(CONTROL!$C$15, $D$11, 100%, $F$11)</f>
        <v>9.4225999999999992</v>
      </c>
      <c r="G270" s="8">
        <f>8.5518 * CHOOSE( CONTROL!$C$15, $D$11, 100%, $F$11)</f>
        <v>8.5518000000000001</v>
      </c>
      <c r="H270" s="4">
        <f>9.4379 * CHOOSE(CONTROL!$C$15, $D$11, 100%, $F$11)</f>
        <v>9.4379000000000008</v>
      </c>
      <c r="I270" s="8">
        <f>8.5207 * CHOOSE(CONTROL!$C$15, $D$11, 100%, $F$11)</f>
        <v>8.5206999999999997</v>
      </c>
      <c r="J270" s="4">
        <f>8.3949 * CHOOSE(CONTROL!$C$15, $D$11, 100%, $F$11)</f>
        <v>8.3948999999999998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8.586 * CHOOSE(CONTROL!$C$15, $D$11, 100%, $F$11)</f>
        <v>8.5860000000000003</v>
      </c>
      <c r="C271" s="8">
        <f>8.5912 * CHOOSE(CONTROL!$C$15, $D$11, 100%, $F$11)</f>
        <v>8.5912000000000006</v>
      </c>
      <c r="D271" s="8">
        <f>8.5709 * CHOOSE( CONTROL!$C$15, $D$11, 100%, $F$11)</f>
        <v>8.5709</v>
      </c>
      <c r="E271" s="12">
        <f>8.5778 * CHOOSE( CONTROL!$C$15, $D$11, 100%, $F$11)</f>
        <v>8.5777999999999999</v>
      </c>
      <c r="F271" s="4">
        <f>9.2365 * CHOOSE(CONTROL!$C$15, $D$11, 100%, $F$11)</f>
        <v>9.2364999999999995</v>
      </c>
      <c r="G271" s="8">
        <f>8.3697 * CHOOSE( CONTROL!$C$15, $D$11, 100%, $F$11)</f>
        <v>8.3696999999999999</v>
      </c>
      <c r="H271" s="4">
        <f>9.2561 * CHOOSE(CONTROL!$C$15, $D$11, 100%, $F$11)</f>
        <v>9.2561</v>
      </c>
      <c r="I271" s="8">
        <f>8.3408 * CHOOSE(CONTROL!$C$15, $D$11, 100%, $F$11)</f>
        <v>8.3407999999999998</v>
      </c>
      <c r="J271" s="4">
        <f>8.2162 * CHOOSE(CONTROL!$C$15, $D$11, 100%, $F$11)</f>
        <v>8.2162000000000006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8.7168 * CHOOSE(CONTROL!$C$15, $D$11, 100%, $F$11)</f>
        <v>8.7167999999999992</v>
      </c>
      <c r="C272" s="8">
        <f>8.7214 * CHOOSE(CONTROL!$C$15, $D$11, 100%, $F$11)</f>
        <v>8.7213999999999992</v>
      </c>
      <c r="D272" s="8">
        <f>8.7523 * CHOOSE( CONTROL!$C$15, $D$11, 100%, $F$11)</f>
        <v>8.7523</v>
      </c>
      <c r="E272" s="12">
        <f>8.7416 * CHOOSE( CONTROL!$C$15, $D$11, 100%, $F$11)</f>
        <v>8.7416</v>
      </c>
      <c r="F272" s="4">
        <f>9.4316 * CHOOSE(CONTROL!$C$15, $D$11, 100%, $F$11)</f>
        <v>9.4315999999999995</v>
      </c>
      <c r="G272" s="8">
        <f>8.4988 * CHOOSE( CONTROL!$C$15, $D$11, 100%, $F$11)</f>
        <v>8.4987999999999992</v>
      </c>
      <c r="H272" s="4">
        <f>9.4467 * CHOOSE(CONTROL!$C$15, $D$11, 100%, $F$11)</f>
        <v>9.4466999999999999</v>
      </c>
      <c r="I272" s="8">
        <f>8.4591 * CHOOSE(CONTROL!$C$15, $D$11, 100%, $F$11)</f>
        <v>8.4590999999999994</v>
      </c>
      <c r="J272" s="4">
        <f>8.3411 * CHOOSE(CONTROL!$C$15, $D$11, 100%, $F$11)</f>
        <v>8.3411000000000008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8.9531, 8.9497) * CHOOSE(CONTROL!$C$15, $D$11, 100%, $F$11)</f>
        <v>8.9530999999999992</v>
      </c>
      <c r="C273" s="8">
        <f>CHOOSE( CONTROL!$C$32, 8.9612, 8.9578) * CHOOSE(CONTROL!$C$15, $D$11, 100%, $F$11)</f>
        <v>8.9611999999999998</v>
      </c>
      <c r="D273" s="8">
        <f>CHOOSE( CONTROL!$C$32, 8.9868, 8.9834) * CHOOSE( CONTROL!$C$15, $D$11, 100%, $F$11)</f>
        <v>8.9868000000000006</v>
      </c>
      <c r="E273" s="12">
        <f>CHOOSE( CONTROL!$C$32, 8.9763, 8.9729) * CHOOSE( CONTROL!$C$15, $D$11, 100%, $F$11)</f>
        <v>8.9763000000000002</v>
      </c>
      <c r="F273" s="4">
        <f>CHOOSE( CONTROL!$C$32, 9.6665, 9.6631) * CHOOSE(CONTROL!$C$15, $D$11, 100%, $F$11)</f>
        <v>9.6664999999999992</v>
      </c>
      <c r="G273" s="8">
        <f>CHOOSE( CONTROL!$C$32, 8.7289, 8.7256) * CHOOSE( CONTROL!$C$15, $D$11, 100%, $F$11)</f>
        <v>8.7288999999999994</v>
      </c>
      <c r="H273" s="4">
        <f>CHOOSE( CONTROL!$C$32, 9.6761, 9.6728) * CHOOSE(CONTROL!$C$15, $D$11, 100%, $F$11)</f>
        <v>9.6760999999999999</v>
      </c>
      <c r="I273" s="8">
        <f>CHOOSE( CONTROL!$C$32, 8.6849, 8.6816) * CHOOSE(CONTROL!$C$15, $D$11, 100%, $F$11)</f>
        <v>8.6849000000000007</v>
      </c>
      <c r="J273" s="4">
        <f>CHOOSE( CONTROL!$C$32, 8.5666, 8.5634) * CHOOSE(CONTROL!$C$15, $D$11, 100%, $F$11)</f>
        <v>8.5665999999999993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8.8097, 8.8063) * CHOOSE(CONTROL!$C$15, $D$11, 100%, $F$11)</f>
        <v>8.8096999999999994</v>
      </c>
      <c r="C274" s="8">
        <f>CHOOSE( CONTROL!$C$32, 8.8178, 8.8144) * CHOOSE(CONTROL!$C$15, $D$11, 100%, $F$11)</f>
        <v>8.8178000000000001</v>
      </c>
      <c r="D274" s="8">
        <f>CHOOSE( CONTROL!$C$32, 8.8436, 8.8402) * CHOOSE( CONTROL!$C$15, $D$11, 100%, $F$11)</f>
        <v>8.8436000000000003</v>
      </c>
      <c r="E274" s="12">
        <f>CHOOSE( CONTROL!$C$32, 8.833, 8.8296) * CHOOSE( CONTROL!$C$15, $D$11, 100%, $F$11)</f>
        <v>8.8330000000000002</v>
      </c>
      <c r="F274" s="4">
        <f>CHOOSE( CONTROL!$C$32, 9.5231, 9.5197) * CHOOSE(CONTROL!$C$15, $D$11, 100%, $F$11)</f>
        <v>9.5230999999999995</v>
      </c>
      <c r="G274" s="8">
        <f>CHOOSE( CONTROL!$C$32, 8.5892, 8.5858) * CHOOSE( CONTROL!$C$15, $D$11, 100%, $F$11)</f>
        <v>8.5891999999999999</v>
      </c>
      <c r="H274" s="4">
        <f>CHOOSE( CONTROL!$C$32, 9.536, 9.5327) * CHOOSE(CONTROL!$C$15, $D$11, 100%, $F$11)</f>
        <v>9.5359999999999996</v>
      </c>
      <c r="I274" s="8">
        <f>CHOOSE( CONTROL!$C$32, 8.5481, 8.5448) * CHOOSE(CONTROL!$C$15, $D$11, 100%, $F$11)</f>
        <v>8.5480999999999998</v>
      </c>
      <c r="J274" s="4">
        <f>CHOOSE( CONTROL!$C$32, 8.429, 8.4257) * CHOOSE(CONTROL!$C$15, $D$11, 100%, $F$11)</f>
        <v>8.4290000000000003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9.1873, 9.1839) * CHOOSE(CONTROL!$C$15, $D$11, 100%, $F$11)</f>
        <v>9.1873000000000005</v>
      </c>
      <c r="C275" s="8">
        <f>CHOOSE( CONTROL!$C$32, 9.1954, 9.192) * CHOOSE(CONTROL!$C$15, $D$11, 100%, $F$11)</f>
        <v>9.1953999999999994</v>
      </c>
      <c r="D275" s="8">
        <f>CHOOSE( CONTROL!$C$32, 9.2214, 9.218) * CHOOSE( CONTROL!$C$15, $D$11, 100%, $F$11)</f>
        <v>9.2213999999999992</v>
      </c>
      <c r="E275" s="12">
        <f>CHOOSE( CONTROL!$C$32, 9.2107, 9.2073) * CHOOSE( CONTROL!$C$15, $D$11, 100%, $F$11)</f>
        <v>9.2106999999999992</v>
      </c>
      <c r="F275" s="4">
        <f>CHOOSE( CONTROL!$C$32, 9.9008, 9.8973) * CHOOSE(CONTROL!$C$15, $D$11, 100%, $F$11)</f>
        <v>9.9008000000000003</v>
      </c>
      <c r="G275" s="8">
        <f>CHOOSE( CONTROL!$C$32, 8.9583, 8.955) * CHOOSE( CONTROL!$C$15, $D$11, 100%, $F$11)</f>
        <v>8.9582999999999995</v>
      </c>
      <c r="H275" s="4">
        <f>CHOOSE( CONTROL!$C$32, 9.9049, 9.9015) * CHOOSE(CONTROL!$C$15, $D$11, 100%, $F$11)</f>
        <v>9.9048999999999996</v>
      </c>
      <c r="I275" s="8">
        <f>CHOOSE( CONTROL!$C$32, 8.9119, 8.9086) * CHOOSE(CONTROL!$C$15, $D$11, 100%, $F$11)</f>
        <v>8.9118999999999993</v>
      </c>
      <c r="J275" s="4">
        <f>CHOOSE( CONTROL!$C$32, 8.7915, 8.7883) * CHOOSE(CONTROL!$C$15, $D$11, 100%, $F$11)</f>
        <v>8.7914999999999992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8.4807, 8.4773) * CHOOSE(CONTROL!$C$15, $D$11, 100%, $F$11)</f>
        <v>8.4807000000000006</v>
      </c>
      <c r="C276" s="8">
        <f>CHOOSE( CONTROL!$C$32, 8.4888, 8.4854) * CHOOSE(CONTROL!$C$15, $D$11, 100%, $F$11)</f>
        <v>8.4887999999999995</v>
      </c>
      <c r="D276" s="8">
        <f>CHOOSE( CONTROL!$C$32, 8.515, 8.5115) * CHOOSE( CONTROL!$C$15, $D$11, 100%, $F$11)</f>
        <v>8.5150000000000006</v>
      </c>
      <c r="E276" s="12">
        <f>CHOOSE( CONTROL!$C$32, 8.5043, 8.5008) * CHOOSE( CONTROL!$C$15, $D$11, 100%, $F$11)</f>
        <v>8.5043000000000006</v>
      </c>
      <c r="F276" s="4">
        <f>CHOOSE( CONTROL!$C$32, 9.1942, 9.1908) * CHOOSE(CONTROL!$C$15, $D$11, 100%, $F$11)</f>
        <v>9.1942000000000004</v>
      </c>
      <c r="G276" s="8">
        <f>CHOOSE( CONTROL!$C$32, 8.2684, 8.265) * CHOOSE( CONTROL!$C$15, $D$11, 100%, $F$11)</f>
        <v>8.2683999999999997</v>
      </c>
      <c r="H276" s="4">
        <f>CHOOSE( CONTROL!$C$32, 9.2147, 9.2114) * CHOOSE(CONTROL!$C$15, $D$11, 100%, $F$11)</f>
        <v>9.2147000000000006</v>
      </c>
      <c r="I276" s="8">
        <f>CHOOSE( CONTROL!$C$32, 8.2336, 8.2303) * CHOOSE(CONTROL!$C$15, $D$11, 100%, $F$11)</f>
        <v>8.2335999999999991</v>
      </c>
      <c r="J276" s="4">
        <f>CHOOSE( CONTROL!$C$32, 8.1131, 8.1099) * CHOOSE(CONTROL!$C$15, $D$11, 100%, $F$11)</f>
        <v>8.1130999999999993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8.3038, 8.3004) * CHOOSE(CONTROL!$C$15, $D$11, 100%, $F$11)</f>
        <v>8.3038000000000007</v>
      </c>
      <c r="C277" s="8">
        <f>CHOOSE( CONTROL!$C$32, 8.3119, 8.3085) * CHOOSE(CONTROL!$C$15, $D$11, 100%, $F$11)</f>
        <v>8.3118999999999996</v>
      </c>
      <c r="D277" s="8">
        <f>CHOOSE( CONTROL!$C$32, 8.338, 8.3346) * CHOOSE( CONTROL!$C$15, $D$11, 100%, $F$11)</f>
        <v>8.3379999999999992</v>
      </c>
      <c r="E277" s="12">
        <f>CHOOSE( CONTROL!$C$32, 8.3273, 8.3239) * CHOOSE( CONTROL!$C$15, $D$11, 100%, $F$11)</f>
        <v>8.3272999999999993</v>
      </c>
      <c r="F277" s="4">
        <f>CHOOSE( CONTROL!$C$32, 9.0172, 9.0138) * CHOOSE(CONTROL!$C$15, $D$11, 100%, $F$11)</f>
        <v>9.0172000000000008</v>
      </c>
      <c r="G277" s="8">
        <f>CHOOSE( CONTROL!$C$32, 8.0955, 8.0922) * CHOOSE( CONTROL!$C$15, $D$11, 100%, $F$11)</f>
        <v>8.0954999999999995</v>
      </c>
      <c r="H277" s="4">
        <f>CHOOSE( CONTROL!$C$32, 9.0419, 9.0386) * CHOOSE(CONTROL!$C$15, $D$11, 100%, $F$11)</f>
        <v>9.0419</v>
      </c>
      <c r="I277" s="8">
        <f>CHOOSE( CONTROL!$C$32, 8.0635, 8.0602) * CHOOSE(CONTROL!$C$15, $D$11, 100%, $F$11)</f>
        <v>8.0634999999999994</v>
      </c>
      <c r="J277" s="4">
        <f>CHOOSE( CONTROL!$C$32, 7.9433, 7.94) * CHOOSE(CONTROL!$C$15, $D$11, 100%, $F$11)</f>
        <v>7.9432999999999998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8.6661 * CHOOSE(CONTROL!$C$15, $D$11, 100%, $F$11)</f>
        <v>8.6661000000000001</v>
      </c>
      <c r="C278" s="8">
        <f>8.6715 * CHOOSE(CONTROL!$C$15, $D$11, 100%, $F$11)</f>
        <v>8.6715</v>
      </c>
      <c r="D278" s="8">
        <f>8.7026 * CHOOSE( CONTROL!$C$15, $D$11, 100%, $F$11)</f>
        <v>8.7026000000000003</v>
      </c>
      <c r="E278" s="12">
        <f>8.6918 * CHOOSE( CONTROL!$C$15, $D$11, 100%, $F$11)</f>
        <v>8.6918000000000006</v>
      </c>
      <c r="F278" s="4">
        <f>9.3812 * CHOOSE(CONTROL!$C$15, $D$11, 100%, $F$11)</f>
        <v>9.3811999999999998</v>
      </c>
      <c r="G278" s="8">
        <f>8.4506 * CHOOSE( CONTROL!$C$15, $D$11, 100%, $F$11)</f>
        <v>8.4505999999999997</v>
      </c>
      <c r="H278" s="4">
        <f>9.3974 * CHOOSE(CONTROL!$C$15, $D$11, 100%, $F$11)</f>
        <v>9.3973999999999993</v>
      </c>
      <c r="I278" s="8">
        <f>8.414 * CHOOSE(CONTROL!$C$15, $D$11, 100%, $F$11)</f>
        <v>8.4139999999999997</v>
      </c>
      <c r="J278" s="4">
        <f>8.2927 * CHOOSE(CONTROL!$C$15, $D$11, 100%, $F$11)</f>
        <v>8.2927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9.3438 * CHOOSE(CONTROL!$C$15, $D$11, 100%, $F$11)</f>
        <v>9.3437999999999999</v>
      </c>
      <c r="C279" s="8">
        <f>9.3489 * CHOOSE(CONTROL!$C$15, $D$11, 100%, $F$11)</f>
        <v>9.3489000000000004</v>
      </c>
      <c r="D279" s="8">
        <f>9.3418 * CHOOSE( CONTROL!$C$15, $D$11, 100%, $F$11)</f>
        <v>9.3417999999999992</v>
      </c>
      <c r="E279" s="12">
        <f>9.3439 * CHOOSE( CONTROL!$C$15, $D$11, 100%, $F$11)</f>
        <v>9.3438999999999997</v>
      </c>
      <c r="F279" s="4">
        <f>9.9942 * CHOOSE(CONTROL!$C$15, $D$11, 100%, $F$11)</f>
        <v>9.9941999999999993</v>
      </c>
      <c r="G279" s="8">
        <f>9.1259 * CHOOSE( CONTROL!$C$15, $D$11, 100%, $F$11)</f>
        <v>9.1258999999999997</v>
      </c>
      <c r="H279" s="4">
        <f>9.9962 * CHOOSE(CONTROL!$C$15, $D$11, 100%, $F$11)</f>
        <v>9.9962</v>
      </c>
      <c r="I279" s="8">
        <f>9.1088 * CHOOSE(CONTROL!$C$15, $D$11, 100%, $F$11)</f>
        <v>9.1088000000000005</v>
      </c>
      <c r="J279" s="4">
        <f>8.9438 * CHOOSE(CONTROL!$C$15, $D$11, 100%, $F$11)</f>
        <v>8.9437999999999995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9.3268 * CHOOSE(CONTROL!$C$15, $D$11, 100%, $F$11)</f>
        <v>9.3268000000000004</v>
      </c>
      <c r="C280" s="8">
        <f>9.332 * CHOOSE(CONTROL!$C$15, $D$11, 100%, $F$11)</f>
        <v>9.3320000000000007</v>
      </c>
      <c r="D280" s="8">
        <f>9.3263 * CHOOSE( CONTROL!$C$15, $D$11, 100%, $F$11)</f>
        <v>9.3262999999999998</v>
      </c>
      <c r="E280" s="12">
        <f>9.3278 * CHOOSE( CONTROL!$C$15, $D$11, 100%, $F$11)</f>
        <v>9.3277999999999999</v>
      </c>
      <c r="F280" s="4">
        <f>9.9773 * CHOOSE(CONTROL!$C$15, $D$11, 100%, $F$11)</f>
        <v>9.9772999999999996</v>
      </c>
      <c r="G280" s="8">
        <f>9.1104 * CHOOSE( CONTROL!$C$15, $D$11, 100%, $F$11)</f>
        <v>9.1104000000000003</v>
      </c>
      <c r="H280" s="4">
        <f>9.9796 * CHOOSE(CONTROL!$C$15, $D$11, 100%, $F$11)</f>
        <v>9.9795999999999996</v>
      </c>
      <c r="I280" s="8">
        <f>9.0971 * CHOOSE(CONTROL!$C$15, $D$11, 100%, $F$11)</f>
        <v>9.0970999999999993</v>
      </c>
      <c r="J280" s="4">
        <f>8.9275 * CHOOSE(CONTROL!$C$15, $D$11, 100%, $F$11)</f>
        <v>8.9275000000000002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9.6011 * CHOOSE(CONTROL!$C$15, $D$11, 100%, $F$11)</f>
        <v>9.6011000000000006</v>
      </c>
      <c r="C281" s="8">
        <f>9.6063 * CHOOSE(CONTROL!$C$15, $D$11, 100%, $F$11)</f>
        <v>9.6062999999999992</v>
      </c>
      <c r="D281" s="8">
        <f>9.5864 * CHOOSE( CONTROL!$C$15, $D$11, 100%, $F$11)</f>
        <v>9.5863999999999994</v>
      </c>
      <c r="E281" s="12">
        <f>9.5931 * CHOOSE( CONTROL!$C$15, $D$11, 100%, $F$11)</f>
        <v>9.5930999999999997</v>
      </c>
      <c r="F281" s="4">
        <f>10.2516 * CHOOSE(CONTROL!$C$15, $D$11, 100%, $F$11)</f>
        <v>10.2516</v>
      </c>
      <c r="G281" s="8">
        <f>9.3614 * CHOOSE( CONTROL!$C$15, $D$11, 100%, $F$11)</f>
        <v>9.3613999999999997</v>
      </c>
      <c r="H281" s="4">
        <f>10.2475 * CHOOSE(CONTROL!$C$15, $D$11, 100%, $F$11)</f>
        <v>10.2475</v>
      </c>
      <c r="I281" s="8">
        <f>9.3171 * CHOOSE(CONTROL!$C$15, $D$11, 100%, $F$11)</f>
        <v>9.3170999999999999</v>
      </c>
      <c r="J281" s="4">
        <f>9.1908 * CHOOSE(CONTROL!$C$15, $D$11, 100%, $F$11)</f>
        <v>9.1907999999999994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8.9822 * CHOOSE(CONTROL!$C$15, $D$11, 100%, $F$11)</f>
        <v>8.9822000000000006</v>
      </c>
      <c r="C282" s="8">
        <f>8.9874 * CHOOSE(CONTROL!$C$15, $D$11, 100%, $F$11)</f>
        <v>8.9873999999999992</v>
      </c>
      <c r="D282" s="8">
        <f>8.9675 * CHOOSE( CONTROL!$C$15, $D$11, 100%, $F$11)</f>
        <v>8.9674999999999994</v>
      </c>
      <c r="E282" s="12">
        <f>8.9742 * CHOOSE( CONTROL!$C$15, $D$11, 100%, $F$11)</f>
        <v>8.9741999999999997</v>
      </c>
      <c r="F282" s="4">
        <f>9.6327 * CHOOSE(CONTROL!$C$15, $D$11, 100%, $F$11)</f>
        <v>9.6326999999999998</v>
      </c>
      <c r="G282" s="8">
        <f>8.757 * CHOOSE( CONTROL!$C$15, $D$11, 100%, $F$11)</f>
        <v>8.7569999999999997</v>
      </c>
      <c r="H282" s="4">
        <f>9.643 * CHOOSE(CONTROL!$C$15, $D$11, 100%, $F$11)</f>
        <v>9.6430000000000007</v>
      </c>
      <c r="I282" s="8">
        <f>8.7225 * CHOOSE(CONTROL!$C$15, $D$11, 100%, $F$11)</f>
        <v>8.7225000000000001</v>
      </c>
      <c r="J282" s="4">
        <f>8.5967 * CHOOSE(CONTROL!$C$15, $D$11, 100%, $F$11)</f>
        <v>8.5967000000000002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8.7916 * CHOOSE(CONTROL!$C$15, $D$11, 100%, $F$11)</f>
        <v>8.7916000000000007</v>
      </c>
      <c r="C283" s="8">
        <f>8.7968 * CHOOSE(CONTROL!$C$15, $D$11, 100%, $F$11)</f>
        <v>8.7967999999999993</v>
      </c>
      <c r="D283" s="8">
        <f>8.7765 * CHOOSE( CONTROL!$C$15, $D$11, 100%, $F$11)</f>
        <v>8.7765000000000004</v>
      </c>
      <c r="E283" s="12">
        <f>8.7834 * CHOOSE( CONTROL!$C$15, $D$11, 100%, $F$11)</f>
        <v>8.7834000000000003</v>
      </c>
      <c r="F283" s="4">
        <f>9.4421 * CHOOSE(CONTROL!$C$15, $D$11, 100%, $F$11)</f>
        <v>9.4420999999999999</v>
      </c>
      <c r="G283" s="8">
        <f>8.5705 * CHOOSE( CONTROL!$C$15, $D$11, 100%, $F$11)</f>
        <v>8.5704999999999991</v>
      </c>
      <c r="H283" s="4">
        <f>9.4569 * CHOOSE(CONTROL!$C$15, $D$11, 100%, $F$11)</f>
        <v>9.4568999999999992</v>
      </c>
      <c r="I283" s="8">
        <f>8.5383 * CHOOSE(CONTROL!$C$15, $D$11, 100%, $F$11)</f>
        <v>8.5382999999999996</v>
      </c>
      <c r="J283" s="4">
        <f>8.4137 * CHOOSE(CONTROL!$C$15, $D$11, 100%, $F$11)</f>
        <v>8.4137000000000004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8.9256 * CHOOSE(CONTROL!$C$15, $D$11, 100%, $F$11)</f>
        <v>8.9255999999999993</v>
      </c>
      <c r="C284" s="8">
        <f>8.9302 * CHOOSE(CONTROL!$C$15, $D$11, 100%, $F$11)</f>
        <v>8.9301999999999992</v>
      </c>
      <c r="D284" s="8">
        <f>8.9611 * CHOOSE( CONTROL!$C$15, $D$11, 100%, $F$11)</f>
        <v>8.9611000000000001</v>
      </c>
      <c r="E284" s="12">
        <f>8.9504 * CHOOSE( CONTROL!$C$15, $D$11, 100%, $F$11)</f>
        <v>8.9504000000000001</v>
      </c>
      <c r="F284" s="4">
        <f>9.6404 * CHOOSE(CONTROL!$C$15, $D$11, 100%, $F$11)</f>
        <v>9.6403999999999996</v>
      </c>
      <c r="G284" s="8">
        <f>8.7027 * CHOOSE( CONTROL!$C$15, $D$11, 100%, $F$11)</f>
        <v>8.7027000000000001</v>
      </c>
      <c r="H284" s="4">
        <f>9.6506 * CHOOSE(CONTROL!$C$15, $D$11, 100%, $F$11)</f>
        <v>9.6506000000000007</v>
      </c>
      <c r="I284" s="8">
        <f>8.6596 * CHOOSE(CONTROL!$C$15, $D$11, 100%, $F$11)</f>
        <v>8.6595999999999993</v>
      </c>
      <c r="J284" s="4">
        <f>8.5415 * CHOOSE(CONTROL!$C$15, $D$11, 100%, $F$11)</f>
        <v>8.5414999999999992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9.1674, 9.164) * CHOOSE(CONTROL!$C$15, $D$11, 100%, $F$11)</f>
        <v>9.1674000000000007</v>
      </c>
      <c r="C285" s="8">
        <f>CHOOSE( CONTROL!$C$32, 9.1755, 9.1721) * CHOOSE(CONTROL!$C$15, $D$11, 100%, $F$11)</f>
        <v>9.1754999999999995</v>
      </c>
      <c r="D285" s="8">
        <f>CHOOSE( CONTROL!$C$32, 9.2011, 9.1977) * CHOOSE( CONTROL!$C$15, $D$11, 100%, $F$11)</f>
        <v>9.2011000000000003</v>
      </c>
      <c r="E285" s="12">
        <f>CHOOSE( CONTROL!$C$32, 9.1906, 9.1872) * CHOOSE( CONTROL!$C$15, $D$11, 100%, $F$11)</f>
        <v>9.1905999999999999</v>
      </c>
      <c r="F285" s="4">
        <f>CHOOSE( CONTROL!$C$32, 9.8808, 9.8774) * CHOOSE(CONTROL!$C$15, $D$11, 100%, $F$11)</f>
        <v>9.8808000000000007</v>
      </c>
      <c r="G285" s="8">
        <f>CHOOSE( CONTROL!$C$32, 8.9383, 8.9349) * CHOOSE( CONTROL!$C$15, $D$11, 100%, $F$11)</f>
        <v>8.9382999999999999</v>
      </c>
      <c r="H285" s="4">
        <f>CHOOSE( CONTROL!$C$32, 9.8854, 9.8821) * CHOOSE(CONTROL!$C$15, $D$11, 100%, $F$11)</f>
        <v>9.8854000000000006</v>
      </c>
      <c r="I285" s="8">
        <f>CHOOSE( CONTROL!$C$32, 8.8907, 8.8875) * CHOOSE(CONTROL!$C$15, $D$11, 100%, $F$11)</f>
        <v>8.8907000000000007</v>
      </c>
      <c r="J285" s="4">
        <f>CHOOSE( CONTROL!$C$32, 8.7724, 8.7691) * CHOOSE(CONTROL!$C$15, $D$11, 100%, $F$11)</f>
        <v>8.7723999999999993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9.0206, 9.0171) * CHOOSE(CONTROL!$C$15, $D$11, 100%, $F$11)</f>
        <v>9.0206</v>
      </c>
      <c r="C286" s="8">
        <f>CHOOSE( CONTROL!$C$32, 9.0286, 9.0252) * CHOOSE(CONTROL!$C$15, $D$11, 100%, $F$11)</f>
        <v>9.0286000000000008</v>
      </c>
      <c r="D286" s="8">
        <f>CHOOSE( CONTROL!$C$32, 9.0544, 9.051) * CHOOSE( CONTROL!$C$15, $D$11, 100%, $F$11)</f>
        <v>9.0543999999999993</v>
      </c>
      <c r="E286" s="12">
        <f>CHOOSE( CONTROL!$C$32, 9.0438, 9.0404) * CHOOSE( CONTROL!$C$15, $D$11, 100%, $F$11)</f>
        <v>9.0437999999999992</v>
      </c>
      <c r="F286" s="4">
        <f>CHOOSE( CONTROL!$C$32, 9.734, 9.7306) * CHOOSE(CONTROL!$C$15, $D$11, 100%, $F$11)</f>
        <v>9.734</v>
      </c>
      <c r="G286" s="8">
        <f>CHOOSE( CONTROL!$C$32, 8.7951, 8.7918) * CHOOSE( CONTROL!$C$15, $D$11, 100%, $F$11)</f>
        <v>8.7950999999999997</v>
      </c>
      <c r="H286" s="4">
        <f>CHOOSE( CONTROL!$C$32, 9.742, 9.7387) * CHOOSE(CONTROL!$C$15, $D$11, 100%, $F$11)</f>
        <v>9.7420000000000009</v>
      </c>
      <c r="I286" s="8">
        <f>CHOOSE( CONTROL!$C$32, 8.7506, 8.7473) * CHOOSE(CONTROL!$C$15, $D$11, 100%, $F$11)</f>
        <v>8.7506000000000004</v>
      </c>
      <c r="J286" s="4">
        <f>CHOOSE( CONTROL!$C$32, 8.6314, 8.6281) * CHOOSE(CONTROL!$C$15, $D$11, 100%, $F$11)</f>
        <v>8.6313999999999993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9.4073, 9.4038) * CHOOSE(CONTROL!$C$15, $D$11, 100%, $F$11)</f>
        <v>9.4072999999999993</v>
      </c>
      <c r="C287" s="8">
        <f>CHOOSE( CONTROL!$C$32, 9.4153, 9.4119) * CHOOSE(CONTROL!$C$15, $D$11, 100%, $F$11)</f>
        <v>9.4153000000000002</v>
      </c>
      <c r="D287" s="8">
        <f>CHOOSE( CONTROL!$C$32, 9.4414, 9.438) * CHOOSE( CONTROL!$C$15, $D$11, 100%, $F$11)</f>
        <v>9.4413999999999998</v>
      </c>
      <c r="E287" s="12">
        <f>CHOOSE( CONTROL!$C$32, 9.4307, 9.4273) * CHOOSE( CONTROL!$C$15, $D$11, 100%, $F$11)</f>
        <v>9.4306999999999999</v>
      </c>
      <c r="F287" s="4">
        <f>CHOOSE( CONTROL!$C$32, 10.1207, 10.1173) * CHOOSE(CONTROL!$C$15, $D$11, 100%, $F$11)</f>
        <v>10.120699999999999</v>
      </c>
      <c r="G287" s="8">
        <f>CHOOSE( CONTROL!$C$32, 9.1732, 9.1698) * CHOOSE( CONTROL!$C$15, $D$11, 100%, $F$11)</f>
        <v>9.1731999999999996</v>
      </c>
      <c r="H287" s="4">
        <f>CHOOSE( CONTROL!$C$32, 10.1197, 10.1163) * CHOOSE(CONTROL!$C$15, $D$11, 100%, $F$11)</f>
        <v>10.1197</v>
      </c>
      <c r="I287" s="8">
        <f>CHOOSE( CONTROL!$C$32, 9.1232, 9.1199) * CHOOSE(CONTROL!$C$15, $D$11, 100%, $F$11)</f>
        <v>9.1232000000000006</v>
      </c>
      <c r="J287" s="4">
        <f>CHOOSE( CONTROL!$C$32, 9.0027, 8.9994) * CHOOSE(CONTROL!$C$15, $D$11, 100%, $F$11)</f>
        <v>9.0027000000000008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8.6837, 8.6803) * CHOOSE(CONTROL!$C$15, $D$11, 100%, $F$11)</f>
        <v>8.6837</v>
      </c>
      <c r="C288" s="8">
        <f>CHOOSE( CONTROL!$C$32, 8.6918, 8.6884) * CHOOSE(CONTROL!$C$15, $D$11, 100%, $F$11)</f>
        <v>8.6918000000000006</v>
      </c>
      <c r="D288" s="8">
        <f>CHOOSE( CONTROL!$C$32, 8.7179, 8.7145) * CHOOSE( CONTROL!$C$15, $D$11, 100%, $F$11)</f>
        <v>8.7179000000000002</v>
      </c>
      <c r="E288" s="12">
        <f>CHOOSE( CONTROL!$C$32, 8.7072, 8.7038) * CHOOSE( CONTROL!$C$15, $D$11, 100%, $F$11)</f>
        <v>8.7072000000000003</v>
      </c>
      <c r="F288" s="4">
        <f>CHOOSE( CONTROL!$C$32, 9.3971, 9.3937) * CHOOSE(CONTROL!$C$15, $D$11, 100%, $F$11)</f>
        <v>9.3971</v>
      </c>
      <c r="G288" s="8">
        <f>CHOOSE( CONTROL!$C$32, 8.4666, 8.4633) * CHOOSE( CONTROL!$C$15, $D$11, 100%, $F$11)</f>
        <v>8.4665999999999997</v>
      </c>
      <c r="H288" s="4">
        <f>CHOOSE( CONTROL!$C$32, 9.413, 9.4096) * CHOOSE(CONTROL!$C$15, $D$11, 100%, $F$11)</f>
        <v>9.4130000000000003</v>
      </c>
      <c r="I288" s="8">
        <f>CHOOSE( CONTROL!$C$32, 8.4286, 8.4253) * CHOOSE(CONTROL!$C$15, $D$11, 100%, $F$11)</f>
        <v>8.4285999999999994</v>
      </c>
      <c r="J288" s="4">
        <f>CHOOSE( CONTROL!$C$32, 8.308, 8.3047) * CHOOSE(CONTROL!$C$15, $D$11, 100%, $F$11)</f>
        <v>8.3079999999999998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8.5025, 8.4991) * CHOOSE(CONTROL!$C$15, $D$11, 100%, $F$11)</f>
        <v>8.5024999999999995</v>
      </c>
      <c r="C289" s="8">
        <f>CHOOSE( CONTROL!$C$32, 8.5106, 8.5072) * CHOOSE(CONTROL!$C$15, $D$11, 100%, $F$11)</f>
        <v>8.5106000000000002</v>
      </c>
      <c r="D289" s="8">
        <f>CHOOSE( CONTROL!$C$32, 8.5367, 8.5333) * CHOOSE( CONTROL!$C$15, $D$11, 100%, $F$11)</f>
        <v>8.5366999999999997</v>
      </c>
      <c r="E289" s="12">
        <f>CHOOSE( CONTROL!$C$32, 8.526, 8.5226) * CHOOSE( CONTROL!$C$15, $D$11, 100%, $F$11)</f>
        <v>8.5259999999999998</v>
      </c>
      <c r="F289" s="4">
        <f>CHOOSE( CONTROL!$C$32, 9.2159, 9.2125) * CHOOSE(CONTROL!$C$15, $D$11, 100%, $F$11)</f>
        <v>9.2158999999999995</v>
      </c>
      <c r="G289" s="8">
        <f>CHOOSE( CONTROL!$C$32, 8.2896, 8.2863) * CHOOSE( CONTROL!$C$15, $D$11, 100%, $F$11)</f>
        <v>8.2896000000000001</v>
      </c>
      <c r="H289" s="4">
        <f>CHOOSE( CONTROL!$C$32, 9.236, 9.2327) * CHOOSE(CONTROL!$C$15, $D$11, 100%, $F$11)</f>
        <v>9.2360000000000007</v>
      </c>
      <c r="I289" s="8">
        <f>CHOOSE( CONTROL!$C$32, 8.2544, 8.2511) * CHOOSE(CONTROL!$C$15, $D$11, 100%, $F$11)</f>
        <v>8.2544000000000004</v>
      </c>
      <c r="J289" s="4">
        <f>CHOOSE( CONTROL!$C$32, 8.134, 8.1308) * CHOOSE(CONTROL!$C$15, $D$11, 100%, $F$11)</f>
        <v>8.1340000000000003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8.8736 * CHOOSE(CONTROL!$C$15, $D$11, 100%, $F$11)</f>
        <v>8.8735999999999997</v>
      </c>
      <c r="C290" s="8">
        <f>8.879 * CHOOSE(CONTROL!$C$15, $D$11, 100%, $F$11)</f>
        <v>8.8789999999999996</v>
      </c>
      <c r="D290" s="8">
        <f>8.9101 * CHOOSE( CONTROL!$C$15, $D$11, 100%, $F$11)</f>
        <v>8.9100999999999999</v>
      </c>
      <c r="E290" s="12">
        <f>8.8993 * CHOOSE( CONTROL!$C$15, $D$11, 100%, $F$11)</f>
        <v>8.8993000000000002</v>
      </c>
      <c r="F290" s="4">
        <f>9.5887 * CHOOSE(CONTROL!$C$15, $D$11, 100%, $F$11)</f>
        <v>9.5886999999999993</v>
      </c>
      <c r="G290" s="8">
        <f>8.6533 * CHOOSE( CONTROL!$C$15, $D$11, 100%, $F$11)</f>
        <v>8.6532999999999998</v>
      </c>
      <c r="H290" s="4">
        <f>9.6001 * CHOOSE(CONTROL!$C$15, $D$11, 100%, $F$11)</f>
        <v>9.6000999999999994</v>
      </c>
      <c r="I290" s="8">
        <f>8.6133 * CHOOSE(CONTROL!$C$15, $D$11, 100%, $F$11)</f>
        <v>8.6133000000000006</v>
      </c>
      <c r="J290" s="4">
        <f>8.492 * CHOOSE(CONTROL!$C$15, $D$11, 100%, $F$11)</f>
        <v>8.4920000000000009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9.5676 * CHOOSE(CONTROL!$C$15, $D$11, 100%, $F$11)</f>
        <v>9.5676000000000005</v>
      </c>
      <c r="C291" s="8">
        <f>9.5728 * CHOOSE(CONTROL!$C$15, $D$11, 100%, $F$11)</f>
        <v>9.5728000000000009</v>
      </c>
      <c r="D291" s="8">
        <f>9.5656 * CHOOSE( CONTROL!$C$15, $D$11, 100%, $F$11)</f>
        <v>9.5655999999999999</v>
      </c>
      <c r="E291" s="12">
        <f>9.5677 * CHOOSE( CONTROL!$C$15, $D$11, 100%, $F$11)</f>
        <v>9.5677000000000003</v>
      </c>
      <c r="F291" s="4">
        <f>10.2181 * CHOOSE(CONTROL!$C$15, $D$11, 100%, $F$11)</f>
        <v>10.2181</v>
      </c>
      <c r="G291" s="8">
        <f>9.3445 * CHOOSE( CONTROL!$C$15, $D$11, 100%, $F$11)</f>
        <v>9.3445</v>
      </c>
      <c r="H291" s="4">
        <f>10.2148 * CHOOSE(CONTROL!$C$15, $D$11, 100%, $F$11)</f>
        <v>10.2148</v>
      </c>
      <c r="I291" s="8">
        <f>9.3238 * CHOOSE(CONTROL!$C$15, $D$11, 100%, $F$11)</f>
        <v>9.3238000000000003</v>
      </c>
      <c r="J291" s="4">
        <f>9.1587 * CHOOSE(CONTROL!$C$15, $D$11, 100%, $F$11)</f>
        <v>9.1586999999999996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9.5502 * CHOOSE(CONTROL!$C$15, $D$11, 100%, $F$11)</f>
        <v>9.5502000000000002</v>
      </c>
      <c r="C292" s="8">
        <f>9.5554 * CHOOSE(CONTROL!$C$15, $D$11, 100%, $F$11)</f>
        <v>9.5554000000000006</v>
      </c>
      <c r="D292" s="8">
        <f>9.5497 * CHOOSE( CONTROL!$C$15, $D$11, 100%, $F$11)</f>
        <v>9.5496999999999996</v>
      </c>
      <c r="E292" s="12">
        <f>9.5512 * CHOOSE( CONTROL!$C$15, $D$11, 100%, $F$11)</f>
        <v>9.5511999999999997</v>
      </c>
      <c r="F292" s="4">
        <f>10.2007 * CHOOSE(CONTROL!$C$15, $D$11, 100%, $F$11)</f>
        <v>10.200699999999999</v>
      </c>
      <c r="G292" s="8">
        <f>9.3286 * CHOOSE( CONTROL!$C$15, $D$11, 100%, $F$11)</f>
        <v>9.3285999999999998</v>
      </c>
      <c r="H292" s="4">
        <f>10.1978 * CHOOSE(CONTROL!$C$15, $D$11, 100%, $F$11)</f>
        <v>10.197800000000001</v>
      </c>
      <c r="I292" s="8">
        <f>9.3117 * CHOOSE(CONTROL!$C$15, $D$11, 100%, $F$11)</f>
        <v>9.3117000000000001</v>
      </c>
      <c r="J292" s="4">
        <f>9.142 * CHOOSE(CONTROL!$C$15, $D$11, 100%, $F$11)</f>
        <v>9.1419999999999995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9.8311 * CHOOSE(CONTROL!$C$15, $D$11, 100%, $F$11)</f>
        <v>9.8310999999999993</v>
      </c>
      <c r="C293" s="8">
        <f>9.8363 * CHOOSE(CONTROL!$C$15, $D$11, 100%, $F$11)</f>
        <v>9.8362999999999996</v>
      </c>
      <c r="D293" s="8">
        <f>9.8164 * CHOOSE( CONTROL!$C$15, $D$11, 100%, $F$11)</f>
        <v>9.8163999999999998</v>
      </c>
      <c r="E293" s="12">
        <f>9.8231 * CHOOSE( CONTROL!$C$15, $D$11, 100%, $F$11)</f>
        <v>9.8231000000000002</v>
      </c>
      <c r="F293" s="4">
        <f>10.4816 * CHOOSE(CONTROL!$C$15, $D$11, 100%, $F$11)</f>
        <v>10.4816</v>
      </c>
      <c r="G293" s="8">
        <f>9.5861 * CHOOSE( CONTROL!$C$15, $D$11, 100%, $F$11)</f>
        <v>9.5861000000000001</v>
      </c>
      <c r="H293" s="4">
        <f>10.4721 * CHOOSE(CONTROL!$C$15, $D$11, 100%, $F$11)</f>
        <v>10.472099999999999</v>
      </c>
      <c r="I293" s="8">
        <f>9.538 * CHOOSE(CONTROL!$C$15, $D$11, 100%, $F$11)</f>
        <v>9.5380000000000003</v>
      </c>
      <c r="J293" s="4">
        <f>9.4117 * CHOOSE(CONTROL!$C$15, $D$11, 100%, $F$11)</f>
        <v>9.4116999999999997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9.1974 * CHOOSE(CONTROL!$C$15, $D$11, 100%, $F$11)</f>
        <v>9.1974</v>
      </c>
      <c r="C294" s="8">
        <f>9.2026 * CHOOSE(CONTROL!$C$15, $D$11, 100%, $F$11)</f>
        <v>9.2026000000000003</v>
      </c>
      <c r="D294" s="8">
        <f>9.1826 * CHOOSE( CONTROL!$C$15, $D$11, 100%, $F$11)</f>
        <v>9.1826000000000008</v>
      </c>
      <c r="E294" s="12">
        <f>9.1894 * CHOOSE( CONTROL!$C$15, $D$11, 100%, $F$11)</f>
        <v>9.1893999999999991</v>
      </c>
      <c r="F294" s="4">
        <f>9.8478 * CHOOSE(CONTROL!$C$15, $D$11, 100%, $F$11)</f>
        <v>9.8477999999999994</v>
      </c>
      <c r="G294" s="8">
        <f>8.9671 * CHOOSE( CONTROL!$C$15, $D$11, 100%, $F$11)</f>
        <v>8.9671000000000003</v>
      </c>
      <c r="H294" s="4">
        <f>9.8532 * CHOOSE(CONTROL!$C$15, $D$11, 100%, $F$11)</f>
        <v>9.8531999999999993</v>
      </c>
      <c r="I294" s="8">
        <f>8.9292 * CHOOSE(CONTROL!$C$15, $D$11, 100%, $F$11)</f>
        <v>8.9291999999999998</v>
      </c>
      <c r="J294" s="4">
        <f>8.8032 * CHOOSE(CONTROL!$C$15, $D$11, 100%, $F$11)</f>
        <v>8.8032000000000004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9.0022 * CHOOSE(CONTROL!$C$15, $D$11, 100%, $F$11)</f>
        <v>9.0022000000000002</v>
      </c>
      <c r="C295" s="8">
        <f>9.0074 * CHOOSE(CONTROL!$C$15, $D$11, 100%, $F$11)</f>
        <v>9.0074000000000005</v>
      </c>
      <c r="D295" s="8">
        <f>8.9871 * CHOOSE( CONTROL!$C$15, $D$11, 100%, $F$11)</f>
        <v>8.9870999999999999</v>
      </c>
      <c r="E295" s="12">
        <f>8.994 * CHOOSE( CONTROL!$C$15, $D$11, 100%, $F$11)</f>
        <v>8.9939999999999998</v>
      </c>
      <c r="F295" s="4">
        <f>9.6526 * CHOOSE(CONTROL!$C$15, $D$11, 100%, $F$11)</f>
        <v>9.6525999999999996</v>
      </c>
      <c r="G295" s="8">
        <f>8.7762 * CHOOSE( CONTROL!$C$15, $D$11, 100%, $F$11)</f>
        <v>8.7761999999999993</v>
      </c>
      <c r="H295" s="4">
        <f>9.6625 * CHOOSE(CONTROL!$C$15, $D$11, 100%, $F$11)</f>
        <v>9.6624999999999996</v>
      </c>
      <c r="I295" s="8">
        <f>8.7406 * CHOOSE(CONTROL!$C$15, $D$11, 100%, $F$11)</f>
        <v>8.7406000000000006</v>
      </c>
      <c r="J295" s="4">
        <f>8.6158 * CHOOSE(CONTROL!$C$15, $D$11, 100%, $F$11)</f>
        <v>8.6158000000000001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9.1393 * CHOOSE(CONTROL!$C$15, $D$11, 100%, $F$11)</f>
        <v>9.1393000000000004</v>
      </c>
      <c r="C296" s="8">
        <f>9.144 * CHOOSE(CONTROL!$C$15, $D$11, 100%, $F$11)</f>
        <v>9.1440000000000001</v>
      </c>
      <c r="D296" s="8">
        <f>9.1748 * CHOOSE( CONTROL!$C$15, $D$11, 100%, $F$11)</f>
        <v>9.1747999999999994</v>
      </c>
      <c r="E296" s="12">
        <f>9.1641 * CHOOSE( CONTROL!$C$15, $D$11, 100%, $F$11)</f>
        <v>9.1640999999999995</v>
      </c>
      <c r="F296" s="4">
        <f>9.8541 * CHOOSE(CONTROL!$C$15, $D$11, 100%, $F$11)</f>
        <v>9.8541000000000007</v>
      </c>
      <c r="G296" s="8">
        <f>8.9114 * CHOOSE( CONTROL!$C$15, $D$11, 100%, $F$11)</f>
        <v>8.9114000000000004</v>
      </c>
      <c r="H296" s="4">
        <f>9.8593 * CHOOSE(CONTROL!$C$15, $D$11, 100%, $F$11)</f>
        <v>9.8592999999999993</v>
      </c>
      <c r="I296" s="8">
        <f>8.8649 * CHOOSE(CONTROL!$C$15, $D$11, 100%, $F$11)</f>
        <v>8.8649000000000004</v>
      </c>
      <c r="J296" s="4">
        <f>8.7468 * CHOOSE(CONTROL!$C$15, $D$11, 100%, $F$11)</f>
        <v>8.7468000000000004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9.3869, 9.3835) * CHOOSE(CONTROL!$C$15, $D$11, 100%, $F$11)</f>
        <v>9.3869000000000007</v>
      </c>
      <c r="C297" s="8">
        <f>CHOOSE( CONTROL!$C$32, 9.3949, 9.3915) * CHOOSE(CONTROL!$C$15, $D$11, 100%, $F$11)</f>
        <v>9.3948999999999998</v>
      </c>
      <c r="D297" s="8">
        <f>CHOOSE( CONTROL!$C$32, 9.4205, 9.4171) * CHOOSE( CONTROL!$C$15, $D$11, 100%, $F$11)</f>
        <v>9.4205000000000005</v>
      </c>
      <c r="E297" s="12">
        <f>CHOOSE( CONTROL!$C$32, 9.41, 9.4066) * CHOOSE( CONTROL!$C$15, $D$11, 100%, $F$11)</f>
        <v>9.41</v>
      </c>
      <c r="F297" s="4">
        <f>CHOOSE( CONTROL!$C$32, 10.1003, 10.0969) * CHOOSE(CONTROL!$C$15, $D$11, 100%, $F$11)</f>
        <v>10.100300000000001</v>
      </c>
      <c r="G297" s="8">
        <f>CHOOSE( CONTROL!$C$32, 9.1526, 9.1493) * CHOOSE( CONTROL!$C$15, $D$11, 100%, $F$11)</f>
        <v>9.1525999999999996</v>
      </c>
      <c r="H297" s="4">
        <f>CHOOSE( CONTROL!$C$32, 10.0998, 10.0964) * CHOOSE(CONTROL!$C$15, $D$11, 100%, $F$11)</f>
        <v>10.0998</v>
      </c>
      <c r="I297" s="8">
        <f>CHOOSE( CONTROL!$C$32, 9.1015, 9.0983) * CHOOSE(CONTROL!$C$15, $D$11, 100%, $F$11)</f>
        <v>9.1014999999999997</v>
      </c>
      <c r="J297" s="4">
        <f>CHOOSE( CONTROL!$C$32, 8.9831, 8.9798) * CHOOSE(CONTROL!$C$15, $D$11, 100%, $F$11)</f>
        <v>8.9831000000000003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9.2365, 9.2331) * CHOOSE(CONTROL!$C$15, $D$11, 100%, $F$11)</f>
        <v>9.2364999999999995</v>
      </c>
      <c r="C298" s="8">
        <f>CHOOSE( CONTROL!$C$32, 9.2446, 9.2412) * CHOOSE(CONTROL!$C$15, $D$11, 100%, $F$11)</f>
        <v>9.2446000000000002</v>
      </c>
      <c r="D298" s="8">
        <f>CHOOSE( CONTROL!$C$32, 9.2704, 9.267) * CHOOSE( CONTROL!$C$15, $D$11, 100%, $F$11)</f>
        <v>9.2704000000000004</v>
      </c>
      <c r="E298" s="12">
        <f>CHOOSE( CONTROL!$C$32, 9.2598, 9.2564) * CHOOSE( CONTROL!$C$15, $D$11, 100%, $F$11)</f>
        <v>9.2598000000000003</v>
      </c>
      <c r="F298" s="4">
        <f>CHOOSE( CONTROL!$C$32, 9.9499, 9.9465) * CHOOSE(CONTROL!$C$15, $D$11, 100%, $F$11)</f>
        <v>9.9498999999999995</v>
      </c>
      <c r="G298" s="8">
        <f>CHOOSE( CONTROL!$C$32, 9.006, 9.0027) * CHOOSE( CONTROL!$C$15, $D$11, 100%, $F$11)</f>
        <v>9.0060000000000002</v>
      </c>
      <c r="H298" s="4">
        <f>CHOOSE( CONTROL!$C$32, 9.9529, 9.9496) * CHOOSE(CONTROL!$C$15, $D$11, 100%, $F$11)</f>
        <v>9.9528999999999996</v>
      </c>
      <c r="I298" s="8">
        <f>CHOOSE( CONTROL!$C$32, 8.958, 8.9548) * CHOOSE(CONTROL!$C$15, $D$11, 100%, $F$11)</f>
        <v>8.9580000000000002</v>
      </c>
      <c r="J298" s="4">
        <f>CHOOSE( CONTROL!$C$32, 8.8387, 8.8355) * CHOOSE(CONTROL!$C$15, $D$11, 100%, $F$11)</f>
        <v>8.8386999999999993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9.6325, 9.6291) * CHOOSE(CONTROL!$C$15, $D$11, 100%, $F$11)</f>
        <v>9.6325000000000003</v>
      </c>
      <c r="C299" s="8">
        <f>CHOOSE( CONTROL!$C$32, 9.6406, 9.6372) * CHOOSE(CONTROL!$C$15, $D$11, 100%, $F$11)</f>
        <v>9.6405999999999992</v>
      </c>
      <c r="D299" s="8">
        <f>CHOOSE( CONTROL!$C$32, 9.6666, 9.6632) * CHOOSE( CONTROL!$C$15, $D$11, 100%, $F$11)</f>
        <v>9.6666000000000007</v>
      </c>
      <c r="E299" s="12">
        <f>CHOOSE( CONTROL!$C$32, 9.6559, 9.6525) * CHOOSE( CONTROL!$C$15, $D$11, 100%, $F$11)</f>
        <v>9.6559000000000008</v>
      </c>
      <c r="F299" s="4">
        <f>CHOOSE( CONTROL!$C$32, 10.3459, 10.3425) * CHOOSE(CONTROL!$C$15, $D$11, 100%, $F$11)</f>
        <v>10.3459</v>
      </c>
      <c r="G299" s="8">
        <f>CHOOSE( CONTROL!$C$32, 9.3931, 9.3898) * CHOOSE( CONTROL!$C$15, $D$11, 100%, $F$11)</f>
        <v>9.3931000000000004</v>
      </c>
      <c r="H299" s="4">
        <f>CHOOSE( CONTROL!$C$32, 10.3396, 10.3363) * CHOOSE(CONTROL!$C$15, $D$11, 100%, $F$11)</f>
        <v>10.339600000000001</v>
      </c>
      <c r="I299" s="8">
        <f>CHOOSE( CONTROL!$C$32, 9.3395, 9.3362) * CHOOSE(CONTROL!$C$15, $D$11, 100%, $F$11)</f>
        <v>9.3394999999999992</v>
      </c>
      <c r="J299" s="4">
        <f>CHOOSE( CONTROL!$C$32, 9.2189, 9.2156) * CHOOSE(CONTROL!$C$15, $D$11, 100%, $F$11)</f>
        <v>9.2188999999999997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8.8915, 8.8881) * CHOOSE(CONTROL!$C$15, $D$11, 100%, $F$11)</f>
        <v>8.8915000000000006</v>
      </c>
      <c r="C300" s="8">
        <f>CHOOSE( CONTROL!$C$32, 8.8996, 8.8962) * CHOOSE(CONTROL!$C$15, $D$11, 100%, $F$11)</f>
        <v>8.8995999999999995</v>
      </c>
      <c r="D300" s="8">
        <f>CHOOSE( CONTROL!$C$32, 8.9257, 8.9223) * CHOOSE( CONTROL!$C$15, $D$11, 100%, $F$11)</f>
        <v>8.9257000000000009</v>
      </c>
      <c r="E300" s="12">
        <f>CHOOSE( CONTROL!$C$32, 8.915, 8.9116) * CHOOSE( CONTROL!$C$15, $D$11, 100%, $F$11)</f>
        <v>8.9149999999999991</v>
      </c>
      <c r="F300" s="4">
        <f>CHOOSE( CONTROL!$C$32, 9.605, 9.6016) * CHOOSE(CONTROL!$C$15, $D$11, 100%, $F$11)</f>
        <v>9.6050000000000004</v>
      </c>
      <c r="G300" s="8">
        <f>CHOOSE( CONTROL!$C$32, 8.6696, 8.6663) * CHOOSE( CONTROL!$C$15, $D$11, 100%, $F$11)</f>
        <v>8.6696000000000009</v>
      </c>
      <c r="H300" s="4">
        <f>CHOOSE( CONTROL!$C$32, 9.616, 9.6126) * CHOOSE(CONTROL!$C$15, $D$11, 100%, $F$11)</f>
        <v>9.6159999999999997</v>
      </c>
      <c r="I300" s="8">
        <f>CHOOSE( CONTROL!$C$32, 8.6282, 8.6249) * CHOOSE(CONTROL!$C$15, $D$11, 100%, $F$11)</f>
        <v>8.6281999999999996</v>
      </c>
      <c r="J300" s="4">
        <f>CHOOSE( CONTROL!$C$32, 8.5075, 8.5043) * CHOOSE(CONTROL!$C$15, $D$11, 100%, $F$11)</f>
        <v>8.5075000000000003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8.706, 8.7026) * CHOOSE(CONTROL!$C$15, $D$11, 100%, $F$11)</f>
        <v>8.7059999999999995</v>
      </c>
      <c r="C301" s="8">
        <f>CHOOSE( CONTROL!$C$32, 8.7141, 8.7107) * CHOOSE(CONTROL!$C$15, $D$11, 100%, $F$11)</f>
        <v>8.7141000000000002</v>
      </c>
      <c r="D301" s="8">
        <f>CHOOSE( CONTROL!$C$32, 8.7402, 8.7368) * CHOOSE( CONTROL!$C$15, $D$11, 100%, $F$11)</f>
        <v>8.7401999999999997</v>
      </c>
      <c r="E301" s="12">
        <f>CHOOSE( CONTROL!$C$32, 8.7295, 8.7261) * CHOOSE( CONTROL!$C$15, $D$11, 100%, $F$11)</f>
        <v>8.7294999999999998</v>
      </c>
      <c r="F301" s="4">
        <f>CHOOSE( CONTROL!$C$32, 9.4194, 9.416) * CHOOSE(CONTROL!$C$15, $D$11, 100%, $F$11)</f>
        <v>9.4193999999999996</v>
      </c>
      <c r="G301" s="8">
        <f>CHOOSE( CONTROL!$C$32, 8.4883, 8.485) * CHOOSE( CONTROL!$C$15, $D$11, 100%, $F$11)</f>
        <v>8.4883000000000006</v>
      </c>
      <c r="H301" s="4">
        <f>CHOOSE( CONTROL!$C$32, 9.4347, 9.4314) * CHOOSE(CONTROL!$C$15, $D$11, 100%, $F$11)</f>
        <v>9.4346999999999994</v>
      </c>
      <c r="I301" s="8">
        <f>CHOOSE( CONTROL!$C$32, 8.4498, 8.4466) * CHOOSE(CONTROL!$C$15, $D$11, 100%, $F$11)</f>
        <v>8.4497999999999998</v>
      </c>
      <c r="J301" s="4">
        <f>CHOOSE( CONTROL!$C$32, 8.3294, 8.3261) * CHOOSE(CONTROL!$C$15, $D$11, 100%, $F$11)</f>
        <v>8.3293999999999997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9.0861 * CHOOSE(CONTROL!$C$15, $D$11, 100%, $F$11)</f>
        <v>9.0861000000000001</v>
      </c>
      <c r="C302" s="8">
        <f>9.0915 * CHOOSE(CONTROL!$C$15, $D$11, 100%, $F$11)</f>
        <v>9.0914999999999999</v>
      </c>
      <c r="D302" s="8">
        <f>9.1226 * CHOOSE( CONTROL!$C$15, $D$11, 100%, $F$11)</f>
        <v>9.1226000000000003</v>
      </c>
      <c r="E302" s="12">
        <f>9.1118 * CHOOSE( CONTROL!$C$15, $D$11, 100%, $F$11)</f>
        <v>9.1118000000000006</v>
      </c>
      <c r="F302" s="4">
        <f>9.8013 * CHOOSE(CONTROL!$C$15, $D$11, 100%, $F$11)</f>
        <v>9.8012999999999995</v>
      </c>
      <c r="G302" s="8">
        <f>8.8608 * CHOOSE( CONTROL!$C$15, $D$11, 100%, $F$11)</f>
        <v>8.8607999999999993</v>
      </c>
      <c r="H302" s="4">
        <f>9.8077 * CHOOSE(CONTROL!$C$15, $D$11, 100%, $F$11)</f>
        <v>9.8077000000000005</v>
      </c>
      <c r="I302" s="8">
        <f>8.8175 * CHOOSE(CONTROL!$C$15, $D$11, 100%, $F$11)</f>
        <v>8.8175000000000008</v>
      </c>
      <c r="J302" s="4">
        <f>8.696 * CHOOSE(CONTROL!$C$15, $D$11, 100%, $F$11)</f>
        <v>8.6959999999999997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9.7968 * CHOOSE(CONTROL!$C$15, $D$11, 100%, $F$11)</f>
        <v>9.7967999999999993</v>
      </c>
      <c r="C303" s="8">
        <f>9.802 * CHOOSE(CONTROL!$C$15, $D$11, 100%, $F$11)</f>
        <v>9.8019999999999996</v>
      </c>
      <c r="D303" s="8">
        <f>9.7948 * CHOOSE( CONTROL!$C$15, $D$11, 100%, $F$11)</f>
        <v>9.7948000000000004</v>
      </c>
      <c r="E303" s="12">
        <f>9.7969 * CHOOSE( CONTROL!$C$15, $D$11, 100%, $F$11)</f>
        <v>9.7969000000000008</v>
      </c>
      <c r="F303" s="4">
        <f>10.4473 * CHOOSE(CONTROL!$C$15, $D$11, 100%, $F$11)</f>
        <v>10.4473</v>
      </c>
      <c r="G303" s="8">
        <f>9.5684 * CHOOSE( CONTROL!$C$15, $D$11, 100%, $F$11)</f>
        <v>9.5684000000000005</v>
      </c>
      <c r="H303" s="4">
        <f>10.4386 * CHOOSE(CONTROL!$C$15, $D$11, 100%, $F$11)</f>
        <v>10.438599999999999</v>
      </c>
      <c r="I303" s="8">
        <f>9.544 * CHOOSE(CONTROL!$C$15, $D$11, 100%, $F$11)</f>
        <v>9.5440000000000005</v>
      </c>
      <c r="J303" s="4">
        <f>9.3787 * CHOOSE(CONTROL!$C$15, $D$11, 100%, $F$11)</f>
        <v>9.3787000000000003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9.779 * CHOOSE(CONTROL!$C$15, $D$11, 100%, $F$11)</f>
        <v>9.7789999999999999</v>
      </c>
      <c r="C304" s="8">
        <f>9.7842 * CHOOSE(CONTROL!$C$15, $D$11, 100%, $F$11)</f>
        <v>9.7842000000000002</v>
      </c>
      <c r="D304" s="8">
        <f>9.7785 * CHOOSE( CONTROL!$C$15, $D$11, 100%, $F$11)</f>
        <v>9.7784999999999993</v>
      </c>
      <c r="E304" s="12">
        <f>9.78 * CHOOSE( CONTROL!$C$15, $D$11, 100%, $F$11)</f>
        <v>9.7799999999999994</v>
      </c>
      <c r="F304" s="4">
        <f>10.4295 * CHOOSE(CONTROL!$C$15, $D$11, 100%, $F$11)</f>
        <v>10.429500000000001</v>
      </c>
      <c r="G304" s="8">
        <f>9.5521 * CHOOSE( CONTROL!$C$15, $D$11, 100%, $F$11)</f>
        <v>9.5520999999999994</v>
      </c>
      <c r="H304" s="4">
        <f>10.4213 * CHOOSE(CONTROL!$C$15, $D$11, 100%, $F$11)</f>
        <v>10.4213</v>
      </c>
      <c r="I304" s="8">
        <f>9.5315 * CHOOSE(CONTROL!$C$15, $D$11, 100%, $F$11)</f>
        <v>9.5314999999999994</v>
      </c>
      <c r="J304" s="4">
        <f>9.3617 * CHOOSE(CONTROL!$C$15, $D$11, 100%, $F$11)</f>
        <v>9.3617000000000008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10.0666 * CHOOSE(CONTROL!$C$15, $D$11, 100%, $F$11)</f>
        <v>10.066599999999999</v>
      </c>
      <c r="C305" s="8">
        <f>10.0718 * CHOOSE(CONTROL!$C$15, $D$11, 100%, $F$11)</f>
        <v>10.0718</v>
      </c>
      <c r="D305" s="8">
        <f>10.0519 * CHOOSE( CONTROL!$C$15, $D$11, 100%, $F$11)</f>
        <v>10.0519</v>
      </c>
      <c r="E305" s="12">
        <f>10.0586 * CHOOSE( CONTROL!$C$15, $D$11, 100%, $F$11)</f>
        <v>10.0586</v>
      </c>
      <c r="F305" s="4">
        <f>10.7171 * CHOOSE(CONTROL!$C$15, $D$11, 100%, $F$11)</f>
        <v>10.7171</v>
      </c>
      <c r="G305" s="8">
        <f>9.8161 * CHOOSE( CONTROL!$C$15, $D$11, 100%, $F$11)</f>
        <v>9.8161000000000005</v>
      </c>
      <c r="H305" s="4">
        <f>10.7022 * CHOOSE(CONTROL!$C$15, $D$11, 100%, $F$11)</f>
        <v>10.702199999999999</v>
      </c>
      <c r="I305" s="8">
        <f>9.7643 * CHOOSE(CONTROL!$C$15, $D$11, 100%, $F$11)</f>
        <v>9.7643000000000004</v>
      </c>
      <c r="J305" s="4">
        <f>9.6378 * CHOOSE(CONTROL!$C$15, $D$11, 100%, $F$11)</f>
        <v>9.6378000000000004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9.4177 * CHOOSE(CONTROL!$C$15, $D$11, 100%, $F$11)</f>
        <v>9.4177</v>
      </c>
      <c r="C306" s="8">
        <f>9.4229 * CHOOSE(CONTROL!$C$15, $D$11, 100%, $F$11)</f>
        <v>9.4229000000000003</v>
      </c>
      <c r="D306" s="8">
        <f>9.4029 * CHOOSE( CONTROL!$C$15, $D$11, 100%, $F$11)</f>
        <v>9.4029000000000007</v>
      </c>
      <c r="E306" s="12">
        <f>9.4097 * CHOOSE( CONTROL!$C$15, $D$11, 100%, $F$11)</f>
        <v>9.4097000000000008</v>
      </c>
      <c r="F306" s="4">
        <f>10.0681 * CHOOSE(CONTROL!$C$15, $D$11, 100%, $F$11)</f>
        <v>10.068099999999999</v>
      </c>
      <c r="G306" s="8">
        <f>9.1823 * CHOOSE( CONTROL!$C$15, $D$11, 100%, $F$11)</f>
        <v>9.1822999999999997</v>
      </c>
      <c r="H306" s="4">
        <f>10.0684 * CHOOSE(CONTROL!$C$15, $D$11, 100%, $F$11)</f>
        <v>10.0684</v>
      </c>
      <c r="I306" s="8">
        <f>9.1408 * CHOOSE(CONTROL!$C$15, $D$11, 100%, $F$11)</f>
        <v>9.1408000000000005</v>
      </c>
      <c r="J306" s="4">
        <f>9.0147 * CHOOSE(CONTROL!$C$15, $D$11, 100%, $F$11)</f>
        <v>9.0146999999999995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9.2178 * CHOOSE(CONTROL!$C$15, $D$11, 100%, $F$11)</f>
        <v>9.2178000000000004</v>
      </c>
      <c r="C307" s="8">
        <f>9.223 * CHOOSE(CONTROL!$C$15, $D$11, 100%, $F$11)</f>
        <v>9.2230000000000008</v>
      </c>
      <c r="D307" s="8">
        <f>9.2027 * CHOOSE( CONTROL!$C$15, $D$11, 100%, $F$11)</f>
        <v>9.2027000000000001</v>
      </c>
      <c r="E307" s="12">
        <f>9.2096 * CHOOSE( CONTROL!$C$15, $D$11, 100%, $F$11)</f>
        <v>9.2096</v>
      </c>
      <c r="F307" s="4">
        <f>9.8683 * CHOOSE(CONTROL!$C$15, $D$11, 100%, $F$11)</f>
        <v>9.8682999999999996</v>
      </c>
      <c r="G307" s="8">
        <f>8.9868 * CHOOSE( CONTROL!$C$15, $D$11, 100%, $F$11)</f>
        <v>8.9868000000000006</v>
      </c>
      <c r="H307" s="4">
        <f>9.8731 * CHOOSE(CONTROL!$C$15, $D$11, 100%, $F$11)</f>
        <v>9.8731000000000009</v>
      </c>
      <c r="I307" s="8">
        <f>8.9477 * CHOOSE(CONTROL!$C$15, $D$11, 100%, $F$11)</f>
        <v>8.9476999999999993</v>
      </c>
      <c r="J307" s="4">
        <f>8.8228 * CHOOSE(CONTROL!$C$15, $D$11, 100%, $F$11)</f>
        <v>8.8228000000000009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9.3582 * CHOOSE(CONTROL!$C$15, $D$11, 100%, $F$11)</f>
        <v>9.3582000000000001</v>
      </c>
      <c r="C308" s="8">
        <f>9.3629 * CHOOSE(CONTROL!$C$15, $D$11, 100%, $F$11)</f>
        <v>9.3628999999999998</v>
      </c>
      <c r="D308" s="8">
        <f>9.3937 * CHOOSE( CONTROL!$C$15, $D$11, 100%, $F$11)</f>
        <v>9.3937000000000008</v>
      </c>
      <c r="E308" s="12">
        <f>9.383 * CHOOSE( CONTROL!$C$15, $D$11, 100%, $F$11)</f>
        <v>9.3829999999999991</v>
      </c>
      <c r="F308" s="4">
        <f>10.073 * CHOOSE(CONTROL!$C$15, $D$11, 100%, $F$11)</f>
        <v>10.073</v>
      </c>
      <c r="G308" s="8">
        <f>9.1252 * CHOOSE( CONTROL!$C$15, $D$11, 100%, $F$11)</f>
        <v>9.1251999999999995</v>
      </c>
      <c r="H308" s="4">
        <f>10.0731 * CHOOSE(CONTROL!$C$15, $D$11, 100%, $F$11)</f>
        <v>10.0731</v>
      </c>
      <c r="I308" s="8">
        <f>9.0752 * CHOOSE(CONTROL!$C$15, $D$11, 100%, $F$11)</f>
        <v>9.0752000000000006</v>
      </c>
      <c r="J308" s="4">
        <f>8.9569 * CHOOSE(CONTROL!$C$15, $D$11, 100%, $F$11)</f>
        <v>8.9568999999999992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9.6116, 9.6082) * CHOOSE(CONTROL!$C$15, $D$11, 100%, $F$11)</f>
        <v>9.6115999999999993</v>
      </c>
      <c r="C309" s="8">
        <f>CHOOSE( CONTROL!$C$32, 9.6197, 9.6163) * CHOOSE(CONTROL!$C$15, $D$11, 100%, $F$11)</f>
        <v>9.6196999999999999</v>
      </c>
      <c r="D309" s="8">
        <f>CHOOSE( CONTROL!$C$32, 9.6453, 9.6419) * CHOOSE( CONTROL!$C$15, $D$11, 100%, $F$11)</f>
        <v>9.6453000000000007</v>
      </c>
      <c r="E309" s="12">
        <f>CHOOSE( CONTROL!$C$32, 9.6348, 9.6314) * CHOOSE( CONTROL!$C$15, $D$11, 100%, $F$11)</f>
        <v>9.6348000000000003</v>
      </c>
      <c r="F309" s="4">
        <f>CHOOSE( CONTROL!$C$32, 10.325, 10.3216) * CHOOSE(CONTROL!$C$15, $D$11, 100%, $F$11)</f>
        <v>10.324999999999999</v>
      </c>
      <c r="G309" s="8">
        <f>CHOOSE( CONTROL!$C$32, 9.3721, 9.3688) * CHOOSE( CONTROL!$C$15, $D$11, 100%, $F$11)</f>
        <v>9.3720999999999997</v>
      </c>
      <c r="H309" s="4">
        <f>CHOOSE( CONTROL!$C$32, 10.3192, 10.3159) * CHOOSE(CONTROL!$C$15, $D$11, 100%, $F$11)</f>
        <v>10.3192</v>
      </c>
      <c r="I309" s="8">
        <f>CHOOSE( CONTROL!$C$32, 9.3174, 9.3141) * CHOOSE(CONTROL!$C$15, $D$11, 100%, $F$11)</f>
        <v>9.3173999999999992</v>
      </c>
      <c r="J309" s="4">
        <f>CHOOSE( CONTROL!$C$32, 9.1989, 9.1956) * CHOOSE(CONTROL!$C$15, $D$11, 100%, $F$11)</f>
        <v>9.1989000000000001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9.4576, 9.4542) * CHOOSE(CONTROL!$C$15, $D$11, 100%, $F$11)</f>
        <v>9.4575999999999993</v>
      </c>
      <c r="C310" s="8">
        <f>CHOOSE( CONTROL!$C$32, 9.4657, 9.4623) * CHOOSE(CONTROL!$C$15, $D$11, 100%, $F$11)</f>
        <v>9.4657</v>
      </c>
      <c r="D310" s="8">
        <f>CHOOSE( CONTROL!$C$32, 9.4915, 9.4881) * CHOOSE( CONTROL!$C$15, $D$11, 100%, $F$11)</f>
        <v>9.4915000000000003</v>
      </c>
      <c r="E310" s="12">
        <f>CHOOSE( CONTROL!$C$32, 9.4809, 9.4775) * CHOOSE( CONTROL!$C$15, $D$11, 100%, $F$11)</f>
        <v>9.4809000000000001</v>
      </c>
      <c r="F310" s="4">
        <f>CHOOSE( CONTROL!$C$32, 10.171, 10.1676) * CHOOSE(CONTROL!$C$15, $D$11, 100%, $F$11)</f>
        <v>10.170999999999999</v>
      </c>
      <c r="G310" s="8">
        <f>CHOOSE( CONTROL!$C$32, 9.222, 9.2187) * CHOOSE( CONTROL!$C$15, $D$11, 100%, $F$11)</f>
        <v>9.2219999999999995</v>
      </c>
      <c r="H310" s="4">
        <f>CHOOSE( CONTROL!$C$32, 10.1688, 10.1655) * CHOOSE(CONTROL!$C$15, $D$11, 100%, $F$11)</f>
        <v>10.168799999999999</v>
      </c>
      <c r="I310" s="8">
        <f>CHOOSE( CONTROL!$C$32, 9.1704, 9.1672) * CHOOSE(CONTROL!$C$15, $D$11, 100%, $F$11)</f>
        <v>9.1704000000000008</v>
      </c>
      <c r="J310" s="4">
        <f>CHOOSE( CONTROL!$C$32, 9.051, 9.0477) * CHOOSE(CONTROL!$C$15, $D$11, 100%, $F$11)</f>
        <v>9.0510000000000002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9.8631, 9.8597) * CHOOSE(CONTROL!$C$15, $D$11, 100%, $F$11)</f>
        <v>9.8630999999999993</v>
      </c>
      <c r="C311" s="8">
        <f>CHOOSE( CONTROL!$C$32, 9.8712, 9.8678) * CHOOSE(CONTROL!$C$15, $D$11, 100%, $F$11)</f>
        <v>9.8712</v>
      </c>
      <c r="D311" s="8">
        <f>CHOOSE( CONTROL!$C$32, 9.8972, 9.8938) * CHOOSE( CONTROL!$C$15, $D$11, 100%, $F$11)</f>
        <v>9.8971999999999998</v>
      </c>
      <c r="E311" s="12">
        <f>CHOOSE( CONTROL!$C$32, 9.8865, 9.8831) * CHOOSE( CONTROL!$C$15, $D$11, 100%, $F$11)</f>
        <v>9.8864999999999998</v>
      </c>
      <c r="F311" s="4">
        <f>CHOOSE( CONTROL!$C$32, 10.5765, 10.5731) * CHOOSE(CONTROL!$C$15, $D$11, 100%, $F$11)</f>
        <v>10.576499999999999</v>
      </c>
      <c r="G311" s="8">
        <f>CHOOSE( CONTROL!$C$32, 9.6184, 9.6151) * CHOOSE( CONTROL!$C$15, $D$11, 100%, $F$11)</f>
        <v>9.6183999999999994</v>
      </c>
      <c r="H311" s="4">
        <f>CHOOSE( CONTROL!$C$32, 10.5649, 10.5616) * CHOOSE(CONTROL!$C$15, $D$11, 100%, $F$11)</f>
        <v>10.5649</v>
      </c>
      <c r="I311" s="8">
        <f>CHOOSE( CONTROL!$C$32, 9.561, 9.5578) * CHOOSE(CONTROL!$C$15, $D$11, 100%, $F$11)</f>
        <v>9.5609999999999999</v>
      </c>
      <c r="J311" s="4">
        <f>CHOOSE( CONTROL!$C$32, 9.4403, 9.4371) * CHOOSE(CONTROL!$C$15, $D$11, 100%, $F$11)</f>
        <v>9.4403000000000006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9.1044, 9.101) * CHOOSE(CONTROL!$C$15, $D$11, 100%, $F$11)</f>
        <v>9.1044</v>
      </c>
      <c r="C312" s="8">
        <f>CHOOSE( CONTROL!$C$32, 9.1124, 9.109) * CHOOSE(CONTROL!$C$15, $D$11, 100%, $F$11)</f>
        <v>9.1123999999999992</v>
      </c>
      <c r="D312" s="8">
        <f>CHOOSE( CONTROL!$C$32, 9.1386, 9.1352) * CHOOSE( CONTROL!$C$15, $D$11, 100%, $F$11)</f>
        <v>9.1386000000000003</v>
      </c>
      <c r="E312" s="12">
        <f>CHOOSE( CONTROL!$C$32, 9.1279, 9.1245) * CHOOSE( CONTROL!$C$15, $D$11, 100%, $F$11)</f>
        <v>9.1279000000000003</v>
      </c>
      <c r="F312" s="4">
        <f>CHOOSE( CONTROL!$C$32, 9.8178, 9.8144) * CHOOSE(CONTROL!$C$15, $D$11, 100%, $F$11)</f>
        <v>9.8178000000000001</v>
      </c>
      <c r="G312" s="8">
        <f>CHOOSE( CONTROL!$C$32, 8.8775, 8.8741) * CHOOSE( CONTROL!$C$15, $D$11, 100%, $F$11)</f>
        <v>8.8774999999999995</v>
      </c>
      <c r="H312" s="4">
        <f>CHOOSE( CONTROL!$C$32, 9.8238, 9.8205) * CHOOSE(CONTROL!$C$15, $D$11, 100%, $F$11)</f>
        <v>9.8238000000000003</v>
      </c>
      <c r="I312" s="8">
        <f>CHOOSE( CONTROL!$C$32, 8.8326, 8.8294) * CHOOSE(CONTROL!$C$15, $D$11, 100%, $F$11)</f>
        <v>8.8325999999999993</v>
      </c>
      <c r="J312" s="4">
        <f>CHOOSE( CONTROL!$C$32, 8.7119, 8.7086) * CHOOSE(CONTROL!$C$15, $D$11, 100%, $F$11)</f>
        <v>8.7119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8.9144, 8.911) * CHOOSE(CONTROL!$C$15, $D$11, 100%, $F$11)</f>
        <v>8.9144000000000005</v>
      </c>
      <c r="C313" s="8">
        <f>CHOOSE( CONTROL!$C$32, 8.9224, 8.919) * CHOOSE(CONTROL!$C$15, $D$11, 100%, $F$11)</f>
        <v>8.9223999999999997</v>
      </c>
      <c r="D313" s="8">
        <f>CHOOSE( CONTROL!$C$32, 8.9485, 8.9451) * CHOOSE( CONTROL!$C$15, $D$11, 100%, $F$11)</f>
        <v>8.9484999999999992</v>
      </c>
      <c r="E313" s="12">
        <f>CHOOSE( CONTROL!$C$32, 8.9378, 8.9344) * CHOOSE( CONTROL!$C$15, $D$11, 100%, $F$11)</f>
        <v>8.9377999999999993</v>
      </c>
      <c r="F313" s="4">
        <f>CHOOSE( CONTROL!$C$32, 9.6278, 9.6244) * CHOOSE(CONTROL!$C$15, $D$11, 100%, $F$11)</f>
        <v>9.6278000000000006</v>
      </c>
      <c r="G313" s="8">
        <f>CHOOSE( CONTROL!$C$32, 8.6918, 8.6885) * CHOOSE( CONTROL!$C$15, $D$11, 100%, $F$11)</f>
        <v>8.6918000000000006</v>
      </c>
      <c r="H313" s="4">
        <f>CHOOSE( CONTROL!$C$32, 9.6383, 9.6349) * CHOOSE(CONTROL!$C$15, $D$11, 100%, $F$11)</f>
        <v>9.6382999999999992</v>
      </c>
      <c r="I313" s="8">
        <f>CHOOSE( CONTROL!$C$32, 8.65, 8.6467) * CHOOSE(CONTROL!$C$15, $D$11, 100%, $F$11)</f>
        <v>8.65</v>
      </c>
      <c r="J313" s="4">
        <f>CHOOSE( CONTROL!$C$32, 8.5295, 8.5262) * CHOOSE(CONTROL!$C$15, $D$11, 100%, $F$11)</f>
        <v>8.5295000000000005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9.3037 * CHOOSE(CONTROL!$C$15, $D$11, 100%, $F$11)</f>
        <v>9.3036999999999992</v>
      </c>
      <c r="C314" s="8">
        <f>9.3092 * CHOOSE(CONTROL!$C$15, $D$11, 100%, $F$11)</f>
        <v>9.3092000000000006</v>
      </c>
      <c r="D314" s="8">
        <f>9.3403 * CHOOSE( CONTROL!$C$15, $D$11, 100%, $F$11)</f>
        <v>9.3402999999999992</v>
      </c>
      <c r="E314" s="12">
        <f>9.3294 * CHOOSE( CONTROL!$C$15, $D$11, 100%, $F$11)</f>
        <v>9.3293999999999997</v>
      </c>
      <c r="F314" s="4">
        <f>10.0189 * CHOOSE(CONTROL!$C$15, $D$11, 100%, $F$11)</f>
        <v>10.0189</v>
      </c>
      <c r="G314" s="8">
        <f>9.0734 * CHOOSE( CONTROL!$C$15, $D$11, 100%, $F$11)</f>
        <v>9.0733999999999995</v>
      </c>
      <c r="H314" s="4">
        <f>10.0202 * CHOOSE(CONTROL!$C$15, $D$11, 100%, $F$11)</f>
        <v>10.020200000000001</v>
      </c>
      <c r="I314" s="8">
        <f>9.0265 * CHOOSE(CONTROL!$C$15, $D$11, 100%, $F$11)</f>
        <v>9.0265000000000004</v>
      </c>
      <c r="J314" s="4">
        <f>8.9049 * CHOOSE(CONTROL!$C$15, $D$11, 100%, $F$11)</f>
        <v>8.9048999999999996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10.0315 * CHOOSE(CONTROL!$C$15, $D$11, 100%, $F$11)</f>
        <v>10.031499999999999</v>
      </c>
      <c r="C315" s="8">
        <f>10.0367 * CHOOSE(CONTROL!$C$15, $D$11, 100%, $F$11)</f>
        <v>10.0367</v>
      </c>
      <c r="D315" s="8">
        <f>10.0295 * CHOOSE( CONTROL!$C$15, $D$11, 100%, $F$11)</f>
        <v>10.029500000000001</v>
      </c>
      <c r="E315" s="12">
        <f>10.0316 * CHOOSE( CONTROL!$C$15, $D$11, 100%, $F$11)</f>
        <v>10.031599999999999</v>
      </c>
      <c r="F315" s="4">
        <f>10.682 * CHOOSE(CONTROL!$C$15, $D$11, 100%, $F$11)</f>
        <v>10.682</v>
      </c>
      <c r="G315" s="8">
        <f>9.7976 * CHOOSE( CONTROL!$C$15, $D$11, 100%, $F$11)</f>
        <v>9.7975999999999992</v>
      </c>
      <c r="H315" s="4">
        <f>10.6679 * CHOOSE(CONTROL!$C$15, $D$11, 100%, $F$11)</f>
        <v>10.667899999999999</v>
      </c>
      <c r="I315" s="8">
        <f>9.7694 * CHOOSE(CONTROL!$C$15, $D$11, 100%, $F$11)</f>
        <v>9.7693999999999992</v>
      </c>
      <c r="J315" s="4">
        <f>9.6041 * CHOOSE(CONTROL!$C$15, $D$11, 100%, $F$11)</f>
        <v>9.6041000000000007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10.0133 * CHOOSE(CONTROL!$C$15, $D$11, 100%, $F$11)</f>
        <v>10.013299999999999</v>
      </c>
      <c r="C316" s="8">
        <f>10.0185 * CHOOSE(CONTROL!$C$15, $D$11, 100%, $F$11)</f>
        <v>10.0185</v>
      </c>
      <c r="D316" s="8">
        <f>10.0128 * CHOOSE( CONTROL!$C$15, $D$11, 100%, $F$11)</f>
        <v>10.0128</v>
      </c>
      <c r="E316" s="12">
        <f>10.0143 * CHOOSE( CONTROL!$C$15, $D$11, 100%, $F$11)</f>
        <v>10.0143</v>
      </c>
      <c r="F316" s="4">
        <f>10.6638 * CHOOSE(CONTROL!$C$15, $D$11, 100%, $F$11)</f>
        <v>10.6638</v>
      </c>
      <c r="G316" s="8">
        <f>9.7809 * CHOOSE( CONTROL!$C$15, $D$11, 100%, $F$11)</f>
        <v>9.7809000000000008</v>
      </c>
      <c r="H316" s="4">
        <f>10.6501 * CHOOSE(CONTROL!$C$15, $D$11, 100%, $F$11)</f>
        <v>10.6501</v>
      </c>
      <c r="I316" s="8">
        <f>9.7566 * CHOOSE(CONTROL!$C$15, $D$11, 100%, $F$11)</f>
        <v>9.7566000000000006</v>
      </c>
      <c r="J316" s="4">
        <f>9.5866 * CHOOSE(CONTROL!$C$15, $D$11, 100%, $F$11)</f>
        <v>9.5866000000000007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10.3078 * CHOOSE(CONTROL!$C$15, $D$11, 100%, $F$11)</f>
        <v>10.3078</v>
      </c>
      <c r="C317" s="8">
        <f>10.313 * CHOOSE(CONTROL!$C$15, $D$11, 100%, $F$11)</f>
        <v>10.313000000000001</v>
      </c>
      <c r="D317" s="8">
        <f>10.2931 * CHOOSE( CONTROL!$C$15, $D$11, 100%, $F$11)</f>
        <v>10.293100000000001</v>
      </c>
      <c r="E317" s="12">
        <f>10.2998 * CHOOSE( CONTROL!$C$15, $D$11, 100%, $F$11)</f>
        <v>10.299799999999999</v>
      </c>
      <c r="F317" s="4">
        <f>10.9583 * CHOOSE(CONTROL!$C$15, $D$11, 100%, $F$11)</f>
        <v>10.958299999999999</v>
      </c>
      <c r="G317" s="8">
        <f>10.0517 * CHOOSE( CONTROL!$C$15, $D$11, 100%, $F$11)</f>
        <v>10.0517</v>
      </c>
      <c r="H317" s="4">
        <f>10.9378 * CHOOSE(CONTROL!$C$15, $D$11, 100%, $F$11)</f>
        <v>10.937799999999999</v>
      </c>
      <c r="I317" s="8">
        <f>9.9959 * CHOOSE(CONTROL!$C$15, $D$11, 100%, $F$11)</f>
        <v>9.9959000000000007</v>
      </c>
      <c r="J317" s="4">
        <f>9.8694 * CHOOSE(CONTROL!$C$15, $D$11, 100%, $F$11)</f>
        <v>9.8694000000000006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9.6433 * CHOOSE(CONTROL!$C$15, $D$11, 100%, $F$11)</f>
        <v>9.6433</v>
      </c>
      <c r="C318" s="8">
        <f>9.6485 * CHOOSE(CONTROL!$C$15, $D$11, 100%, $F$11)</f>
        <v>9.6485000000000003</v>
      </c>
      <c r="D318" s="8">
        <f>9.6285 * CHOOSE( CONTROL!$C$15, $D$11, 100%, $F$11)</f>
        <v>9.6285000000000007</v>
      </c>
      <c r="E318" s="12">
        <f>9.6353 * CHOOSE( CONTROL!$C$15, $D$11, 100%, $F$11)</f>
        <v>9.6353000000000009</v>
      </c>
      <c r="F318" s="4">
        <f>10.2937 * CHOOSE(CONTROL!$C$15, $D$11, 100%, $F$11)</f>
        <v>10.293699999999999</v>
      </c>
      <c r="G318" s="8">
        <f>9.4026 * CHOOSE( CONTROL!$C$15, $D$11, 100%, $F$11)</f>
        <v>9.4025999999999996</v>
      </c>
      <c r="H318" s="4">
        <f>10.2887 * CHOOSE(CONTROL!$C$15, $D$11, 100%, $F$11)</f>
        <v>10.2887</v>
      </c>
      <c r="I318" s="8">
        <f>9.3575 * CHOOSE(CONTROL!$C$15, $D$11, 100%, $F$11)</f>
        <v>9.3574999999999999</v>
      </c>
      <c r="J318" s="4">
        <f>9.2313 * CHOOSE(CONTROL!$C$15, $D$11, 100%, $F$11)</f>
        <v>9.2312999999999992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9.4386 * CHOOSE(CONTROL!$C$15, $D$11, 100%, $F$11)</f>
        <v>9.4385999999999992</v>
      </c>
      <c r="C319" s="8">
        <f>9.4438 * CHOOSE(CONTROL!$C$15, $D$11, 100%, $F$11)</f>
        <v>9.4437999999999995</v>
      </c>
      <c r="D319" s="8">
        <f>9.4235 * CHOOSE( CONTROL!$C$15, $D$11, 100%, $F$11)</f>
        <v>9.4235000000000007</v>
      </c>
      <c r="E319" s="12">
        <f>9.4304 * CHOOSE( CONTROL!$C$15, $D$11, 100%, $F$11)</f>
        <v>9.4304000000000006</v>
      </c>
      <c r="F319" s="4">
        <f>10.0891 * CHOOSE(CONTROL!$C$15, $D$11, 100%, $F$11)</f>
        <v>10.0891</v>
      </c>
      <c r="G319" s="8">
        <f>9.2025 * CHOOSE( CONTROL!$C$15, $D$11, 100%, $F$11)</f>
        <v>9.2025000000000006</v>
      </c>
      <c r="H319" s="4">
        <f>10.0888 * CHOOSE(CONTROL!$C$15, $D$11, 100%, $F$11)</f>
        <v>10.088800000000001</v>
      </c>
      <c r="I319" s="8">
        <f>9.1598 * CHOOSE(CONTROL!$C$15, $D$11, 100%, $F$11)</f>
        <v>9.1598000000000006</v>
      </c>
      <c r="J319" s="4">
        <f>9.0348 * CHOOSE(CONTROL!$C$15, $D$11, 100%, $F$11)</f>
        <v>9.0348000000000006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9.5824 * CHOOSE(CONTROL!$C$15, $D$11, 100%, $F$11)</f>
        <v>9.5823999999999998</v>
      </c>
      <c r="C320" s="8">
        <f>9.587 * CHOOSE(CONTROL!$C$15, $D$11, 100%, $F$11)</f>
        <v>9.5869999999999997</v>
      </c>
      <c r="D320" s="8">
        <f>9.6179 * CHOOSE( CONTROL!$C$15, $D$11, 100%, $F$11)</f>
        <v>9.6179000000000006</v>
      </c>
      <c r="E320" s="12">
        <f>9.6072 * CHOOSE( CONTROL!$C$15, $D$11, 100%, $F$11)</f>
        <v>9.6072000000000006</v>
      </c>
      <c r="F320" s="4">
        <f>10.2972 * CHOOSE(CONTROL!$C$15, $D$11, 100%, $F$11)</f>
        <v>10.2972</v>
      </c>
      <c r="G320" s="8">
        <f>9.3442 * CHOOSE( CONTROL!$C$15, $D$11, 100%, $F$11)</f>
        <v>9.3442000000000007</v>
      </c>
      <c r="H320" s="4">
        <f>10.2921 * CHOOSE(CONTROL!$C$15, $D$11, 100%, $F$11)</f>
        <v>10.2921</v>
      </c>
      <c r="I320" s="8">
        <f>9.2905 * CHOOSE(CONTROL!$C$15, $D$11, 100%, $F$11)</f>
        <v>9.2904999999999998</v>
      </c>
      <c r="J320" s="4">
        <f>9.1721 * CHOOSE(CONTROL!$C$15, $D$11, 100%, $F$11)</f>
        <v>9.1721000000000004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9.8417, 9.8383) * CHOOSE(CONTROL!$C$15, $D$11, 100%, $F$11)</f>
        <v>9.8416999999999994</v>
      </c>
      <c r="C321" s="8">
        <f>CHOOSE( CONTROL!$C$32, 9.8498, 9.8464) * CHOOSE(CONTROL!$C$15, $D$11, 100%, $F$11)</f>
        <v>9.8498000000000001</v>
      </c>
      <c r="D321" s="8">
        <f>CHOOSE( CONTROL!$C$32, 9.8754, 9.872) * CHOOSE( CONTROL!$C$15, $D$11, 100%, $F$11)</f>
        <v>9.8754000000000008</v>
      </c>
      <c r="E321" s="12">
        <f>CHOOSE( CONTROL!$C$32, 9.8649, 9.8615) * CHOOSE( CONTROL!$C$15, $D$11, 100%, $F$11)</f>
        <v>9.8649000000000004</v>
      </c>
      <c r="F321" s="4">
        <f>CHOOSE( CONTROL!$C$32, 10.5551, 10.5517) * CHOOSE(CONTROL!$C$15, $D$11, 100%, $F$11)</f>
        <v>10.555099999999999</v>
      </c>
      <c r="G321" s="8">
        <f>CHOOSE( CONTROL!$C$32, 9.5969, 9.5935) * CHOOSE( CONTROL!$C$15, $D$11, 100%, $F$11)</f>
        <v>9.5968999999999998</v>
      </c>
      <c r="H321" s="4">
        <f>CHOOSE( CONTROL!$C$32, 10.544, 10.5407) * CHOOSE(CONTROL!$C$15, $D$11, 100%, $F$11)</f>
        <v>10.544</v>
      </c>
      <c r="I321" s="8">
        <f>CHOOSE( CONTROL!$C$32, 9.5385, 9.5352) * CHOOSE(CONTROL!$C$15, $D$11, 100%, $F$11)</f>
        <v>9.5385000000000009</v>
      </c>
      <c r="J321" s="4">
        <f>CHOOSE( CONTROL!$C$32, 9.4198, 9.4165) * CHOOSE(CONTROL!$C$15, $D$11, 100%, $F$11)</f>
        <v>9.4198000000000004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9.684, 9.6806) * CHOOSE(CONTROL!$C$15, $D$11, 100%, $F$11)</f>
        <v>9.6839999999999993</v>
      </c>
      <c r="C322" s="8">
        <f>CHOOSE( CONTROL!$C$32, 9.6921, 9.6887) * CHOOSE(CONTROL!$C$15, $D$11, 100%, $F$11)</f>
        <v>9.6920999999999999</v>
      </c>
      <c r="D322" s="8">
        <f>CHOOSE( CONTROL!$C$32, 9.7179, 9.7145) * CHOOSE( CONTROL!$C$15, $D$11, 100%, $F$11)</f>
        <v>9.7179000000000002</v>
      </c>
      <c r="E322" s="12">
        <f>CHOOSE( CONTROL!$C$32, 9.7073, 9.7039) * CHOOSE( CONTROL!$C$15, $D$11, 100%, $F$11)</f>
        <v>9.7073</v>
      </c>
      <c r="F322" s="4">
        <f>CHOOSE( CONTROL!$C$32, 10.3975, 10.3941) * CHOOSE(CONTROL!$C$15, $D$11, 100%, $F$11)</f>
        <v>10.397500000000001</v>
      </c>
      <c r="G322" s="8">
        <f>CHOOSE( CONTROL!$C$32, 9.4431, 9.4398) * CHOOSE( CONTROL!$C$15, $D$11, 100%, $F$11)</f>
        <v>9.4430999999999994</v>
      </c>
      <c r="H322" s="4">
        <f>CHOOSE( CONTROL!$C$32, 10.39, 10.3867) * CHOOSE(CONTROL!$C$15, $D$11, 100%, $F$11)</f>
        <v>10.39</v>
      </c>
      <c r="I322" s="8">
        <f>CHOOSE( CONTROL!$C$32, 9.3879, 9.3847) * CHOOSE(CONTROL!$C$15, $D$11, 100%, $F$11)</f>
        <v>9.3879000000000001</v>
      </c>
      <c r="J322" s="4">
        <f>CHOOSE( CONTROL!$C$32, 9.2684, 9.2651) * CHOOSE(CONTROL!$C$15, $D$11, 100%, $F$11)</f>
        <v>9.2683999999999997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10.0993, 10.0959) * CHOOSE(CONTROL!$C$15, $D$11, 100%, $F$11)</f>
        <v>10.099299999999999</v>
      </c>
      <c r="C323" s="8">
        <f>CHOOSE( CONTROL!$C$32, 10.1074, 10.104) * CHOOSE(CONTROL!$C$15, $D$11, 100%, $F$11)</f>
        <v>10.1074</v>
      </c>
      <c r="D323" s="8">
        <f>CHOOSE( CONTROL!$C$32, 10.1334, 10.13) * CHOOSE( CONTROL!$C$15, $D$11, 100%, $F$11)</f>
        <v>10.1334</v>
      </c>
      <c r="E323" s="12">
        <f>CHOOSE( CONTROL!$C$32, 10.1227, 10.1193) * CHOOSE( CONTROL!$C$15, $D$11, 100%, $F$11)</f>
        <v>10.1227</v>
      </c>
      <c r="F323" s="4">
        <f>CHOOSE( CONTROL!$C$32, 10.8127, 10.8093) * CHOOSE(CONTROL!$C$15, $D$11, 100%, $F$11)</f>
        <v>10.8127</v>
      </c>
      <c r="G323" s="8">
        <f>CHOOSE( CONTROL!$C$32, 9.8491, 9.8457) * CHOOSE( CONTROL!$C$15, $D$11, 100%, $F$11)</f>
        <v>9.8491</v>
      </c>
      <c r="H323" s="4">
        <f>CHOOSE( CONTROL!$C$32, 10.7956, 10.7923) * CHOOSE(CONTROL!$C$15, $D$11, 100%, $F$11)</f>
        <v>10.7956</v>
      </c>
      <c r="I323" s="8">
        <f>CHOOSE( CONTROL!$C$32, 9.7879, 9.7846) * CHOOSE(CONTROL!$C$15, $D$11, 100%, $F$11)</f>
        <v>9.7879000000000005</v>
      </c>
      <c r="J323" s="4">
        <f>CHOOSE( CONTROL!$C$32, 9.6671, 9.6638) * CHOOSE(CONTROL!$C$15, $D$11, 100%, $F$11)</f>
        <v>9.6670999999999996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9.3223, 9.3189) * CHOOSE(CONTROL!$C$15, $D$11, 100%, $F$11)</f>
        <v>9.3223000000000003</v>
      </c>
      <c r="C324" s="8">
        <f>CHOOSE( CONTROL!$C$32, 9.3304, 9.327) * CHOOSE(CONTROL!$C$15, $D$11, 100%, $F$11)</f>
        <v>9.3303999999999991</v>
      </c>
      <c r="D324" s="8">
        <f>CHOOSE( CONTROL!$C$32, 9.3565, 9.3531) * CHOOSE( CONTROL!$C$15, $D$11, 100%, $F$11)</f>
        <v>9.3565000000000005</v>
      </c>
      <c r="E324" s="12">
        <f>CHOOSE( CONTROL!$C$32, 9.3458, 9.3424) * CHOOSE( CONTROL!$C$15, $D$11, 100%, $F$11)</f>
        <v>9.3458000000000006</v>
      </c>
      <c r="F324" s="4">
        <f>CHOOSE( CONTROL!$C$32, 10.0357, 10.0323) * CHOOSE(CONTROL!$C$15, $D$11, 100%, $F$11)</f>
        <v>10.0357</v>
      </c>
      <c r="G324" s="8">
        <f>CHOOSE( CONTROL!$C$32, 9.0903, 9.087) * CHOOSE( CONTROL!$C$15, $D$11, 100%, $F$11)</f>
        <v>9.0902999999999992</v>
      </c>
      <c r="H324" s="4">
        <f>CHOOSE( CONTROL!$C$32, 10.0367, 10.0334) * CHOOSE(CONTROL!$C$15, $D$11, 100%, $F$11)</f>
        <v>10.0367</v>
      </c>
      <c r="I324" s="8">
        <f>CHOOSE( CONTROL!$C$32, 9.042, 9.0387) * CHOOSE(CONTROL!$C$15, $D$11, 100%, $F$11)</f>
        <v>9.0419999999999998</v>
      </c>
      <c r="J324" s="4">
        <f>CHOOSE( CONTROL!$C$32, 8.9211, 8.9178) * CHOOSE(CONTROL!$C$15, $D$11, 100%, $F$11)</f>
        <v>8.9210999999999991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9.1277, 9.1243) * CHOOSE(CONTROL!$C$15, $D$11, 100%, $F$11)</f>
        <v>9.1277000000000008</v>
      </c>
      <c r="C325" s="8">
        <f>CHOOSE( CONTROL!$C$32, 9.1358, 9.1324) * CHOOSE(CONTROL!$C$15, $D$11, 100%, $F$11)</f>
        <v>9.1357999999999997</v>
      </c>
      <c r="D325" s="8">
        <f>CHOOSE( CONTROL!$C$32, 9.1619, 9.1585) * CHOOSE( CONTROL!$C$15, $D$11, 100%, $F$11)</f>
        <v>9.1618999999999993</v>
      </c>
      <c r="E325" s="12">
        <f>CHOOSE( CONTROL!$C$32, 9.1512, 9.1478) * CHOOSE( CONTROL!$C$15, $D$11, 100%, $F$11)</f>
        <v>9.1511999999999993</v>
      </c>
      <c r="F325" s="4">
        <f>CHOOSE( CONTROL!$C$32, 9.8412, 9.8378) * CHOOSE(CONTROL!$C$15, $D$11, 100%, $F$11)</f>
        <v>9.8412000000000006</v>
      </c>
      <c r="G325" s="8">
        <f>CHOOSE( CONTROL!$C$32, 8.9002, 8.8969) * CHOOSE( CONTROL!$C$15, $D$11, 100%, $F$11)</f>
        <v>8.9001999999999999</v>
      </c>
      <c r="H325" s="4">
        <f>CHOOSE( CONTROL!$C$32, 9.8467, 9.8433) * CHOOSE(CONTROL!$C$15, $D$11, 100%, $F$11)</f>
        <v>9.8467000000000002</v>
      </c>
      <c r="I325" s="8">
        <f>CHOOSE( CONTROL!$C$32, 8.855, 8.8517) * CHOOSE(CONTROL!$C$15, $D$11, 100%, $F$11)</f>
        <v>8.8550000000000004</v>
      </c>
      <c r="J325" s="4">
        <f>CHOOSE( CONTROL!$C$32, 8.7343, 8.731) * CHOOSE(CONTROL!$C$15, $D$11, 100%, $F$11)</f>
        <v>8.7342999999999993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9.5266 * CHOOSE(CONTROL!$C$15, $D$11, 100%, $F$11)</f>
        <v>9.5266000000000002</v>
      </c>
      <c r="C326" s="8">
        <f>9.532 * CHOOSE(CONTROL!$C$15, $D$11, 100%, $F$11)</f>
        <v>9.532</v>
      </c>
      <c r="D326" s="8">
        <f>9.5631 * CHOOSE( CONTROL!$C$15, $D$11, 100%, $F$11)</f>
        <v>9.5631000000000004</v>
      </c>
      <c r="E326" s="12">
        <f>9.5523 * CHOOSE( CONTROL!$C$15, $D$11, 100%, $F$11)</f>
        <v>9.5523000000000007</v>
      </c>
      <c r="F326" s="4">
        <f>10.2417 * CHOOSE(CONTROL!$C$15, $D$11, 100%, $F$11)</f>
        <v>10.2417</v>
      </c>
      <c r="G326" s="8">
        <f>9.2911 * CHOOSE( CONTROL!$C$15, $D$11, 100%, $F$11)</f>
        <v>9.2911000000000001</v>
      </c>
      <c r="H326" s="4">
        <f>10.2379 * CHOOSE(CONTROL!$C$15, $D$11, 100%, $F$11)</f>
        <v>10.2379</v>
      </c>
      <c r="I326" s="8">
        <f>9.2406 * CHOOSE(CONTROL!$C$15, $D$11, 100%, $F$11)</f>
        <v>9.2406000000000006</v>
      </c>
      <c r="J326" s="4">
        <f>9.1189 * CHOOSE(CONTROL!$C$15, $D$11, 100%, $F$11)</f>
        <v>9.1189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10.2719 * CHOOSE(CONTROL!$C$15, $D$11, 100%, $F$11)</f>
        <v>10.2719</v>
      </c>
      <c r="C327" s="8">
        <f>10.277 * CHOOSE(CONTROL!$C$15, $D$11, 100%, $F$11)</f>
        <v>10.276999999999999</v>
      </c>
      <c r="D327" s="8">
        <f>10.2699 * CHOOSE( CONTROL!$C$15, $D$11, 100%, $F$11)</f>
        <v>10.2699</v>
      </c>
      <c r="E327" s="12">
        <f>10.272 * CHOOSE( CONTROL!$C$15, $D$11, 100%, $F$11)</f>
        <v>10.272</v>
      </c>
      <c r="F327" s="4">
        <f>10.9223 * CHOOSE(CONTROL!$C$15, $D$11, 100%, $F$11)</f>
        <v>10.9223</v>
      </c>
      <c r="G327" s="8">
        <f>10.0324 * CHOOSE( CONTROL!$C$15, $D$11, 100%, $F$11)</f>
        <v>10.032400000000001</v>
      </c>
      <c r="H327" s="4">
        <f>10.9026 * CHOOSE(CONTROL!$C$15, $D$11, 100%, $F$11)</f>
        <v>10.9026</v>
      </c>
      <c r="I327" s="8">
        <f>10.0003 * CHOOSE(CONTROL!$C$15, $D$11, 100%, $F$11)</f>
        <v>10.000299999999999</v>
      </c>
      <c r="J327" s="4">
        <f>9.8348 * CHOOSE(CONTROL!$C$15, $D$11, 100%, $F$11)</f>
        <v>9.8347999999999995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10.2532 * CHOOSE(CONTROL!$C$15, $D$11, 100%, $F$11)</f>
        <v>10.2532</v>
      </c>
      <c r="C328" s="8">
        <f>10.2584 * CHOOSE(CONTROL!$C$15, $D$11, 100%, $F$11)</f>
        <v>10.2584</v>
      </c>
      <c r="D328" s="8">
        <f>10.2527 * CHOOSE( CONTROL!$C$15, $D$11, 100%, $F$11)</f>
        <v>10.252700000000001</v>
      </c>
      <c r="E328" s="12">
        <f>10.2542 * CHOOSE( CONTROL!$C$15, $D$11, 100%, $F$11)</f>
        <v>10.254200000000001</v>
      </c>
      <c r="F328" s="4">
        <f>10.9037 * CHOOSE(CONTROL!$C$15, $D$11, 100%, $F$11)</f>
        <v>10.903700000000001</v>
      </c>
      <c r="G328" s="8">
        <f>10.0152 * CHOOSE( CONTROL!$C$15, $D$11, 100%, $F$11)</f>
        <v>10.0152</v>
      </c>
      <c r="H328" s="4">
        <f>10.8844 * CHOOSE(CONTROL!$C$15, $D$11, 100%, $F$11)</f>
        <v>10.884399999999999</v>
      </c>
      <c r="I328" s="8">
        <f>9.987 * CHOOSE(CONTROL!$C$15, $D$11, 100%, $F$11)</f>
        <v>9.9870000000000001</v>
      </c>
      <c r="J328" s="4">
        <f>9.8169 * CHOOSE(CONTROL!$C$15, $D$11, 100%, $F$11)</f>
        <v>9.8169000000000004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10.5548 * CHOOSE(CONTROL!$C$15, $D$11, 100%, $F$11)</f>
        <v>10.5548</v>
      </c>
      <c r="C329" s="8">
        <f>10.56 * CHOOSE(CONTROL!$C$15, $D$11, 100%, $F$11)</f>
        <v>10.56</v>
      </c>
      <c r="D329" s="8">
        <f>10.5401 * CHOOSE( CONTROL!$C$15, $D$11, 100%, $F$11)</f>
        <v>10.540100000000001</v>
      </c>
      <c r="E329" s="12">
        <f>10.5468 * CHOOSE( CONTROL!$C$15, $D$11, 100%, $F$11)</f>
        <v>10.546799999999999</v>
      </c>
      <c r="F329" s="4">
        <f>11.2053 * CHOOSE(CONTROL!$C$15, $D$11, 100%, $F$11)</f>
        <v>11.205299999999999</v>
      </c>
      <c r="G329" s="8">
        <f>10.293 * CHOOSE( CONTROL!$C$15, $D$11, 100%, $F$11)</f>
        <v>10.292999999999999</v>
      </c>
      <c r="H329" s="4">
        <f>11.179 * CHOOSE(CONTROL!$C$15, $D$11, 100%, $F$11)</f>
        <v>11.179</v>
      </c>
      <c r="I329" s="8">
        <f>10.2332 * CHOOSE(CONTROL!$C$15, $D$11, 100%, $F$11)</f>
        <v>10.2332</v>
      </c>
      <c r="J329" s="4">
        <f>10.1065 * CHOOSE(CONTROL!$C$15, $D$11, 100%, $F$11)</f>
        <v>10.1065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9.8743 * CHOOSE(CONTROL!$C$15, $D$11, 100%, $F$11)</f>
        <v>9.8742999999999999</v>
      </c>
      <c r="C330" s="8">
        <f>9.8795 * CHOOSE(CONTROL!$C$15, $D$11, 100%, $F$11)</f>
        <v>9.8795000000000002</v>
      </c>
      <c r="D330" s="8">
        <f>9.8596 * CHOOSE( CONTROL!$C$15, $D$11, 100%, $F$11)</f>
        <v>9.8596000000000004</v>
      </c>
      <c r="E330" s="12">
        <f>9.8663 * CHOOSE( CONTROL!$C$15, $D$11, 100%, $F$11)</f>
        <v>9.8663000000000007</v>
      </c>
      <c r="F330" s="4">
        <f>10.5248 * CHOOSE(CONTROL!$C$15, $D$11, 100%, $F$11)</f>
        <v>10.524800000000001</v>
      </c>
      <c r="G330" s="8">
        <f>9.6283 * CHOOSE( CONTROL!$C$15, $D$11, 100%, $F$11)</f>
        <v>9.6282999999999994</v>
      </c>
      <c r="H330" s="4">
        <f>10.5143 * CHOOSE(CONTROL!$C$15, $D$11, 100%, $F$11)</f>
        <v>10.5143</v>
      </c>
      <c r="I330" s="8">
        <f>9.5795 * CHOOSE(CONTROL!$C$15, $D$11, 100%, $F$11)</f>
        <v>9.5794999999999995</v>
      </c>
      <c r="J330" s="4">
        <f>9.4531 * CHOOSE(CONTROL!$C$15, $D$11, 100%, $F$11)</f>
        <v>9.4530999999999992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9.6647 * CHOOSE(CONTROL!$C$15, $D$11, 100%, $F$11)</f>
        <v>9.6646999999999998</v>
      </c>
      <c r="C331" s="8">
        <f>9.6699 * CHOOSE(CONTROL!$C$15, $D$11, 100%, $F$11)</f>
        <v>9.6699000000000002</v>
      </c>
      <c r="D331" s="8">
        <f>9.6496 * CHOOSE( CONTROL!$C$15, $D$11, 100%, $F$11)</f>
        <v>9.6495999999999995</v>
      </c>
      <c r="E331" s="12">
        <f>9.6565 * CHOOSE( CONTROL!$C$15, $D$11, 100%, $F$11)</f>
        <v>9.6564999999999994</v>
      </c>
      <c r="F331" s="4">
        <f>10.3152 * CHOOSE(CONTROL!$C$15, $D$11, 100%, $F$11)</f>
        <v>10.315200000000001</v>
      </c>
      <c r="G331" s="8">
        <f>9.4233 * CHOOSE( CONTROL!$C$15, $D$11, 100%, $F$11)</f>
        <v>9.4232999999999993</v>
      </c>
      <c r="H331" s="4">
        <f>10.3096 * CHOOSE(CONTROL!$C$15, $D$11, 100%, $F$11)</f>
        <v>10.3096</v>
      </c>
      <c r="I331" s="8">
        <f>9.377 * CHOOSE(CONTROL!$C$15, $D$11, 100%, $F$11)</f>
        <v>9.3770000000000007</v>
      </c>
      <c r="J331" s="4">
        <f>9.2519 * CHOOSE(CONTROL!$C$15, $D$11, 100%, $F$11)</f>
        <v>9.2518999999999991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9.8119 * CHOOSE(CONTROL!$C$15, $D$11, 100%, $F$11)</f>
        <v>9.8118999999999996</v>
      </c>
      <c r="C332" s="8">
        <f>9.8165 * CHOOSE(CONTROL!$C$15, $D$11, 100%, $F$11)</f>
        <v>9.8164999999999996</v>
      </c>
      <c r="D332" s="8">
        <f>9.8474 * CHOOSE( CONTROL!$C$15, $D$11, 100%, $F$11)</f>
        <v>9.8474000000000004</v>
      </c>
      <c r="E332" s="12">
        <f>9.8367 * CHOOSE( CONTROL!$C$15, $D$11, 100%, $F$11)</f>
        <v>9.8367000000000004</v>
      </c>
      <c r="F332" s="4">
        <f>10.5267 * CHOOSE(CONTROL!$C$15, $D$11, 100%, $F$11)</f>
        <v>10.5267</v>
      </c>
      <c r="G332" s="8">
        <f>9.5684 * CHOOSE( CONTROL!$C$15, $D$11, 100%, $F$11)</f>
        <v>9.5684000000000005</v>
      </c>
      <c r="H332" s="4">
        <f>10.5163 * CHOOSE(CONTROL!$C$15, $D$11, 100%, $F$11)</f>
        <v>10.516299999999999</v>
      </c>
      <c r="I332" s="8">
        <f>9.511 * CHOOSE(CONTROL!$C$15, $D$11, 100%, $F$11)</f>
        <v>9.5109999999999992</v>
      </c>
      <c r="J332" s="4">
        <f>9.3925 * CHOOSE(CONTROL!$C$15, $D$11, 100%, $F$11)</f>
        <v>9.3925000000000001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10.0774, 10.074) * CHOOSE(CONTROL!$C$15, $D$11, 100%, $F$11)</f>
        <v>10.077400000000001</v>
      </c>
      <c r="C333" s="8">
        <f>CHOOSE( CONTROL!$C$32, 10.0855, 10.0821) * CHOOSE(CONTROL!$C$15, $D$11, 100%, $F$11)</f>
        <v>10.0855</v>
      </c>
      <c r="D333" s="8">
        <f>CHOOSE( CONTROL!$C$32, 10.1111, 10.1077) * CHOOSE( CONTROL!$C$15, $D$11, 100%, $F$11)</f>
        <v>10.1111</v>
      </c>
      <c r="E333" s="12">
        <f>CHOOSE( CONTROL!$C$32, 10.1006, 10.0972) * CHOOSE( CONTROL!$C$15, $D$11, 100%, $F$11)</f>
        <v>10.1006</v>
      </c>
      <c r="F333" s="4">
        <f>CHOOSE( CONTROL!$C$32, 10.7908, 10.7874) * CHOOSE(CONTROL!$C$15, $D$11, 100%, $F$11)</f>
        <v>10.790800000000001</v>
      </c>
      <c r="G333" s="8">
        <f>CHOOSE( CONTROL!$C$32, 9.827, 9.8237) * CHOOSE( CONTROL!$C$15, $D$11, 100%, $F$11)</f>
        <v>9.827</v>
      </c>
      <c r="H333" s="4">
        <f>CHOOSE( CONTROL!$C$32, 10.7742, 10.7709) * CHOOSE(CONTROL!$C$15, $D$11, 100%, $F$11)</f>
        <v>10.7742</v>
      </c>
      <c r="I333" s="8">
        <f>CHOOSE( CONTROL!$C$32, 9.7648, 9.7616) * CHOOSE(CONTROL!$C$15, $D$11, 100%, $F$11)</f>
        <v>9.7647999999999993</v>
      </c>
      <c r="J333" s="4">
        <f>CHOOSE( CONTROL!$C$32, 9.6461, 9.6428) * CHOOSE(CONTROL!$C$15, $D$11, 100%, $F$11)</f>
        <v>9.6461000000000006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9.9159, 9.9125) * CHOOSE(CONTROL!$C$15, $D$11, 100%, $F$11)</f>
        <v>9.9159000000000006</v>
      </c>
      <c r="C334" s="8">
        <f>CHOOSE( CONTROL!$C$32, 9.924, 9.9206) * CHOOSE(CONTROL!$C$15, $D$11, 100%, $F$11)</f>
        <v>9.9239999999999995</v>
      </c>
      <c r="D334" s="8">
        <f>CHOOSE( CONTROL!$C$32, 9.9498, 9.9464) * CHOOSE( CONTROL!$C$15, $D$11, 100%, $F$11)</f>
        <v>9.9497999999999998</v>
      </c>
      <c r="E334" s="12">
        <f>CHOOSE( CONTROL!$C$32, 9.9392, 9.9358) * CHOOSE( CONTROL!$C$15, $D$11, 100%, $F$11)</f>
        <v>9.9391999999999996</v>
      </c>
      <c r="F334" s="4">
        <f>CHOOSE( CONTROL!$C$32, 10.6293, 10.6259) * CHOOSE(CONTROL!$C$15, $D$11, 100%, $F$11)</f>
        <v>10.629300000000001</v>
      </c>
      <c r="G334" s="8">
        <f>CHOOSE( CONTROL!$C$32, 9.6696, 9.6663) * CHOOSE( CONTROL!$C$15, $D$11, 100%, $F$11)</f>
        <v>9.6696000000000009</v>
      </c>
      <c r="H334" s="4">
        <f>CHOOSE( CONTROL!$C$32, 10.6165, 10.6131) * CHOOSE(CONTROL!$C$15, $D$11, 100%, $F$11)</f>
        <v>10.6165</v>
      </c>
      <c r="I334" s="8">
        <f>CHOOSE( CONTROL!$C$32, 9.6107, 9.6074) * CHOOSE(CONTROL!$C$15, $D$11, 100%, $F$11)</f>
        <v>9.6106999999999996</v>
      </c>
      <c r="J334" s="4">
        <f>CHOOSE( CONTROL!$C$32, 9.491, 9.4878) * CHOOSE(CONTROL!$C$15, $D$11, 100%, $F$11)</f>
        <v>9.4909999999999997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10.3411, 10.3377) * CHOOSE(CONTROL!$C$15, $D$11, 100%, $F$11)</f>
        <v>10.341100000000001</v>
      </c>
      <c r="C335" s="8">
        <f>CHOOSE( CONTROL!$C$32, 10.3492, 10.3458) * CHOOSE(CONTROL!$C$15, $D$11, 100%, $F$11)</f>
        <v>10.3492</v>
      </c>
      <c r="D335" s="8">
        <f>CHOOSE( CONTROL!$C$32, 10.3752, 10.3718) * CHOOSE( CONTROL!$C$15, $D$11, 100%, $F$11)</f>
        <v>10.3752</v>
      </c>
      <c r="E335" s="12">
        <f>CHOOSE( CONTROL!$C$32, 10.3645, 10.3611) * CHOOSE( CONTROL!$C$15, $D$11, 100%, $F$11)</f>
        <v>10.3645</v>
      </c>
      <c r="F335" s="4">
        <f>CHOOSE( CONTROL!$C$32, 11.0546, 11.0512) * CHOOSE(CONTROL!$C$15, $D$11, 100%, $F$11)</f>
        <v>11.054600000000001</v>
      </c>
      <c r="G335" s="8">
        <f>CHOOSE( CONTROL!$C$32, 10.0853, 10.0819) * CHOOSE( CONTROL!$C$15, $D$11, 100%, $F$11)</f>
        <v>10.0853</v>
      </c>
      <c r="H335" s="4">
        <f>CHOOSE( CONTROL!$C$32, 11.0318, 11.0285) * CHOOSE(CONTROL!$C$15, $D$11, 100%, $F$11)</f>
        <v>11.0318</v>
      </c>
      <c r="I335" s="8">
        <f>CHOOSE( CONTROL!$C$32, 10.0202, 10.017) * CHOOSE(CONTROL!$C$15, $D$11, 100%, $F$11)</f>
        <v>10.020200000000001</v>
      </c>
      <c r="J335" s="4">
        <f>CHOOSE( CONTROL!$C$32, 9.8993, 9.896) * CHOOSE(CONTROL!$C$15, $D$11, 100%, $F$11)</f>
        <v>9.8993000000000002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9.5455, 9.5421) * CHOOSE(CONTROL!$C$15, $D$11, 100%, $F$11)</f>
        <v>9.5455000000000005</v>
      </c>
      <c r="C336" s="8">
        <f>CHOOSE( CONTROL!$C$32, 9.5536, 9.5502) * CHOOSE(CONTROL!$C$15, $D$11, 100%, $F$11)</f>
        <v>9.5535999999999994</v>
      </c>
      <c r="D336" s="8">
        <f>CHOOSE( CONTROL!$C$32, 9.5797, 9.5763) * CHOOSE( CONTROL!$C$15, $D$11, 100%, $F$11)</f>
        <v>9.5797000000000008</v>
      </c>
      <c r="E336" s="12">
        <f>CHOOSE( CONTROL!$C$32, 9.569, 9.5656) * CHOOSE( CONTROL!$C$15, $D$11, 100%, $F$11)</f>
        <v>9.5690000000000008</v>
      </c>
      <c r="F336" s="4">
        <f>CHOOSE( CONTROL!$C$32, 10.2589, 10.2555) * CHOOSE(CONTROL!$C$15, $D$11, 100%, $F$11)</f>
        <v>10.258900000000001</v>
      </c>
      <c r="G336" s="8">
        <f>CHOOSE( CONTROL!$C$32, 9.3083, 9.305) * CHOOSE( CONTROL!$C$15, $D$11, 100%, $F$11)</f>
        <v>9.3082999999999991</v>
      </c>
      <c r="H336" s="4">
        <f>CHOOSE( CONTROL!$C$32, 10.2547, 10.2514) * CHOOSE(CONTROL!$C$15, $D$11, 100%, $F$11)</f>
        <v>10.2547</v>
      </c>
      <c r="I336" s="8">
        <f>CHOOSE( CONTROL!$C$32, 9.2564, 9.2531) * CHOOSE(CONTROL!$C$15, $D$11, 100%, $F$11)</f>
        <v>9.2563999999999993</v>
      </c>
      <c r="J336" s="4">
        <f>CHOOSE( CONTROL!$C$32, 9.1354, 9.1321) * CHOOSE(CONTROL!$C$15, $D$11, 100%, $F$11)</f>
        <v>9.1354000000000006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9.3462, 9.3428) * CHOOSE(CONTROL!$C$15, $D$11, 100%, $F$11)</f>
        <v>9.3461999999999996</v>
      </c>
      <c r="C337" s="8">
        <f>CHOOSE( CONTROL!$C$32, 9.3543, 9.3509) * CHOOSE(CONTROL!$C$15, $D$11, 100%, $F$11)</f>
        <v>9.3543000000000003</v>
      </c>
      <c r="D337" s="8">
        <f>CHOOSE( CONTROL!$C$32, 9.3804, 9.377) * CHOOSE( CONTROL!$C$15, $D$11, 100%, $F$11)</f>
        <v>9.3803999999999998</v>
      </c>
      <c r="E337" s="12">
        <f>CHOOSE( CONTROL!$C$32, 9.3697, 9.3663) * CHOOSE( CONTROL!$C$15, $D$11, 100%, $F$11)</f>
        <v>9.3696999999999999</v>
      </c>
      <c r="F337" s="4">
        <f>CHOOSE( CONTROL!$C$32, 10.0597, 10.0563) * CHOOSE(CONTROL!$C$15, $D$11, 100%, $F$11)</f>
        <v>10.059699999999999</v>
      </c>
      <c r="G337" s="8">
        <f>CHOOSE( CONTROL!$C$32, 9.1137, 9.1103) * CHOOSE( CONTROL!$C$15, $D$11, 100%, $F$11)</f>
        <v>9.1136999999999997</v>
      </c>
      <c r="H337" s="4">
        <f>CHOOSE( CONTROL!$C$32, 10.0601, 10.0568) * CHOOSE(CONTROL!$C$15, $D$11, 100%, $F$11)</f>
        <v>10.0601</v>
      </c>
      <c r="I337" s="8">
        <f>CHOOSE( CONTROL!$C$32, 9.0648, 9.0616) * CHOOSE(CONTROL!$C$15, $D$11, 100%, $F$11)</f>
        <v>9.0648</v>
      </c>
      <c r="J337" s="4">
        <f>CHOOSE( CONTROL!$C$32, 8.9441, 8.9408) * CHOOSE(CONTROL!$C$15, $D$11, 100%, $F$11)</f>
        <v>8.9441000000000006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9.7548 * CHOOSE(CONTROL!$C$15, $D$11, 100%, $F$11)</f>
        <v>9.7547999999999995</v>
      </c>
      <c r="C338" s="8">
        <f>9.7602 * CHOOSE(CONTROL!$C$15, $D$11, 100%, $F$11)</f>
        <v>9.7601999999999993</v>
      </c>
      <c r="D338" s="8">
        <f>9.7913 * CHOOSE( CONTROL!$C$15, $D$11, 100%, $F$11)</f>
        <v>9.7912999999999997</v>
      </c>
      <c r="E338" s="12">
        <f>9.7805 * CHOOSE( CONTROL!$C$15, $D$11, 100%, $F$11)</f>
        <v>9.7805</v>
      </c>
      <c r="F338" s="4">
        <f>10.47 * CHOOSE(CONTROL!$C$15, $D$11, 100%, $F$11)</f>
        <v>10.47</v>
      </c>
      <c r="G338" s="8">
        <f>9.5139 * CHOOSE( CONTROL!$C$15, $D$11, 100%, $F$11)</f>
        <v>9.5138999999999996</v>
      </c>
      <c r="H338" s="4">
        <f>10.4608 * CHOOSE(CONTROL!$C$15, $D$11, 100%, $F$11)</f>
        <v>10.460800000000001</v>
      </c>
      <c r="I338" s="8">
        <f>9.4598 * CHOOSE(CONTROL!$C$15, $D$11, 100%, $F$11)</f>
        <v>9.4597999999999995</v>
      </c>
      <c r="J338" s="4">
        <f>9.338 * CHOOSE(CONTROL!$C$15, $D$11, 100%, $F$11)</f>
        <v>9.3379999999999992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10.518 * CHOOSE(CONTROL!$C$15, $D$11, 100%, $F$11)</f>
        <v>10.518000000000001</v>
      </c>
      <c r="C339" s="8">
        <f>10.5232 * CHOOSE(CONTROL!$C$15, $D$11, 100%, $F$11)</f>
        <v>10.523199999999999</v>
      </c>
      <c r="D339" s="8">
        <f>10.516 * CHOOSE( CONTROL!$C$15, $D$11, 100%, $F$11)</f>
        <v>10.516</v>
      </c>
      <c r="E339" s="12">
        <f>10.5181 * CHOOSE( CONTROL!$C$15, $D$11, 100%, $F$11)</f>
        <v>10.5181</v>
      </c>
      <c r="F339" s="4">
        <f>11.1684 * CHOOSE(CONTROL!$C$15, $D$11, 100%, $F$11)</f>
        <v>11.1684</v>
      </c>
      <c r="G339" s="8">
        <f>10.2727 * CHOOSE( CONTROL!$C$15, $D$11, 100%, $F$11)</f>
        <v>10.2727</v>
      </c>
      <c r="H339" s="4">
        <f>11.143 * CHOOSE(CONTROL!$C$15, $D$11, 100%, $F$11)</f>
        <v>11.143000000000001</v>
      </c>
      <c r="I339" s="8">
        <f>10.2367 * CHOOSE(CONTROL!$C$15, $D$11, 100%, $F$11)</f>
        <v>10.236700000000001</v>
      </c>
      <c r="J339" s="4">
        <f>10.0711 * CHOOSE(CONTROL!$C$15, $D$11, 100%, $F$11)</f>
        <v>10.071099999999999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10.4989 * CHOOSE(CONTROL!$C$15, $D$11, 100%, $F$11)</f>
        <v>10.498900000000001</v>
      </c>
      <c r="C340" s="8">
        <f>10.5041 * CHOOSE(CONTROL!$C$15, $D$11, 100%, $F$11)</f>
        <v>10.504099999999999</v>
      </c>
      <c r="D340" s="8">
        <f>10.4984 * CHOOSE( CONTROL!$C$15, $D$11, 100%, $F$11)</f>
        <v>10.4984</v>
      </c>
      <c r="E340" s="12">
        <f>10.4999 * CHOOSE( CONTROL!$C$15, $D$11, 100%, $F$11)</f>
        <v>10.4999</v>
      </c>
      <c r="F340" s="4">
        <f>11.1494 * CHOOSE(CONTROL!$C$15, $D$11, 100%, $F$11)</f>
        <v>11.1494</v>
      </c>
      <c r="G340" s="8">
        <f>10.2552 * CHOOSE( CONTROL!$C$15, $D$11, 100%, $F$11)</f>
        <v>10.2552</v>
      </c>
      <c r="H340" s="4">
        <f>11.1244 * CHOOSE(CONTROL!$C$15, $D$11, 100%, $F$11)</f>
        <v>11.1244</v>
      </c>
      <c r="I340" s="8">
        <f>10.223 * CHOOSE(CONTROL!$C$15, $D$11, 100%, $F$11)</f>
        <v>10.223000000000001</v>
      </c>
      <c r="J340" s="4">
        <f>10.0528 * CHOOSE(CONTROL!$C$15, $D$11, 100%, $F$11)</f>
        <v>10.0528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10.8077 * CHOOSE(CONTROL!$C$15, $D$11, 100%, $F$11)</f>
        <v>10.807700000000001</v>
      </c>
      <c r="C341" s="8">
        <f>10.8129 * CHOOSE(CONTROL!$C$15, $D$11, 100%, $F$11)</f>
        <v>10.812900000000001</v>
      </c>
      <c r="D341" s="8">
        <f>10.793 * CHOOSE( CONTROL!$C$15, $D$11, 100%, $F$11)</f>
        <v>10.792999999999999</v>
      </c>
      <c r="E341" s="12">
        <f>10.7997 * CHOOSE( CONTROL!$C$15, $D$11, 100%, $F$11)</f>
        <v>10.7997</v>
      </c>
      <c r="F341" s="4">
        <f>11.4582 * CHOOSE(CONTROL!$C$15, $D$11, 100%, $F$11)</f>
        <v>11.4582</v>
      </c>
      <c r="G341" s="8">
        <f>10.54 * CHOOSE( CONTROL!$C$15, $D$11, 100%, $F$11)</f>
        <v>10.54</v>
      </c>
      <c r="H341" s="4">
        <f>11.426 * CHOOSE(CONTROL!$C$15, $D$11, 100%, $F$11)</f>
        <v>11.426</v>
      </c>
      <c r="I341" s="8">
        <f>10.4762 * CHOOSE(CONTROL!$C$15, $D$11, 100%, $F$11)</f>
        <v>10.4762</v>
      </c>
      <c r="J341" s="4">
        <f>10.3493 * CHOOSE(CONTROL!$C$15, $D$11, 100%, $F$11)</f>
        <v>10.349299999999999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10.1109 * CHOOSE(CONTROL!$C$15, $D$11, 100%, $F$11)</f>
        <v>10.110900000000001</v>
      </c>
      <c r="C342" s="8">
        <f>10.1161 * CHOOSE(CONTROL!$C$15, $D$11, 100%, $F$11)</f>
        <v>10.116099999999999</v>
      </c>
      <c r="D342" s="8">
        <f>10.0961 * CHOOSE( CONTROL!$C$15, $D$11, 100%, $F$11)</f>
        <v>10.0961</v>
      </c>
      <c r="E342" s="12">
        <f>10.1029 * CHOOSE( CONTROL!$C$15, $D$11, 100%, $F$11)</f>
        <v>10.1029</v>
      </c>
      <c r="F342" s="4">
        <f>10.7613 * CHOOSE(CONTROL!$C$15, $D$11, 100%, $F$11)</f>
        <v>10.7613</v>
      </c>
      <c r="G342" s="8">
        <f>9.8593 * CHOOSE( CONTROL!$C$15, $D$11, 100%, $F$11)</f>
        <v>9.8592999999999993</v>
      </c>
      <c r="H342" s="4">
        <f>10.7454 * CHOOSE(CONTROL!$C$15, $D$11, 100%, $F$11)</f>
        <v>10.7454</v>
      </c>
      <c r="I342" s="8">
        <f>9.8067 * CHOOSE(CONTROL!$C$15, $D$11, 100%, $F$11)</f>
        <v>9.8066999999999993</v>
      </c>
      <c r="J342" s="4">
        <f>9.6803 * CHOOSE(CONTROL!$C$15, $D$11, 100%, $F$11)</f>
        <v>9.6803000000000008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9.8962 * CHOOSE(CONTROL!$C$15, $D$11, 100%, $F$11)</f>
        <v>9.8962000000000003</v>
      </c>
      <c r="C343" s="8">
        <f>9.9014 * CHOOSE(CONTROL!$C$15, $D$11, 100%, $F$11)</f>
        <v>9.9014000000000006</v>
      </c>
      <c r="D343" s="8">
        <f>9.8811 * CHOOSE( CONTROL!$C$15, $D$11, 100%, $F$11)</f>
        <v>9.8811</v>
      </c>
      <c r="E343" s="12">
        <f>9.888 * CHOOSE( CONTROL!$C$15, $D$11, 100%, $F$11)</f>
        <v>9.8879999999999999</v>
      </c>
      <c r="F343" s="4">
        <f>10.5467 * CHOOSE(CONTROL!$C$15, $D$11, 100%, $F$11)</f>
        <v>10.5467</v>
      </c>
      <c r="G343" s="8">
        <f>9.6494 * CHOOSE( CONTROL!$C$15, $D$11, 100%, $F$11)</f>
        <v>9.6494</v>
      </c>
      <c r="H343" s="4">
        <f>10.5358 * CHOOSE(CONTROL!$C$15, $D$11, 100%, $F$11)</f>
        <v>10.5358</v>
      </c>
      <c r="I343" s="8">
        <f>9.5994 * CHOOSE(CONTROL!$C$15, $D$11, 100%, $F$11)</f>
        <v>9.5993999999999993</v>
      </c>
      <c r="J343" s="4">
        <f>9.4742 * CHOOSE(CONTROL!$C$15, $D$11, 100%, $F$11)</f>
        <v>9.4741999999999997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10.047 * CHOOSE(CONTROL!$C$15, $D$11, 100%, $F$11)</f>
        <v>10.047000000000001</v>
      </c>
      <c r="C344" s="8">
        <f>10.0516 * CHOOSE(CONTROL!$C$15, $D$11, 100%, $F$11)</f>
        <v>10.051600000000001</v>
      </c>
      <c r="D344" s="8">
        <f>10.0825 * CHOOSE( CONTROL!$C$15, $D$11, 100%, $F$11)</f>
        <v>10.0825</v>
      </c>
      <c r="E344" s="12">
        <f>10.0718 * CHOOSE( CONTROL!$C$15, $D$11, 100%, $F$11)</f>
        <v>10.0718</v>
      </c>
      <c r="F344" s="4">
        <f>10.7618 * CHOOSE(CONTROL!$C$15, $D$11, 100%, $F$11)</f>
        <v>10.761799999999999</v>
      </c>
      <c r="G344" s="8">
        <f>9.7979 * CHOOSE( CONTROL!$C$15, $D$11, 100%, $F$11)</f>
        <v>9.7979000000000003</v>
      </c>
      <c r="H344" s="4">
        <f>10.7458 * CHOOSE(CONTROL!$C$15, $D$11, 100%, $F$11)</f>
        <v>10.745799999999999</v>
      </c>
      <c r="I344" s="8">
        <f>9.7368 * CHOOSE(CONTROL!$C$15, $D$11, 100%, $F$11)</f>
        <v>9.7368000000000006</v>
      </c>
      <c r="J344" s="4">
        <f>9.6182 * CHOOSE(CONTROL!$C$15, $D$11, 100%, $F$11)</f>
        <v>9.6181999999999999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10.3187, 10.3153) * CHOOSE(CONTROL!$C$15, $D$11, 100%, $F$11)</f>
        <v>10.3187</v>
      </c>
      <c r="C345" s="8">
        <f>CHOOSE( CONTROL!$C$32, 10.3268, 10.3234) * CHOOSE(CONTROL!$C$15, $D$11, 100%, $F$11)</f>
        <v>10.3268</v>
      </c>
      <c r="D345" s="8">
        <f>CHOOSE( CONTROL!$C$32, 10.3524, 10.349) * CHOOSE( CONTROL!$C$15, $D$11, 100%, $F$11)</f>
        <v>10.352399999999999</v>
      </c>
      <c r="E345" s="12">
        <f>CHOOSE( CONTROL!$C$32, 10.3419, 10.3385) * CHOOSE( CONTROL!$C$15, $D$11, 100%, $F$11)</f>
        <v>10.341900000000001</v>
      </c>
      <c r="F345" s="4">
        <f>CHOOSE( CONTROL!$C$32, 11.0321, 11.0287) * CHOOSE(CONTROL!$C$15, $D$11, 100%, $F$11)</f>
        <v>11.0321</v>
      </c>
      <c r="G345" s="8">
        <f>CHOOSE( CONTROL!$C$32, 10.0627, 10.0594) * CHOOSE( CONTROL!$C$15, $D$11, 100%, $F$11)</f>
        <v>10.0627</v>
      </c>
      <c r="H345" s="4">
        <f>CHOOSE( CONTROL!$C$32, 11.0099, 11.0066) * CHOOSE(CONTROL!$C$15, $D$11, 100%, $F$11)</f>
        <v>11.0099</v>
      </c>
      <c r="I345" s="8">
        <f>CHOOSE( CONTROL!$C$32, 9.9966, 9.9934) * CHOOSE(CONTROL!$C$15, $D$11, 100%, $F$11)</f>
        <v>9.9966000000000008</v>
      </c>
      <c r="J345" s="4">
        <f>CHOOSE( CONTROL!$C$32, 9.8778, 9.8745) * CHOOSE(CONTROL!$C$15, $D$11, 100%, $F$11)</f>
        <v>9.8778000000000006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10.1533, 10.1499) * CHOOSE(CONTROL!$C$15, $D$11, 100%, $F$11)</f>
        <v>10.1533</v>
      </c>
      <c r="C346" s="8">
        <f>CHOOSE( CONTROL!$C$32, 10.1614, 10.158) * CHOOSE(CONTROL!$C$15, $D$11, 100%, $F$11)</f>
        <v>10.1614</v>
      </c>
      <c r="D346" s="8">
        <f>CHOOSE( CONTROL!$C$32, 10.1872, 10.1838) * CHOOSE( CONTROL!$C$15, $D$11, 100%, $F$11)</f>
        <v>10.187200000000001</v>
      </c>
      <c r="E346" s="12">
        <f>CHOOSE( CONTROL!$C$32, 10.1766, 10.1732) * CHOOSE( CONTROL!$C$15, $D$11, 100%, $F$11)</f>
        <v>10.176600000000001</v>
      </c>
      <c r="F346" s="4">
        <f>CHOOSE( CONTROL!$C$32, 10.8668, 10.8634) * CHOOSE(CONTROL!$C$15, $D$11, 100%, $F$11)</f>
        <v>10.8668</v>
      </c>
      <c r="G346" s="8">
        <f>CHOOSE( CONTROL!$C$32, 9.9015, 9.8982) * CHOOSE( CONTROL!$C$15, $D$11, 100%, $F$11)</f>
        <v>9.9015000000000004</v>
      </c>
      <c r="H346" s="4">
        <f>CHOOSE( CONTROL!$C$32, 10.8484, 10.8451) * CHOOSE(CONTROL!$C$15, $D$11, 100%, $F$11)</f>
        <v>10.8484</v>
      </c>
      <c r="I346" s="8">
        <f>CHOOSE( CONTROL!$C$32, 9.8387, 9.8355) * CHOOSE(CONTROL!$C$15, $D$11, 100%, $F$11)</f>
        <v>9.8386999999999993</v>
      </c>
      <c r="J346" s="4">
        <f>CHOOSE( CONTROL!$C$32, 9.719, 9.7157) * CHOOSE(CONTROL!$C$15, $D$11, 100%, $F$11)</f>
        <v>9.7189999999999994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10.5888, 10.5854) * CHOOSE(CONTROL!$C$15, $D$11, 100%, $F$11)</f>
        <v>10.588800000000001</v>
      </c>
      <c r="C347" s="8">
        <f>CHOOSE( CONTROL!$C$32, 10.5969, 10.5935) * CHOOSE(CONTROL!$C$15, $D$11, 100%, $F$11)</f>
        <v>10.5969</v>
      </c>
      <c r="D347" s="8">
        <f>CHOOSE( CONTROL!$C$32, 10.6229, 10.6195) * CHOOSE( CONTROL!$C$15, $D$11, 100%, $F$11)</f>
        <v>10.6229</v>
      </c>
      <c r="E347" s="12">
        <f>CHOOSE( CONTROL!$C$32, 10.6122, 10.6088) * CHOOSE( CONTROL!$C$15, $D$11, 100%, $F$11)</f>
        <v>10.6122</v>
      </c>
      <c r="F347" s="4">
        <f>CHOOSE( CONTROL!$C$32, 11.3022, 11.2988) * CHOOSE(CONTROL!$C$15, $D$11, 100%, $F$11)</f>
        <v>11.302199999999999</v>
      </c>
      <c r="G347" s="8">
        <f>CHOOSE( CONTROL!$C$32, 10.3272, 10.3238) * CHOOSE( CONTROL!$C$15, $D$11, 100%, $F$11)</f>
        <v>10.327199999999999</v>
      </c>
      <c r="H347" s="4">
        <f>CHOOSE( CONTROL!$C$32, 11.2737, 11.2704) * CHOOSE(CONTROL!$C$15, $D$11, 100%, $F$11)</f>
        <v>11.2737</v>
      </c>
      <c r="I347" s="8">
        <f>CHOOSE( CONTROL!$C$32, 10.2581, 10.2548) * CHOOSE(CONTROL!$C$15, $D$11, 100%, $F$11)</f>
        <v>10.258100000000001</v>
      </c>
      <c r="J347" s="4">
        <f>CHOOSE( CONTROL!$C$32, 10.1371, 10.1338) * CHOOSE(CONTROL!$C$15, $D$11, 100%, $F$11)</f>
        <v>10.1371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9.774, 9.7706) * CHOOSE(CONTROL!$C$15, $D$11, 100%, $F$11)</f>
        <v>9.7739999999999991</v>
      </c>
      <c r="C348" s="8">
        <f>CHOOSE( CONTROL!$C$32, 9.7821, 9.7787) * CHOOSE(CONTROL!$C$15, $D$11, 100%, $F$11)</f>
        <v>9.7820999999999998</v>
      </c>
      <c r="D348" s="8">
        <f>CHOOSE( CONTROL!$C$32, 9.8082, 9.8048) * CHOOSE( CONTROL!$C$15, $D$11, 100%, $F$11)</f>
        <v>9.8081999999999994</v>
      </c>
      <c r="E348" s="12">
        <f>CHOOSE( CONTROL!$C$32, 9.7975, 9.7941) * CHOOSE( CONTROL!$C$15, $D$11, 100%, $F$11)</f>
        <v>9.7974999999999994</v>
      </c>
      <c r="F348" s="4">
        <f>CHOOSE( CONTROL!$C$32, 10.4875, 10.484) * CHOOSE(CONTROL!$C$15, $D$11, 100%, $F$11)</f>
        <v>10.487500000000001</v>
      </c>
      <c r="G348" s="8">
        <f>CHOOSE( CONTROL!$C$32, 9.5315, 9.5282) * CHOOSE( CONTROL!$C$15, $D$11, 100%, $F$11)</f>
        <v>9.5314999999999994</v>
      </c>
      <c r="H348" s="4">
        <f>CHOOSE( CONTROL!$C$32, 10.4779, 10.4746) * CHOOSE(CONTROL!$C$15, $D$11, 100%, $F$11)</f>
        <v>10.4779</v>
      </c>
      <c r="I348" s="8">
        <f>CHOOSE( CONTROL!$C$32, 9.4759, 9.4726) * CHOOSE(CONTROL!$C$15, $D$11, 100%, $F$11)</f>
        <v>9.4758999999999993</v>
      </c>
      <c r="J348" s="4">
        <f>CHOOSE( CONTROL!$C$32, 9.3548, 9.3515) * CHOOSE(CONTROL!$C$15, $D$11, 100%, $F$11)</f>
        <v>9.3547999999999991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9.57, 9.5666) * CHOOSE(CONTROL!$C$15, $D$11, 100%, $F$11)</f>
        <v>9.57</v>
      </c>
      <c r="C349" s="8">
        <f>CHOOSE( CONTROL!$C$32, 9.5781, 9.5747) * CHOOSE(CONTROL!$C$15, $D$11, 100%, $F$11)</f>
        <v>9.5780999999999992</v>
      </c>
      <c r="D349" s="8">
        <f>CHOOSE( CONTROL!$C$32, 9.6042, 9.6008) * CHOOSE( CONTROL!$C$15, $D$11, 100%, $F$11)</f>
        <v>9.6042000000000005</v>
      </c>
      <c r="E349" s="12">
        <f>CHOOSE( CONTROL!$C$32, 9.5935, 9.5901) * CHOOSE( CONTROL!$C$15, $D$11, 100%, $F$11)</f>
        <v>9.5935000000000006</v>
      </c>
      <c r="F349" s="4">
        <f>CHOOSE( CONTROL!$C$32, 10.2834, 10.28) * CHOOSE(CONTROL!$C$15, $D$11, 100%, $F$11)</f>
        <v>10.2834</v>
      </c>
      <c r="G349" s="8">
        <f>CHOOSE( CONTROL!$C$32, 9.3322, 9.3289) * CHOOSE( CONTROL!$C$15, $D$11, 100%, $F$11)</f>
        <v>9.3322000000000003</v>
      </c>
      <c r="H349" s="4">
        <f>CHOOSE( CONTROL!$C$32, 10.2786, 10.2753) * CHOOSE(CONTROL!$C$15, $D$11, 100%, $F$11)</f>
        <v>10.278600000000001</v>
      </c>
      <c r="I349" s="8">
        <f>CHOOSE( CONTROL!$C$32, 9.2798, 9.2765) * CHOOSE(CONTROL!$C$15, $D$11, 100%, $F$11)</f>
        <v>9.2797999999999998</v>
      </c>
      <c r="J349" s="4">
        <f>CHOOSE( CONTROL!$C$32, 9.1589, 9.1557) * CHOOSE(CONTROL!$C$15, $D$11, 100%, $F$11)</f>
        <v>9.1588999999999992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9.9885 * CHOOSE(CONTROL!$C$15, $D$11, 100%, $F$11)</f>
        <v>9.9885000000000002</v>
      </c>
      <c r="C350" s="8">
        <f>9.9939 * CHOOSE(CONTROL!$C$15, $D$11, 100%, $F$11)</f>
        <v>9.9939</v>
      </c>
      <c r="D350" s="8">
        <f>10.025 * CHOOSE( CONTROL!$C$15, $D$11, 100%, $F$11)</f>
        <v>10.025</v>
      </c>
      <c r="E350" s="12">
        <f>10.0142 * CHOOSE( CONTROL!$C$15, $D$11, 100%, $F$11)</f>
        <v>10.014200000000001</v>
      </c>
      <c r="F350" s="4">
        <f>10.7036 * CHOOSE(CONTROL!$C$15, $D$11, 100%, $F$11)</f>
        <v>10.7036</v>
      </c>
      <c r="G350" s="8">
        <f>9.7422 * CHOOSE( CONTROL!$C$15, $D$11, 100%, $F$11)</f>
        <v>9.7422000000000004</v>
      </c>
      <c r="H350" s="4">
        <f>10.6891 * CHOOSE(CONTROL!$C$15, $D$11, 100%, $F$11)</f>
        <v>10.6891</v>
      </c>
      <c r="I350" s="8">
        <f>9.6843 * CHOOSE(CONTROL!$C$15, $D$11, 100%, $F$11)</f>
        <v>9.6843000000000004</v>
      </c>
      <c r="J350" s="4">
        <f>9.5624 * CHOOSE(CONTROL!$C$15, $D$11, 100%, $F$11)</f>
        <v>9.5624000000000002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10.77 * CHOOSE(CONTROL!$C$15, $D$11, 100%, $F$11)</f>
        <v>10.77</v>
      </c>
      <c r="C351" s="8">
        <f>10.7752 * CHOOSE(CONTROL!$C$15, $D$11, 100%, $F$11)</f>
        <v>10.7752</v>
      </c>
      <c r="D351" s="8">
        <f>10.768 * CHOOSE( CONTROL!$C$15, $D$11, 100%, $F$11)</f>
        <v>10.768000000000001</v>
      </c>
      <c r="E351" s="12">
        <f>10.7701 * CHOOSE( CONTROL!$C$15, $D$11, 100%, $F$11)</f>
        <v>10.770099999999999</v>
      </c>
      <c r="F351" s="4">
        <f>11.4205 * CHOOSE(CONTROL!$C$15, $D$11, 100%, $F$11)</f>
        <v>11.420500000000001</v>
      </c>
      <c r="G351" s="8">
        <f>10.5189 * CHOOSE( CONTROL!$C$15, $D$11, 100%, $F$11)</f>
        <v>10.5189</v>
      </c>
      <c r="H351" s="4">
        <f>11.3892 * CHOOSE(CONTROL!$C$15, $D$11, 100%, $F$11)</f>
        <v>11.389200000000001</v>
      </c>
      <c r="I351" s="8">
        <f>10.4788 * CHOOSE(CONTROL!$C$15, $D$11, 100%, $F$11)</f>
        <v>10.4788</v>
      </c>
      <c r="J351" s="4">
        <f>10.3131 * CHOOSE(CONTROL!$C$15, $D$11, 100%, $F$11)</f>
        <v>10.3131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10.7505 * CHOOSE(CONTROL!$C$15, $D$11, 100%, $F$11)</f>
        <v>10.750500000000001</v>
      </c>
      <c r="C352" s="8">
        <f>10.7557 * CHOOSE(CONTROL!$C$15, $D$11, 100%, $F$11)</f>
        <v>10.755699999999999</v>
      </c>
      <c r="D352" s="8">
        <f>10.75 * CHOOSE( CONTROL!$C$15, $D$11, 100%, $F$11)</f>
        <v>10.75</v>
      </c>
      <c r="E352" s="12">
        <f>10.7515 * CHOOSE( CONTROL!$C$15, $D$11, 100%, $F$11)</f>
        <v>10.7515</v>
      </c>
      <c r="F352" s="4">
        <f>11.4009 * CHOOSE(CONTROL!$C$15, $D$11, 100%, $F$11)</f>
        <v>11.4009</v>
      </c>
      <c r="G352" s="8">
        <f>10.5009 * CHOOSE( CONTROL!$C$15, $D$11, 100%, $F$11)</f>
        <v>10.5009</v>
      </c>
      <c r="H352" s="4">
        <f>11.3701 * CHOOSE(CONTROL!$C$15, $D$11, 100%, $F$11)</f>
        <v>11.370100000000001</v>
      </c>
      <c r="I352" s="8">
        <f>10.4647 * CHOOSE(CONTROL!$C$15, $D$11, 100%, $F$11)</f>
        <v>10.464700000000001</v>
      </c>
      <c r="J352" s="4">
        <f>10.2944 * CHOOSE(CONTROL!$C$15, $D$11, 100%, $F$11)</f>
        <v>10.2944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11.0668 * CHOOSE(CONTROL!$C$15, $D$11, 100%, $F$11)</f>
        <v>11.066800000000001</v>
      </c>
      <c r="C353" s="8">
        <f>11.0719 * CHOOSE(CONTROL!$C$15, $D$11, 100%, $F$11)</f>
        <v>11.071899999999999</v>
      </c>
      <c r="D353" s="8">
        <f>11.052 * CHOOSE( CONTROL!$C$15, $D$11, 100%, $F$11)</f>
        <v>11.052</v>
      </c>
      <c r="E353" s="12">
        <f>11.0587 * CHOOSE( CONTROL!$C$15, $D$11, 100%, $F$11)</f>
        <v>11.0587</v>
      </c>
      <c r="F353" s="4">
        <f>11.7172 * CHOOSE(CONTROL!$C$15, $D$11, 100%, $F$11)</f>
        <v>11.7172</v>
      </c>
      <c r="G353" s="8">
        <f>10.793 * CHOOSE( CONTROL!$C$15, $D$11, 100%, $F$11)</f>
        <v>10.792999999999999</v>
      </c>
      <c r="H353" s="4">
        <f>11.679 * CHOOSE(CONTROL!$C$15, $D$11, 100%, $F$11)</f>
        <v>11.679</v>
      </c>
      <c r="I353" s="8">
        <f>10.725 * CHOOSE(CONTROL!$C$15, $D$11, 100%, $F$11)</f>
        <v>10.725</v>
      </c>
      <c r="J353" s="4">
        <f>10.598 * CHOOSE(CONTROL!$C$15, $D$11, 100%, $F$11)</f>
        <v>10.598000000000001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10.3531 * CHOOSE(CONTROL!$C$15, $D$11, 100%, $F$11)</f>
        <v>10.3531</v>
      </c>
      <c r="C354" s="8">
        <f>10.3583 * CHOOSE(CONTROL!$C$15, $D$11, 100%, $F$11)</f>
        <v>10.3583</v>
      </c>
      <c r="D354" s="8">
        <f>10.3384 * CHOOSE( CONTROL!$C$15, $D$11, 100%, $F$11)</f>
        <v>10.3384</v>
      </c>
      <c r="E354" s="12">
        <f>10.3451 * CHOOSE( CONTROL!$C$15, $D$11, 100%, $F$11)</f>
        <v>10.3451</v>
      </c>
      <c r="F354" s="4">
        <f>11.0036 * CHOOSE(CONTROL!$C$15, $D$11, 100%, $F$11)</f>
        <v>11.0036</v>
      </c>
      <c r="G354" s="8">
        <f>10.096 * CHOOSE( CONTROL!$C$15, $D$11, 100%, $F$11)</f>
        <v>10.096</v>
      </c>
      <c r="H354" s="4">
        <f>10.982 * CHOOSE(CONTROL!$C$15, $D$11, 100%, $F$11)</f>
        <v>10.981999999999999</v>
      </c>
      <c r="I354" s="8">
        <f>10.0394 * CHOOSE(CONTROL!$C$15, $D$11, 100%, $F$11)</f>
        <v>10.039400000000001</v>
      </c>
      <c r="J354" s="4">
        <f>9.9129 * CHOOSE(CONTROL!$C$15, $D$11, 100%, $F$11)</f>
        <v>9.9129000000000005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10.1333 * CHOOSE(CONTROL!$C$15, $D$11, 100%, $F$11)</f>
        <v>10.1333</v>
      </c>
      <c r="C355" s="8">
        <f>10.1385 * CHOOSE(CONTROL!$C$15, $D$11, 100%, $F$11)</f>
        <v>10.138500000000001</v>
      </c>
      <c r="D355" s="8">
        <f>10.1182 * CHOOSE( CONTROL!$C$15, $D$11, 100%, $F$11)</f>
        <v>10.1182</v>
      </c>
      <c r="E355" s="12">
        <f>10.1251 * CHOOSE( CONTROL!$C$15, $D$11, 100%, $F$11)</f>
        <v>10.1251</v>
      </c>
      <c r="F355" s="4">
        <f>10.7838 * CHOOSE(CONTROL!$C$15, $D$11, 100%, $F$11)</f>
        <v>10.783799999999999</v>
      </c>
      <c r="G355" s="8">
        <f>9.881 * CHOOSE( CONTROL!$C$15, $D$11, 100%, $F$11)</f>
        <v>9.8810000000000002</v>
      </c>
      <c r="H355" s="4">
        <f>10.7673 * CHOOSE(CONTROL!$C$15, $D$11, 100%, $F$11)</f>
        <v>10.767300000000001</v>
      </c>
      <c r="I355" s="8">
        <f>9.8271 * CHOOSE(CONTROL!$C$15, $D$11, 100%, $F$11)</f>
        <v>9.8270999999999997</v>
      </c>
      <c r="J355" s="4">
        <f>9.7018 * CHOOSE(CONTROL!$C$15, $D$11, 100%, $F$11)</f>
        <v>9.7018000000000004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10.2877 * CHOOSE(CONTROL!$C$15, $D$11, 100%, $F$11)</f>
        <v>10.287699999999999</v>
      </c>
      <c r="C356" s="8">
        <f>10.2923 * CHOOSE(CONTROL!$C$15, $D$11, 100%, $F$11)</f>
        <v>10.292299999999999</v>
      </c>
      <c r="D356" s="8">
        <f>10.3232 * CHOOSE( CONTROL!$C$15, $D$11, 100%, $F$11)</f>
        <v>10.3232</v>
      </c>
      <c r="E356" s="12">
        <f>10.3125 * CHOOSE( CONTROL!$C$15, $D$11, 100%, $F$11)</f>
        <v>10.3125</v>
      </c>
      <c r="F356" s="4">
        <f>11.0025 * CHOOSE(CONTROL!$C$15, $D$11, 100%, $F$11)</f>
        <v>11.0025</v>
      </c>
      <c r="G356" s="8">
        <f>10.033 * CHOOSE( CONTROL!$C$15, $D$11, 100%, $F$11)</f>
        <v>10.032999999999999</v>
      </c>
      <c r="H356" s="4">
        <f>10.9809 * CHOOSE(CONTROL!$C$15, $D$11, 100%, $F$11)</f>
        <v>10.9809</v>
      </c>
      <c r="I356" s="8">
        <f>9.968 * CHOOSE(CONTROL!$C$15, $D$11, 100%, $F$11)</f>
        <v>9.968</v>
      </c>
      <c r="J356" s="4">
        <f>9.8493 * CHOOSE(CONTROL!$C$15, $D$11, 100%, $F$11)</f>
        <v>9.8492999999999995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10.5658, 10.5624) * CHOOSE(CONTROL!$C$15, $D$11, 100%, $F$11)</f>
        <v>10.565799999999999</v>
      </c>
      <c r="C357" s="8">
        <f>CHOOSE( CONTROL!$C$32, 10.5739, 10.5705) * CHOOSE(CONTROL!$C$15, $D$11, 100%, $F$11)</f>
        <v>10.5739</v>
      </c>
      <c r="D357" s="8">
        <f>CHOOSE( CONTROL!$C$32, 10.5995, 10.5961) * CHOOSE( CONTROL!$C$15, $D$11, 100%, $F$11)</f>
        <v>10.599500000000001</v>
      </c>
      <c r="E357" s="12">
        <f>CHOOSE( CONTROL!$C$32, 10.589, 10.5856) * CHOOSE( CONTROL!$C$15, $D$11, 100%, $F$11)</f>
        <v>10.589</v>
      </c>
      <c r="F357" s="4">
        <f>CHOOSE( CONTROL!$C$32, 11.2792, 11.2758) * CHOOSE(CONTROL!$C$15, $D$11, 100%, $F$11)</f>
        <v>11.279199999999999</v>
      </c>
      <c r="G357" s="8">
        <f>CHOOSE( CONTROL!$C$32, 10.3041, 10.3008) * CHOOSE( CONTROL!$C$15, $D$11, 100%, $F$11)</f>
        <v>10.3041</v>
      </c>
      <c r="H357" s="4">
        <f>CHOOSE( CONTROL!$C$32, 11.2512, 11.2479) * CHOOSE(CONTROL!$C$15, $D$11, 100%, $F$11)</f>
        <v>11.251200000000001</v>
      </c>
      <c r="I357" s="8">
        <f>CHOOSE( CONTROL!$C$32, 10.234, 10.2307) * CHOOSE(CONTROL!$C$15, $D$11, 100%, $F$11)</f>
        <v>10.234</v>
      </c>
      <c r="J357" s="4">
        <f>CHOOSE( CONTROL!$C$32, 10.115, 10.1117) * CHOOSE(CONTROL!$C$15, $D$11, 100%, $F$11)</f>
        <v>10.115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10.3965, 10.3931) * CHOOSE(CONTROL!$C$15, $D$11, 100%, $F$11)</f>
        <v>10.3965</v>
      </c>
      <c r="C358" s="8">
        <f>CHOOSE( CONTROL!$C$32, 10.4046, 10.4012) * CHOOSE(CONTROL!$C$15, $D$11, 100%, $F$11)</f>
        <v>10.4046</v>
      </c>
      <c r="D358" s="8">
        <f>CHOOSE( CONTROL!$C$32, 10.4304, 10.427) * CHOOSE( CONTROL!$C$15, $D$11, 100%, $F$11)</f>
        <v>10.430400000000001</v>
      </c>
      <c r="E358" s="12">
        <f>CHOOSE( CONTROL!$C$32, 10.4198, 10.4164) * CHOOSE( CONTROL!$C$15, $D$11, 100%, $F$11)</f>
        <v>10.4198</v>
      </c>
      <c r="F358" s="4">
        <f>CHOOSE( CONTROL!$C$32, 11.1099, 11.1065) * CHOOSE(CONTROL!$C$15, $D$11, 100%, $F$11)</f>
        <v>11.1099</v>
      </c>
      <c r="G358" s="8">
        <f>CHOOSE( CONTROL!$C$32, 10.139, 10.1357) * CHOOSE( CONTROL!$C$15, $D$11, 100%, $F$11)</f>
        <v>10.138999999999999</v>
      </c>
      <c r="H358" s="4">
        <f>CHOOSE( CONTROL!$C$32, 11.0859, 11.0825) * CHOOSE(CONTROL!$C$15, $D$11, 100%, $F$11)</f>
        <v>11.085900000000001</v>
      </c>
      <c r="I358" s="8">
        <f>CHOOSE( CONTROL!$C$32, 10.0723, 10.069) * CHOOSE(CONTROL!$C$15, $D$11, 100%, $F$11)</f>
        <v>10.0723</v>
      </c>
      <c r="J358" s="4">
        <f>CHOOSE( CONTROL!$C$32, 9.9524, 9.9492) * CHOOSE(CONTROL!$C$15, $D$11, 100%, $F$11)</f>
        <v>9.9524000000000008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10.8424, 10.839) * CHOOSE(CONTROL!$C$15, $D$11, 100%, $F$11)</f>
        <v>10.8424</v>
      </c>
      <c r="C359" s="8">
        <f>CHOOSE( CONTROL!$C$32, 10.8505, 10.8471) * CHOOSE(CONTROL!$C$15, $D$11, 100%, $F$11)</f>
        <v>10.8505</v>
      </c>
      <c r="D359" s="8">
        <f>CHOOSE( CONTROL!$C$32, 10.8765, 10.8731) * CHOOSE( CONTROL!$C$15, $D$11, 100%, $F$11)</f>
        <v>10.8765</v>
      </c>
      <c r="E359" s="12">
        <f>CHOOSE( CONTROL!$C$32, 10.8658, 10.8624) * CHOOSE( CONTROL!$C$15, $D$11, 100%, $F$11)</f>
        <v>10.8658</v>
      </c>
      <c r="F359" s="4">
        <f>CHOOSE( CONTROL!$C$32, 11.5558, 11.5524) * CHOOSE(CONTROL!$C$15, $D$11, 100%, $F$11)</f>
        <v>11.5558</v>
      </c>
      <c r="G359" s="8">
        <f>CHOOSE( CONTROL!$C$32, 10.5749, 10.5715) * CHOOSE( CONTROL!$C$15, $D$11, 100%, $F$11)</f>
        <v>10.5749</v>
      </c>
      <c r="H359" s="4">
        <f>CHOOSE( CONTROL!$C$32, 11.5214, 11.5181) * CHOOSE(CONTROL!$C$15, $D$11, 100%, $F$11)</f>
        <v>11.5214</v>
      </c>
      <c r="I359" s="8">
        <f>CHOOSE( CONTROL!$C$32, 10.5017, 10.4985) * CHOOSE(CONTROL!$C$15, $D$11, 100%, $F$11)</f>
        <v>10.5017</v>
      </c>
      <c r="J359" s="4">
        <f>CHOOSE( CONTROL!$C$32, 10.3806, 10.3773) * CHOOSE(CONTROL!$C$15, $D$11, 100%, $F$11)</f>
        <v>10.380599999999999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10.008, 10.0046) * CHOOSE(CONTROL!$C$15, $D$11, 100%, $F$11)</f>
        <v>10.007999999999999</v>
      </c>
      <c r="C360" s="8">
        <f>CHOOSE( CONTROL!$C$32, 10.0161, 10.0127) * CHOOSE(CONTROL!$C$15, $D$11, 100%, $F$11)</f>
        <v>10.0161</v>
      </c>
      <c r="D360" s="8">
        <f>CHOOSE( CONTROL!$C$32, 10.0423, 10.0389) * CHOOSE( CONTROL!$C$15, $D$11, 100%, $F$11)</f>
        <v>10.042299999999999</v>
      </c>
      <c r="E360" s="12">
        <f>CHOOSE( CONTROL!$C$32, 10.0316, 10.0282) * CHOOSE( CONTROL!$C$15, $D$11, 100%, $F$11)</f>
        <v>10.031599999999999</v>
      </c>
      <c r="F360" s="4">
        <f>CHOOSE( CONTROL!$C$32, 10.7215, 10.7181) * CHOOSE(CONTROL!$C$15, $D$11, 100%, $F$11)</f>
        <v>10.721500000000001</v>
      </c>
      <c r="G360" s="8">
        <f>CHOOSE( CONTROL!$C$32, 9.7601, 9.7568) * CHOOSE( CONTROL!$C$15, $D$11, 100%, $F$11)</f>
        <v>9.7600999999999996</v>
      </c>
      <c r="H360" s="4">
        <f>CHOOSE( CONTROL!$C$32, 10.7065, 10.7031) * CHOOSE(CONTROL!$C$15, $D$11, 100%, $F$11)</f>
        <v>10.7065</v>
      </c>
      <c r="I360" s="8">
        <f>CHOOSE( CONTROL!$C$32, 9.7007, 9.6974) * CHOOSE(CONTROL!$C$15, $D$11, 100%, $F$11)</f>
        <v>9.7006999999999994</v>
      </c>
      <c r="J360" s="4">
        <f>CHOOSE( CONTROL!$C$32, 9.5795, 9.5762) * CHOOSE(CONTROL!$C$15, $D$11, 100%, $F$11)</f>
        <v>9.5794999999999995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9.7991, 9.7957) * CHOOSE(CONTROL!$C$15, $D$11, 100%, $F$11)</f>
        <v>9.7990999999999993</v>
      </c>
      <c r="C361" s="8">
        <f>CHOOSE( CONTROL!$C$32, 9.8072, 9.8038) * CHOOSE(CONTROL!$C$15, $D$11, 100%, $F$11)</f>
        <v>9.8071999999999999</v>
      </c>
      <c r="D361" s="8">
        <f>CHOOSE( CONTROL!$C$32, 9.8333, 9.8299) * CHOOSE( CONTROL!$C$15, $D$11, 100%, $F$11)</f>
        <v>9.8332999999999995</v>
      </c>
      <c r="E361" s="12">
        <f>CHOOSE( CONTROL!$C$32, 9.8226, 9.8192) * CHOOSE( CONTROL!$C$15, $D$11, 100%, $F$11)</f>
        <v>9.8225999999999996</v>
      </c>
      <c r="F361" s="4">
        <f>CHOOSE( CONTROL!$C$32, 10.5126, 10.5091) * CHOOSE(CONTROL!$C$15, $D$11, 100%, $F$11)</f>
        <v>10.512600000000001</v>
      </c>
      <c r="G361" s="8">
        <f>CHOOSE( CONTROL!$C$32, 9.556, 9.5527) * CHOOSE( CONTROL!$C$15, $D$11, 100%, $F$11)</f>
        <v>9.5559999999999992</v>
      </c>
      <c r="H361" s="4">
        <f>CHOOSE( CONTROL!$C$32, 10.5024, 10.4991) * CHOOSE(CONTROL!$C$15, $D$11, 100%, $F$11)</f>
        <v>10.5024</v>
      </c>
      <c r="I361" s="8">
        <f>CHOOSE( CONTROL!$C$32, 9.4999, 9.4966) * CHOOSE(CONTROL!$C$15, $D$11, 100%, $F$11)</f>
        <v>9.4999000000000002</v>
      </c>
      <c r="J361" s="4">
        <f>CHOOSE( CONTROL!$C$32, 9.3789, 9.3756) * CHOOSE(CONTROL!$C$15, $D$11, 100%, $F$11)</f>
        <v>9.3788999999999998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10.2278 * CHOOSE(CONTROL!$C$15, $D$11, 100%, $F$11)</f>
        <v>10.2278</v>
      </c>
      <c r="C362" s="8">
        <f>10.2332 * CHOOSE(CONTROL!$C$15, $D$11, 100%, $F$11)</f>
        <v>10.2332</v>
      </c>
      <c r="D362" s="8">
        <f>10.2643 * CHOOSE( CONTROL!$C$15, $D$11, 100%, $F$11)</f>
        <v>10.2643</v>
      </c>
      <c r="E362" s="12">
        <f>10.2535 * CHOOSE( CONTROL!$C$15, $D$11, 100%, $F$11)</f>
        <v>10.253500000000001</v>
      </c>
      <c r="F362" s="4">
        <f>10.943 * CHOOSE(CONTROL!$C$15, $D$11, 100%, $F$11)</f>
        <v>10.943</v>
      </c>
      <c r="G362" s="8">
        <f>9.9759 * CHOOSE( CONTROL!$C$15, $D$11, 100%, $F$11)</f>
        <v>9.9758999999999993</v>
      </c>
      <c r="H362" s="4">
        <f>10.9228 * CHOOSE(CONTROL!$C$15, $D$11, 100%, $F$11)</f>
        <v>10.922800000000001</v>
      </c>
      <c r="I362" s="8">
        <f>9.9141 * CHOOSE(CONTROL!$C$15, $D$11, 100%, $F$11)</f>
        <v>9.9140999999999995</v>
      </c>
      <c r="J362" s="4">
        <f>9.7921 * CHOOSE(CONTROL!$C$15, $D$11, 100%, $F$11)</f>
        <v>9.7920999999999996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11.0281 * CHOOSE(CONTROL!$C$15, $D$11, 100%, $F$11)</f>
        <v>11.0281</v>
      </c>
      <c r="C363" s="8">
        <f>11.0333 * CHOOSE(CONTROL!$C$15, $D$11, 100%, $F$11)</f>
        <v>11.033300000000001</v>
      </c>
      <c r="D363" s="8">
        <f>11.0261 * CHOOSE( CONTROL!$C$15, $D$11, 100%, $F$11)</f>
        <v>11.0261</v>
      </c>
      <c r="E363" s="12">
        <f>11.0282 * CHOOSE( CONTROL!$C$15, $D$11, 100%, $F$11)</f>
        <v>11.0282</v>
      </c>
      <c r="F363" s="4">
        <f>11.6786 * CHOOSE(CONTROL!$C$15, $D$11, 100%, $F$11)</f>
        <v>11.678599999999999</v>
      </c>
      <c r="G363" s="8">
        <f>10.771 * CHOOSE( CONTROL!$C$15, $D$11, 100%, $F$11)</f>
        <v>10.771000000000001</v>
      </c>
      <c r="H363" s="4">
        <f>11.6413 * CHOOSE(CONTROL!$C$15, $D$11, 100%, $F$11)</f>
        <v>11.641299999999999</v>
      </c>
      <c r="I363" s="8">
        <f>10.7268 * CHOOSE(CONTROL!$C$15, $D$11, 100%, $F$11)</f>
        <v>10.726800000000001</v>
      </c>
      <c r="J363" s="4">
        <f>10.5609 * CHOOSE(CONTROL!$C$15, $D$11, 100%, $F$11)</f>
        <v>10.5609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11.0081 * CHOOSE(CONTROL!$C$15, $D$11, 100%, $F$11)</f>
        <v>11.008100000000001</v>
      </c>
      <c r="C364" s="8">
        <f>11.0133 * CHOOSE(CONTROL!$C$15, $D$11, 100%, $F$11)</f>
        <v>11.013299999999999</v>
      </c>
      <c r="D364" s="8">
        <f>11.0076 * CHOOSE( CONTROL!$C$15, $D$11, 100%, $F$11)</f>
        <v>11.0076</v>
      </c>
      <c r="E364" s="12">
        <f>11.0091 * CHOOSE( CONTROL!$C$15, $D$11, 100%, $F$11)</f>
        <v>11.0091</v>
      </c>
      <c r="F364" s="4">
        <f>11.6586 * CHOOSE(CONTROL!$C$15, $D$11, 100%, $F$11)</f>
        <v>11.6586</v>
      </c>
      <c r="G364" s="8">
        <f>10.7525 * CHOOSE( CONTROL!$C$15, $D$11, 100%, $F$11)</f>
        <v>10.7525</v>
      </c>
      <c r="H364" s="4">
        <f>11.6217 * CHOOSE(CONTROL!$C$15, $D$11, 100%, $F$11)</f>
        <v>11.621700000000001</v>
      </c>
      <c r="I364" s="8">
        <f>10.7121 * CHOOSE(CONTROL!$C$15, $D$11, 100%, $F$11)</f>
        <v>10.7121</v>
      </c>
      <c r="J364" s="4">
        <f>10.5417 * CHOOSE(CONTROL!$C$15, $D$11, 100%, $F$11)</f>
        <v>10.541700000000001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11.332 * CHOOSE(CONTROL!$C$15, $D$11, 100%, $F$11)</f>
        <v>11.332000000000001</v>
      </c>
      <c r="C365" s="8">
        <f>11.3372 * CHOOSE(CONTROL!$C$15, $D$11, 100%, $F$11)</f>
        <v>11.337199999999999</v>
      </c>
      <c r="D365" s="8">
        <f>11.3173 * CHOOSE( CONTROL!$C$15, $D$11, 100%, $F$11)</f>
        <v>11.317299999999999</v>
      </c>
      <c r="E365" s="12">
        <f>11.324 * CHOOSE( CONTROL!$C$15, $D$11, 100%, $F$11)</f>
        <v>11.324</v>
      </c>
      <c r="F365" s="4">
        <f>11.9824 * CHOOSE(CONTROL!$C$15, $D$11, 100%, $F$11)</f>
        <v>11.9824</v>
      </c>
      <c r="G365" s="8">
        <f>11.052 * CHOOSE( CONTROL!$C$15, $D$11, 100%, $F$11)</f>
        <v>11.052</v>
      </c>
      <c r="H365" s="4">
        <f>11.9381 * CHOOSE(CONTROL!$C$15, $D$11, 100%, $F$11)</f>
        <v>11.9381</v>
      </c>
      <c r="I365" s="8">
        <f>10.9797 * CHOOSE(CONTROL!$C$15, $D$11, 100%, $F$11)</f>
        <v>10.979699999999999</v>
      </c>
      <c r="J365" s="4">
        <f>10.8527 * CHOOSE(CONTROL!$C$15, $D$11, 100%, $F$11)</f>
        <v>10.8527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10.6012 * CHOOSE(CONTROL!$C$15, $D$11, 100%, $F$11)</f>
        <v>10.6012</v>
      </c>
      <c r="C366" s="8">
        <f>10.6064 * CHOOSE(CONTROL!$C$15, $D$11, 100%, $F$11)</f>
        <v>10.606400000000001</v>
      </c>
      <c r="D366" s="8">
        <f>10.5865 * CHOOSE( CONTROL!$C$15, $D$11, 100%, $F$11)</f>
        <v>10.586499999999999</v>
      </c>
      <c r="E366" s="12">
        <f>10.5932 * CHOOSE( CONTROL!$C$15, $D$11, 100%, $F$11)</f>
        <v>10.5932</v>
      </c>
      <c r="F366" s="4">
        <f>11.2517 * CHOOSE(CONTROL!$C$15, $D$11, 100%, $F$11)</f>
        <v>11.2517</v>
      </c>
      <c r="G366" s="8">
        <f>10.3383 * CHOOSE( CONTROL!$C$15, $D$11, 100%, $F$11)</f>
        <v>10.3383</v>
      </c>
      <c r="H366" s="4">
        <f>11.2243 * CHOOSE(CONTROL!$C$15, $D$11, 100%, $F$11)</f>
        <v>11.224299999999999</v>
      </c>
      <c r="I366" s="8">
        <f>10.2777 * CHOOSE(CONTROL!$C$15, $D$11, 100%, $F$11)</f>
        <v>10.277699999999999</v>
      </c>
      <c r="J366" s="4">
        <f>10.151 * CHOOSE(CONTROL!$C$15, $D$11, 100%, $F$11)</f>
        <v>10.151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10.3761 * CHOOSE(CONTROL!$C$15, $D$11, 100%, $F$11)</f>
        <v>10.376099999999999</v>
      </c>
      <c r="C367" s="8">
        <f>10.3813 * CHOOSE(CONTROL!$C$15, $D$11, 100%, $F$11)</f>
        <v>10.3813</v>
      </c>
      <c r="D367" s="8">
        <f>10.361 * CHOOSE( CONTROL!$C$15, $D$11, 100%, $F$11)</f>
        <v>10.361000000000001</v>
      </c>
      <c r="E367" s="12">
        <f>10.3679 * CHOOSE( CONTROL!$C$15, $D$11, 100%, $F$11)</f>
        <v>10.367900000000001</v>
      </c>
      <c r="F367" s="4">
        <f>11.0266 * CHOOSE(CONTROL!$C$15, $D$11, 100%, $F$11)</f>
        <v>11.0266</v>
      </c>
      <c r="G367" s="8">
        <f>10.1182 * CHOOSE( CONTROL!$C$15, $D$11, 100%, $F$11)</f>
        <v>10.1182</v>
      </c>
      <c r="H367" s="4">
        <f>11.0045 * CHOOSE(CONTROL!$C$15, $D$11, 100%, $F$11)</f>
        <v>11.0045</v>
      </c>
      <c r="I367" s="8">
        <f>10.0604 * CHOOSE(CONTROL!$C$15, $D$11, 100%, $F$11)</f>
        <v>10.0604</v>
      </c>
      <c r="J367" s="4">
        <f>9.935 * CHOOSE(CONTROL!$C$15, $D$11, 100%, $F$11)</f>
        <v>9.9350000000000005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10.5342 * CHOOSE(CONTROL!$C$15, $D$11, 100%, $F$11)</f>
        <v>10.5342</v>
      </c>
      <c r="C368" s="8">
        <f>10.5388 * CHOOSE(CONTROL!$C$15, $D$11, 100%, $F$11)</f>
        <v>10.5388</v>
      </c>
      <c r="D368" s="8">
        <f>10.5697 * CHOOSE( CONTROL!$C$15, $D$11, 100%, $F$11)</f>
        <v>10.569699999999999</v>
      </c>
      <c r="E368" s="12">
        <f>10.559 * CHOOSE( CONTROL!$C$15, $D$11, 100%, $F$11)</f>
        <v>10.558999999999999</v>
      </c>
      <c r="F368" s="4">
        <f>11.249 * CHOOSE(CONTROL!$C$15, $D$11, 100%, $F$11)</f>
        <v>11.249000000000001</v>
      </c>
      <c r="G368" s="8">
        <f>10.2738 * CHOOSE( CONTROL!$C$15, $D$11, 100%, $F$11)</f>
        <v>10.2738</v>
      </c>
      <c r="H368" s="4">
        <f>11.2217 * CHOOSE(CONTROL!$C$15, $D$11, 100%, $F$11)</f>
        <v>11.2217</v>
      </c>
      <c r="I368" s="8">
        <f>10.2048 * CHOOSE(CONTROL!$C$15, $D$11, 100%, $F$11)</f>
        <v>10.204800000000001</v>
      </c>
      <c r="J368" s="4">
        <f>10.086 * CHOOSE(CONTROL!$C$15, $D$11, 100%, $F$11)</f>
        <v>10.086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10.8189, 10.8155) * CHOOSE(CONTROL!$C$15, $D$11, 100%, $F$11)</f>
        <v>10.818899999999999</v>
      </c>
      <c r="C369" s="8">
        <f>CHOOSE( CONTROL!$C$32, 10.827, 10.8235) * CHOOSE(CONTROL!$C$15, $D$11, 100%, $F$11)</f>
        <v>10.827</v>
      </c>
      <c r="D369" s="8">
        <f>CHOOSE( CONTROL!$C$32, 10.8526, 10.8492) * CHOOSE( CONTROL!$C$15, $D$11, 100%, $F$11)</f>
        <v>10.852600000000001</v>
      </c>
      <c r="E369" s="12">
        <f>CHOOSE( CONTROL!$C$32, 10.8421, 10.8387) * CHOOSE( CONTROL!$C$15, $D$11, 100%, $F$11)</f>
        <v>10.8421</v>
      </c>
      <c r="F369" s="4">
        <f>CHOOSE( CONTROL!$C$32, 11.5323, 11.5289) * CHOOSE(CONTROL!$C$15, $D$11, 100%, $F$11)</f>
        <v>11.532299999999999</v>
      </c>
      <c r="G369" s="8">
        <f>CHOOSE( CONTROL!$C$32, 10.5512, 10.5479) * CHOOSE( CONTROL!$C$15, $D$11, 100%, $F$11)</f>
        <v>10.5512</v>
      </c>
      <c r="H369" s="4">
        <f>CHOOSE( CONTROL!$C$32, 11.4984, 11.4951) * CHOOSE(CONTROL!$C$15, $D$11, 100%, $F$11)</f>
        <v>11.4984</v>
      </c>
      <c r="I369" s="8">
        <f>CHOOSE( CONTROL!$C$32, 10.4771, 10.4738) * CHOOSE(CONTROL!$C$15, $D$11, 100%, $F$11)</f>
        <v>10.4771</v>
      </c>
      <c r="J369" s="4">
        <f>CHOOSE( CONTROL!$C$32, 10.358, 10.3547) * CHOOSE(CONTROL!$C$15, $D$11, 100%, $F$11)</f>
        <v>10.358000000000001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10.6455, 10.6421) * CHOOSE(CONTROL!$C$15, $D$11, 100%, $F$11)</f>
        <v>10.6455</v>
      </c>
      <c r="C370" s="8">
        <f>CHOOSE( CONTROL!$C$32, 10.6536, 10.6501) * CHOOSE(CONTROL!$C$15, $D$11, 100%, $F$11)</f>
        <v>10.653600000000001</v>
      </c>
      <c r="D370" s="8">
        <f>CHOOSE( CONTROL!$C$32, 10.6794, 10.676) * CHOOSE( CONTROL!$C$15, $D$11, 100%, $F$11)</f>
        <v>10.679399999999999</v>
      </c>
      <c r="E370" s="12">
        <f>CHOOSE( CONTROL!$C$32, 10.6688, 10.6654) * CHOOSE( CONTROL!$C$15, $D$11, 100%, $F$11)</f>
        <v>10.668799999999999</v>
      </c>
      <c r="F370" s="4">
        <f>CHOOSE( CONTROL!$C$32, 11.3589, 11.3555) * CHOOSE(CONTROL!$C$15, $D$11, 100%, $F$11)</f>
        <v>11.3589</v>
      </c>
      <c r="G370" s="8">
        <f>CHOOSE( CONTROL!$C$32, 10.3822, 10.3789) * CHOOSE( CONTROL!$C$15, $D$11, 100%, $F$11)</f>
        <v>10.382199999999999</v>
      </c>
      <c r="H370" s="4">
        <f>CHOOSE( CONTROL!$C$32, 11.329, 11.3257) * CHOOSE(CONTROL!$C$15, $D$11, 100%, $F$11)</f>
        <v>11.329000000000001</v>
      </c>
      <c r="I370" s="8">
        <f>CHOOSE( CONTROL!$C$32, 10.3115, 10.3082) * CHOOSE(CONTROL!$C$15, $D$11, 100%, $F$11)</f>
        <v>10.311500000000001</v>
      </c>
      <c r="J370" s="4">
        <f>CHOOSE( CONTROL!$C$32, 10.1915, 10.1882) * CHOOSE(CONTROL!$C$15, $D$11, 100%, $F$11)</f>
        <v>10.1915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11.1021, 11.0987) * CHOOSE(CONTROL!$C$15, $D$11, 100%, $F$11)</f>
        <v>11.1021</v>
      </c>
      <c r="C371" s="8">
        <f>CHOOSE( CONTROL!$C$32, 11.1102, 11.1068) * CHOOSE(CONTROL!$C$15, $D$11, 100%, $F$11)</f>
        <v>11.110200000000001</v>
      </c>
      <c r="D371" s="8">
        <f>CHOOSE( CONTROL!$C$32, 11.1362, 11.1328) * CHOOSE( CONTROL!$C$15, $D$11, 100%, $F$11)</f>
        <v>11.136200000000001</v>
      </c>
      <c r="E371" s="12">
        <f>CHOOSE( CONTROL!$C$32, 11.1255, 11.1221) * CHOOSE( CONTROL!$C$15, $D$11, 100%, $F$11)</f>
        <v>11.125500000000001</v>
      </c>
      <c r="F371" s="4">
        <f>CHOOSE( CONTROL!$C$32, 11.8155, 11.8121) * CHOOSE(CONTROL!$C$15, $D$11, 100%, $F$11)</f>
        <v>11.8155</v>
      </c>
      <c r="G371" s="8">
        <f>CHOOSE( CONTROL!$C$32, 10.8285, 10.8252) * CHOOSE( CONTROL!$C$15, $D$11, 100%, $F$11)</f>
        <v>10.8285</v>
      </c>
      <c r="H371" s="4">
        <f>CHOOSE( CONTROL!$C$32, 11.775, 11.7717) * CHOOSE(CONTROL!$C$15, $D$11, 100%, $F$11)</f>
        <v>11.775</v>
      </c>
      <c r="I371" s="8">
        <f>CHOOSE( CONTROL!$C$32, 10.7512, 10.7479) * CHOOSE(CONTROL!$C$15, $D$11, 100%, $F$11)</f>
        <v>10.751200000000001</v>
      </c>
      <c r="J371" s="4">
        <f>CHOOSE( CONTROL!$C$32, 10.6299, 10.6266) * CHOOSE(CONTROL!$C$15, $D$11, 100%, $F$11)</f>
        <v>10.629899999999999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10.2477, 10.2443) * CHOOSE(CONTROL!$C$15, $D$11, 100%, $F$11)</f>
        <v>10.2477</v>
      </c>
      <c r="C372" s="8">
        <f>CHOOSE( CONTROL!$C$32, 10.2558, 10.2524) * CHOOSE(CONTROL!$C$15, $D$11, 100%, $F$11)</f>
        <v>10.255800000000001</v>
      </c>
      <c r="D372" s="8">
        <f>CHOOSE( CONTROL!$C$32, 10.2819, 10.2785) * CHOOSE( CONTROL!$C$15, $D$11, 100%, $F$11)</f>
        <v>10.2819</v>
      </c>
      <c r="E372" s="12">
        <f>CHOOSE( CONTROL!$C$32, 10.2712, 10.2678) * CHOOSE( CONTROL!$C$15, $D$11, 100%, $F$11)</f>
        <v>10.2712</v>
      </c>
      <c r="F372" s="4">
        <f>CHOOSE( CONTROL!$C$32, 10.9611, 10.9577) * CHOOSE(CONTROL!$C$15, $D$11, 100%, $F$11)</f>
        <v>10.9611</v>
      </c>
      <c r="G372" s="8">
        <f>CHOOSE( CONTROL!$C$32, 9.9942, 9.9908) * CHOOSE( CONTROL!$C$15, $D$11, 100%, $F$11)</f>
        <v>9.9941999999999993</v>
      </c>
      <c r="H372" s="4">
        <f>CHOOSE( CONTROL!$C$32, 10.9405, 10.9372) * CHOOSE(CONTROL!$C$15, $D$11, 100%, $F$11)</f>
        <v>10.9405</v>
      </c>
      <c r="I372" s="8">
        <f>CHOOSE( CONTROL!$C$32, 9.9309, 9.9276) * CHOOSE(CONTROL!$C$15, $D$11, 100%, $F$11)</f>
        <v>9.9308999999999994</v>
      </c>
      <c r="J372" s="4">
        <f>CHOOSE( CONTROL!$C$32, 9.8096, 9.8063) * CHOOSE(CONTROL!$C$15, $D$11, 100%, $F$11)</f>
        <v>9.8095999999999997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10.0338, 10.0303) * CHOOSE(CONTROL!$C$15, $D$11, 100%, $F$11)</f>
        <v>10.033799999999999</v>
      </c>
      <c r="C373" s="8">
        <f>CHOOSE( CONTROL!$C$32, 10.0418, 10.0384) * CHOOSE(CONTROL!$C$15, $D$11, 100%, $F$11)</f>
        <v>10.0418</v>
      </c>
      <c r="D373" s="8">
        <f>CHOOSE( CONTROL!$C$32, 10.0679, 10.0645) * CHOOSE( CONTROL!$C$15, $D$11, 100%, $F$11)</f>
        <v>10.0679</v>
      </c>
      <c r="E373" s="12">
        <f>CHOOSE( CONTROL!$C$32, 10.0572, 10.0538) * CHOOSE( CONTROL!$C$15, $D$11, 100%, $F$11)</f>
        <v>10.0572</v>
      </c>
      <c r="F373" s="4">
        <f>CHOOSE( CONTROL!$C$32, 10.7472, 10.7438) * CHOOSE(CONTROL!$C$15, $D$11, 100%, $F$11)</f>
        <v>10.747199999999999</v>
      </c>
      <c r="G373" s="8">
        <f>CHOOSE( CONTROL!$C$32, 9.7852, 9.7818) * CHOOSE( CONTROL!$C$15, $D$11, 100%, $F$11)</f>
        <v>9.7851999999999997</v>
      </c>
      <c r="H373" s="4">
        <f>CHOOSE( CONTROL!$C$32, 10.7316, 10.7283) * CHOOSE(CONTROL!$C$15, $D$11, 100%, $F$11)</f>
        <v>10.7316</v>
      </c>
      <c r="I373" s="8">
        <f>CHOOSE( CONTROL!$C$32, 9.7253, 9.722) * CHOOSE(CONTROL!$C$15, $D$11, 100%, $F$11)</f>
        <v>9.7253000000000007</v>
      </c>
      <c r="J373" s="4">
        <f>CHOOSE( CONTROL!$C$32, 9.6042, 9.6009) * CHOOSE(CONTROL!$C$15, $D$11, 100%, $F$11)</f>
        <v>9.6042000000000005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10.4729 * CHOOSE(CONTROL!$C$15, $D$11, 100%, $F$11)</f>
        <v>10.472899999999999</v>
      </c>
      <c r="C374" s="8">
        <f>10.4783 * CHOOSE(CONTROL!$C$15, $D$11, 100%, $F$11)</f>
        <v>10.478300000000001</v>
      </c>
      <c r="D374" s="8">
        <f>10.5094 * CHOOSE( CONTROL!$C$15, $D$11, 100%, $F$11)</f>
        <v>10.509399999999999</v>
      </c>
      <c r="E374" s="12">
        <f>10.4986 * CHOOSE( CONTROL!$C$15, $D$11, 100%, $F$11)</f>
        <v>10.4986</v>
      </c>
      <c r="F374" s="4">
        <f>11.188 * CHOOSE(CONTROL!$C$15, $D$11, 100%, $F$11)</f>
        <v>11.188000000000001</v>
      </c>
      <c r="G374" s="8">
        <f>10.2153 * CHOOSE( CONTROL!$C$15, $D$11, 100%, $F$11)</f>
        <v>10.215299999999999</v>
      </c>
      <c r="H374" s="4">
        <f>11.1621 * CHOOSE(CONTROL!$C$15, $D$11, 100%, $F$11)</f>
        <v>11.162100000000001</v>
      </c>
      <c r="I374" s="8">
        <f>10.1495 * CHOOSE(CONTROL!$C$15, $D$11, 100%, $F$11)</f>
        <v>10.1495</v>
      </c>
      <c r="J374" s="4">
        <f>10.0274 * CHOOSE(CONTROL!$C$15, $D$11, 100%, $F$11)</f>
        <v>10.0274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11.2924 * CHOOSE(CONTROL!$C$15, $D$11, 100%, $F$11)</f>
        <v>11.292400000000001</v>
      </c>
      <c r="C375" s="8">
        <f>11.2976 * CHOOSE(CONTROL!$C$15, $D$11, 100%, $F$11)</f>
        <v>11.297599999999999</v>
      </c>
      <c r="D375" s="8">
        <f>11.2904 * CHOOSE( CONTROL!$C$15, $D$11, 100%, $F$11)</f>
        <v>11.2904</v>
      </c>
      <c r="E375" s="12">
        <f>11.2925 * CHOOSE( CONTROL!$C$15, $D$11, 100%, $F$11)</f>
        <v>11.2925</v>
      </c>
      <c r="F375" s="4">
        <f>11.9429 * CHOOSE(CONTROL!$C$15, $D$11, 100%, $F$11)</f>
        <v>11.9429</v>
      </c>
      <c r="G375" s="8">
        <f>11.0291 * CHOOSE( CONTROL!$C$15, $D$11, 100%, $F$11)</f>
        <v>11.0291</v>
      </c>
      <c r="H375" s="4">
        <f>11.8994 * CHOOSE(CONTROL!$C$15, $D$11, 100%, $F$11)</f>
        <v>11.8994</v>
      </c>
      <c r="I375" s="8">
        <f>10.9806 * CHOOSE(CONTROL!$C$15, $D$11, 100%, $F$11)</f>
        <v>10.980600000000001</v>
      </c>
      <c r="J375" s="4">
        <f>10.8147 * CHOOSE(CONTROL!$C$15, $D$11, 100%, $F$11)</f>
        <v>10.8147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11.2719 * CHOOSE(CONTROL!$C$15, $D$11, 100%, $F$11)</f>
        <v>11.2719</v>
      </c>
      <c r="C376" s="8">
        <f>11.2771 * CHOOSE(CONTROL!$C$15, $D$11, 100%, $F$11)</f>
        <v>11.277100000000001</v>
      </c>
      <c r="D376" s="8">
        <f>11.2714 * CHOOSE( CONTROL!$C$15, $D$11, 100%, $F$11)</f>
        <v>11.2714</v>
      </c>
      <c r="E376" s="12">
        <f>11.2729 * CHOOSE( CONTROL!$C$15, $D$11, 100%, $F$11)</f>
        <v>11.2729</v>
      </c>
      <c r="F376" s="4">
        <f>11.9224 * CHOOSE(CONTROL!$C$15, $D$11, 100%, $F$11)</f>
        <v>11.9224</v>
      </c>
      <c r="G376" s="8">
        <f>11.0102 * CHOOSE( CONTROL!$C$15, $D$11, 100%, $F$11)</f>
        <v>11.010199999999999</v>
      </c>
      <c r="H376" s="4">
        <f>11.8794 * CHOOSE(CONTROL!$C$15, $D$11, 100%, $F$11)</f>
        <v>11.8794</v>
      </c>
      <c r="I376" s="8">
        <f>10.9656 * CHOOSE(CONTROL!$C$15, $D$11, 100%, $F$11)</f>
        <v>10.9656</v>
      </c>
      <c r="J376" s="4">
        <f>10.795 * CHOOSE(CONTROL!$C$15, $D$11, 100%, $F$11)</f>
        <v>10.795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11.6036 * CHOOSE(CONTROL!$C$15, $D$11, 100%, $F$11)</f>
        <v>11.6036</v>
      </c>
      <c r="C377" s="8">
        <f>11.6088 * CHOOSE(CONTROL!$C$15, $D$11, 100%, $F$11)</f>
        <v>11.6088</v>
      </c>
      <c r="D377" s="8">
        <f>11.5889 * CHOOSE( CONTROL!$C$15, $D$11, 100%, $F$11)</f>
        <v>11.588900000000001</v>
      </c>
      <c r="E377" s="12">
        <f>11.5956 * CHOOSE( CONTROL!$C$15, $D$11, 100%, $F$11)</f>
        <v>11.595599999999999</v>
      </c>
      <c r="F377" s="4">
        <f>12.254 * CHOOSE(CONTROL!$C$15, $D$11, 100%, $F$11)</f>
        <v>12.254</v>
      </c>
      <c r="G377" s="8">
        <f>11.3173 * CHOOSE( CONTROL!$C$15, $D$11, 100%, $F$11)</f>
        <v>11.317299999999999</v>
      </c>
      <c r="H377" s="4">
        <f>12.2033 * CHOOSE(CONTROL!$C$15, $D$11, 100%, $F$11)</f>
        <v>12.2033</v>
      </c>
      <c r="I377" s="8">
        <f>11.2406 * CHOOSE(CONTROL!$C$15, $D$11, 100%, $F$11)</f>
        <v>11.240600000000001</v>
      </c>
      <c r="J377" s="4">
        <f>11.1134 * CHOOSE(CONTROL!$C$15, $D$11, 100%, $F$11)</f>
        <v>11.1134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10.8553 * CHOOSE(CONTROL!$C$15, $D$11, 100%, $F$11)</f>
        <v>10.8553</v>
      </c>
      <c r="C378" s="8">
        <f>10.8604 * CHOOSE(CONTROL!$C$15, $D$11, 100%, $F$11)</f>
        <v>10.8604</v>
      </c>
      <c r="D378" s="8">
        <f>10.8405 * CHOOSE( CONTROL!$C$15, $D$11, 100%, $F$11)</f>
        <v>10.8405</v>
      </c>
      <c r="E378" s="12">
        <f>10.8472 * CHOOSE( CONTROL!$C$15, $D$11, 100%, $F$11)</f>
        <v>10.847200000000001</v>
      </c>
      <c r="F378" s="4">
        <f>11.5057 * CHOOSE(CONTROL!$C$15, $D$11, 100%, $F$11)</f>
        <v>11.505699999999999</v>
      </c>
      <c r="G378" s="8">
        <f>10.5864 * CHOOSE( CONTROL!$C$15, $D$11, 100%, $F$11)</f>
        <v>10.586399999999999</v>
      </c>
      <c r="H378" s="4">
        <f>11.4724 * CHOOSE(CONTROL!$C$15, $D$11, 100%, $F$11)</f>
        <v>11.4724</v>
      </c>
      <c r="I378" s="8">
        <f>10.5217 * CHOOSE(CONTROL!$C$15, $D$11, 100%, $F$11)</f>
        <v>10.521699999999999</v>
      </c>
      <c r="J378" s="4">
        <f>10.395 * CHOOSE(CONTROL!$C$15, $D$11, 100%, $F$11)</f>
        <v>10.395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10.6248 * CHOOSE(CONTROL!$C$15, $D$11, 100%, $F$11)</f>
        <v>10.6248</v>
      </c>
      <c r="C379" s="8">
        <f>10.63 * CHOOSE(CONTROL!$C$15, $D$11, 100%, $F$11)</f>
        <v>10.63</v>
      </c>
      <c r="D379" s="8">
        <f>10.6097 * CHOOSE( CONTROL!$C$15, $D$11, 100%, $F$11)</f>
        <v>10.6097</v>
      </c>
      <c r="E379" s="12">
        <f>10.6166 * CHOOSE( CONTROL!$C$15, $D$11, 100%, $F$11)</f>
        <v>10.6166</v>
      </c>
      <c r="F379" s="4">
        <f>11.2752 * CHOOSE(CONTROL!$C$15, $D$11, 100%, $F$11)</f>
        <v>11.2752</v>
      </c>
      <c r="G379" s="8">
        <f>10.361 * CHOOSE( CONTROL!$C$15, $D$11, 100%, $F$11)</f>
        <v>10.361000000000001</v>
      </c>
      <c r="H379" s="4">
        <f>11.2473 * CHOOSE(CONTROL!$C$15, $D$11, 100%, $F$11)</f>
        <v>11.247299999999999</v>
      </c>
      <c r="I379" s="8">
        <f>10.2992 * CHOOSE(CONTROL!$C$15, $D$11, 100%, $F$11)</f>
        <v>10.299200000000001</v>
      </c>
      <c r="J379" s="4">
        <f>10.1737 * CHOOSE(CONTROL!$C$15, $D$11, 100%, $F$11)</f>
        <v>10.1737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10.7866 * CHOOSE(CONTROL!$C$15, $D$11, 100%, $F$11)</f>
        <v>10.7866</v>
      </c>
      <c r="C380" s="8">
        <f>10.7912 * CHOOSE(CONTROL!$C$15, $D$11, 100%, $F$11)</f>
        <v>10.7912</v>
      </c>
      <c r="D380" s="8">
        <f>10.8221 * CHOOSE( CONTROL!$C$15, $D$11, 100%, $F$11)</f>
        <v>10.822100000000001</v>
      </c>
      <c r="E380" s="12">
        <f>10.8114 * CHOOSE( CONTROL!$C$15, $D$11, 100%, $F$11)</f>
        <v>10.811400000000001</v>
      </c>
      <c r="F380" s="4">
        <f>11.5014 * CHOOSE(CONTROL!$C$15, $D$11, 100%, $F$11)</f>
        <v>11.5014</v>
      </c>
      <c r="G380" s="8">
        <f>10.5203 * CHOOSE( CONTROL!$C$15, $D$11, 100%, $F$11)</f>
        <v>10.520300000000001</v>
      </c>
      <c r="H380" s="4">
        <f>11.4682 * CHOOSE(CONTROL!$C$15, $D$11, 100%, $F$11)</f>
        <v>11.4682</v>
      </c>
      <c r="I380" s="8">
        <f>10.4473 * CHOOSE(CONTROL!$C$15, $D$11, 100%, $F$11)</f>
        <v>10.4473</v>
      </c>
      <c r="J380" s="4">
        <f>10.3283 * CHOOSE(CONTROL!$C$15, $D$11, 100%, $F$11)</f>
        <v>10.3283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11.078, 11.0746) * CHOOSE(CONTROL!$C$15, $D$11, 100%, $F$11)</f>
        <v>11.077999999999999</v>
      </c>
      <c r="C381" s="8">
        <f>CHOOSE( CONTROL!$C$32, 11.0861, 11.0827) * CHOOSE(CONTROL!$C$15, $D$11, 100%, $F$11)</f>
        <v>11.0861</v>
      </c>
      <c r="D381" s="8">
        <f>CHOOSE( CONTROL!$C$32, 11.1117, 11.1083) * CHOOSE( CONTROL!$C$15, $D$11, 100%, $F$11)</f>
        <v>11.111700000000001</v>
      </c>
      <c r="E381" s="12">
        <f>CHOOSE( CONTROL!$C$32, 11.1012, 11.0978) * CHOOSE( CONTROL!$C$15, $D$11, 100%, $F$11)</f>
        <v>11.1012</v>
      </c>
      <c r="F381" s="4">
        <f>CHOOSE( CONTROL!$C$32, 11.7914, 11.788) * CHOOSE(CONTROL!$C$15, $D$11, 100%, $F$11)</f>
        <v>11.791399999999999</v>
      </c>
      <c r="G381" s="8">
        <f>CHOOSE( CONTROL!$C$32, 10.8043, 10.801) * CHOOSE( CONTROL!$C$15, $D$11, 100%, $F$11)</f>
        <v>10.8043</v>
      </c>
      <c r="H381" s="4">
        <f>CHOOSE( CONTROL!$C$32, 11.7515, 11.7482) * CHOOSE(CONTROL!$C$15, $D$11, 100%, $F$11)</f>
        <v>11.7515</v>
      </c>
      <c r="I381" s="8">
        <f>CHOOSE( CONTROL!$C$32, 10.726, 10.7227) * CHOOSE(CONTROL!$C$15, $D$11, 100%, $F$11)</f>
        <v>10.726000000000001</v>
      </c>
      <c r="J381" s="4">
        <f>CHOOSE( CONTROL!$C$32, 10.6068, 10.6035) * CHOOSE(CONTROL!$C$15, $D$11, 100%, $F$11)</f>
        <v>10.6068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10.9004, 10.897) * CHOOSE(CONTROL!$C$15, $D$11, 100%, $F$11)</f>
        <v>10.900399999999999</v>
      </c>
      <c r="C382" s="8">
        <f>CHOOSE( CONTROL!$C$32, 10.9085, 10.9051) * CHOOSE(CONTROL!$C$15, $D$11, 100%, $F$11)</f>
        <v>10.9085</v>
      </c>
      <c r="D382" s="8">
        <f>CHOOSE( CONTROL!$C$32, 10.9343, 10.9309) * CHOOSE( CONTROL!$C$15, $D$11, 100%, $F$11)</f>
        <v>10.9343</v>
      </c>
      <c r="E382" s="12">
        <f>CHOOSE( CONTROL!$C$32, 10.9237, 10.9203) * CHOOSE( CONTROL!$C$15, $D$11, 100%, $F$11)</f>
        <v>10.9237</v>
      </c>
      <c r="F382" s="4">
        <f>CHOOSE( CONTROL!$C$32, 11.6139, 11.6105) * CHOOSE(CONTROL!$C$15, $D$11, 100%, $F$11)</f>
        <v>11.613899999999999</v>
      </c>
      <c r="G382" s="8">
        <f>CHOOSE( CONTROL!$C$32, 10.6312, 10.6279) * CHOOSE( CONTROL!$C$15, $D$11, 100%, $F$11)</f>
        <v>10.6312</v>
      </c>
      <c r="H382" s="4">
        <f>CHOOSE( CONTROL!$C$32, 11.5781, 11.5748) * CHOOSE(CONTROL!$C$15, $D$11, 100%, $F$11)</f>
        <v>11.578099999999999</v>
      </c>
      <c r="I382" s="8">
        <f>CHOOSE( CONTROL!$C$32, 10.5564, 10.5531) * CHOOSE(CONTROL!$C$15, $D$11, 100%, $F$11)</f>
        <v>10.5564</v>
      </c>
      <c r="J382" s="4">
        <f>CHOOSE( CONTROL!$C$32, 10.4363, 10.433) * CHOOSE(CONTROL!$C$15, $D$11, 100%, $F$11)</f>
        <v>10.436299999999999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11.368, 11.3646) * CHOOSE(CONTROL!$C$15, $D$11, 100%, $F$11)</f>
        <v>11.368</v>
      </c>
      <c r="C383" s="8">
        <f>CHOOSE( CONTROL!$C$32, 11.3761, 11.3727) * CHOOSE(CONTROL!$C$15, $D$11, 100%, $F$11)</f>
        <v>11.376099999999999</v>
      </c>
      <c r="D383" s="8">
        <f>CHOOSE( CONTROL!$C$32, 11.4022, 11.3987) * CHOOSE( CONTROL!$C$15, $D$11, 100%, $F$11)</f>
        <v>11.402200000000001</v>
      </c>
      <c r="E383" s="12">
        <f>CHOOSE( CONTROL!$C$32, 11.3915, 11.388) * CHOOSE( CONTROL!$C$15, $D$11, 100%, $F$11)</f>
        <v>11.391500000000001</v>
      </c>
      <c r="F383" s="4">
        <f>CHOOSE( CONTROL!$C$32, 12.0815, 12.0781) * CHOOSE(CONTROL!$C$15, $D$11, 100%, $F$11)</f>
        <v>12.0815</v>
      </c>
      <c r="G383" s="8">
        <f>CHOOSE( CONTROL!$C$32, 11.0883, 11.0849) * CHOOSE( CONTROL!$C$15, $D$11, 100%, $F$11)</f>
        <v>11.0883</v>
      </c>
      <c r="H383" s="4">
        <f>CHOOSE( CONTROL!$C$32, 12.0348, 12.0315) * CHOOSE(CONTROL!$C$15, $D$11, 100%, $F$11)</f>
        <v>12.034800000000001</v>
      </c>
      <c r="I383" s="8">
        <f>CHOOSE( CONTROL!$C$32, 11.0067, 11.0034) * CHOOSE(CONTROL!$C$15, $D$11, 100%, $F$11)</f>
        <v>11.0067</v>
      </c>
      <c r="J383" s="4">
        <f>CHOOSE( CONTROL!$C$32, 10.8852, 10.882) * CHOOSE(CONTROL!$C$15, $D$11, 100%, $F$11)</f>
        <v>10.885199999999999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10.4931, 10.4897) * CHOOSE(CONTROL!$C$15, $D$11, 100%, $F$11)</f>
        <v>10.4931</v>
      </c>
      <c r="C384" s="8">
        <f>CHOOSE( CONTROL!$C$32, 10.5012, 10.4978) * CHOOSE(CONTROL!$C$15, $D$11, 100%, $F$11)</f>
        <v>10.501200000000001</v>
      </c>
      <c r="D384" s="8">
        <f>CHOOSE( CONTROL!$C$32, 10.5273, 10.5239) * CHOOSE( CONTROL!$C$15, $D$11, 100%, $F$11)</f>
        <v>10.5273</v>
      </c>
      <c r="E384" s="12">
        <f>CHOOSE( CONTROL!$C$32, 10.5166, 10.5132) * CHOOSE( CONTROL!$C$15, $D$11, 100%, $F$11)</f>
        <v>10.5166</v>
      </c>
      <c r="F384" s="4">
        <f>CHOOSE( CONTROL!$C$32, 11.2066, 11.2031) * CHOOSE(CONTROL!$C$15, $D$11, 100%, $F$11)</f>
        <v>11.2066</v>
      </c>
      <c r="G384" s="8">
        <f>CHOOSE( CONTROL!$C$32, 10.2339, 10.2305) * CHOOSE( CONTROL!$C$15, $D$11, 100%, $F$11)</f>
        <v>10.2339</v>
      </c>
      <c r="H384" s="4">
        <f>CHOOSE( CONTROL!$C$32, 11.1802, 11.1769) * CHOOSE(CONTROL!$C$15, $D$11, 100%, $F$11)</f>
        <v>11.180199999999999</v>
      </c>
      <c r="I384" s="8">
        <f>CHOOSE( CONTROL!$C$32, 10.1667, 10.1634) * CHOOSE(CONTROL!$C$15, $D$11, 100%, $F$11)</f>
        <v>10.166700000000001</v>
      </c>
      <c r="J384" s="4">
        <f>CHOOSE( CONTROL!$C$32, 10.0452, 10.0419) * CHOOSE(CONTROL!$C$15, $D$11, 100%, $F$11)</f>
        <v>10.045199999999999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10.274, 10.2706) * CHOOSE(CONTROL!$C$15, $D$11, 100%, $F$11)</f>
        <v>10.273999999999999</v>
      </c>
      <c r="C385" s="8">
        <f>CHOOSE( CONTROL!$C$32, 10.2821, 10.2787) * CHOOSE(CONTROL!$C$15, $D$11, 100%, $F$11)</f>
        <v>10.2821</v>
      </c>
      <c r="D385" s="8">
        <f>CHOOSE( CONTROL!$C$32, 10.3082, 10.3048) * CHOOSE( CONTROL!$C$15, $D$11, 100%, $F$11)</f>
        <v>10.308199999999999</v>
      </c>
      <c r="E385" s="12">
        <f>CHOOSE( CONTROL!$C$32, 10.2975, 10.2941) * CHOOSE( CONTROL!$C$15, $D$11, 100%, $F$11)</f>
        <v>10.297499999999999</v>
      </c>
      <c r="F385" s="4">
        <f>CHOOSE( CONTROL!$C$32, 10.9875, 10.9841) * CHOOSE(CONTROL!$C$15, $D$11, 100%, $F$11)</f>
        <v>10.987500000000001</v>
      </c>
      <c r="G385" s="8">
        <f>CHOOSE( CONTROL!$C$32, 10.0198, 10.0165) * CHOOSE( CONTROL!$C$15, $D$11, 100%, $F$11)</f>
        <v>10.0198</v>
      </c>
      <c r="H385" s="4">
        <f>CHOOSE( CONTROL!$C$32, 10.9663, 10.9629) * CHOOSE(CONTROL!$C$15, $D$11, 100%, $F$11)</f>
        <v>10.9663</v>
      </c>
      <c r="I385" s="8">
        <f>CHOOSE( CONTROL!$C$32, 9.9561, 9.9528) * CHOOSE(CONTROL!$C$15, $D$11, 100%, $F$11)</f>
        <v>9.9560999999999993</v>
      </c>
      <c r="J385" s="4">
        <f>CHOOSE( CONTROL!$C$32, 9.8349, 9.8316) * CHOOSE(CONTROL!$C$15, $D$11, 100%, $F$11)</f>
        <v>9.8348999999999993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10.7238 * CHOOSE(CONTROL!$C$15, $D$11, 100%, $F$11)</f>
        <v>10.723800000000001</v>
      </c>
      <c r="C386" s="8">
        <f>10.7292 * CHOOSE(CONTROL!$C$15, $D$11, 100%, $F$11)</f>
        <v>10.729200000000001</v>
      </c>
      <c r="D386" s="8">
        <f>10.7603 * CHOOSE( CONTROL!$C$15, $D$11, 100%, $F$11)</f>
        <v>10.760300000000001</v>
      </c>
      <c r="E386" s="12">
        <f>10.7495 * CHOOSE( CONTROL!$C$15, $D$11, 100%, $F$11)</f>
        <v>10.749499999999999</v>
      </c>
      <c r="F386" s="4">
        <f>11.439 * CHOOSE(CONTROL!$C$15, $D$11, 100%, $F$11)</f>
        <v>11.439</v>
      </c>
      <c r="G386" s="8">
        <f>10.4604 * CHOOSE( CONTROL!$C$15, $D$11, 100%, $F$11)</f>
        <v>10.4604</v>
      </c>
      <c r="H386" s="4">
        <f>11.4072 * CHOOSE(CONTROL!$C$15, $D$11, 100%, $F$11)</f>
        <v>11.4072</v>
      </c>
      <c r="I386" s="8">
        <f>10.3906 * CHOOSE(CONTROL!$C$15, $D$11, 100%, $F$11)</f>
        <v>10.390599999999999</v>
      </c>
      <c r="J386" s="4">
        <f>10.2684 * CHOOSE(CONTROL!$C$15, $D$11, 100%, $F$11)</f>
        <v>10.2684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11.5631 * CHOOSE(CONTROL!$C$15, $D$11, 100%, $F$11)</f>
        <v>11.5631</v>
      </c>
      <c r="C387" s="8">
        <f>11.5682 * CHOOSE(CONTROL!$C$15, $D$11, 100%, $F$11)</f>
        <v>11.568199999999999</v>
      </c>
      <c r="D387" s="8">
        <f>11.5611 * CHOOSE( CONTROL!$C$15, $D$11, 100%, $F$11)</f>
        <v>11.5611</v>
      </c>
      <c r="E387" s="12">
        <f>11.5632 * CHOOSE( CONTROL!$C$15, $D$11, 100%, $F$11)</f>
        <v>11.5632</v>
      </c>
      <c r="F387" s="4">
        <f>12.2135 * CHOOSE(CONTROL!$C$15, $D$11, 100%, $F$11)</f>
        <v>12.2135</v>
      </c>
      <c r="G387" s="8">
        <f>11.2935 * CHOOSE( CONTROL!$C$15, $D$11, 100%, $F$11)</f>
        <v>11.2935</v>
      </c>
      <c r="H387" s="4">
        <f>12.1638 * CHOOSE(CONTROL!$C$15, $D$11, 100%, $F$11)</f>
        <v>12.1638</v>
      </c>
      <c r="I387" s="8">
        <f>11.2406 * CHOOSE(CONTROL!$C$15, $D$11, 100%, $F$11)</f>
        <v>11.240600000000001</v>
      </c>
      <c r="J387" s="4">
        <f>11.0745 * CHOOSE(CONTROL!$C$15, $D$11, 100%, $F$11)</f>
        <v>11.0745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11.5421 * CHOOSE(CONTROL!$C$15, $D$11, 100%, $F$11)</f>
        <v>11.5421</v>
      </c>
      <c r="C388" s="8">
        <f>11.5473 * CHOOSE(CONTROL!$C$15, $D$11, 100%, $F$11)</f>
        <v>11.5473</v>
      </c>
      <c r="D388" s="8">
        <f>11.5416 * CHOOSE( CONTROL!$C$15, $D$11, 100%, $F$11)</f>
        <v>11.541600000000001</v>
      </c>
      <c r="E388" s="12">
        <f>11.5431 * CHOOSE( CONTROL!$C$15, $D$11, 100%, $F$11)</f>
        <v>11.543100000000001</v>
      </c>
      <c r="F388" s="4">
        <f>12.1925 * CHOOSE(CONTROL!$C$15, $D$11, 100%, $F$11)</f>
        <v>12.192500000000001</v>
      </c>
      <c r="G388" s="8">
        <f>11.274 * CHOOSE( CONTROL!$C$15, $D$11, 100%, $F$11)</f>
        <v>11.273999999999999</v>
      </c>
      <c r="H388" s="4">
        <f>12.1433 * CHOOSE(CONTROL!$C$15, $D$11, 100%, $F$11)</f>
        <v>12.1433</v>
      </c>
      <c r="I388" s="8">
        <f>11.2251 * CHOOSE(CONTROL!$C$15, $D$11, 100%, $F$11)</f>
        <v>11.225099999999999</v>
      </c>
      <c r="J388" s="4">
        <f>11.0544 * CHOOSE(CONTROL!$C$15, $D$11, 100%, $F$11)</f>
        <v>11.054399999999999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11.8817 * CHOOSE(CONTROL!$C$15, $D$11, 100%, $F$11)</f>
        <v>11.8817</v>
      </c>
      <c r="C389" s="8">
        <f>11.8869 * CHOOSE(CONTROL!$C$15, $D$11, 100%, $F$11)</f>
        <v>11.886900000000001</v>
      </c>
      <c r="D389" s="8">
        <f>11.867 * CHOOSE( CONTROL!$C$15, $D$11, 100%, $F$11)</f>
        <v>11.867000000000001</v>
      </c>
      <c r="E389" s="12">
        <f>11.8737 * CHOOSE( CONTROL!$C$15, $D$11, 100%, $F$11)</f>
        <v>11.873699999999999</v>
      </c>
      <c r="F389" s="4">
        <f>12.5322 * CHOOSE(CONTROL!$C$15, $D$11, 100%, $F$11)</f>
        <v>12.5322</v>
      </c>
      <c r="G389" s="8">
        <f>11.5889 * CHOOSE( CONTROL!$C$15, $D$11, 100%, $F$11)</f>
        <v>11.588900000000001</v>
      </c>
      <c r="H389" s="4">
        <f>12.475 * CHOOSE(CONTROL!$C$15, $D$11, 100%, $F$11)</f>
        <v>12.475</v>
      </c>
      <c r="I389" s="8">
        <f>11.5078 * CHOOSE(CONTROL!$C$15, $D$11, 100%, $F$11)</f>
        <v>11.5078</v>
      </c>
      <c r="J389" s="4">
        <f>11.3804 * CHOOSE(CONTROL!$C$15, $D$11, 100%, $F$11)</f>
        <v>11.3804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11.1154 * CHOOSE(CONTROL!$C$15, $D$11, 100%, $F$11)</f>
        <v>11.115399999999999</v>
      </c>
      <c r="C390" s="8">
        <f>11.1206 * CHOOSE(CONTROL!$C$15, $D$11, 100%, $F$11)</f>
        <v>11.1206</v>
      </c>
      <c r="D390" s="8">
        <f>11.1007 * CHOOSE( CONTROL!$C$15, $D$11, 100%, $F$11)</f>
        <v>11.1007</v>
      </c>
      <c r="E390" s="12">
        <f>11.1074 * CHOOSE( CONTROL!$C$15, $D$11, 100%, $F$11)</f>
        <v>11.1074</v>
      </c>
      <c r="F390" s="4">
        <f>11.7659 * CHOOSE(CONTROL!$C$15, $D$11, 100%, $F$11)</f>
        <v>11.7659</v>
      </c>
      <c r="G390" s="8">
        <f>10.8405 * CHOOSE( CONTROL!$C$15, $D$11, 100%, $F$11)</f>
        <v>10.8405</v>
      </c>
      <c r="H390" s="4">
        <f>11.7265 * CHOOSE(CONTROL!$C$15, $D$11, 100%, $F$11)</f>
        <v>11.7265</v>
      </c>
      <c r="I390" s="8">
        <f>10.7716 * CHOOSE(CONTROL!$C$15, $D$11, 100%, $F$11)</f>
        <v>10.771599999999999</v>
      </c>
      <c r="J390" s="4">
        <f>10.6447 * CHOOSE(CONTROL!$C$15, $D$11, 100%, $F$11)</f>
        <v>10.6447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10.8794 * CHOOSE(CONTROL!$C$15, $D$11, 100%, $F$11)</f>
        <v>10.8794</v>
      </c>
      <c r="C391" s="8">
        <f>10.8846 * CHOOSE(CONTROL!$C$15, $D$11, 100%, $F$11)</f>
        <v>10.884600000000001</v>
      </c>
      <c r="D391" s="8">
        <f>10.8643 * CHOOSE( CONTROL!$C$15, $D$11, 100%, $F$11)</f>
        <v>10.8643</v>
      </c>
      <c r="E391" s="12">
        <f>10.8712 * CHOOSE( CONTROL!$C$15, $D$11, 100%, $F$11)</f>
        <v>10.8712</v>
      </c>
      <c r="F391" s="4">
        <f>11.5298 * CHOOSE(CONTROL!$C$15, $D$11, 100%, $F$11)</f>
        <v>11.5298</v>
      </c>
      <c r="G391" s="8">
        <f>10.6097 * CHOOSE( CONTROL!$C$15, $D$11, 100%, $F$11)</f>
        <v>10.6097</v>
      </c>
      <c r="H391" s="4">
        <f>11.496 * CHOOSE(CONTROL!$C$15, $D$11, 100%, $F$11)</f>
        <v>11.496</v>
      </c>
      <c r="I391" s="8">
        <f>10.5438 * CHOOSE(CONTROL!$C$15, $D$11, 100%, $F$11)</f>
        <v>10.543799999999999</v>
      </c>
      <c r="J391" s="4">
        <f>10.4181 * CHOOSE(CONTROL!$C$15, $D$11, 100%, $F$11)</f>
        <v>10.418100000000001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11.0451 * CHOOSE(CONTROL!$C$15, $D$11, 100%, $F$11)</f>
        <v>11.0451</v>
      </c>
      <c r="C392" s="8">
        <f>11.0497 * CHOOSE(CONTROL!$C$15, $D$11, 100%, $F$11)</f>
        <v>11.0497</v>
      </c>
      <c r="D392" s="8">
        <f>11.0806 * CHOOSE( CONTROL!$C$15, $D$11, 100%, $F$11)</f>
        <v>11.0806</v>
      </c>
      <c r="E392" s="12">
        <f>11.0699 * CHOOSE( CONTROL!$C$15, $D$11, 100%, $F$11)</f>
        <v>11.069900000000001</v>
      </c>
      <c r="F392" s="4">
        <f>11.7599 * CHOOSE(CONTROL!$C$15, $D$11, 100%, $F$11)</f>
        <v>11.7599</v>
      </c>
      <c r="G392" s="8">
        <f>10.7728 * CHOOSE( CONTROL!$C$15, $D$11, 100%, $F$11)</f>
        <v>10.7728</v>
      </c>
      <c r="H392" s="4">
        <f>11.7207 * CHOOSE(CONTROL!$C$15, $D$11, 100%, $F$11)</f>
        <v>11.720700000000001</v>
      </c>
      <c r="I392" s="8">
        <f>10.6955 * CHOOSE(CONTROL!$C$15, $D$11, 100%, $F$11)</f>
        <v>10.695499999999999</v>
      </c>
      <c r="J392" s="4">
        <f>10.5765 * CHOOSE(CONTROL!$C$15, $D$11, 100%, $F$11)</f>
        <v>10.576499999999999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11.3434, 11.34) * CHOOSE(CONTROL!$C$15, $D$11, 100%, $F$11)</f>
        <v>11.343400000000001</v>
      </c>
      <c r="C393" s="8">
        <f>CHOOSE( CONTROL!$C$32, 11.3515, 11.348) * CHOOSE(CONTROL!$C$15, $D$11, 100%, $F$11)</f>
        <v>11.3515</v>
      </c>
      <c r="D393" s="8">
        <f>CHOOSE( CONTROL!$C$32, 11.3771, 11.3737) * CHOOSE( CONTROL!$C$15, $D$11, 100%, $F$11)</f>
        <v>11.3771</v>
      </c>
      <c r="E393" s="12">
        <f>CHOOSE( CONTROL!$C$32, 11.3666, 11.3632) * CHOOSE( CONTROL!$C$15, $D$11, 100%, $F$11)</f>
        <v>11.3666</v>
      </c>
      <c r="F393" s="4">
        <f>CHOOSE( CONTROL!$C$32, 12.0568, 12.0534) * CHOOSE(CONTROL!$C$15, $D$11, 100%, $F$11)</f>
        <v>12.056800000000001</v>
      </c>
      <c r="G393" s="8">
        <f>CHOOSE( CONTROL!$C$32, 11.0635, 11.0602) * CHOOSE( CONTROL!$C$15, $D$11, 100%, $F$11)</f>
        <v>11.063499999999999</v>
      </c>
      <c r="H393" s="4">
        <f>CHOOSE( CONTROL!$C$32, 12.0107, 12.0074) * CHOOSE(CONTROL!$C$15, $D$11, 100%, $F$11)</f>
        <v>12.0107</v>
      </c>
      <c r="I393" s="8">
        <f>CHOOSE( CONTROL!$C$32, 10.9809, 10.9776) * CHOOSE(CONTROL!$C$15, $D$11, 100%, $F$11)</f>
        <v>10.9809</v>
      </c>
      <c r="J393" s="4">
        <f>CHOOSE( CONTROL!$C$32, 10.8615, 10.8583) * CHOOSE(CONTROL!$C$15, $D$11, 100%, $F$11)</f>
        <v>10.861499999999999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11.1615, 11.1581) * CHOOSE(CONTROL!$C$15, $D$11, 100%, $F$11)</f>
        <v>11.1615</v>
      </c>
      <c r="C394" s="8">
        <f>CHOOSE( CONTROL!$C$32, 11.1696, 11.1662) * CHOOSE(CONTROL!$C$15, $D$11, 100%, $F$11)</f>
        <v>11.169600000000001</v>
      </c>
      <c r="D394" s="8">
        <f>CHOOSE( CONTROL!$C$32, 11.1954, 11.192) * CHOOSE( CONTROL!$C$15, $D$11, 100%, $F$11)</f>
        <v>11.195399999999999</v>
      </c>
      <c r="E394" s="12">
        <f>CHOOSE( CONTROL!$C$32, 11.1848, 11.1814) * CHOOSE( CONTROL!$C$15, $D$11, 100%, $F$11)</f>
        <v>11.184799999999999</v>
      </c>
      <c r="F394" s="4">
        <f>CHOOSE( CONTROL!$C$32, 11.875, 11.8716) * CHOOSE(CONTROL!$C$15, $D$11, 100%, $F$11)</f>
        <v>11.875</v>
      </c>
      <c r="G394" s="8">
        <f>CHOOSE( CONTROL!$C$32, 10.8862, 10.8829) * CHOOSE( CONTROL!$C$15, $D$11, 100%, $F$11)</f>
        <v>10.886200000000001</v>
      </c>
      <c r="H394" s="4">
        <f>CHOOSE( CONTROL!$C$32, 11.8331, 11.8298) * CHOOSE(CONTROL!$C$15, $D$11, 100%, $F$11)</f>
        <v>11.8331</v>
      </c>
      <c r="I394" s="8">
        <f>CHOOSE( CONTROL!$C$32, 10.8072, 10.8039) * CHOOSE(CONTROL!$C$15, $D$11, 100%, $F$11)</f>
        <v>10.8072</v>
      </c>
      <c r="J394" s="4">
        <f>CHOOSE( CONTROL!$C$32, 10.687, 10.6837) * CHOOSE(CONTROL!$C$15, $D$11, 100%, $F$11)</f>
        <v>10.686999999999999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11.6404, 11.637) * CHOOSE(CONTROL!$C$15, $D$11, 100%, $F$11)</f>
        <v>11.6404</v>
      </c>
      <c r="C395" s="8">
        <f>CHOOSE( CONTROL!$C$32, 11.6485, 11.645) * CHOOSE(CONTROL!$C$15, $D$11, 100%, $F$11)</f>
        <v>11.6485</v>
      </c>
      <c r="D395" s="8">
        <f>CHOOSE( CONTROL!$C$32, 11.6745, 11.6711) * CHOOSE( CONTROL!$C$15, $D$11, 100%, $F$11)</f>
        <v>11.6745</v>
      </c>
      <c r="E395" s="12">
        <f>CHOOSE( CONTROL!$C$32, 11.6638, 11.6604) * CHOOSE( CONTROL!$C$15, $D$11, 100%, $F$11)</f>
        <v>11.6638</v>
      </c>
      <c r="F395" s="4">
        <f>CHOOSE( CONTROL!$C$32, 12.3538, 12.3504) * CHOOSE(CONTROL!$C$15, $D$11, 100%, $F$11)</f>
        <v>12.3538</v>
      </c>
      <c r="G395" s="8">
        <f>CHOOSE( CONTROL!$C$32, 11.3542, 11.3509) * CHOOSE( CONTROL!$C$15, $D$11, 100%, $F$11)</f>
        <v>11.354200000000001</v>
      </c>
      <c r="H395" s="4">
        <f>CHOOSE( CONTROL!$C$32, 12.3008, 12.2974) * CHOOSE(CONTROL!$C$15, $D$11, 100%, $F$11)</f>
        <v>12.300800000000001</v>
      </c>
      <c r="I395" s="8">
        <f>CHOOSE( CONTROL!$C$32, 11.2683, 11.265) * CHOOSE(CONTROL!$C$15, $D$11, 100%, $F$11)</f>
        <v>11.2683</v>
      </c>
      <c r="J395" s="4">
        <f>CHOOSE( CONTROL!$C$32, 11.1467, 11.1434) * CHOOSE(CONTROL!$C$15, $D$11, 100%, $F$11)</f>
        <v>11.146699999999999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10.7444, 10.741) * CHOOSE(CONTROL!$C$15, $D$11, 100%, $F$11)</f>
        <v>10.744400000000001</v>
      </c>
      <c r="C396" s="8">
        <f>CHOOSE( CONTROL!$C$32, 10.7525, 10.7491) * CHOOSE(CONTROL!$C$15, $D$11, 100%, $F$11)</f>
        <v>10.7525</v>
      </c>
      <c r="D396" s="8">
        <f>CHOOSE( CONTROL!$C$32, 10.7786, 10.7752) * CHOOSE( CONTROL!$C$15, $D$11, 100%, $F$11)</f>
        <v>10.778600000000001</v>
      </c>
      <c r="E396" s="12">
        <f>CHOOSE( CONTROL!$C$32, 10.7679, 10.7645) * CHOOSE( CONTROL!$C$15, $D$11, 100%, $F$11)</f>
        <v>10.767899999999999</v>
      </c>
      <c r="F396" s="4">
        <f>CHOOSE( CONTROL!$C$32, 11.4579, 11.4545) * CHOOSE(CONTROL!$C$15, $D$11, 100%, $F$11)</f>
        <v>11.4579</v>
      </c>
      <c r="G396" s="8">
        <f>CHOOSE( CONTROL!$C$32, 10.4793, 10.476) * CHOOSE( CONTROL!$C$15, $D$11, 100%, $F$11)</f>
        <v>10.4793</v>
      </c>
      <c r="H396" s="4">
        <f>CHOOSE( CONTROL!$C$32, 11.4257, 11.4224) * CHOOSE(CONTROL!$C$15, $D$11, 100%, $F$11)</f>
        <v>11.425700000000001</v>
      </c>
      <c r="I396" s="8">
        <f>CHOOSE( CONTROL!$C$32, 10.4081, 10.4048) * CHOOSE(CONTROL!$C$15, $D$11, 100%, $F$11)</f>
        <v>10.408099999999999</v>
      </c>
      <c r="J396" s="4">
        <f>CHOOSE( CONTROL!$C$32, 10.2865, 10.2832) * CHOOSE(CONTROL!$C$15, $D$11, 100%, $F$11)</f>
        <v>10.2865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10.5201, 10.5167) * CHOOSE(CONTROL!$C$15, $D$11, 100%, $F$11)</f>
        <v>10.520099999999999</v>
      </c>
      <c r="C397" s="8">
        <f>CHOOSE( CONTROL!$C$32, 10.5282, 10.5248) * CHOOSE(CONTROL!$C$15, $D$11, 100%, $F$11)</f>
        <v>10.5282</v>
      </c>
      <c r="D397" s="8">
        <f>CHOOSE( CONTROL!$C$32, 10.5543, 10.5508) * CHOOSE( CONTROL!$C$15, $D$11, 100%, $F$11)</f>
        <v>10.5543</v>
      </c>
      <c r="E397" s="12">
        <f>CHOOSE( CONTROL!$C$32, 10.5436, 10.5401) * CHOOSE( CONTROL!$C$15, $D$11, 100%, $F$11)</f>
        <v>10.5436</v>
      </c>
      <c r="F397" s="4">
        <f>CHOOSE( CONTROL!$C$32, 11.2335, 11.2301) * CHOOSE(CONTROL!$C$15, $D$11, 100%, $F$11)</f>
        <v>11.233499999999999</v>
      </c>
      <c r="G397" s="8">
        <f>CHOOSE( CONTROL!$C$32, 10.2601, 10.2568) * CHOOSE( CONTROL!$C$15, $D$11, 100%, $F$11)</f>
        <v>10.2601</v>
      </c>
      <c r="H397" s="4">
        <f>CHOOSE( CONTROL!$C$32, 11.2066, 11.2032) * CHOOSE(CONTROL!$C$15, $D$11, 100%, $F$11)</f>
        <v>11.2066</v>
      </c>
      <c r="I397" s="8">
        <f>CHOOSE( CONTROL!$C$32, 10.1924, 10.1891) * CHOOSE(CONTROL!$C$15, $D$11, 100%, $F$11)</f>
        <v>10.192399999999999</v>
      </c>
      <c r="J397" s="4">
        <f>CHOOSE( CONTROL!$C$32, 10.0711, 10.0678) * CHOOSE(CONTROL!$C$15, $D$11, 100%, $F$11)</f>
        <v>10.071099999999999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10.9808 * CHOOSE(CONTROL!$C$15, $D$11, 100%, $F$11)</f>
        <v>10.9808</v>
      </c>
      <c r="C398" s="8">
        <f>10.9862 * CHOOSE(CONTROL!$C$15, $D$11, 100%, $F$11)</f>
        <v>10.9862</v>
      </c>
      <c r="D398" s="8">
        <f>11.0173 * CHOOSE( CONTROL!$C$15, $D$11, 100%, $F$11)</f>
        <v>11.017300000000001</v>
      </c>
      <c r="E398" s="12">
        <f>11.0065 * CHOOSE( CONTROL!$C$15, $D$11, 100%, $F$11)</f>
        <v>11.006500000000001</v>
      </c>
      <c r="F398" s="4">
        <f>11.6959 * CHOOSE(CONTROL!$C$15, $D$11, 100%, $F$11)</f>
        <v>11.6959</v>
      </c>
      <c r="G398" s="8">
        <f>10.7114 * CHOOSE( CONTROL!$C$15, $D$11, 100%, $F$11)</f>
        <v>10.711399999999999</v>
      </c>
      <c r="H398" s="4">
        <f>11.6582 * CHOOSE(CONTROL!$C$15, $D$11, 100%, $F$11)</f>
        <v>11.658200000000001</v>
      </c>
      <c r="I398" s="8">
        <f>10.6374 * CHOOSE(CONTROL!$C$15, $D$11, 100%, $F$11)</f>
        <v>10.6374</v>
      </c>
      <c r="J398" s="4">
        <f>10.5151 * CHOOSE(CONTROL!$C$15, $D$11, 100%, $F$11)</f>
        <v>10.5151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11.8402 * CHOOSE(CONTROL!$C$15, $D$11, 100%, $F$11)</f>
        <v>11.840199999999999</v>
      </c>
      <c r="C399" s="8">
        <f>11.8454 * CHOOSE(CONTROL!$C$15, $D$11, 100%, $F$11)</f>
        <v>11.8454</v>
      </c>
      <c r="D399" s="8">
        <f>11.8382 * CHOOSE( CONTROL!$C$15, $D$11, 100%, $F$11)</f>
        <v>11.838200000000001</v>
      </c>
      <c r="E399" s="12">
        <f>11.8403 * CHOOSE( CONTROL!$C$15, $D$11, 100%, $F$11)</f>
        <v>11.840299999999999</v>
      </c>
      <c r="F399" s="4">
        <f>12.4907 * CHOOSE(CONTROL!$C$15, $D$11, 100%, $F$11)</f>
        <v>12.4907</v>
      </c>
      <c r="G399" s="8">
        <f>11.5642 * CHOOSE( CONTROL!$C$15, $D$11, 100%, $F$11)</f>
        <v>11.5642</v>
      </c>
      <c r="H399" s="4">
        <f>12.4345 * CHOOSE(CONTROL!$C$15, $D$11, 100%, $F$11)</f>
        <v>12.4345</v>
      </c>
      <c r="I399" s="8">
        <f>11.5068 * CHOOSE(CONTROL!$C$15, $D$11, 100%, $F$11)</f>
        <v>11.5068</v>
      </c>
      <c r="J399" s="4">
        <f>11.3406 * CHOOSE(CONTROL!$C$15, $D$11, 100%, $F$11)</f>
        <v>11.3406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11.8187 * CHOOSE(CONTROL!$C$15, $D$11, 100%, $F$11)</f>
        <v>11.8187</v>
      </c>
      <c r="C400" s="8">
        <f>11.8239 * CHOOSE(CONTROL!$C$15, $D$11, 100%, $F$11)</f>
        <v>11.8239</v>
      </c>
      <c r="D400" s="8">
        <f>11.8182 * CHOOSE( CONTROL!$C$15, $D$11, 100%, $F$11)</f>
        <v>11.818199999999999</v>
      </c>
      <c r="E400" s="12">
        <f>11.8197 * CHOOSE( CONTROL!$C$15, $D$11, 100%, $F$11)</f>
        <v>11.819699999999999</v>
      </c>
      <c r="F400" s="4">
        <f>12.4692 * CHOOSE(CONTROL!$C$15, $D$11, 100%, $F$11)</f>
        <v>12.469200000000001</v>
      </c>
      <c r="G400" s="8">
        <f>11.5442 * CHOOSE( CONTROL!$C$15, $D$11, 100%, $F$11)</f>
        <v>11.5442</v>
      </c>
      <c r="H400" s="4">
        <f>12.4135 * CHOOSE(CONTROL!$C$15, $D$11, 100%, $F$11)</f>
        <v>12.413500000000001</v>
      </c>
      <c r="I400" s="8">
        <f>11.4908 * CHOOSE(CONTROL!$C$15, $D$11, 100%, $F$11)</f>
        <v>11.4908</v>
      </c>
      <c r="J400" s="4">
        <f>11.32 * CHOOSE(CONTROL!$C$15, $D$11, 100%, $F$11)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12.1665 * CHOOSE(CONTROL!$C$15, $D$11, 100%, $F$11)</f>
        <v>12.166499999999999</v>
      </c>
      <c r="C401" s="8">
        <f>12.1717 * CHOOSE(CONTROL!$C$15, $D$11, 100%, $F$11)</f>
        <v>12.1717</v>
      </c>
      <c r="D401" s="8">
        <f>12.1518 * CHOOSE( CONTROL!$C$15, $D$11, 100%, $F$11)</f>
        <v>12.1518</v>
      </c>
      <c r="E401" s="12">
        <f>12.1585 * CHOOSE( CONTROL!$C$15, $D$11, 100%, $F$11)</f>
        <v>12.1585</v>
      </c>
      <c r="F401" s="4">
        <f>12.817 * CHOOSE(CONTROL!$C$15, $D$11, 100%, $F$11)</f>
        <v>12.817</v>
      </c>
      <c r="G401" s="8">
        <f>11.8671 * CHOOSE( CONTROL!$C$15, $D$11, 100%, $F$11)</f>
        <v>11.867100000000001</v>
      </c>
      <c r="H401" s="4">
        <f>12.7531 * CHOOSE(CONTROL!$C$15, $D$11, 100%, $F$11)</f>
        <v>12.7531</v>
      </c>
      <c r="I401" s="8">
        <f>11.7814 * CHOOSE(CONTROL!$C$15, $D$11, 100%, $F$11)</f>
        <v>11.7814</v>
      </c>
      <c r="J401" s="4">
        <f>11.6539 * CHOOSE(CONTROL!$C$15, $D$11, 100%, $F$11)</f>
        <v>11.6539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11.3818 * CHOOSE(CONTROL!$C$15, $D$11, 100%, $F$11)</f>
        <v>11.3818</v>
      </c>
      <c r="C402" s="8">
        <f>11.387 * CHOOSE(CONTROL!$C$15, $D$11, 100%, $F$11)</f>
        <v>11.387</v>
      </c>
      <c r="D402" s="8">
        <f>11.3671 * CHOOSE( CONTROL!$C$15, $D$11, 100%, $F$11)</f>
        <v>11.367100000000001</v>
      </c>
      <c r="E402" s="12">
        <f>11.3738 * CHOOSE( CONTROL!$C$15, $D$11, 100%, $F$11)</f>
        <v>11.373799999999999</v>
      </c>
      <c r="F402" s="4">
        <f>12.0323 * CHOOSE(CONTROL!$C$15, $D$11, 100%, $F$11)</f>
        <v>12.032299999999999</v>
      </c>
      <c r="G402" s="8">
        <f>11.1006 * CHOOSE( CONTROL!$C$15, $D$11, 100%, $F$11)</f>
        <v>11.1006</v>
      </c>
      <c r="H402" s="4">
        <f>11.9867 * CHOOSE(CONTROL!$C$15, $D$11, 100%, $F$11)</f>
        <v>11.986700000000001</v>
      </c>
      <c r="I402" s="8">
        <f>11.0275 * CHOOSE(CONTROL!$C$15, $D$11, 100%, $F$11)</f>
        <v>11.0275</v>
      </c>
      <c r="J402" s="4">
        <f>10.9005 * CHOOSE(CONTROL!$C$15, $D$11, 100%, $F$11)</f>
        <v>10.900499999999999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11.1401 * CHOOSE(CONTROL!$C$15, $D$11, 100%, $F$11)</f>
        <v>11.1401</v>
      </c>
      <c r="C403" s="8">
        <f>11.1453 * CHOOSE(CONTROL!$C$15, $D$11, 100%, $F$11)</f>
        <v>11.145300000000001</v>
      </c>
      <c r="D403" s="8">
        <f>11.125 * CHOOSE( CONTROL!$C$15, $D$11, 100%, $F$11)</f>
        <v>11.125</v>
      </c>
      <c r="E403" s="12">
        <f>11.1319 * CHOOSE( CONTROL!$C$15, $D$11, 100%, $F$11)</f>
        <v>11.1319</v>
      </c>
      <c r="F403" s="4">
        <f>11.7906 * CHOOSE(CONTROL!$C$15, $D$11, 100%, $F$11)</f>
        <v>11.7906</v>
      </c>
      <c r="G403" s="8">
        <f>10.8643 * CHOOSE( CONTROL!$C$15, $D$11, 100%, $F$11)</f>
        <v>10.8643</v>
      </c>
      <c r="H403" s="4">
        <f>11.7507 * CHOOSE(CONTROL!$C$15, $D$11, 100%, $F$11)</f>
        <v>11.7507</v>
      </c>
      <c r="I403" s="8">
        <f>10.7942 * CHOOSE(CONTROL!$C$15, $D$11, 100%, $F$11)</f>
        <v>10.7942</v>
      </c>
      <c r="J403" s="4">
        <f>10.6684 * CHOOSE(CONTROL!$C$15, $D$11, 100%, $F$11)</f>
        <v>10.6684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11.3098 * CHOOSE(CONTROL!$C$15, $D$11, 100%, $F$11)</f>
        <v>11.309799999999999</v>
      </c>
      <c r="C404" s="8">
        <f>11.3144 * CHOOSE(CONTROL!$C$15, $D$11, 100%, $F$11)</f>
        <v>11.314399999999999</v>
      </c>
      <c r="D404" s="8">
        <f>11.3453 * CHOOSE( CONTROL!$C$15, $D$11, 100%, $F$11)</f>
        <v>11.3453</v>
      </c>
      <c r="E404" s="12">
        <f>11.3346 * CHOOSE( CONTROL!$C$15, $D$11, 100%, $F$11)</f>
        <v>11.3346</v>
      </c>
      <c r="F404" s="4">
        <f>12.0246 * CHOOSE(CONTROL!$C$15, $D$11, 100%, $F$11)</f>
        <v>12.0246</v>
      </c>
      <c r="G404" s="8">
        <f>11.0313 * CHOOSE( CONTROL!$C$15, $D$11, 100%, $F$11)</f>
        <v>11.0313</v>
      </c>
      <c r="H404" s="4">
        <f>11.9792 * CHOOSE(CONTROL!$C$15, $D$11, 100%, $F$11)</f>
        <v>11.979200000000001</v>
      </c>
      <c r="I404" s="8">
        <f>10.9498 * CHOOSE(CONTROL!$C$15, $D$11, 100%, $F$11)</f>
        <v>10.9498</v>
      </c>
      <c r="J404" s="4">
        <f>10.8306 * CHOOSE(CONTROL!$C$15, $D$11, 100%, $F$11)</f>
        <v>10.8306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11.6151, 11.6117) * CHOOSE(CONTROL!$C$15, $D$11, 100%, $F$11)</f>
        <v>11.6151</v>
      </c>
      <c r="C405" s="8">
        <f>CHOOSE( CONTROL!$C$32, 11.6232, 11.6198) * CHOOSE(CONTROL!$C$15, $D$11, 100%, $F$11)</f>
        <v>11.623200000000001</v>
      </c>
      <c r="D405" s="8">
        <f>CHOOSE( CONTROL!$C$32, 11.6488, 11.6454) * CHOOSE( CONTROL!$C$15, $D$11, 100%, $F$11)</f>
        <v>11.6488</v>
      </c>
      <c r="E405" s="12">
        <f>CHOOSE( CONTROL!$C$32, 11.6383, 11.6349) * CHOOSE( CONTROL!$C$15, $D$11, 100%, $F$11)</f>
        <v>11.638299999999999</v>
      </c>
      <c r="F405" s="4">
        <f>CHOOSE( CONTROL!$C$32, 12.3285, 12.3251) * CHOOSE(CONTROL!$C$15, $D$11, 100%, $F$11)</f>
        <v>12.3285</v>
      </c>
      <c r="G405" s="8">
        <f>CHOOSE( CONTROL!$C$32, 11.3289, 11.3256) * CHOOSE( CONTROL!$C$15, $D$11, 100%, $F$11)</f>
        <v>11.328900000000001</v>
      </c>
      <c r="H405" s="4">
        <f>CHOOSE( CONTROL!$C$32, 12.2761, 12.2728) * CHOOSE(CONTROL!$C$15, $D$11, 100%, $F$11)</f>
        <v>12.2761</v>
      </c>
      <c r="I405" s="8">
        <f>CHOOSE( CONTROL!$C$32, 11.2419, 11.2387) * CHOOSE(CONTROL!$C$15, $D$11, 100%, $F$11)</f>
        <v>11.241899999999999</v>
      </c>
      <c r="J405" s="4">
        <f>CHOOSE( CONTROL!$C$32, 11.1224, 11.1192) * CHOOSE(CONTROL!$C$15, $D$11, 100%, $F$11)</f>
        <v>11.122400000000001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11.4289, 11.4255) * CHOOSE(CONTROL!$C$15, $D$11, 100%, $F$11)</f>
        <v>11.428900000000001</v>
      </c>
      <c r="C406" s="8">
        <f>CHOOSE( CONTROL!$C$32, 11.437, 11.4336) * CHOOSE(CONTROL!$C$15, $D$11, 100%, $F$11)</f>
        <v>11.436999999999999</v>
      </c>
      <c r="D406" s="8">
        <f>CHOOSE( CONTROL!$C$32, 11.4628, 11.4594) * CHOOSE( CONTROL!$C$15, $D$11, 100%, $F$11)</f>
        <v>11.4628</v>
      </c>
      <c r="E406" s="12">
        <f>CHOOSE( CONTROL!$C$32, 11.4522, 11.4488) * CHOOSE( CONTROL!$C$15, $D$11, 100%, $F$11)</f>
        <v>11.452199999999999</v>
      </c>
      <c r="F406" s="4">
        <f>CHOOSE( CONTROL!$C$32, 12.1423, 12.1389) * CHOOSE(CONTROL!$C$15, $D$11, 100%, $F$11)</f>
        <v>12.142300000000001</v>
      </c>
      <c r="G406" s="8">
        <f>CHOOSE( CONTROL!$C$32, 11.1474, 11.144) * CHOOSE( CONTROL!$C$15, $D$11, 100%, $F$11)</f>
        <v>11.147399999999999</v>
      </c>
      <c r="H406" s="4">
        <f>CHOOSE( CONTROL!$C$32, 12.0942, 12.0909) * CHOOSE(CONTROL!$C$15, $D$11, 100%, $F$11)</f>
        <v>12.094200000000001</v>
      </c>
      <c r="I406" s="8">
        <f>CHOOSE( CONTROL!$C$32, 11.064, 11.0608) * CHOOSE(CONTROL!$C$15, $D$11, 100%, $F$11)</f>
        <v>11.064</v>
      </c>
      <c r="J406" s="4">
        <f>CHOOSE( CONTROL!$C$32, 10.9437, 10.9404) * CHOOSE(CONTROL!$C$15, $D$11, 100%, $F$11)</f>
        <v>10.9437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11.9192, 11.9158) * CHOOSE(CONTROL!$C$15, $D$11, 100%, $F$11)</f>
        <v>11.9192</v>
      </c>
      <c r="C407" s="8">
        <f>CHOOSE( CONTROL!$C$32, 11.9273, 11.9239) * CHOOSE(CONTROL!$C$15, $D$11, 100%, $F$11)</f>
        <v>11.927300000000001</v>
      </c>
      <c r="D407" s="8">
        <f>CHOOSE( CONTROL!$C$32, 11.9534, 11.95) * CHOOSE( CONTROL!$C$15, $D$11, 100%, $F$11)</f>
        <v>11.9534</v>
      </c>
      <c r="E407" s="12">
        <f>CHOOSE( CONTROL!$C$32, 11.9427, 11.9393) * CHOOSE( CONTROL!$C$15, $D$11, 100%, $F$11)</f>
        <v>11.9427</v>
      </c>
      <c r="F407" s="4">
        <f>CHOOSE( CONTROL!$C$32, 12.6327, 12.6293) * CHOOSE(CONTROL!$C$15, $D$11, 100%, $F$11)</f>
        <v>12.6327</v>
      </c>
      <c r="G407" s="8">
        <f>CHOOSE( CONTROL!$C$32, 11.6266, 11.6233) * CHOOSE( CONTROL!$C$15, $D$11, 100%, $F$11)</f>
        <v>11.6266</v>
      </c>
      <c r="H407" s="4">
        <f>CHOOSE( CONTROL!$C$32, 12.5731, 12.5698) * CHOOSE(CONTROL!$C$15, $D$11, 100%, $F$11)</f>
        <v>12.5731</v>
      </c>
      <c r="I407" s="8">
        <f>CHOOSE( CONTROL!$C$32, 11.5361, 11.5329) * CHOOSE(CONTROL!$C$15, $D$11, 100%, $F$11)</f>
        <v>11.536099999999999</v>
      </c>
      <c r="J407" s="4">
        <f>CHOOSE( CONTROL!$C$32, 11.4144, 11.4112) * CHOOSE(CONTROL!$C$15, $D$11, 100%, $F$11)</f>
        <v>11.414400000000001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11.0018, 10.9984) * CHOOSE(CONTROL!$C$15, $D$11, 100%, $F$11)</f>
        <v>11.001799999999999</v>
      </c>
      <c r="C408" s="8">
        <f>CHOOSE( CONTROL!$C$32, 11.0099, 11.0065) * CHOOSE(CONTROL!$C$15, $D$11, 100%, $F$11)</f>
        <v>11.0099</v>
      </c>
      <c r="D408" s="8">
        <f>CHOOSE( CONTROL!$C$32, 11.036, 11.0326) * CHOOSE( CONTROL!$C$15, $D$11, 100%, $F$11)</f>
        <v>11.036</v>
      </c>
      <c r="E408" s="12">
        <f>CHOOSE( CONTROL!$C$32, 11.0253, 11.0219) * CHOOSE( CONTROL!$C$15, $D$11, 100%, $F$11)</f>
        <v>11.0253</v>
      </c>
      <c r="F408" s="4">
        <f>CHOOSE( CONTROL!$C$32, 11.7152, 11.7118) * CHOOSE(CONTROL!$C$15, $D$11, 100%, $F$11)</f>
        <v>11.715199999999999</v>
      </c>
      <c r="G408" s="8">
        <f>CHOOSE( CONTROL!$C$32, 10.7307, 10.7273) * CHOOSE( CONTROL!$C$15, $D$11, 100%, $F$11)</f>
        <v>10.730700000000001</v>
      </c>
      <c r="H408" s="4">
        <f>CHOOSE( CONTROL!$C$32, 11.6771, 11.6737) * CHOOSE(CONTROL!$C$15, $D$11, 100%, $F$11)</f>
        <v>11.677099999999999</v>
      </c>
      <c r="I408" s="8">
        <f>CHOOSE( CONTROL!$C$32, 10.6553, 10.652) * CHOOSE(CONTROL!$C$15, $D$11, 100%, $F$11)</f>
        <v>10.6553</v>
      </c>
      <c r="J408" s="4">
        <f>CHOOSE( CONTROL!$C$32, 10.5336, 10.5303) * CHOOSE(CONTROL!$C$15, $D$11, 100%, $F$11)</f>
        <v>10.5336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10.772, 10.7686) * CHOOSE(CONTROL!$C$15, $D$11, 100%, $F$11)</f>
        <v>10.772</v>
      </c>
      <c r="C409" s="8">
        <f>CHOOSE( CONTROL!$C$32, 10.7801, 10.7767) * CHOOSE(CONTROL!$C$15, $D$11, 100%, $F$11)</f>
        <v>10.780099999999999</v>
      </c>
      <c r="D409" s="8">
        <f>CHOOSE( CONTROL!$C$32, 10.8062, 10.8028) * CHOOSE( CONTROL!$C$15, $D$11, 100%, $F$11)</f>
        <v>10.8062</v>
      </c>
      <c r="E409" s="12">
        <f>CHOOSE( CONTROL!$C$32, 10.7955, 10.7921) * CHOOSE( CONTROL!$C$15, $D$11, 100%, $F$11)</f>
        <v>10.795500000000001</v>
      </c>
      <c r="F409" s="4">
        <f>CHOOSE( CONTROL!$C$32, 11.4855, 11.4821) * CHOOSE(CONTROL!$C$15, $D$11, 100%, $F$11)</f>
        <v>11.4855</v>
      </c>
      <c r="G409" s="8">
        <f>CHOOSE( CONTROL!$C$32, 10.5062, 10.5029) * CHOOSE( CONTROL!$C$15, $D$11, 100%, $F$11)</f>
        <v>10.5062</v>
      </c>
      <c r="H409" s="4">
        <f>CHOOSE( CONTROL!$C$32, 11.4527, 11.4493) * CHOOSE(CONTROL!$C$15, $D$11, 100%, $F$11)</f>
        <v>11.4527</v>
      </c>
      <c r="I409" s="8">
        <f>CHOOSE( CONTROL!$C$32, 10.4344, 10.4312) * CHOOSE(CONTROL!$C$15, $D$11, 100%, $F$11)</f>
        <v>10.4344</v>
      </c>
      <c r="J409" s="4">
        <f>CHOOSE( CONTROL!$C$32, 10.313, 10.3097) * CHOOSE(CONTROL!$C$15, $D$11, 100%, $F$11)</f>
        <v>10.313000000000001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11.2439 * CHOOSE(CONTROL!$C$15, $D$11, 100%, $F$11)</f>
        <v>11.2439</v>
      </c>
      <c r="C410" s="8">
        <f>11.2494 * CHOOSE(CONTROL!$C$15, $D$11, 100%, $F$11)</f>
        <v>11.2494</v>
      </c>
      <c r="D410" s="8">
        <f>11.2805 * CHOOSE( CONTROL!$C$15, $D$11, 100%, $F$11)</f>
        <v>11.2805</v>
      </c>
      <c r="E410" s="12">
        <f>11.2696 * CHOOSE( CONTROL!$C$15, $D$11, 100%, $F$11)</f>
        <v>11.269600000000001</v>
      </c>
      <c r="F410" s="4">
        <f>11.9591 * CHOOSE(CONTROL!$C$15, $D$11, 100%, $F$11)</f>
        <v>11.959099999999999</v>
      </c>
      <c r="G410" s="8">
        <f>10.9684 * CHOOSE( CONTROL!$C$15, $D$11, 100%, $F$11)</f>
        <v>10.968400000000001</v>
      </c>
      <c r="H410" s="4">
        <f>11.9152 * CHOOSE(CONTROL!$C$15, $D$11, 100%, $F$11)</f>
        <v>11.9152</v>
      </c>
      <c r="I410" s="8">
        <f>10.8902 * CHOOSE(CONTROL!$C$15, $D$11, 100%, $F$11)</f>
        <v>10.8902</v>
      </c>
      <c r="J410" s="4">
        <f>10.7677 * CHOOSE(CONTROL!$C$15, $D$11, 100%, $F$11)</f>
        <v>10.7677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12.124 * CHOOSE(CONTROL!$C$15, $D$11, 100%, $F$11)</f>
        <v>12.124000000000001</v>
      </c>
      <c r="C411" s="8">
        <f>12.1292 * CHOOSE(CONTROL!$C$15, $D$11, 100%, $F$11)</f>
        <v>12.129200000000001</v>
      </c>
      <c r="D411" s="8">
        <f>12.1221 * CHOOSE( CONTROL!$C$15, $D$11, 100%, $F$11)</f>
        <v>12.1221</v>
      </c>
      <c r="E411" s="12">
        <f>12.1241 * CHOOSE( CONTROL!$C$15, $D$11, 100%, $F$11)</f>
        <v>12.1241</v>
      </c>
      <c r="F411" s="4">
        <f>12.7745 * CHOOSE(CONTROL!$C$15, $D$11, 100%, $F$11)</f>
        <v>12.7745</v>
      </c>
      <c r="G411" s="8">
        <f>11.8414 * CHOOSE( CONTROL!$C$15, $D$11, 100%, $F$11)</f>
        <v>11.8414</v>
      </c>
      <c r="H411" s="4">
        <f>12.7117 * CHOOSE(CONTROL!$C$15, $D$11, 100%, $F$11)</f>
        <v>12.7117</v>
      </c>
      <c r="I411" s="8">
        <f>11.7795 * CHOOSE(CONTROL!$C$15, $D$11, 100%, $F$11)</f>
        <v>11.779500000000001</v>
      </c>
      <c r="J411" s="4">
        <f>11.6131 * CHOOSE(CONTROL!$C$15, $D$11, 100%, $F$11)</f>
        <v>11.613099999999999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12.102 * CHOOSE(CONTROL!$C$15, $D$11, 100%, $F$11)</f>
        <v>12.102</v>
      </c>
      <c r="C412" s="8">
        <f>12.1072 * CHOOSE(CONTROL!$C$15, $D$11, 100%, $F$11)</f>
        <v>12.107200000000001</v>
      </c>
      <c r="D412" s="8">
        <f>12.1015 * CHOOSE( CONTROL!$C$15, $D$11, 100%, $F$11)</f>
        <v>12.1015</v>
      </c>
      <c r="E412" s="12">
        <f>12.103 * CHOOSE( CONTROL!$C$15, $D$11, 100%, $F$11)</f>
        <v>12.103</v>
      </c>
      <c r="F412" s="4">
        <f>12.7525 * CHOOSE(CONTROL!$C$15, $D$11, 100%, $F$11)</f>
        <v>12.7525</v>
      </c>
      <c r="G412" s="8">
        <f>11.8209 * CHOOSE( CONTROL!$C$15, $D$11, 100%, $F$11)</f>
        <v>11.8209</v>
      </c>
      <c r="H412" s="4">
        <f>12.6902 * CHOOSE(CONTROL!$C$15, $D$11, 100%, $F$11)</f>
        <v>12.690200000000001</v>
      </c>
      <c r="I412" s="8">
        <f>11.7629 * CHOOSE(CONTROL!$C$15, $D$11, 100%, $F$11)</f>
        <v>11.7629</v>
      </c>
      <c r="J412" s="4">
        <f>11.592 * CHOOSE(CONTROL!$C$15, $D$11, 100%, $F$11)</f>
        <v>11.592000000000001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12.4582 * CHOOSE(CONTROL!$C$15, $D$11, 100%, $F$11)</f>
        <v>12.4582</v>
      </c>
      <c r="C413" s="8">
        <f>12.4633 * CHOOSE(CONTROL!$C$15, $D$11, 100%, $F$11)</f>
        <v>12.4633</v>
      </c>
      <c r="D413" s="8">
        <f>12.4434 * CHOOSE( CONTROL!$C$15, $D$11, 100%, $F$11)</f>
        <v>12.4434</v>
      </c>
      <c r="E413" s="12">
        <f>12.4501 * CHOOSE( CONTROL!$C$15, $D$11, 100%, $F$11)</f>
        <v>12.450100000000001</v>
      </c>
      <c r="F413" s="4">
        <f>13.1086 * CHOOSE(CONTROL!$C$15, $D$11, 100%, $F$11)</f>
        <v>13.108599999999999</v>
      </c>
      <c r="G413" s="8">
        <f>12.1519 * CHOOSE( CONTROL!$C$15, $D$11, 100%, $F$11)</f>
        <v>12.151899999999999</v>
      </c>
      <c r="H413" s="4">
        <f>13.038 * CHOOSE(CONTROL!$C$15, $D$11, 100%, $F$11)</f>
        <v>13.038</v>
      </c>
      <c r="I413" s="8">
        <f>12.0615 * CHOOSE(CONTROL!$C$15, $D$11, 100%, $F$11)</f>
        <v>12.061500000000001</v>
      </c>
      <c r="J413" s="4">
        <f>11.9339 * CHOOSE(CONTROL!$C$15, $D$11, 100%, $F$11)</f>
        <v>11.9339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11.6546 * CHOOSE(CONTROL!$C$15, $D$11, 100%, $F$11)</f>
        <v>11.6546</v>
      </c>
      <c r="C414" s="8">
        <f>11.6598 * CHOOSE(CONTROL!$C$15, $D$11, 100%, $F$11)</f>
        <v>11.659800000000001</v>
      </c>
      <c r="D414" s="8">
        <f>11.6398 * CHOOSE( CONTROL!$C$15, $D$11, 100%, $F$11)</f>
        <v>11.639799999999999</v>
      </c>
      <c r="E414" s="12">
        <f>11.6466 * CHOOSE( CONTROL!$C$15, $D$11, 100%, $F$11)</f>
        <v>11.646599999999999</v>
      </c>
      <c r="F414" s="4">
        <f>12.3051 * CHOOSE(CONTROL!$C$15, $D$11, 100%, $F$11)</f>
        <v>12.305099999999999</v>
      </c>
      <c r="G414" s="8">
        <f>11.3671 * CHOOSE( CONTROL!$C$15, $D$11, 100%, $F$11)</f>
        <v>11.367100000000001</v>
      </c>
      <c r="H414" s="4">
        <f>12.2532 * CHOOSE(CONTROL!$C$15, $D$11, 100%, $F$11)</f>
        <v>12.2532</v>
      </c>
      <c r="I414" s="8">
        <f>11.2896 * CHOOSE(CONTROL!$C$15, $D$11, 100%, $F$11)</f>
        <v>11.2896</v>
      </c>
      <c r="J414" s="4">
        <f>11.1624 * CHOOSE(CONTROL!$C$15, $D$11, 100%, $F$11)</f>
        <v>11.1624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11.4071 * CHOOSE(CONTROL!$C$15, $D$11, 100%, $F$11)</f>
        <v>11.4071</v>
      </c>
      <c r="C415" s="8">
        <f>11.4123 * CHOOSE(CONTROL!$C$15, $D$11, 100%, $F$11)</f>
        <v>11.4123</v>
      </c>
      <c r="D415" s="8">
        <f>11.392 * CHOOSE( CONTROL!$C$15, $D$11, 100%, $F$11)</f>
        <v>11.391999999999999</v>
      </c>
      <c r="E415" s="12">
        <f>11.3989 * CHOOSE( CONTROL!$C$15, $D$11, 100%, $F$11)</f>
        <v>11.398899999999999</v>
      </c>
      <c r="F415" s="4">
        <f>12.0576 * CHOOSE(CONTROL!$C$15, $D$11, 100%, $F$11)</f>
        <v>12.057600000000001</v>
      </c>
      <c r="G415" s="8">
        <f>11.1251 * CHOOSE( CONTROL!$C$15, $D$11, 100%, $F$11)</f>
        <v>11.1251</v>
      </c>
      <c r="H415" s="4">
        <f>12.0114 * CHOOSE(CONTROL!$C$15, $D$11, 100%, $F$11)</f>
        <v>12.0114</v>
      </c>
      <c r="I415" s="8">
        <f>11.0507 * CHOOSE(CONTROL!$C$15, $D$11, 100%, $F$11)</f>
        <v>11.050700000000001</v>
      </c>
      <c r="J415" s="4">
        <f>10.9248 * CHOOSE(CONTROL!$C$15, $D$11, 100%, $F$11)</f>
        <v>10.924799999999999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11.5808 * CHOOSE(CONTROL!$C$15, $D$11, 100%, $F$11)</f>
        <v>11.5808</v>
      </c>
      <c r="C416" s="8">
        <f>11.5854 * CHOOSE(CONTROL!$C$15, $D$11, 100%, $F$11)</f>
        <v>11.5854</v>
      </c>
      <c r="D416" s="8">
        <f>11.6163 * CHOOSE( CONTROL!$C$15, $D$11, 100%, $F$11)</f>
        <v>11.616300000000001</v>
      </c>
      <c r="E416" s="12">
        <f>11.6056 * CHOOSE( CONTROL!$C$15, $D$11, 100%, $F$11)</f>
        <v>11.605600000000001</v>
      </c>
      <c r="F416" s="4">
        <f>12.2956 * CHOOSE(CONTROL!$C$15, $D$11, 100%, $F$11)</f>
        <v>12.2956</v>
      </c>
      <c r="G416" s="8">
        <f>11.296 * CHOOSE( CONTROL!$C$15, $D$11, 100%, $F$11)</f>
        <v>11.295999999999999</v>
      </c>
      <c r="H416" s="4">
        <f>12.2439 * CHOOSE(CONTROL!$C$15, $D$11, 100%, $F$11)</f>
        <v>12.2439</v>
      </c>
      <c r="I416" s="8">
        <f>11.2102 * CHOOSE(CONTROL!$C$15, $D$11, 100%, $F$11)</f>
        <v>11.2102</v>
      </c>
      <c r="J416" s="4">
        <f>11.0908 * CHOOSE(CONTROL!$C$15, $D$11, 100%, $F$11)</f>
        <v>11.0908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11.8934, 11.89) * CHOOSE(CONTROL!$C$15, $D$11, 100%, $F$11)</f>
        <v>11.8934</v>
      </c>
      <c r="C417" s="8">
        <f>CHOOSE( CONTROL!$C$32, 11.9015, 11.8981) * CHOOSE(CONTROL!$C$15, $D$11, 100%, $F$11)</f>
        <v>11.9015</v>
      </c>
      <c r="D417" s="8">
        <f>CHOOSE( CONTROL!$C$32, 11.9271, 11.9237) * CHOOSE( CONTROL!$C$15, $D$11, 100%, $F$11)</f>
        <v>11.927099999999999</v>
      </c>
      <c r="E417" s="12">
        <f>CHOOSE( CONTROL!$C$32, 11.9166, 11.9132) * CHOOSE( CONTROL!$C$15, $D$11, 100%, $F$11)</f>
        <v>11.916600000000001</v>
      </c>
      <c r="F417" s="4">
        <f>CHOOSE( CONTROL!$C$32, 12.6068, 12.6034) * CHOOSE(CONTROL!$C$15, $D$11, 100%, $F$11)</f>
        <v>12.6068</v>
      </c>
      <c r="G417" s="8">
        <f>CHOOSE( CONTROL!$C$32, 11.6007, 11.5974) * CHOOSE( CONTROL!$C$15, $D$11, 100%, $F$11)</f>
        <v>11.6007</v>
      </c>
      <c r="H417" s="4">
        <f>CHOOSE( CONTROL!$C$32, 12.5479, 12.5446) * CHOOSE(CONTROL!$C$15, $D$11, 100%, $F$11)</f>
        <v>12.5479</v>
      </c>
      <c r="I417" s="8">
        <f>CHOOSE( CONTROL!$C$32, 11.5092, 11.506) * CHOOSE(CONTROL!$C$15, $D$11, 100%, $F$11)</f>
        <v>11.5092</v>
      </c>
      <c r="J417" s="4">
        <f>CHOOSE( CONTROL!$C$32, 11.3896, 11.3863) * CHOOSE(CONTROL!$C$15, $D$11, 100%, $F$11)</f>
        <v>11.3896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11.7027, 11.6993) * CHOOSE(CONTROL!$C$15, $D$11, 100%, $F$11)</f>
        <v>11.7027</v>
      </c>
      <c r="C418" s="8">
        <f>CHOOSE( CONTROL!$C$32, 11.7108, 11.7074) * CHOOSE(CONTROL!$C$15, $D$11, 100%, $F$11)</f>
        <v>11.710800000000001</v>
      </c>
      <c r="D418" s="8">
        <f>CHOOSE( CONTROL!$C$32, 11.7366, 11.7332) * CHOOSE( CONTROL!$C$15, $D$11, 100%, $F$11)</f>
        <v>11.736599999999999</v>
      </c>
      <c r="E418" s="12">
        <f>CHOOSE( CONTROL!$C$32, 11.726, 11.7226) * CHOOSE( CONTROL!$C$15, $D$11, 100%, $F$11)</f>
        <v>11.726000000000001</v>
      </c>
      <c r="F418" s="4">
        <f>CHOOSE( CONTROL!$C$32, 12.4161, 12.4127) * CHOOSE(CONTROL!$C$15, $D$11, 100%, $F$11)</f>
        <v>12.4161</v>
      </c>
      <c r="G418" s="8">
        <f>CHOOSE( CONTROL!$C$32, 11.4148, 11.4115) * CHOOSE( CONTROL!$C$15, $D$11, 100%, $F$11)</f>
        <v>11.4148</v>
      </c>
      <c r="H418" s="4">
        <f>CHOOSE( CONTROL!$C$32, 12.3616, 12.3583) * CHOOSE(CONTROL!$C$15, $D$11, 100%, $F$11)</f>
        <v>12.361599999999999</v>
      </c>
      <c r="I418" s="8">
        <f>CHOOSE( CONTROL!$C$32, 11.327, 11.3238) * CHOOSE(CONTROL!$C$15, $D$11, 100%, $F$11)</f>
        <v>11.327</v>
      </c>
      <c r="J418" s="4">
        <f>CHOOSE( CONTROL!$C$32, 11.2065, 11.2033) * CHOOSE(CONTROL!$C$15, $D$11, 100%, $F$11)</f>
        <v>11.2065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12.2048, 12.2014) * CHOOSE(CONTROL!$C$15, $D$11, 100%, $F$11)</f>
        <v>12.204800000000001</v>
      </c>
      <c r="C419" s="8">
        <f>CHOOSE( CONTROL!$C$32, 12.2129, 12.2095) * CHOOSE(CONTROL!$C$15, $D$11, 100%, $F$11)</f>
        <v>12.212899999999999</v>
      </c>
      <c r="D419" s="8">
        <f>CHOOSE( CONTROL!$C$32, 12.2389, 12.2355) * CHOOSE( CONTROL!$C$15, $D$11, 100%, $F$11)</f>
        <v>12.238899999999999</v>
      </c>
      <c r="E419" s="12">
        <f>CHOOSE( CONTROL!$C$32, 12.2282, 12.2248) * CHOOSE( CONTROL!$C$15, $D$11, 100%, $F$11)</f>
        <v>12.228199999999999</v>
      </c>
      <c r="F419" s="4">
        <f>CHOOSE( CONTROL!$C$32, 12.9182, 12.9148) * CHOOSE(CONTROL!$C$15, $D$11, 100%, $F$11)</f>
        <v>12.918200000000001</v>
      </c>
      <c r="G419" s="8">
        <f>CHOOSE( CONTROL!$C$32, 11.9055, 11.9022) * CHOOSE( CONTROL!$C$15, $D$11, 100%, $F$11)</f>
        <v>11.9055</v>
      </c>
      <c r="H419" s="4">
        <f>CHOOSE( CONTROL!$C$32, 12.8521, 12.8487) * CHOOSE(CONTROL!$C$15, $D$11, 100%, $F$11)</f>
        <v>12.8521</v>
      </c>
      <c r="I419" s="8">
        <f>CHOOSE( CONTROL!$C$32, 11.8105, 11.8072) * CHOOSE(CONTROL!$C$15, $D$11, 100%, $F$11)</f>
        <v>11.810499999999999</v>
      </c>
      <c r="J419" s="4">
        <f>CHOOSE( CONTROL!$C$32, 11.6886, 11.6854) * CHOOSE(CONTROL!$C$15, $D$11, 100%, $F$11)</f>
        <v>11.688599999999999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11.2653, 11.2619) * CHOOSE(CONTROL!$C$15, $D$11, 100%, $F$11)</f>
        <v>11.2653</v>
      </c>
      <c r="C420" s="8">
        <f>CHOOSE( CONTROL!$C$32, 11.2734, 11.27) * CHOOSE(CONTROL!$C$15, $D$11, 100%, $F$11)</f>
        <v>11.273400000000001</v>
      </c>
      <c r="D420" s="8">
        <f>CHOOSE( CONTROL!$C$32, 11.2995, 11.2961) * CHOOSE( CONTROL!$C$15, $D$11, 100%, $F$11)</f>
        <v>11.2995</v>
      </c>
      <c r="E420" s="12">
        <f>CHOOSE( CONTROL!$C$32, 11.2888, 11.2854) * CHOOSE( CONTROL!$C$15, $D$11, 100%, $F$11)</f>
        <v>11.2888</v>
      </c>
      <c r="F420" s="4">
        <f>CHOOSE( CONTROL!$C$32, 11.9787, 11.9753) * CHOOSE(CONTROL!$C$15, $D$11, 100%, $F$11)</f>
        <v>11.9787</v>
      </c>
      <c r="G420" s="8">
        <f>CHOOSE( CONTROL!$C$32, 10.9881, 10.9847) * CHOOSE( CONTROL!$C$15, $D$11, 100%, $F$11)</f>
        <v>10.988099999999999</v>
      </c>
      <c r="H420" s="4">
        <f>CHOOSE( CONTROL!$C$32, 11.9344, 11.9311) * CHOOSE(CONTROL!$C$15, $D$11, 100%, $F$11)</f>
        <v>11.9344</v>
      </c>
      <c r="I420" s="8">
        <f>CHOOSE( CONTROL!$C$32, 10.9084, 10.9051) * CHOOSE(CONTROL!$C$15, $D$11, 100%, $F$11)</f>
        <v>10.9084</v>
      </c>
      <c r="J420" s="4">
        <f>CHOOSE( CONTROL!$C$32, 10.7866, 10.7833) * CHOOSE(CONTROL!$C$15, $D$11, 100%, $F$11)</f>
        <v>10.7866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11.03, 11.0266) * CHOOSE(CONTROL!$C$15, $D$11, 100%, $F$11)</f>
        <v>11.03</v>
      </c>
      <c r="C421" s="8">
        <f>CHOOSE( CONTROL!$C$32, 11.0381, 11.0347) * CHOOSE(CONTROL!$C$15, $D$11, 100%, $F$11)</f>
        <v>11.0381</v>
      </c>
      <c r="D421" s="8">
        <f>CHOOSE( CONTROL!$C$32, 11.0642, 11.0608) * CHOOSE( CONTROL!$C$15, $D$11, 100%, $F$11)</f>
        <v>11.0642</v>
      </c>
      <c r="E421" s="12">
        <f>CHOOSE( CONTROL!$C$32, 11.0535, 11.0501) * CHOOSE( CONTROL!$C$15, $D$11, 100%, $F$11)</f>
        <v>11.0535</v>
      </c>
      <c r="F421" s="4">
        <f>CHOOSE( CONTROL!$C$32, 11.7435, 11.7401) * CHOOSE(CONTROL!$C$15, $D$11, 100%, $F$11)</f>
        <v>11.743499999999999</v>
      </c>
      <c r="G421" s="8">
        <f>CHOOSE( CONTROL!$C$32, 10.7582, 10.7549) * CHOOSE( CONTROL!$C$15, $D$11, 100%, $F$11)</f>
        <v>10.7582</v>
      </c>
      <c r="H421" s="4">
        <f>CHOOSE( CONTROL!$C$32, 11.7047, 11.7013) * CHOOSE(CONTROL!$C$15, $D$11, 100%, $F$11)</f>
        <v>11.704700000000001</v>
      </c>
      <c r="I421" s="8">
        <f>CHOOSE( CONTROL!$C$32, 10.6823, 10.679) * CHOOSE(CONTROL!$C$15, $D$11, 100%, $F$11)</f>
        <v>10.6823</v>
      </c>
      <c r="J421" s="4">
        <f>CHOOSE( CONTROL!$C$32, 10.5607, 10.5574) * CHOOSE(CONTROL!$C$15, $D$11, 100%, $F$11)</f>
        <v>10.560700000000001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11.5134 * CHOOSE(CONTROL!$C$15, $D$11, 100%, $F$11)</f>
        <v>11.513400000000001</v>
      </c>
      <c r="C422" s="8">
        <f>11.5188 * CHOOSE(CONTROL!$C$15, $D$11, 100%, $F$11)</f>
        <v>11.518800000000001</v>
      </c>
      <c r="D422" s="8">
        <f>11.5499 * CHOOSE( CONTROL!$C$15, $D$11, 100%, $F$11)</f>
        <v>11.549899999999999</v>
      </c>
      <c r="E422" s="12">
        <f>11.5391 * CHOOSE( CONTROL!$C$15, $D$11, 100%, $F$11)</f>
        <v>11.539099999999999</v>
      </c>
      <c r="F422" s="4">
        <f>12.2286 * CHOOSE(CONTROL!$C$15, $D$11, 100%, $F$11)</f>
        <v>12.2286</v>
      </c>
      <c r="G422" s="8">
        <f>11.2316 * CHOOSE( CONTROL!$C$15, $D$11, 100%, $F$11)</f>
        <v>11.2316</v>
      </c>
      <c r="H422" s="4">
        <f>12.1784 * CHOOSE(CONTROL!$C$15, $D$11, 100%, $F$11)</f>
        <v>12.1784</v>
      </c>
      <c r="I422" s="8">
        <f>11.1491 * CHOOSE(CONTROL!$C$15, $D$11, 100%, $F$11)</f>
        <v>11.149100000000001</v>
      </c>
      <c r="J422" s="4">
        <f>11.0264 * CHOOSE(CONTROL!$C$15, $D$11, 100%, $F$11)</f>
        <v>11.026400000000001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12.4146 * CHOOSE(CONTROL!$C$15, $D$11, 100%, $F$11)</f>
        <v>12.4146</v>
      </c>
      <c r="C423" s="8">
        <f>12.4198 * CHOOSE(CONTROL!$C$15, $D$11, 100%, $F$11)</f>
        <v>12.4198</v>
      </c>
      <c r="D423" s="8">
        <f>12.4127 * CHOOSE( CONTROL!$C$15, $D$11, 100%, $F$11)</f>
        <v>12.412699999999999</v>
      </c>
      <c r="E423" s="12">
        <f>12.4147 * CHOOSE( CONTROL!$C$15, $D$11, 100%, $F$11)</f>
        <v>12.4147</v>
      </c>
      <c r="F423" s="4">
        <f>13.0651 * CHOOSE(CONTROL!$C$15, $D$11, 100%, $F$11)</f>
        <v>13.065099999999999</v>
      </c>
      <c r="G423" s="8">
        <f>12.1252 * CHOOSE( CONTROL!$C$15, $D$11, 100%, $F$11)</f>
        <v>12.1252</v>
      </c>
      <c r="H423" s="4">
        <f>12.9955 * CHOOSE(CONTROL!$C$15, $D$11, 100%, $F$11)</f>
        <v>12.9955</v>
      </c>
      <c r="I423" s="8">
        <f>12.0586 * CHOOSE(CONTROL!$C$15, $D$11, 100%, $F$11)</f>
        <v>12.0586</v>
      </c>
      <c r="J423" s="4">
        <f>11.8921 * CHOOSE(CONTROL!$C$15, $D$11, 100%, $F$11)</f>
        <v>11.892099999999999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12.3921 * CHOOSE(CONTROL!$C$15, $D$11, 100%, $F$11)</f>
        <v>12.392099999999999</v>
      </c>
      <c r="C424" s="8">
        <f>12.3973 * CHOOSE(CONTROL!$C$15, $D$11, 100%, $F$11)</f>
        <v>12.3973</v>
      </c>
      <c r="D424" s="8">
        <f>12.3916 * CHOOSE( CONTROL!$C$15, $D$11, 100%, $F$11)</f>
        <v>12.3916</v>
      </c>
      <c r="E424" s="12">
        <f>12.3931 * CHOOSE( CONTROL!$C$15, $D$11, 100%, $F$11)</f>
        <v>12.3931</v>
      </c>
      <c r="F424" s="4">
        <f>13.0426 * CHOOSE(CONTROL!$C$15, $D$11, 100%, $F$11)</f>
        <v>13.0426</v>
      </c>
      <c r="G424" s="8">
        <f>12.1043 * CHOOSE( CONTROL!$C$15, $D$11, 100%, $F$11)</f>
        <v>12.1043</v>
      </c>
      <c r="H424" s="4">
        <f>12.9735 * CHOOSE(CONTROL!$C$15, $D$11, 100%, $F$11)</f>
        <v>12.9735</v>
      </c>
      <c r="I424" s="8">
        <f>12.0416 * CHOOSE(CONTROL!$C$15, $D$11, 100%, $F$11)</f>
        <v>12.041600000000001</v>
      </c>
      <c r="J424" s="4">
        <f>11.8705 * CHOOSE(CONTROL!$C$15, $D$11, 100%, $F$11)</f>
        <v>11.8705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12.7568 * CHOOSE(CONTROL!$C$15, $D$11, 100%, $F$11)</f>
        <v>12.7568</v>
      </c>
      <c r="C425" s="8">
        <f>12.762 * CHOOSE(CONTROL!$C$15, $D$11, 100%, $F$11)</f>
        <v>12.762</v>
      </c>
      <c r="D425" s="8">
        <f>12.7421 * CHOOSE( CONTROL!$C$15, $D$11, 100%, $F$11)</f>
        <v>12.742100000000001</v>
      </c>
      <c r="E425" s="12">
        <f>12.7488 * CHOOSE( CONTROL!$C$15, $D$11, 100%, $F$11)</f>
        <v>12.748799999999999</v>
      </c>
      <c r="F425" s="4">
        <f>13.4073 * CHOOSE(CONTROL!$C$15, $D$11, 100%, $F$11)</f>
        <v>13.407299999999999</v>
      </c>
      <c r="G425" s="8">
        <f>12.4436 * CHOOSE( CONTROL!$C$15, $D$11, 100%, $F$11)</f>
        <v>12.4436</v>
      </c>
      <c r="H425" s="4">
        <f>13.3297 * CHOOSE(CONTROL!$C$15, $D$11, 100%, $F$11)</f>
        <v>13.329700000000001</v>
      </c>
      <c r="I425" s="8">
        <f>12.3484 * CHOOSE(CONTROL!$C$15, $D$11, 100%, $F$11)</f>
        <v>12.3484</v>
      </c>
      <c r="J425" s="4">
        <f>12.2206 * CHOOSE(CONTROL!$C$15, $D$11, 100%, $F$11)</f>
        <v>12.220599999999999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11.9339 * CHOOSE(CONTROL!$C$15, $D$11, 100%, $F$11)</f>
        <v>11.9339</v>
      </c>
      <c r="C426" s="8">
        <f>11.9391 * CHOOSE(CONTROL!$C$15, $D$11, 100%, $F$11)</f>
        <v>11.9391</v>
      </c>
      <c r="D426" s="8">
        <f>11.9192 * CHOOSE( CONTROL!$C$15, $D$11, 100%, $F$11)</f>
        <v>11.9192</v>
      </c>
      <c r="E426" s="12">
        <f>11.9259 * CHOOSE( CONTROL!$C$15, $D$11, 100%, $F$11)</f>
        <v>11.9259</v>
      </c>
      <c r="F426" s="4">
        <f>12.5844 * CHOOSE(CONTROL!$C$15, $D$11, 100%, $F$11)</f>
        <v>12.5844</v>
      </c>
      <c r="G426" s="8">
        <f>11.6399 * CHOOSE( CONTROL!$C$15, $D$11, 100%, $F$11)</f>
        <v>11.639900000000001</v>
      </c>
      <c r="H426" s="4">
        <f>12.526 * CHOOSE(CONTROL!$C$15, $D$11, 100%, $F$11)</f>
        <v>12.526</v>
      </c>
      <c r="I426" s="8">
        <f>11.5579 * CHOOSE(CONTROL!$C$15, $D$11, 100%, $F$11)</f>
        <v>11.5579</v>
      </c>
      <c r="J426" s="4">
        <f>11.4306 * CHOOSE(CONTROL!$C$15, $D$11, 100%, $F$11)</f>
        <v>11.4306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11.6805 * CHOOSE(CONTROL!$C$15, $D$11, 100%, $F$11)</f>
        <v>11.6805</v>
      </c>
      <c r="C427" s="8">
        <f>11.6857 * CHOOSE(CONTROL!$C$15, $D$11, 100%, $F$11)</f>
        <v>11.685700000000001</v>
      </c>
      <c r="D427" s="8">
        <f>11.6654 * CHOOSE( CONTROL!$C$15, $D$11, 100%, $F$11)</f>
        <v>11.6654</v>
      </c>
      <c r="E427" s="12">
        <f>11.6723 * CHOOSE( CONTROL!$C$15, $D$11, 100%, $F$11)</f>
        <v>11.6723</v>
      </c>
      <c r="F427" s="4">
        <f>12.331 * CHOOSE(CONTROL!$C$15, $D$11, 100%, $F$11)</f>
        <v>12.331</v>
      </c>
      <c r="G427" s="8">
        <f>11.3921 * CHOOSE( CONTROL!$C$15, $D$11, 100%, $F$11)</f>
        <v>11.392099999999999</v>
      </c>
      <c r="H427" s="4">
        <f>12.2785 * CHOOSE(CONTROL!$C$15, $D$11, 100%, $F$11)</f>
        <v>12.278499999999999</v>
      </c>
      <c r="I427" s="8">
        <f>11.3133 * CHOOSE(CONTROL!$C$15, $D$11, 100%, $F$11)</f>
        <v>11.3133</v>
      </c>
      <c r="J427" s="4">
        <f>11.1873 * CHOOSE(CONTROL!$C$15, $D$11, 100%, $F$11)</f>
        <v>11.1873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11.8584 * CHOOSE(CONTROL!$C$15, $D$11, 100%, $F$11)</f>
        <v>11.8584</v>
      </c>
      <c r="C428" s="8">
        <f>11.863 * CHOOSE(CONTROL!$C$15, $D$11, 100%, $F$11)</f>
        <v>11.863</v>
      </c>
      <c r="D428" s="8">
        <f>11.8939 * CHOOSE( CONTROL!$C$15, $D$11, 100%, $F$11)</f>
        <v>11.8939</v>
      </c>
      <c r="E428" s="12">
        <f>11.8832 * CHOOSE( CONTROL!$C$15, $D$11, 100%, $F$11)</f>
        <v>11.8832</v>
      </c>
      <c r="F428" s="4">
        <f>12.5732 * CHOOSE(CONTROL!$C$15, $D$11, 100%, $F$11)</f>
        <v>12.5732</v>
      </c>
      <c r="G428" s="8">
        <f>11.5671 * CHOOSE( CONTROL!$C$15, $D$11, 100%, $F$11)</f>
        <v>11.5671</v>
      </c>
      <c r="H428" s="4">
        <f>12.515 * CHOOSE(CONTROL!$C$15, $D$11, 100%, $F$11)</f>
        <v>12.515000000000001</v>
      </c>
      <c r="I428" s="8">
        <f>11.4768 * CHOOSE(CONTROL!$C$15, $D$11, 100%, $F$11)</f>
        <v>11.476800000000001</v>
      </c>
      <c r="J428" s="4">
        <f>11.3573 * CHOOSE(CONTROL!$C$15, $D$11, 100%, $F$11)</f>
        <v>11.3573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12.1783, 12.1749) * CHOOSE(CONTROL!$C$15, $D$11, 100%, $F$11)</f>
        <v>12.1783</v>
      </c>
      <c r="C429" s="8">
        <f>CHOOSE( CONTROL!$C$32, 12.1864, 12.183) * CHOOSE(CONTROL!$C$15, $D$11, 100%, $F$11)</f>
        <v>12.186400000000001</v>
      </c>
      <c r="D429" s="8">
        <f>CHOOSE( CONTROL!$C$32, 12.212, 12.2086) * CHOOSE( CONTROL!$C$15, $D$11, 100%, $F$11)</f>
        <v>12.212</v>
      </c>
      <c r="E429" s="12">
        <f>CHOOSE( CONTROL!$C$32, 12.2015, 12.1981) * CHOOSE( CONTROL!$C$15, $D$11, 100%, $F$11)</f>
        <v>12.201499999999999</v>
      </c>
      <c r="F429" s="4">
        <f>CHOOSE( CONTROL!$C$32, 12.8918, 12.8884) * CHOOSE(CONTROL!$C$15, $D$11, 100%, $F$11)</f>
        <v>12.8918</v>
      </c>
      <c r="G429" s="8">
        <f>CHOOSE( CONTROL!$C$32, 11.879, 11.8757) * CHOOSE( CONTROL!$C$15, $D$11, 100%, $F$11)</f>
        <v>11.879</v>
      </c>
      <c r="H429" s="4">
        <f>CHOOSE( CONTROL!$C$32, 12.8262, 12.8229) * CHOOSE(CONTROL!$C$15, $D$11, 100%, $F$11)</f>
        <v>12.8262</v>
      </c>
      <c r="I429" s="8">
        <f>CHOOSE( CONTROL!$C$32, 11.783, 11.7797) * CHOOSE(CONTROL!$C$15, $D$11, 100%, $F$11)</f>
        <v>11.782999999999999</v>
      </c>
      <c r="J429" s="4">
        <f>CHOOSE( CONTROL!$C$32, 11.6632, 11.6599) * CHOOSE(CONTROL!$C$15, $D$11, 100%, $F$11)</f>
        <v>11.6632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11.9831, 11.9797) * CHOOSE(CONTROL!$C$15, $D$11, 100%, $F$11)</f>
        <v>11.9831</v>
      </c>
      <c r="C430" s="8">
        <f>CHOOSE( CONTROL!$C$32, 11.9912, 11.9878) * CHOOSE(CONTROL!$C$15, $D$11, 100%, $F$11)</f>
        <v>11.991199999999999</v>
      </c>
      <c r="D430" s="8">
        <f>CHOOSE( CONTROL!$C$32, 12.017, 12.0136) * CHOOSE( CONTROL!$C$15, $D$11, 100%, $F$11)</f>
        <v>12.016999999999999</v>
      </c>
      <c r="E430" s="12">
        <f>CHOOSE( CONTROL!$C$32, 12.0064, 12.003) * CHOOSE( CONTROL!$C$15, $D$11, 100%, $F$11)</f>
        <v>12.006399999999999</v>
      </c>
      <c r="F430" s="4">
        <f>CHOOSE( CONTROL!$C$32, 12.6965, 12.6931) * CHOOSE(CONTROL!$C$15, $D$11, 100%, $F$11)</f>
        <v>12.6965</v>
      </c>
      <c r="G430" s="8">
        <f>CHOOSE( CONTROL!$C$32, 11.6886, 11.6853) * CHOOSE( CONTROL!$C$15, $D$11, 100%, $F$11)</f>
        <v>11.688599999999999</v>
      </c>
      <c r="H430" s="4">
        <f>CHOOSE( CONTROL!$C$32, 12.6355, 12.6322) * CHOOSE(CONTROL!$C$15, $D$11, 100%, $F$11)</f>
        <v>12.6355</v>
      </c>
      <c r="I430" s="8">
        <f>CHOOSE( CONTROL!$C$32, 11.5964, 11.5931) * CHOOSE(CONTROL!$C$15, $D$11, 100%, $F$11)</f>
        <v>11.596399999999999</v>
      </c>
      <c r="J430" s="4">
        <f>CHOOSE( CONTROL!$C$32, 11.4757, 11.4725) * CHOOSE(CONTROL!$C$15, $D$11, 100%, $F$11)</f>
        <v>11.4757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12.4973, 12.4938) * CHOOSE(CONTROL!$C$15, $D$11, 100%, $F$11)</f>
        <v>12.497299999999999</v>
      </c>
      <c r="C431" s="8">
        <f>CHOOSE( CONTROL!$C$32, 12.5053, 12.5019) * CHOOSE(CONTROL!$C$15, $D$11, 100%, $F$11)</f>
        <v>12.5053</v>
      </c>
      <c r="D431" s="8">
        <f>CHOOSE( CONTROL!$C$32, 12.5314, 12.528) * CHOOSE( CONTROL!$C$15, $D$11, 100%, $F$11)</f>
        <v>12.5314</v>
      </c>
      <c r="E431" s="12">
        <f>CHOOSE( CONTROL!$C$32, 12.5207, 12.5173) * CHOOSE( CONTROL!$C$15, $D$11, 100%, $F$11)</f>
        <v>12.5207</v>
      </c>
      <c r="F431" s="4">
        <f>CHOOSE( CONTROL!$C$32, 13.2107, 13.2073) * CHOOSE(CONTROL!$C$15, $D$11, 100%, $F$11)</f>
        <v>13.210699999999999</v>
      </c>
      <c r="G431" s="8">
        <f>CHOOSE( CONTROL!$C$32, 12.1912, 12.1878) * CHOOSE( CONTROL!$C$15, $D$11, 100%, $F$11)</f>
        <v>12.1912</v>
      </c>
      <c r="H431" s="4">
        <f>CHOOSE( CONTROL!$C$32, 13.1377, 13.1344) * CHOOSE(CONTROL!$C$15, $D$11, 100%, $F$11)</f>
        <v>13.137700000000001</v>
      </c>
      <c r="I431" s="8">
        <f>CHOOSE( CONTROL!$C$32, 12.0914, 12.0881) * CHOOSE(CONTROL!$C$15, $D$11, 100%, $F$11)</f>
        <v>12.0914</v>
      </c>
      <c r="J431" s="4">
        <f>CHOOSE( CONTROL!$C$32, 11.9694, 11.9661) * CHOOSE(CONTROL!$C$15, $D$11, 100%, $F$11)</f>
        <v>11.9694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11.5352, 11.5318) * CHOOSE(CONTROL!$C$15, $D$11, 100%, $F$11)</f>
        <v>11.5352</v>
      </c>
      <c r="C432" s="8">
        <f>CHOOSE( CONTROL!$C$32, 11.5433, 11.5398) * CHOOSE(CONTROL!$C$15, $D$11, 100%, $F$11)</f>
        <v>11.5433</v>
      </c>
      <c r="D432" s="8">
        <f>CHOOSE( CONTROL!$C$32, 11.5694, 11.566) * CHOOSE( CONTROL!$C$15, $D$11, 100%, $F$11)</f>
        <v>11.5694</v>
      </c>
      <c r="E432" s="12">
        <f>CHOOSE( CONTROL!$C$32, 11.5587, 11.5553) * CHOOSE( CONTROL!$C$15, $D$11, 100%, $F$11)</f>
        <v>11.5587</v>
      </c>
      <c r="F432" s="4">
        <f>CHOOSE( CONTROL!$C$32, 12.2486, 12.2452) * CHOOSE(CONTROL!$C$15, $D$11, 100%, $F$11)</f>
        <v>12.2486</v>
      </c>
      <c r="G432" s="8">
        <f>CHOOSE( CONTROL!$C$32, 11.2516, 11.2483) * CHOOSE( CONTROL!$C$15, $D$11, 100%, $F$11)</f>
        <v>11.2516</v>
      </c>
      <c r="H432" s="4">
        <f>CHOOSE( CONTROL!$C$32, 12.198, 12.1947) * CHOOSE(CONTROL!$C$15, $D$11, 100%, $F$11)</f>
        <v>12.198</v>
      </c>
      <c r="I432" s="8">
        <f>CHOOSE( CONTROL!$C$32, 11.1676, 11.1644) * CHOOSE(CONTROL!$C$15, $D$11, 100%, $F$11)</f>
        <v>11.1676</v>
      </c>
      <c r="J432" s="4">
        <f>CHOOSE( CONTROL!$C$32, 11.0457, 11.0424) * CHOOSE(CONTROL!$C$15, $D$11, 100%, $F$11)</f>
        <v>11.0457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11.2943, 11.2908) * CHOOSE(CONTROL!$C$15, $D$11, 100%, $F$11)</f>
        <v>11.2943</v>
      </c>
      <c r="C433" s="8">
        <f>CHOOSE( CONTROL!$C$32, 11.3023, 11.2989) * CHOOSE(CONTROL!$C$15, $D$11, 100%, $F$11)</f>
        <v>11.302300000000001</v>
      </c>
      <c r="D433" s="8">
        <f>CHOOSE( CONTROL!$C$32, 11.3284, 11.325) * CHOOSE( CONTROL!$C$15, $D$11, 100%, $F$11)</f>
        <v>11.3284</v>
      </c>
      <c r="E433" s="12">
        <f>CHOOSE( CONTROL!$C$32, 11.3177, 11.3143) * CHOOSE( CONTROL!$C$15, $D$11, 100%, $F$11)</f>
        <v>11.3177</v>
      </c>
      <c r="F433" s="4">
        <f>CHOOSE( CONTROL!$C$32, 12.0077, 12.0043) * CHOOSE(CONTROL!$C$15, $D$11, 100%, $F$11)</f>
        <v>12.0077</v>
      </c>
      <c r="G433" s="8">
        <f>CHOOSE( CONTROL!$C$32, 11.0163, 11.013) * CHOOSE( CONTROL!$C$15, $D$11, 100%, $F$11)</f>
        <v>11.016299999999999</v>
      </c>
      <c r="H433" s="4">
        <f>CHOOSE( CONTROL!$C$32, 11.9627, 11.9594) * CHOOSE(CONTROL!$C$15, $D$11, 100%, $F$11)</f>
        <v>11.9627</v>
      </c>
      <c r="I433" s="8">
        <f>CHOOSE( CONTROL!$C$32, 10.9361, 10.9328) * CHOOSE(CONTROL!$C$15, $D$11, 100%, $F$11)</f>
        <v>10.9361</v>
      </c>
      <c r="J433" s="4">
        <f>CHOOSE( CONTROL!$C$32, 10.8144, 10.8111) * CHOOSE(CONTROL!$C$15, $D$11, 100%, $F$11)</f>
        <v>10.814399999999999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11.7893 * CHOOSE(CONTROL!$C$15, $D$11, 100%, $F$11)</f>
        <v>11.789300000000001</v>
      </c>
      <c r="C434" s="8">
        <f>11.7948 * CHOOSE(CONTROL!$C$15, $D$11, 100%, $F$11)</f>
        <v>11.7948</v>
      </c>
      <c r="D434" s="8">
        <f>11.8259 * CHOOSE( CONTROL!$C$15, $D$11, 100%, $F$11)</f>
        <v>11.825900000000001</v>
      </c>
      <c r="E434" s="12">
        <f>11.815 * CHOOSE( CONTROL!$C$15, $D$11, 100%, $F$11)</f>
        <v>11.815</v>
      </c>
      <c r="F434" s="4">
        <f>12.5045 * CHOOSE(CONTROL!$C$15, $D$11, 100%, $F$11)</f>
        <v>12.5045</v>
      </c>
      <c r="G434" s="8">
        <f>11.5011 * CHOOSE( CONTROL!$C$15, $D$11, 100%, $F$11)</f>
        <v>11.501099999999999</v>
      </c>
      <c r="H434" s="4">
        <f>12.448 * CHOOSE(CONTROL!$C$15, $D$11, 100%, $F$11)</f>
        <v>12.448</v>
      </c>
      <c r="I434" s="8">
        <f>11.4141 * CHOOSE(CONTROL!$C$15, $D$11, 100%, $F$11)</f>
        <v>11.414099999999999</v>
      </c>
      <c r="J434" s="4">
        <f>11.2914 * CHOOSE(CONTROL!$C$15, $D$11, 100%, $F$11)</f>
        <v>11.291399999999999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12.7123 * CHOOSE(CONTROL!$C$15, $D$11, 100%, $F$11)</f>
        <v>12.712300000000001</v>
      </c>
      <c r="C435" s="8">
        <f>12.7174 * CHOOSE(CONTROL!$C$15, $D$11, 100%, $F$11)</f>
        <v>12.7174</v>
      </c>
      <c r="D435" s="8">
        <f>12.7103 * CHOOSE( CONTROL!$C$15, $D$11, 100%, $F$11)</f>
        <v>12.7103</v>
      </c>
      <c r="E435" s="12">
        <f>12.7124 * CHOOSE( CONTROL!$C$15, $D$11, 100%, $F$11)</f>
        <v>12.712400000000001</v>
      </c>
      <c r="F435" s="4">
        <f>13.3627 * CHOOSE(CONTROL!$C$15, $D$11, 100%, $F$11)</f>
        <v>13.3627</v>
      </c>
      <c r="G435" s="8">
        <f>12.4159 * CHOOSE( CONTROL!$C$15, $D$11, 100%, $F$11)</f>
        <v>12.415900000000001</v>
      </c>
      <c r="H435" s="4">
        <f>13.2862 * CHOOSE(CONTROL!$C$15, $D$11, 100%, $F$11)</f>
        <v>13.286199999999999</v>
      </c>
      <c r="I435" s="8">
        <f>12.3445 * CHOOSE(CONTROL!$C$15, $D$11, 100%, $F$11)</f>
        <v>12.3445</v>
      </c>
      <c r="J435" s="4">
        <f>12.1779 * CHOOSE(CONTROL!$C$15, $D$11, 100%, $F$11)</f>
        <v>12.177899999999999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12.6892 * CHOOSE(CONTROL!$C$15, $D$11, 100%, $F$11)</f>
        <v>12.6892</v>
      </c>
      <c r="C436" s="8">
        <f>12.6944 * CHOOSE(CONTROL!$C$15, $D$11, 100%, $F$11)</f>
        <v>12.6944</v>
      </c>
      <c r="D436" s="8">
        <f>12.6887 * CHOOSE( CONTROL!$C$15, $D$11, 100%, $F$11)</f>
        <v>12.688700000000001</v>
      </c>
      <c r="E436" s="12">
        <f>12.6902 * CHOOSE( CONTROL!$C$15, $D$11, 100%, $F$11)</f>
        <v>12.690200000000001</v>
      </c>
      <c r="F436" s="4">
        <f>13.3397 * CHOOSE(CONTROL!$C$15, $D$11, 100%, $F$11)</f>
        <v>13.339700000000001</v>
      </c>
      <c r="G436" s="8">
        <f>12.3944 * CHOOSE( CONTROL!$C$15, $D$11, 100%, $F$11)</f>
        <v>12.394399999999999</v>
      </c>
      <c r="H436" s="4">
        <f>13.2637 * CHOOSE(CONTROL!$C$15, $D$11, 100%, $F$11)</f>
        <v>13.2637</v>
      </c>
      <c r="I436" s="8">
        <f>12.327 * CHOOSE(CONTROL!$C$15, $D$11, 100%, $F$11)</f>
        <v>12.327</v>
      </c>
      <c r="J436" s="4">
        <f>12.1557 * CHOOSE(CONTROL!$C$15, $D$11, 100%, $F$11)</f>
        <v>12.1557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13.0626 * CHOOSE(CONTROL!$C$15, $D$11, 100%, $F$11)</f>
        <v>13.0626</v>
      </c>
      <c r="C437" s="8">
        <f>13.0678 * CHOOSE(CONTROL!$C$15, $D$11, 100%, $F$11)</f>
        <v>13.0678</v>
      </c>
      <c r="D437" s="8">
        <f>13.0479 * CHOOSE( CONTROL!$C$15, $D$11, 100%, $F$11)</f>
        <v>13.0479</v>
      </c>
      <c r="E437" s="12">
        <f>13.0546 * CHOOSE( CONTROL!$C$15, $D$11, 100%, $F$11)</f>
        <v>13.054600000000001</v>
      </c>
      <c r="F437" s="4">
        <f>13.7131 * CHOOSE(CONTROL!$C$15, $D$11, 100%, $F$11)</f>
        <v>13.713100000000001</v>
      </c>
      <c r="G437" s="8">
        <f>12.7424 * CHOOSE( CONTROL!$C$15, $D$11, 100%, $F$11)</f>
        <v>12.7424</v>
      </c>
      <c r="H437" s="4">
        <f>13.6284 * CHOOSE(CONTROL!$C$15, $D$11, 100%, $F$11)</f>
        <v>13.628399999999999</v>
      </c>
      <c r="I437" s="8">
        <f>12.6422 * CHOOSE(CONTROL!$C$15, $D$11, 100%, $F$11)</f>
        <v>12.642200000000001</v>
      </c>
      <c r="J437" s="4">
        <f>12.5143 * CHOOSE(CONTROL!$C$15, $D$11, 100%, $F$11)</f>
        <v>12.5143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12.22 * CHOOSE(CONTROL!$C$15, $D$11, 100%, $F$11)</f>
        <v>12.22</v>
      </c>
      <c r="C438" s="8">
        <f>12.2252 * CHOOSE(CONTROL!$C$15, $D$11, 100%, $F$11)</f>
        <v>12.225199999999999</v>
      </c>
      <c r="D438" s="8">
        <f>12.2053 * CHOOSE( CONTROL!$C$15, $D$11, 100%, $F$11)</f>
        <v>12.205299999999999</v>
      </c>
      <c r="E438" s="12">
        <f>12.212 * CHOOSE( CONTROL!$C$15, $D$11, 100%, $F$11)</f>
        <v>12.212</v>
      </c>
      <c r="F438" s="4">
        <f>12.8705 * CHOOSE(CONTROL!$C$15, $D$11, 100%, $F$11)</f>
        <v>12.8705</v>
      </c>
      <c r="G438" s="8">
        <f>11.9193 * CHOOSE( CONTROL!$C$15, $D$11, 100%, $F$11)</f>
        <v>11.9193</v>
      </c>
      <c r="H438" s="4">
        <f>12.8054 * CHOOSE(CONTROL!$C$15, $D$11, 100%, $F$11)</f>
        <v>12.805400000000001</v>
      </c>
      <c r="I438" s="8">
        <f>11.8327 * CHOOSE(CONTROL!$C$15, $D$11, 100%, $F$11)</f>
        <v>11.832700000000001</v>
      </c>
      <c r="J438" s="4">
        <f>11.7052 * CHOOSE(CONTROL!$C$15, $D$11, 100%, $F$11)</f>
        <v>11.7052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11.9605 * CHOOSE(CONTROL!$C$15, $D$11, 100%, $F$11)</f>
        <v>11.9605</v>
      </c>
      <c r="C439" s="8">
        <f>11.9657 * CHOOSE(CONTROL!$C$15, $D$11, 100%, $F$11)</f>
        <v>11.9657</v>
      </c>
      <c r="D439" s="8">
        <f>11.9454 * CHOOSE( CONTROL!$C$15, $D$11, 100%, $F$11)</f>
        <v>11.945399999999999</v>
      </c>
      <c r="E439" s="12">
        <f>11.9523 * CHOOSE( CONTROL!$C$15, $D$11, 100%, $F$11)</f>
        <v>11.952299999999999</v>
      </c>
      <c r="F439" s="4">
        <f>12.6109 * CHOOSE(CONTROL!$C$15, $D$11, 100%, $F$11)</f>
        <v>12.610900000000001</v>
      </c>
      <c r="G439" s="8">
        <f>11.6656 * CHOOSE( CONTROL!$C$15, $D$11, 100%, $F$11)</f>
        <v>11.6656</v>
      </c>
      <c r="H439" s="4">
        <f>12.5519 * CHOOSE(CONTROL!$C$15, $D$11, 100%, $F$11)</f>
        <v>12.5519</v>
      </c>
      <c r="I439" s="8">
        <f>11.5822 * CHOOSE(CONTROL!$C$15, $D$11, 100%, $F$11)</f>
        <v>11.5822</v>
      </c>
      <c r="J439" s="4">
        <f>11.4561 * CHOOSE(CONTROL!$C$15, $D$11, 100%, $F$11)</f>
        <v>11.456099999999999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12.1426 * CHOOSE(CONTROL!$C$15, $D$11, 100%, $F$11)</f>
        <v>12.1426</v>
      </c>
      <c r="C440" s="8">
        <f>12.1472 * CHOOSE(CONTROL!$C$15, $D$11, 100%, $F$11)</f>
        <v>12.1472</v>
      </c>
      <c r="D440" s="8">
        <f>12.1781 * CHOOSE( CONTROL!$C$15, $D$11, 100%, $F$11)</f>
        <v>12.178100000000001</v>
      </c>
      <c r="E440" s="12">
        <f>12.1674 * CHOOSE( CONTROL!$C$15, $D$11, 100%, $F$11)</f>
        <v>12.167400000000001</v>
      </c>
      <c r="F440" s="4">
        <f>12.8574 * CHOOSE(CONTROL!$C$15, $D$11, 100%, $F$11)</f>
        <v>12.8574</v>
      </c>
      <c r="G440" s="8">
        <f>11.8447 * CHOOSE( CONTROL!$C$15, $D$11, 100%, $F$11)</f>
        <v>11.8447</v>
      </c>
      <c r="H440" s="4">
        <f>12.7926 * CHOOSE(CONTROL!$C$15, $D$11, 100%, $F$11)</f>
        <v>12.7926</v>
      </c>
      <c r="I440" s="8">
        <f>11.7498 * CHOOSE(CONTROL!$C$15, $D$11, 100%, $F$11)</f>
        <v>11.7498</v>
      </c>
      <c r="J440" s="4">
        <f>11.6302 * CHOOSE(CONTROL!$C$15, $D$11, 100%, $F$11)</f>
        <v>11.6302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12.4701, 12.4667) * CHOOSE(CONTROL!$C$15, $D$11, 100%, $F$11)</f>
        <v>12.4701</v>
      </c>
      <c r="C441" s="8">
        <f>CHOOSE( CONTROL!$C$32, 12.4782, 12.4748) * CHOOSE(CONTROL!$C$15, $D$11, 100%, $F$11)</f>
        <v>12.478199999999999</v>
      </c>
      <c r="D441" s="8">
        <f>CHOOSE( CONTROL!$C$32, 12.5038, 12.5004) * CHOOSE( CONTROL!$C$15, $D$11, 100%, $F$11)</f>
        <v>12.5038</v>
      </c>
      <c r="E441" s="12">
        <f>CHOOSE( CONTROL!$C$32, 12.4933, 12.4899) * CHOOSE( CONTROL!$C$15, $D$11, 100%, $F$11)</f>
        <v>12.4933</v>
      </c>
      <c r="F441" s="4">
        <f>CHOOSE( CONTROL!$C$32, 13.1836, 13.1802) * CHOOSE(CONTROL!$C$15, $D$11, 100%, $F$11)</f>
        <v>13.1836</v>
      </c>
      <c r="G441" s="8">
        <f>CHOOSE( CONTROL!$C$32, 12.164, 12.1607) * CHOOSE( CONTROL!$C$15, $D$11, 100%, $F$11)</f>
        <v>12.164</v>
      </c>
      <c r="H441" s="4">
        <f>CHOOSE( CONTROL!$C$32, 13.1112, 13.1079) * CHOOSE(CONTROL!$C$15, $D$11, 100%, $F$11)</f>
        <v>13.1112</v>
      </c>
      <c r="I441" s="8">
        <f>CHOOSE( CONTROL!$C$32, 12.0633, 12.06) * CHOOSE(CONTROL!$C$15, $D$11, 100%, $F$11)</f>
        <v>12.0633</v>
      </c>
      <c r="J441" s="4">
        <f>CHOOSE( CONTROL!$C$32, 11.9433, 11.9401) * CHOOSE(CONTROL!$C$15, $D$11, 100%, $F$11)</f>
        <v>11.943300000000001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12.2702, 12.2668) * CHOOSE(CONTROL!$C$15, $D$11, 100%, $F$11)</f>
        <v>12.270200000000001</v>
      </c>
      <c r="C442" s="8">
        <f>CHOOSE( CONTROL!$C$32, 12.2783, 12.2749) * CHOOSE(CONTROL!$C$15, $D$11, 100%, $F$11)</f>
        <v>12.2783</v>
      </c>
      <c r="D442" s="8">
        <f>CHOOSE( CONTROL!$C$32, 12.3041, 12.3007) * CHOOSE( CONTROL!$C$15, $D$11, 100%, $F$11)</f>
        <v>12.3041</v>
      </c>
      <c r="E442" s="12">
        <f>CHOOSE( CONTROL!$C$32, 12.2935, 12.2901) * CHOOSE( CONTROL!$C$15, $D$11, 100%, $F$11)</f>
        <v>12.2935</v>
      </c>
      <c r="F442" s="4">
        <f>CHOOSE( CONTROL!$C$32, 12.9836, 12.9802) * CHOOSE(CONTROL!$C$15, $D$11, 100%, $F$11)</f>
        <v>12.983599999999999</v>
      </c>
      <c r="G442" s="8">
        <f>CHOOSE( CONTROL!$C$32, 11.9691, 11.9657) * CHOOSE( CONTROL!$C$15, $D$11, 100%, $F$11)</f>
        <v>11.969099999999999</v>
      </c>
      <c r="H442" s="4">
        <f>CHOOSE( CONTROL!$C$32, 12.9159, 12.9126) * CHOOSE(CONTROL!$C$15, $D$11, 100%, $F$11)</f>
        <v>12.915900000000001</v>
      </c>
      <c r="I442" s="8">
        <f>CHOOSE( CONTROL!$C$32, 11.8721, 11.8689) * CHOOSE(CONTROL!$C$15, $D$11, 100%, $F$11)</f>
        <v>11.8721</v>
      </c>
      <c r="J442" s="4">
        <f>CHOOSE( CONTROL!$C$32, 11.7514, 11.7481) * CHOOSE(CONTROL!$C$15, $D$11, 100%, $F$11)</f>
        <v>11.7514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12.7967, 12.7933) * CHOOSE(CONTROL!$C$15, $D$11, 100%, $F$11)</f>
        <v>12.7967</v>
      </c>
      <c r="C443" s="8">
        <f>CHOOSE( CONTROL!$C$32, 12.8048, 12.8014) * CHOOSE(CONTROL!$C$15, $D$11, 100%, $F$11)</f>
        <v>12.8048</v>
      </c>
      <c r="D443" s="8">
        <f>CHOOSE( CONTROL!$C$32, 12.8308, 12.8274) * CHOOSE( CONTROL!$C$15, $D$11, 100%, $F$11)</f>
        <v>12.8308</v>
      </c>
      <c r="E443" s="12">
        <f>CHOOSE( CONTROL!$C$32, 12.8201, 12.8167) * CHOOSE( CONTROL!$C$15, $D$11, 100%, $F$11)</f>
        <v>12.8201</v>
      </c>
      <c r="F443" s="4">
        <f>CHOOSE( CONTROL!$C$32, 13.5102, 13.5067) * CHOOSE(CONTROL!$C$15, $D$11, 100%, $F$11)</f>
        <v>13.510199999999999</v>
      </c>
      <c r="G443" s="8">
        <f>CHOOSE( CONTROL!$C$32, 12.4837, 12.4803) * CHOOSE( CONTROL!$C$15, $D$11, 100%, $F$11)</f>
        <v>12.483700000000001</v>
      </c>
      <c r="H443" s="4">
        <f>CHOOSE( CONTROL!$C$32, 13.4302, 13.4269) * CHOOSE(CONTROL!$C$15, $D$11, 100%, $F$11)</f>
        <v>13.430199999999999</v>
      </c>
      <c r="I443" s="8">
        <f>CHOOSE( CONTROL!$C$32, 12.379, 12.3757) * CHOOSE(CONTROL!$C$15, $D$11, 100%, $F$11)</f>
        <v>12.379</v>
      </c>
      <c r="J443" s="4">
        <f>CHOOSE( CONTROL!$C$32, 12.2569, 12.2536) * CHOOSE(CONTROL!$C$15, $D$11, 100%, $F$11)</f>
        <v>12.2569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11.8115, 11.8081) * CHOOSE(CONTROL!$C$15, $D$11, 100%, $F$11)</f>
        <v>11.811500000000001</v>
      </c>
      <c r="C444" s="8">
        <f>CHOOSE( CONTROL!$C$32, 11.8196, 11.8162) * CHOOSE(CONTROL!$C$15, $D$11, 100%, $F$11)</f>
        <v>11.819599999999999</v>
      </c>
      <c r="D444" s="8">
        <f>CHOOSE( CONTROL!$C$32, 11.8457, 11.8423) * CHOOSE( CONTROL!$C$15, $D$11, 100%, $F$11)</f>
        <v>11.845700000000001</v>
      </c>
      <c r="E444" s="12">
        <f>CHOOSE( CONTROL!$C$32, 11.835, 11.8316) * CHOOSE( CONTROL!$C$15, $D$11, 100%, $F$11)</f>
        <v>11.835000000000001</v>
      </c>
      <c r="F444" s="4">
        <f>CHOOSE( CONTROL!$C$32, 12.525, 12.5215) * CHOOSE(CONTROL!$C$15, $D$11, 100%, $F$11)</f>
        <v>12.525</v>
      </c>
      <c r="G444" s="8">
        <f>CHOOSE( CONTROL!$C$32, 11.5215, 11.5182) * CHOOSE( CONTROL!$C$15, $D$11, 100%, $F$11)</f>
        <v>11.5215</v>
      </c>
      <c r="H444" s="4">
        <f>CHOOSE( CONTROL!$C$32, 12.4679, 12.4646) * CHOOSE(CONTROL!$C$15, $D$11, 100%, $F$11)</f>
        <v>12.4679</v>
      </c>
      <c r="I444" s="8">
        <f>CHOOSE( CONTROL!$C$32, 11.4331, 11.4298) * CHOOSE(CONTROL!$C$15, $D$11, 100%, $F$11)</f>
        <v>11.4331</v>
      </c>
      <c r="J444" s="4">
        <f>CHOOSE( CONTROL!$C$32, 11.311, 11.3077) * CHOOSE(CONTROL!$C$15, $D$11, 100%, $F$11)</f>
        <v>11.311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11.5648, 11.5614) * CHOOSE(CONTROL!$C$15, $D$11, 100%, $F$11)</f>
        <v>11.5648</v>
      </c>
      <c r="C445" s="8">
        <f>CHOOSE( CONTROL!$C$32, 11.5729, 11.5695) * CHOOSE(CONTROL!$C$15, $D$11, 100%, $F$11)</f>
        <v>11.572900000000001</v>
      </c>
      <c r="D445" s="8">
        <f>CHOOSE( CONTROL!$C$32, 11.599, 11.5956) * CHOOSE( CONTROL!$C$15, $D$11, 100%, $F$11)</f>
        <v>11.599</v>
      </c>
      <c r="E445" s="12">
        <f>CHOOSE( CONTROL!$C$32, 11.5883, 11.5849) * CHOOSE( CONTROL!$C$15, $D$11, 100%, $F$11)</f>
        <v>11.5883</v>
      </c>
      <c r="F445" s="4">
        <f>CHOOSE( CONTROL!$C$32, 12.2782, 12.2748) * CHOOSE(CONTROL!$C$15, $D$11, 100%, $F$11)</f>
        <v>12.2782</v>
      </c>
      <c r="G445" s="8">
        <f>CHOOSE( CONTROL!$C$32, 11.2805, 11.2772) * CHOOSE( CONTROL!$C$15, $D$11, 100%, $F$11)</f>
        <v>11.2805</v>
      </c>
      <c r="H445" s="4">
        <f>CHOOSE( CONTROL!$C$32, 12.227, 12.2236) * CHOOSE(CONTROL!$C$15, $D$11, 100%, $F$11)</f>
        <v>12.227</v>
      </c>
      <c r="I445" s="8">
        <f>CHOOSE( CONTROL!$C$32, 11.196, 11.1927) * CHOOSE(CONTROL!$C$15, $D$11, 100%, $F$11)</f>
        <v>11.196</v>
      </c>
      <c r="J445" s="4">
        <f>CHOOSE( CONTROL!$C$32, 11.0742, 11.0709) * CHOOSE(CONTROL!$C$15, $D$11, 100%, $F$11)</f>
        <v>11.074199999999999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12.0719 * CHOOSE(CONTROL!$C$15, $D$11, 100%, $F$11)</f>
        <v>12.071899999999999</v>
      </c>
      <c r="C446" s="8">
        <f>12.0774 * CHOOSE(CONTROL!$C$15, $D$11, 100%, $F$11)</f>
        <v>12.077400000000001</v>
      </c>
      <c r="D446" s="8">
        <f>12.1085 * CHOOSE( CONTROL!$C$15, $D$11, 100%, $F$11)</f>
        <v>12.108499999999999</v>
      </c>
      <c r="E446" s="12">
        <f>12.0976 * CHOOSE( CONTROL!$C$15, $D$11, 100%, $F$11)</f>
        <v>12.0976</v>
      </c>
      <c r="F446" s="4">
        <f>12.7871 * CHOOSE(CONTROL!$C$15, $D$11, 100%, $F$11)</f>
        <v>12.787100000000001</v>
      </c>
      <c r="G446" s="8">
        <f>11.7771 * CHOOSE( CONTROL!$C$15, $D$11, 100%, $F$11)</f>
        <v>11.777100000000001</v>
      </c>
      <c r="H446" s="4">
        <f>12.724 * CHOOSE(CONTROL!$C$15, $D$11, 100%, $F$11)</f>
        <v>12.724</v>
      </c>
      <c r="I446" s="8">
        <f>11.6856 * CHOOSE(CONTROL!$C$15, $D$11, 100%, $F$11)</f>
        <v>11.685600000000001</v>
      </c>
      <c r="J446" s="4">
        <f>11.5627 * CHOOSE(CONTROL!$C$15, $D$11, 100%, $F$11)</f>
        <v>11.5627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13.017 * CHOOSE(CONTROL!$C$15, $D$11, 100%, $F$11)</f>
        <v>13.016999999999999</v>
      </c>
      <c r="C447" s="8">
        <f>13.0222 * CHOOSE(CONTROL!$C$15, $D$11, 100%, $F$11)</f>
        <v>13.0222</v>
      </c>
      <c r="D447" s="8">
        <f>13.0151 * CHOOSE( CONTROL!$C$15, $D$11, 100%, $F$11)</f>
        <v>13.0151</v>
      </c>
      <c r="E447" s="12">
        <f>13.0171 * CHOOSE( CONTROL!$C$15, $D$11, 100%, $F$11)</f>
        <v>13.017099999999999</v>
      </c>
      <c r="F447" s="4">
        <f>13.6675 * CHOOSE(CONTROL!$C$15, $D$11, 100%, $F$11)</f>
        <v>13.6675</v>
      </c>
      <c r="G447" s="8">
        <f>12.7136 * CHOOSE( CONTROL!$C$15, $D$11, 100%, $F$11)</f>
        <v>12.7136</v>
      </c>
      <c r="H447" s="4">
        <f>13.5839 * CHOOSE(CONTROL!$C$15, $D$11, 100%, $F$11)</f>
        <v>13.5839</v>
      </c>
      <c r="I447" s="8">
        <f>12.6373 * CHOOSE(CONTROL!$C$15, $D$11, 100%, $F$11)</f>
        <v>12.6373</v>
      </c>
      <c r="J447" s="4">
        <f>12.4705 * CHOOSE(CONTROL!$C$15, $D$11, 100%, $F$11)</f>
        <v>12.470499999999999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12.9934 * CHOOSE(CONTROL!$C$15, $D$11, 100%, $F$11)</f>
        <v>12.993399999999999</v>
      </c>
      <c r="C448" s="8">
        <f>12.9986 * CHOOSE(CONTROL!$C$15, $D$11, 100%, $F$11)</f>
        <v>12.9986</v>
      </c>
      <c r="D448" s="8">
        <f>12.9929 * CHOOSE( CONTROL!$C$15, $D$11, 100%, $F$11)</f>
        <v>12.992900000000001</v>
      </c>
      <c r="E448" s="12">
        <f>12.9944 * CHOOSE( CONTROL!$C$15, $D$11, 100%, $F$11)</f>
        <v>12.994400000000001</v>
      </c>
      <c r="F448" s="4">
        <f>13.6439 * CHOOSE(CONTROL!$C$15, $D$11, 100%, $F$11)</f>
        <v>13.6439</v>
      </c>
      <c r="G448" s="8">
        <f>12.6916 * CHOOSE( CONTROL!$C$15, $D$11, 100%, $F$11)</f>
        <v>12.691599999999999</v>
      </c>
      <c r="H448" s="4">
        <f>13.5608 * CHOOSE(CONTROL!$C$15, $D$11, 100%, $F$11)</f>
        <v>13.5608</v>
      </c>
      <c r="I448" s="8">
        <f>12.6192 * CHOOSE(CONTROL!$C$15, $D$11, 100%, $F$11)</f>
        <v>12.619199999999999</v>
      </c>
      <c r="J448" s="4">
        <f>12.4478 * CHOOSE(CONTROL!$C$15, $D$11, 100%, $F$11)</f>
        <v>12.447800000000001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13.3758 * CHOOSE(CONTROL!$C$15, $D$11, 100%, $F$11)</f>
        <v>13.3758</v>
      </c>
      <c r="C449" s="8">
        <f>13.381 * CHOOSE(CONTROL!$C$15, $D$11, 100%, $F$11)</f>
        <v>13.381</v>
      </c>
      <c r="D449" s="8">
        <f>13.3611 * CHOOSE( CONTROL!$C$15, $D$11, 100%, $F$11)</f>
        <v>13.3611</v>
      </c>
      <c r="E449" s="12">
        <f>13.3678 * CHOOSE( CONTROL!$C$15, $D$11, 100%, $F$11)</f>
        <v>13.367800000000001</v>
      </c>
      <c r="F449" s="4">
        <f>14.0263 * CHOOSE(CONTROL!$C$15, $D$11, 100%, $F$11)</f>
        <v>14.026300000000001</v>
      </c>
      <c r="G449" s="8">
        <f>13.0482 * CHOOSE( CONTROL!$C$15, $D$11, 100%, $F$11)</f>
        <v>13.0482</v>
      </c>
      <c r="H449" s="4">
        <f>13.9343 * CHOOSE(CONTROL!$C$15, $D$11, 100%, $F$11)</f>
        <v>13.9343</v>
      </c>
      <c r="I449" s="8">
        <f>12.943 * CHOOSE(CONTROL!$C$15, $D$11, 100%, $F$11)</f>
        <v>12.943</v>
      </c>
      <c r="J449" s="4">
        <f>12.815 * CHOOSE(CONTROL!$C$15, $D$11, 100%, $F$11)</f>
        <v>12.815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12.5129 * CHOOSE(CONTROL!$C$15, $D$11, 100%, $F$11)</f>
        <v>12.5129</v>
      </c>
      <c r="C450" s="8">
        <f>12.5181 * CHOOSE(CONTROL!$C$15, $D$11, 100%, $F$11)</f>
        <v>12.5181</v>
      </c>
      <c r="D450" s="8">
        <f>12.4982 * CHOOSE( CONTROL!$C$15, $D$11, 100%, $F$11)</f>
        <v>12.498200000000001</v>
      </c>
      <c r="E450" s="12">
        <f>12.5049 * CHOOSE( CONTROL!$C$15, $D$11, 100%, $F$11)</f>
        <v>12.504899999999999</v>
      </c>
      <c r="F450" s="4">
        <f>13.1634 * CHOOSE(CONTROL!$C$15, $D$11, 100%, $F$11)</f>
        <v>13.163399999999999</v>
      </c>
      <c r="G450" s="8">
        <f>12.2054 * CHOOSE( CONTROL!$C$15, $D$11, 100%, $F$11)</f>
        <v>12.205399999999999</v>
      </c>
      <c r="H450" s="4">
        <f>13.0915 * CHOOSE(CONTROL!$C$15, $D$11, 100%, $F$11)</f>
        <v>13.0915</v>
      </c>
      <c r="I450" s="8">
        <f>12.1141 * CHOOSE(CONTROL!$C$15, $D$11, 100%, $F$11)</f>
        <v>12.114100000000001</v>
      </c>
      <c r="J450" s="4">
        <f>11.9865 * CHOOSE(CONTROL!$C$15, $D$11, 100%, $F$11)</f>
        <v>11.986499999999999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12.2472 * CHOOSE(CONTROL!$C$15, $D$11, 100%, $F$11)</f>
        <v>12.247199999999999</v>
      </c>
      <c r="C451" s="8">
        <f>12.2524 * CHOOSE(CONTROL!$C$15, $D$11, 100%, $F$11)</f>
        <v>12.2524</v>
      </c>
      <c r="D451" s="8">
        <f>12.2321 * CHOOSE( CONTROL!$C$15, $D$11, 100%, $F$11)</f>
        <v>12.232100000000001</v>
      </c>
      <c r="E451" s="12">
        <f>12.239 * CHOOSE( CONTROL!$C$15, $D$11, 100%, $F$11)</f>
        <v>12.239000000000001</v>
      </c>
      <c r="F451" s="4">
        <f>12.8976 * CHOOSE(CONTROL!$C$15, $D$11, 100%, $F$11)</f>
        <v>12.897600000000001</v>
      </c>
      <c r="G451" s="8">
        <f>11.9456 * CHOOSE( CONTROL!$C$15, $D$11, 100%, $F$11)</f>
        <v>11.945600000000001</v>
      </c>
      <c r="H451" s="4">
        <f>12.8319 * CHOOSE(CONTROL!$C$15, $D$11, 100%, $F$11)</f>
        <v>12.831899999999999</v>
      </c>
      <c r="I451" s="8">
        <f>11.8576 * CHOOSE(CONTROL!$C$15, $D$11, 100%, $F$11)</f>
        <v>11.8576</v>
      </c>
      <c r="J451" s="4">
        <f>11.7313 * CHOOSE(CONTROL!$C$15, $D$11, 100%, $F$11)</f>
        <v>11.731299999999999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12.4336 * CHOOSE(CONTROL!$C$15, $D$11, 100%, $F$11)</f>
        <v>12.4336</v>
      </c>
      <c r="C452" s="8">
        <f>12.4383 * CHOOSE(CONTROL!$C$15, $D$11, 100%, $F$11)</f>
        <v>12.4383</v>
      </c>
      <c r="D452" s="8">
        <f>12.4692 * CHOOSE( CONTROL!$C$15, $D$11, 100%, $F$11)</f>
        <v>12.469200000000001</v>
      </c>
      <c r="E452" s="12">
        <f>12.4585 * CHOOSE( CONTROL!$C$15, $D$11, 100%, $F$11)</f>
        <v>12.458500000000001</v>
      </c>
      <c r="F452" s="4">
        <f>13.1484 * CHOOSE(CONTROL!$C$15, $D$11, 100%, $F$11)</f>
        <v>13.148400000000001</v>
      </c>
      <c r="G452" s="8">
        <f>12.129 * CHOOSE( CONTROL!$C$15, $D$11, 100%, $F$11)</f>
        <v>12.129</v>
      </c>
      <c r="H452" s="4">
        <f>13.0769 * CHOOSE(CONTROL!$C$15, $D$11, 100%, $F$11)</f>
        <v>13.0769</v>
      </c>
      <c r="I452" s="8">
        <f>12.0294 * CHOOSE(CONTROL!$C$15, $D$11, 100%, $F$11)</f>
        <v>12.029400000000001</v>
      </c>
      <c r="J452" s="4">
        <f>11.9096 * CHOOSE(CONTROL!$C$15, $D$11, 100%, $F$11)</f>
        <v>11.909599999999999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12.7689, 12.7655) * CHOOSE(CONTROL!$C$15, $D$11, 100%, $F$11)</f>
        <v>12.7689</v>
      </c>
      <c r="C453" s="8">
        <f>CHOOSE( CONTROL!$C$32, 12.777, 12.7736) * CHOOSE(CONTROL!$C$15, $D$11, 100%, $F$11)</f>
        <v>12.776999999999999</v>
      </c>
      <c r="D453" s="8">
        <f>CHOOSE( CONTROL!$C$32, 12.8026, 12.7992) * CHOOSE( CONTROL!$C$15, $D$11, 100%, $F$11)</f>
        <v>12.8026</v>
      </c>
      <c r="E453" s="12">
        <f>CHOOSE( CONTROL!$C$32, 12.7921, 12.7887) * CHOOSE( CONTROL!$C$15, $D$11, 100%, $F$11)</f>
        <v>12.7921</v>
      </c>
      <c r="F453" s="4">
        <f>CHOOSE( CONTROL!$C$32, 13.4824, 13.479) * CHOOSE(CONTROL!$C$15, $D$11, 100%, $F$11)</f>
        <v>13.4824</v>
      </c>
      <c r="G453" s="8">
        <f>CHOOSE( CONTROL!$C$32, 12.4559, 12.4526) * CHOOSE( CONTROL!$C$15, $D$11, 100%, $F$11)</f>
        <v>12.4559</v>
      </c>
      <c r="H453" s="4">
        <f>CHOOSE( CONTROL!$C$32, 13.4031, 13.3997) * CHOOSE(CONTROL!$C$15, $D$11, 100%, $F$11)</f>
        <v>13.4031</v>
      </c>
      <c r="I453" s="8">
        <f>CHOOSE( CONTROL!$C$32, 12.3503, 12.347) * CHOOSE(CONTROL!$C$15, $D$11, 100%, $F$11)</f>
        <v>12.350300000000001</v>
      </c>
      <c r="J453" s="4">
        <f>CHOOSE( CONTROL!$C$32, 12.2302, 12.227) * CHOOSE(CONTROL!$C$15, $D$11, 100%, $F$11)</f>
        <v>12.2302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12.5642, 12.5608) * CHOOSE(CONTROL!$C$15, $D$11, 100%, $F$11)</f>
        <v>12.5642</v>
      </c>
      <c r="C454" s="8">
        <f>CHOOSE( CONTROL!$C$32, 12.5723, 12.5689) * CHOOSE(CONTROL!$C$15, $D$11, 100%, $F$11)</f>
        <v>12.5723</v>
      </c>
      <c r="D454" s="8">
        <f>CHOOSE( CONTROL!$C$32, 12.5981, 12.5947) * CHOOSE( CONTROL!$C$15, $D$11, 100%, $F$11)</f>
        <v>12.598100000000001</v>
      </c>
      <c r="E454" s="12">
        <f>CHOOSE( CONTROL!$C$32, 12.5875, 12.5841) * CHOOSE( CONTROL!$C$15, $D$11, 100%, $F$11)</f>
        <v>12.5875</v>
      </c>
      <c r="F454" s="4">
        <f>CHOOSE( CONTROL!$C$32, 13.2776, 13.2742) * CHOOSE(CONTROL!$C$15, $D$11, 100%, $F$11)</f>
        <v>13.2776</v>
      </c>
      <c r="G454" s="8">
        <f>CHOOSE( CONTROL!$C$32, 12.2562, 12.2529) * CHOOSE( CONTROL!$C$15, $D$11, 100%, $F$11)</f>
        <v>12.2562</v>
      </c>
      <c r="H454" s="4">
        <f>CHOOSE( CONTROL!$C$32, 13.2031, 13.1997) * CHOOSE(CONTROL!$C$15, $D$11, 100%, $F$11)</f>
        <v>13.203099999999999</v>
      </c>
      <c r="I454" s="8">
        <f>CHOOSE( CONTROL!$C$32, 12.1546, 12.1513) * CHOOSE(CONTROL!$C$15, $D$11, 100%, $F$11)</f>
        <v>12.1546</v>
      </c>
      <c r="J454" s="4">
        <f>CHOOSE( CONTROL!$C$32, 12.0337, 12.0304) * CHOOSE(CONTROL!$C$15, $D$11, 100%, $F$11)</f>
        <v>12.0337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13.1034, 13.1) * CHOOSE(CONTROL!$C$15, $D$11, 100%, $F$11)</f>
        <v>13.103400000000001</v>
      </c>
      <c r="C455" s="8">
        <f>CHOOSE( CONTROL!$C$32, 13.1115, 13.1081) * CHOOSE(CONTROL!$C$15, $D$11, 100%, $F$11)</f>
        <v>13.111499999999999</v>
      </c>
      <c r="D455" s="8">
        <f>CHOOSE( CONTROL!$C$32, 13.1375, 13.1341) * CHOOSE( CONTROL!$C$15, $D$11, 100%, $F$11)</f>
        <v>13.137499999999999</v>
      </c>
      <c r="E455" s="12">
        <f>CHOOSE( CONTROL!$C$32, 13.1268, 13.1234) * CHOOSE( CONTROL!$C$15, $D$11, 100%, $F$11)</f>
        <v>13.126799999999999</v>
      </c>
      <c r="F455" s="4">
        <f>CHOOSE( CONTROL!$C$32, 13.8168, 13.8134) * CHOOSE(CONTROL!$C$15, $D$11, 100%, $F$11)</f>
        <v>13.816800000000001</v>
      </c>
      <c r="G455" s="8">
        <f>CHOOSE( CONTROL!$C$32, 12.7832, 12.7798) * CHOOSE( CONTROL!$C$15, $D$11, 100%, $F$11)</f>
        <v>12.783200000000001</v>
      </c>
      <c r="H455" s="4">
        <f>CHOOSE( CONTROL!$C$32, 13.7297, 13.7264) * CHOOSE(CONTROL!$C$15, $D$11, 100%, $F$11)</f>
        <v>13.729699999999999</v>
      </c>
      <c r="I455" s="8">
        <f>CHOOSE( CONTROL!$C$32, 12.6736, 12.6703) * CHOOSE(CONTROL!$C$15, $D$11, 100%, $F$11)</f>
        <v>12.6736</v>
      </c>
      <c r="J455" s="4">
        <f>CHOOSE( CONTROL!$C$32, 12.5513, 12.5481) * CHOOSE(CONTROL!$C$15, $D$11, 100%, $F$11)</f>
        <v>12.551299999999999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12.0945, 12.0911) * CHOOSE(CONTROL!$C$15, $D$11, 100%, $F$11)</f>
        <v>12.0945</v>
      </c>
      <c r="C456" s="8">
        <f>CHOOSE( CONTROL!$C$32, 12.1026, 12.0992) * CHOOSE(CONTROL!$C$15, $D$11, 100%, $F$11)</f>
        <v>12.102600000000001</v>
      </c>
      <c r="D456" s="8">
        <f>CHOOSE( CONTROL!$C$32, 12.1287, 12.1253) * CHOOSE( CONTROL!$C$15, $D$11, 100%, $F$11)</f>
        <v>12.1287</v>
      </c>
      <c r="E456" s="12">
        <f>CHOOSE( CONTROL!$C$32, 12.118, 12.1146) * CHOOSE( CONTROL!$C$15, $D$11, 100%, $F$11)</f>
        <v>12.118</v>
      </c>
      <c r="F456" s="4">
        <f>CHOOSE( CONTROL!$C$32, 12.8079, 12.8045) * CHOOSE(CONTROL!$C$15, $D$11, 100%, $F$11)</f>
        <v>12.8079</v>
      </c>
      <c r="G456" s="8">
        <f>CHOOSE( CONTROL!$C$32, 11.7979, 11.7946) * CHOOSE( CONTROL!$C$15, $D$11, 100%, $F$11)</f>
        <v>11.7979</v>
      </c>
      <c r="H456" s="4">
        <f>CHOOSE( CONTROL!$C$32, 12.7443, 12.741) * CHOOSE(CONTROL!$C$15, $D$11, 100%, $F$11)</f>
        <v>12.744300000000001</v>
      </c>
      <c r="I456" s="8">
        <f>CHOOSE( CONTROL!$C$32, 11.7049, 11.7016) * CHOOSE(CONTROL!$C$15, $D$11, 100%, $F$11)</f>
        <v>11.7049</v>
      </c>
      <c r="J456" s="4">
        <f>CHOOSE( CONTROL!$C$32, 11.5827, 11.5794) * CHOOSE(CONTROL!$C$15, $D$11, 100%, $F$11)</f>
        <v>11.582700000000001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11.8419, 11.8385) * CHOOSE(CONTROL!$C$15, $D$11, 100%, $F$11)</f>
        <v>11.841900000000001</v>
      </c>
      <c r="C457" s="8">
        <f>CHOOSE( CONTROL!$C$32, 11.85, 11.8466) * CHOOSE(CONTROL!$C$15, $D$11, 100%, $F$11)</f>
        <v>11.85</v>
      </c>
      <c r="D457" s="8">
        <f>CHOOSE( CONTROL!$C$32, 11.8761, 11.8726) * CHOOSE( CONTROL!$C$15, $D$11, 100%, $F$11)</f>
        <v>11.876099999999999</v>
      </c>
      <c r="E457" s="12">
        <f>CHOOSE( CONTROL!$C$32, 11.8654, 11.8619) * CHOOSE( CONTROL!$C$15, $D$11, 100%, $F$11)</f>
        <v>11.865399999999999</v>
      </c>
      <c r="F457" s="4">
        <f>CHOOSE( CONTROL!$C$32, 12.5553, 12.5519) * CHOOSE(CONTROL!$C$15, $D$11, 100%, $F$11)</f>
        <v>12.555300000000001</v>
      </c>
      <c r="G457" s="8">
        <f>CHOOSE( CONTROL!$C$32, 11.5511, 11.5478) * CHOOSE( CONTROL!$C$15, $D$11, 100%, $F$11)</f>
        <v>11.5511</v>
      </c>
      <c r="H457" s="4">
        <f>CHOOSE( CONTROL!$C$32, 12.4976, 12.4942) * CHOOSE(CONTROL!$C$15, $D$11, 100%, $F$11)</f>
        <v>12.4976</v>
      </c>
      <c r="I457" s="8">
        <f>CHOOSE( CONTROL!$C$32, 11.4621, 11.4588) * CHOOSE(CONTROL!$C$15, $D$11, 100%, $F$11)</f>
        <v>11.4621</v>
      </c>
      <c r="J457" s="4">
        <f>CHOOSE( CONTROL!$C$32, 11.3402, 11.3369) * CHOOSE(CONTROL!$C$15, $D$11, 100%, $F$11)</f>
        <v>11.340199999999999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12.3613 * CHOOSE(CONTROL!$C$15, $D$11, 100%, $F$11)</f>
        <v>12.3613</v>
      </c>
      <c r="C458" s="8">
        <f>12.3667 * CHOOSE(CONTROL!$C$15, $D$11, 100%, $F$11)</f>
        <v>12.3667</v>
      </c>
      <c r="D458" s="8">
        <f>12.3978 * CHOOSE( CONTROL!$C$15, $D$11, 100%, $F$11)</f>
        <v>12.3978</v>
      </c>
      <c r="E458" s="12">
        <f>12.387 * CHOOSE( CONTROL!$C$15, $D$11, 100%, $F$11)</f>
        <v>12.387</v>
      </c>
      <c r="F458" s="4">
        <f>13.0765 * CHOOSE(CONTROL!$C$15, $D$11, 100%, $F$11)</f>
        <v>13.076499999999999</v>
      </c>
      <c r="G458" s="8">
        <f>12.0597 * CHOOSE( CONTROL!$C$15, $D$11, 100%, $F$11)</f>
        <v>12.059699999999999</v>
      </c>
      <c r="H458" s="4">
        <f>13.0066 * CHOOSE(CONTROL!$C$15, $D$11, 100%, $F$11)</f>
        <v>13.006600000000001</v>
      </c>
      <c r="I458" s="8">
        <f>11.9635 * CHOOSE(CONTROL!$C$15, $D$11, 100%, $F$11)</f>
        <v>11.9635</v>
      </c>
      <c r="J458" s="4">
        <f>11.8405 * CHOOSE(CONTROL!$C$15, $D$11, 100%, $F$11)</f>
        <v>11.8405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13.3291 * CHOOSE(CONTROL!$C$15, $D$11, 100%, $F$11)</f>
        <v>13.3291</v>
      </c>
      <c r="C459" s="8">
        <f>13.3343 * CHOOSE(CONTROL!$C$15, $D$11, 100%, $F$11)</f>
        <v>13.334300000000001</v>
      </c>
      <c r="D459" s="8">
        <f>13.3271 * CHOOSE( CONTROL!$C$15, $D$11, 100%, $F$11)</f>
        <v>13.3271</v>
      </c>
      <c r="E459" s="12">
        <f>13.3292 * CHOOSE( CONTROL!$C$15, $D$11, 100%, $F$11)</f>
        <v>13.3292</v>
      </c>
      <c r="F459" s="4">
        <f>13.9796 * CHOOSE(CONTROL!$C$15, $D$11, 100%, $F$11)</f>
        <v>13.9796</v>
      </c>
      <c r="G459" s="8">
        <f>13.0184 * CHOOSE( CONTROL!$C$15, $D$11, 100%, $F$11)</f>
        <v>13.0184</v>
      </c>
      <c r="H459" s="4">
        <f>13.8887 * CHOOSE(CONTROL!$C$15, $D$11, 100%, $F$11)</f>
        <v>13.8887</v>
      </c>
      <c r="I459" s="8">
        <f>12.937 * CHOOSE(CONTROL!$C$15, $D$11, 100%, $F$11)</f>
        <v>12.936999999999999</v>
      </c>
      <c r="J459" s="4">
        <f>12.7701 * CHOOSE(CONTROL!$C$15, $D$11, 100%, $F$11)</f>
        <v>12.770099999999999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13.3049 * CHOOSE(CONTROL!$C$15, $D$11, 100%, $F$11)</f>
        <v>13.3049</v>
      </c>
      <c r="C460" s="8">
        <f>13.3101 * CHOOSE(CONTROL!$C$15, $D$11, 100%, $F$11)</f>
        <v>13.3101</v>
      </c>
      <c r="D460" s="8">
        <f>13.3044 * CHOOSE( CONTROL!$C$15, $D$11, 100%, $F$11)</f>
        <v>13.304399999999999</v>
      </c>
      <c r="E460" s="12">
        <f>13.3059 * CHOOSE( CONTROL!$C$15, $D$11, 100%, $F$11)</f>
        <v>13.305899999999999</v>
      </c>
      <c r="F460" s="4">
        <f>13.9554 * CHOOSE(CONTROL!$C$15, $D$11, 100%, $F$11)</f>
        <v>13.955399999999999</v>
      </c>
      <c r="G460" s="8">
        <f>12.9958 * CHOOSE( CONTROL!$C$15, $D$11, 100%, $F$11)</f>
        <v>12.995799999999999</v>
      </c>
      <c r="H460" s="4">
        <f>13.865 * CHOOSE(CONTROL!$C$15, $D$11, 100%, $F$11)</f>
        <v>13.865</v>
      </c>
      <c r="I460" s="8">
        <f>12.9184 * CHOOSE(CONTROL!$C$15, $D$11, 100%, $F$11)</f>
        <v>12.9184</v>
      </c>
      <c r="J460" s="4">
        <f>12.7469 * CHOOSE(CONTROL!$C$15, $D$11, 100%, $F$11)</f>
        <v>12.7469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13.6965 * CHOOSE(CONTROL!$C$15, $D$11, 100%, $F$11)</f>
        <v>13.6965</v>
      </c>
      <c r="C461" s="8">
        <f>13.7017 * CHOOSE(CONTROL!$C$15, $D$11, 100%, $F$11)</f>
        <v>13.701700000000001</v>
      </c>
      <c r="D461" s="8">
        <f>13.6818 * CHOOSE( CONTROL!$C$15, $D$11, 100%, $F$11)</f>
        <v>13.681800000000001</v>
      </c>
      <c r="E461" s="12">
        <f>13.6885 * CHOOSE( CONTROL!$C$15, $D$11, 100%, $F$11)</f>
        <v>13.688499999999999</v>
      </c>
      <c r="F461" s="4">
        <f>14.347 * CHOOSE(CONTROL!$C$15, $D$11, 100%, $F$11)</f>
        <v>14.347</v>
      </c>
      <c r="G461" s="8">
        <f>13.3615 * CHOOSE( CONTROL!$C$15, $D$11, 100%, $F$11)</f>
        <v>13.361499999999999</v>
      </c>
      <c r="H461" s="4">
        <f>14.2475 * CHOOSE(CONTROL!$C$15, $D$11, 100%, $F$11)</f>
        <v>14.2475</v>
      </c>
      <c r="I461" s="8">
        <f>13.2511 * CHOOSE(CONTROL!$C$15, $D$11, 100%, $F$11)</f>
        <v>13.251099999999999</v>
      </c>
      <c r="J461" s="4">
        <f>13.1229 * CHOOSE(CONTROL!$C$15, $D$11, 100%, $F$11)</f>
        <v>13.1229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12.8129 * CHOOSE(CONTROL!$C$15, $D$11, 100%, $F$11)</f>
        <v>12.812900000000001</v>
      </c>
      <c r="C462" s="8">
        <f>12.8181 * CHOOSE(CONTROL!$C$15, $D$11, 100%, $F$11)</f>
        <v>12.818099999999999</v>
      </c>
      <c r="D462" s="8">
        <f>12.7982 * CHOOSE( CONTROL!$C$15, $D$11, 100%, $F$11)</f>
        <v>12.7982</v>
      </c>
      <c r="E462" s="12">
        <f>12.8049 * CHOOSE( CONTROL!$C$15, $D$11, 100%, $F$11)</f>
        <v>12.8049</v>
      </c>
      <c r="F462" s="4">
        <f>13.4634 * CHOOSE(CONTROL!$C$15, $D$11, 100%, $F$11)</f>
        <v>13.4634</v>
      </c>
      <c r="G462" s="8">
        <f>12.4984 * CHOOSE( CONTROL!$C$15, $D$11, 100%, $F$11)</f>
        <v>12.4984</v>
      </c>
      <c r="H462" s="4">
        <f>13.3845 * CHOOSE(CONTROL!$C$15, $D$11, 100%, $F$11)</f>
        <v>13.384499999999999</v>
      </c>
      <c r="I462" s="8">
        <f>12.4022 * CHOOSE(CONTROL!$C$15, $D$11, 100%, $F$11)</f>
        <v>12.402200000000001</v>
      </c>
      <c r="J462" s="4">
        <f>12.2745 * CHOOSE(CONTROL!$C$15, $D$11, 100%, $F$11)</f>
        <v>12.2745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12.5408 * CHOOSE(CONTROL!$C$15, $D$11, 100%, $F$11)</f>
        <v>12.540800000000001</v>
      </c>
      <c r="C463" s="8">
        <f>12.5459 * CHOOSE(CONTROL!$C$15, $D$11, 100%, $F$11)</f>
        <v>12.5459</v>
      </c>
      <c r="D463" s="8">
        <f>12.5257 * CHOOSE( CONTROL!$C$15, $D$11, 100%, $F$11)</f>
        <v>12.525700000000001</v>
      </c>
      <c r="E463" s="12">
        <f>12.5325 * CHOOSE( CONTROL!$C$15, $D$11, 100%, $F$11)</f>
        <v>12.532500000000001</v>
      </c>
      <c r="F463" s="4">
        <f>13.1912 * CHOOSE(CONTROL!$C$15, $D$11, 100%, $F$11)</f>
        <v>13.1912</v>
      </c>
      <c r="G463" s="8">
        <f>12.2323 * CHOOSE( CONTROL!$C$15, $D$11, 100%, $F$11)</f>
        <v>12.2323</v>
      </c>
      <c r="H463" s="4">
        <f>13.1187 * CHOOSE(CONTROL!$C$15, $D$11, 100%, $F$11)</f>
        <v>13.1187</v>
      </c>
      <c r="I463" s="8">
        <f>12.1396 * CHOOSE(CONTROL!$C$15, $D$11, 100%, $F$11)</f>
        <v>12.1396</v>
      </c>
      <c r="J463" s="4">
        <f>12.0132 * CHOOSE(CONTROL!$C$15, $D$11, 100%, $F$11)</f>
        <v>12.013199999999999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12.7317 * CHOOSE(CONTROL!$C$15, $D$11, 100%, $F$11)</f>
        <v>12.7317</v>
      </c>
      <c r="C464" s="8">
        <f>12.7363 * CHOOSE(CONTROL!$C$15, $D$11, 100%, $F$11)</f>
        <v>12.7363</v>
      </c>
      <c r="D464" s="8">
        <f>12.7672 * CHOOSE( CONTROL!$C$15, $D$11, 100%, $F$11)</f>
        <v>12.767200000000001</v>
      </c>
      <c r="E464" s="12">
        <f>12.7565 * CHOOSE( CONTROL!$C$15, $D$11, 100%, $F$11)</f>
        <v>12.756500000000001</v>
      </c>
      <c r="F464" s="4">
        <f>13.4465 * CHOOSE(CONTROL!$C$15, $D$11, 100%, $F$11)</f>
        <v>13.4465</v>
      </c>
      <c r="G464" s="8">
        <f>12.4201 * CHOOSE( CONTROL!$C$15, $D$11, 100%, $F$11)</f>
        <v>12.4201</v>
      </c>
      <c r="H464" s="4">
        <f>13.368 * CHOOSE(CONTROL!$C$15, $D$11, 100%, $F$11)</f>
        <v>13.368</v>
      </c>
      <c r="I464" s="8">
        <f>12.3157 * CHOOSE(CONTROL!$C$15, $D$11, 100%, $F$11)</f>
        <v>12.3157</v>
      </c>
      <c r="J464" s="4">
        <f>12.1958 * CHOOSE(CONTROL!$C$15, $D$11, 100%, $F$11)</f>
        <v>12.1958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13.0749, 13.0715) * CHOOSE(CONTROL!$C$15, $D$11, 100%, $F$11)</f>
        <v>13.0749</v>
      </c>
      <c r="C465" s="8">
        <f>CHOOSE( CONTROL!$C$32, 13.083, 13.0796) * CHOOSE(CONTROL!$C$15, $D$11, 100%, $F$11)</f>
        <v>13.083</v>
      </c>
      <c r="D465" s="8">
        <f>CHOOSE( CONTROL!$C$32, 13.1086, 13.1052) * CHOOSE( CONTROL!$C$15, $D$11, 100%, $F$11)</f>
        <v>13.108599999999999</v>
      </c>
      <c r="E465" s="12">
        <f>CHOOSE( CONTROL!$C$32, 13.0981, 13.0947) * CHOOSE( CONTROL!$C$15, $D$11, 100%, $F$11)</f>
        <v>13.098100000000001</v>
      </c>
      <c r="F465" s="4">
        <f>CHOOSE( CONTROL!$C$32, 13.7884, 13.785) * CHOOSE(CONTROL!$C$15, $D$11, 100%, $F$11)</f>
        <v>13.788399999999999</v>
      </c>
      <c r="G465" s="8">
        <f>CHOOSE( CONTROL!$C$32, 12.7548, 12.7514) * CHOOSE( CONTROL!$C$15, $D$11, 100%, $F$11)</f>
        <v>12.754799999999999</v>
      </c>
      <c r="H465" s="4">
        <f>CHOOSE( CONTROL!$C$32, 13.7019, 13.6986) * CHOOSE(CONTROL!$C$15, $D$11, 100%, $F$11)</f>
        <v>13.7019</v>
      </c>
      <c r="I465" s="8">
        <f>CHOOSE( CONTROL!$C$32, 12.6442, 12.641) * CHOOSE(CONTROL!$C$15, $D$11, 100%, $F$11)</f>
        <v>12.6442</v>
      </c>
      <c r="J465" s="4">
        <f>CHOOSE( CONTROL!$C$32, 12.524, 12.5208) * CHOOSE(CONTROL!$C$15, $D$11, 100%, $F$11)</f>
        <v>12.523999999999999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12.8653, 12.8619) * CHOOSE(CONTROL!$C$15, $D$11, 100%, $F$11)</f>
        <v>12.8653</v>
      </c>
      <c r="C466" s="8">
        <f>CHOOSE( CONTROL!$C$32, 12.8734, 12.8699) * CHOOSE(CONTROL!$C$15, $D$11, 100%, $F$11)</f>
        <v>12.8734</v>
      </c>
      <c r="D466" s="8">
        <f>CHOOSE( CONTROL!$C$32, 12.8992, 12.8958) * CHOOSE( CONTROL!$C$15, $D$11, 100%, $F$11)</f>
        <v>12.8992</v>
      </c>
      <c r="E466" s="12">
        <f>CHOOSE( CONTROL!$C$32, 12.8886, 12.8852) * CHOOSE( CONTROL!$C$15, $D$11, 100%, $F$11)</f>
        <v>12.8886</v>
      </c>
      <c r="F466" s="4">
        <f>CHOOSE( CONTROL!$C$32, 13.5787, 13.5753) * CHOOSE(CONTROL!$C$15, $D$11, 100%, $F$11)</f>
        <v>13.5787</v>
      </c>
      <c r="G466" s="8">
        <f>CHOOSE( CONTROL!$C$32, 12.5503, 12.5469) * CHOOSE( CONTROL!$C$15, $D$11, 100%, $F$11)</f>
        <v>12.5503</v>
      </c>
      <c r="H466" s="4">
        <f>CHOOSE( CONTROL!$C$32, 13.4971, 13.4938) * CHOOSE(CONTROL!$C$15, $D$11, 100%, $F$11)</f>
        <v>13.4971</v>
      </c>
      <c r="I466" s="8">
        <f>CHOOSE( CONTROL!$C$32, 12.4438, 12.4405) * CHOOSE(CONTROL!$C$15, $D$11, 100%, $F$11)</f>
        <v>12.4438</v>
      </c>
      <c r="J466" s="4">
        <f>CHOOSE( CONTROL!$C$32, 12.3227, 12.3194) * CHOOSE(CONTROL!$C$15, $D$11, 100%, $F$11)</f>
        <v>12.322699999999999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13.4174, 13.414) * CHOOSE(CONTROL!$C$15, $D$11, 100%, $F$11)</f>
        <v>13.417400000000001</v>
      </c>
      <c r="C467" s="8">
        <f>CHOOSE( CONTROL!$C$32, 13.4255, 13.4221) * CHOOSE(CONTROL!$C$15, $D$11, 100%, $F$11)</f>
        <v>13.4255</v>
      </c>
      <c r="D467" s="8">
        <f>CHOOSE( CONTROL!$C$32, 13.4515, 13.4481) * CHOOSE( CONTROL!$C$15, $D$11, 100%, $F$11)</f>
        <v>13.451499999999999</v>
      </c>
      <c r="E467" s="12">
        <f>CHOOSE( CONTROL!$C$32, 13.4408, 13.4374) * CHOOSE( CONTROL!$C$15, $D$11, 100%, $F$11)</f>
        <v>13.440799999999999</v>
      </c>
      <c r="F467" s="4">
        <f>CHOOSE( CONTROL!$C$32, 14.1308, 14.1274) * CHOOSE(CONTROL!$C$15, $D$11, 100%, $F$11)</f>
        <v>14.130800000000001</v>
      </c>
      <c r="G467" s="8">
        <f>CHOOSE( CONTROL!$C$32, 13.0899, 13.0866) * CHOOSE( CONTROL!$C$15, $D$11, 100%, $F$11)</f>
        <v>13.0899</v>
      </c>
      <c r="H467" s="4">
        <f>CHOOSE( CONTROL!$C$32, 14.0364, 14.0331) * CHOOSE(CONTROL!$C$15, $D$11, 100%, $F$11)</f>
        <v>14.0364</v>
      </c>
      <c r="I467" s="8">
        <f>CHOOSE( CONTROL!$C$32, 12.9752, 12.972) * CHOOSE(CONTROL!$C$15, $D$11, 100%, $F$11)</f>
        <v>12.975199999999999</v>
      </c>
      <c r="J467" s="4">
        <f>CHOOSE( CONTROL!$C$32, 12.8528, 12.8496) * CHOOSE(CONTROL!$C$15, $D$11, 100%, $F$11)</f>
        <v>12.8528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12.3843, 12.3809) * CHOOSE(CONTROL!$C$15, $D$11, 100%, $F$11)</f>
        <v>12.3843</v>
      </c>
      <c r="C468" s="8">
        <f>CHOOSE( CONTROL!$C$32, 12.3924, 12.389) * CHOOSE(CONTROL!$C$15, $D$11, 100%, $F$11)</f>
        <v>12.3924</v>
      </c>
      <c r="D468" s="8">
        <f>CHOOSE( CONTROL!$C$32, 12.4185, 12.4151) * CHOOSE( CONTROL!$C$15, $D$11, 100%, $F$11)</f>
        <v>12.4185</v>
      </c>
      <c r="E468" s="12">
        <f>CHOOSE( CONTROL!$C$32, 12.4078, 12.4044) * CHOOSE( CONTROL!$C$15, $D$11, 100%, $F$11)</f>
        <v>12.4078</v>
      </c>
      <c r="F468" s="4">
        <f>CHOOSE( CONTROL!$C$32, 13.0977, 13.0943) * CHOOSE(CONTROL!$C$15, $D$11, 100%, $F$11)</f>
        <v>13.0977</v>
      </c>
      <c r="G468" s="8">
        <f>CHOOSE( CONTROL!$C$32, 12.081, 12.0776) * CHOOSE( CONTROL!$C$15, $D$11, 100%, $F$11)</f>
        <v>12.081</v>
      </c>
      <c r="H468" s="4">
        <f>CHOOSE( CONTROL!$C$32, 13.0274, 13.024) * CHOOSE(CONTROL!$C$15, $D$11, 100%, $F$11)</f>
        <v>13.0274</v>
      </c>
      <c r="I468" s="8">
        <f>CHOOSE( CONTROL!$C$32, 11.9833, 11.98) * CHOOSE(CONTROL!$C$15, $D$11, 100%, $F$11)</f>
        <v>11.9833</v>
      </c>
      <c r="J468" s="4">
        <f>CHOOSE( CONTROL!$C$32, 11.8609, 11.8577) * CHOOSE(CONTROL!$C$15, $D$11, 100%, $F$11)</f>
        <v>11.860900000000001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12.1256, 12.1222) * CHOOSE(CONTROL!$C$15, $D$11, 100%, $F$11)</f>
        <v>12.1256</v>
      </c>
      <c r="C469" s="8">
        <f>CHOOSE( CONTROL!$C$32, 12.1337, 12.1303) * CHOOSE(CONTROL!$C$15, $D$11, 100%, $F$11)</f>
        <v>12.133699999999999</v>
      </c>
      <c r="D469" s="8">
        <f>CHOOSE( CONTROL!$C$32, 12.1598, 12.1564) * CHOOSE( CONTROL!$C$15, $D$11, 100%, $F$11)</f>
        <v>12.159800000000001</v>
      </c>
      <c r="E469" s="12">
        <f>CHOOSE( CONTROL!$C$32, 12.1491, 12.1457) * CHOOSE( CONTROL!$C$15, $D$11, 100%, $F$11)</f>
        <v>12.149100000000001</v>
      </c>
      <c r="F469" s="4">
        <f>CHOOSE( CONTROL!$C$32, 12.839, 12.8356) * CHOOSE(CONTROL!$C$15, $D$11, 100%, $F$11)</f>
        <v>12.839</v>
      </c>
      <c r="G469" s="8">
        <f>CHOOSE( CONTROL!$C$32, 11.8283, 11.8249) * CHOOSE( CONTROL!$C$15, $D$11, 100%, $F$11)</f>
        <v>11.8283</v>
      </c>
      <c r="H469" s="4">
        <f>CHOOSE( CONTROL!$C$32, 12.7747, 12.7714) * CHOOSE(CONTROL!$C$15, $D$11, 100%, $F$11)</f>
        <v>12.774699999999999</v>
      </c>
      <c r="I469" s="8">
        <f>CHOOSE( CONTROL!$C$32, 11.7346, 11.7314) * CHOOSE(CONTROL!$C$15, $D$11, 100%, $F$11)</f>
        <v>11.7346</v>
      </c>
      <c r="J469" s="4">
        <f>CHOOSE( CONTROL!$C$32, 11.6126, 11.6093) * CHOOSE(CONTROL!$C$15, $D$11, 100%, $F$11)</f>
        <v>11.6126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12.6576 * CHOOSE(CONTROL!$C$15, $D$11, 100%, $F$11)</f>
        <v>12.6576</v>
      </c>
      <c r="C470" s="8">
        <f>12.6631 * CHOOSE(CONTROL!$C$15, $D$11, 100%, $F$11)</f>
        <v>12.6631</v>
      </c>
      <c r="D470" s="8">
        <f>12.6941 * CHOOSE( CONTROL!$C$15, $D$11, 100%, $F$11)</f>
        <v>12.694100000000001</v>
      </c>
      <c r="E470" s="12">
        <f>12.6833 * CHOOSE( CONTROL!$C$15, $D$11, 100%, $F$11)</f>
        <v>12.683299999999999</v>
      </c>
      <c r="F470" s="4">
        <f>13.3728 * CHOOSE(CONTROL!$C$15, $D$11, 100%, $F$11)</f>
        <v>13.3728</v>
      </c>
      <c r="G470" s="8">
        <f>12.3491 * CHOOSE( CONTROL!$C$15, $D$11, 100%, $F$11)</f>
        <v>12.3491</v>
      </c>
      <c r="H470" s="4">
        <f>13.296 * CHOOSE(CONTROL!$C$15, $D$11, 100%, $F$11)</f>
        <v>13.295999999999999</v>
      </c>
      <c r="I470" s="8">
        <f>12.2482 * CHOOSE(CONTROL!$C$15, $D$11, 100%, $F$11)</f>
        <v>12.248200000000001</v>
      </c>
      <c r="J470" s="4">
        <f>12.125 * CHOOSE(CONTROL!$C$15, $D$11, 100%, $F$11)</f>
        <v>12.125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13.6487 * CHOOSE(CONTROL!$C$15, $D$11, 100%, $F$11)</f>
        <v>13.6487</v>
      </c>
      <c r="C471" s="8">
        <f>13.6539 * CHOOSE(CONTROL!$C$15, $D$11, 100%, $F$11)</f>
        <v>13.6539</v>
      </c>
      <c r="D471" s="8">
        <f>13.6467 * CHOOSE( CONTROL!$C$15, $D$11, 100%, $F$11)</f>
        <v>13.646699999999999</v>
      </c>
      <c r="E471" s="12">
        <f>13.6488 * CHOOSE( CONTROL!$C$15, $D$11, 100%, $F$11)</f>
        <v>13.6488</v>
      </c>
      <c r="F471" s="4">
        <f>14.2992 * CHOOSE(CONTROL!$C$15, $D$11, 100%, $F$11)</f>
        <v>14.299200000000001</v>
      </c>
      <c r="G471" s="8">
        <f>13.3305 * CHOOSE( CONTROL!$C$15, $D$11, 100%, $F$11)</f>
        <v>13.330500000000001</v>
      </c>
      <c r="H471" s="4">
        <f>14.2008 * CHOOSE(CONTROL!$C$15, $D$11, 100%, $F$11)</f>
        <v>14.200799999999999</v>
      </c>
      <c r="I471" s="8">
        <f>13.244 * CHOOSE(CONTROL!$C$15, $D$11, 100%, $F$11)</f>
        <v>13.244</v>
      </c>
      <c r="J471" s="4">
        <f>13.0769 * CHOOSE(CONTROL!$C$15, $D$11, 100%, $F$11)</f>
        <v>13.0769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13.6239 * CHOOSE(CONTROL!$C$15, $D$11, 100%, $F$11)</f>
        <v>13.623900000000001</v>
      </c>
      <c r="C472" s="8">
        <f>13.6291 * CHOOSE(CONTROL!$C$15, $D$11, 100%, $F$11)</f>
        <v>13.629099999999999</v>
      </c>
      <c r="D472" s="8">
        <f>13.6234 * CHOOSE( CONTROL!$C$15, $D$11, 100%, $F$11)</f>
        <v>13.6234</v>
      </c>
      <c r="E472" s="12">
        <f>13.6249 * CHOOSE( CONTROL!$C$15, $D$11, 100%, $F$11)</f>
        <v>13.6249</v>
      </c>
      <c r="F472" s="4">
        <f>14.2744 * CHOOSE(CONTROL!$C$15, $D$11, 100%, $F$11)</f>
        <v>14.2744</v>
      </c>
      <c r="G472" s="8">
        <f>13.3074 * CHOOSE( CONTROL!$C$15, $D$11, 100%, $F$11)</f>
        <v>13.307399999999999</v>
      </c>
      <c r="H472" s="4">
        <f>14.1766 * CHOOSE(CONTROL!$C$15, $D$11, 100%, $F$11)</f>
        <v>14.176600000000001</v>
      </c>
      <c r="I472" s="8">
        <f>13.2248 * CHOOSE(CONTROL!$C$15, $D$11, 100%, $F$11)</f>
        <v>13.2248</v>
      </c>
      <c r="J472" s="4">
        <f>13.0531 * CHOOSE(CONTROL!$C$15, $D$11, 100%, $F$11)</f>
        <v>13.053100000000001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14.0249 * CHOOSE(CONTROL!$C$15, $D$11, 100%, $F$11)</f>
        <v>14.024900000000001</v>
      </c>
      <c r="C473" s="8">
        <f>14.0301 * CHOOSE(CONTROL!$C$15, $D$11, 100%, $F$11)</f>
        <v>14.030099999999999</v>
      </c>
      <c r="D473" s="8">
        <f>14.0102 * CHOOSE( CONTROL!$C$15, $D$11, 100%, $F$11)</f>
        <v>14.010199999999999</v>
      </c>
      <c r="E473" s="12">
        <f>14.0169 * CHOOSE( CONTROL!$C$15, $D$11, 100%, $F$11)</f>
        <v>14.0169</v>
      </c>
      <c r="F473" s="4">
        <f>14.6754 * CHOOSE(CONTROL!$C$15, $D$11, 100%, $F$11)</f>
        <v>14.6754</v>
      </c>
      <c r="G473" s="8">
        <f>13.6822 * CHOOSE( CONTROL!$C$15, $D$11, 100%, $F$11)</f>
        <v>13.6822</v>
      </c>
      <c r="H473" s="4">
        <f>14.5683 * CHOOSE(CONTROL!$C$15, $D$11, 100%, $F$11)</f>
        <v>14.568300000000001</v>
      </c>
      <c r="I473" s="8">
        <f>13.5665 * CHOOSE(CONTROL!$C$15, $D$11, 100%, $F$11)</f>
        <v>13.5665</v>
      </c>
      <c r="J473" s="4">
        <f>13.4382 * CHOOSE(CONTROL!$C$15, $D$11, 100%, $F$11)</f>
        <v>13.4382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13.1201 * CHOOSE(CONTROL!$C$15, $D$11, 100%, $F$11)</f>
        <v>13.120100000000001</v>
      </c>
      <c r="C474" s="8">
        <f>13.1253 * CHOOSE(CONTROL!$C$15, $D$11, 100%, $F$11)</f>
        <v>13.125299999999999</v>
      </c>
      <c r="D474" s="8">
        <f>13.1054 * CHOOSE( CONTROL!$C$15, $D$11, 100%, $F$11)</f>
        <v>13.105399999999999</v>
      </c>
      <c r="E474" s="12">
        <f>13.1121 * CHOOSE( CONTROL!$C$15, $D$11, 100%, $F$11)</f>
        <v>13.1121</v>
      </c>
      <c r="F474" s="4">
        <f>13.7706 * CHOOSE(CONTROL!$C$15, $D$11, 100%, $F$11)</f>
        <v>13.7706</v>
      </c>
      <c r="G474" s="8">
        <f>12.7984 * CHOOSE( CONTROL!$C$15, $D$11, 100%, $F$11)</f>
        <v>12.798400000000001</v>
      </c>
      <c r="H474" s="4">
        <f>13.6845 * CHOOSE(CONTROL!$C$15, $D$11, 100%, $F$11)</f>
        <v>13.6845</v>
      </c>
      <c r="I474" s="8">
        <f>12.6973 * CHOOSE(CONTROL!$C$15, $D$11, 100%, $F$11)</f>
        <v>12.6973</v>
      </c>
      <c r="J474" s="4">
        <f>12.5694 * CHOOSE(CONTROL!$C$15, $D$11, 100%, $F$11)</f>
        <v>12.5694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12.8414 * CHOOSE(CONTROL!$C$15, $D$11, 100%, $F$11)</f>
        <v>12.8414</v>
      </c>
      <c r="C475" s="8">
        <f>12.8466 * CHOOSE(CONTROL!$C$15, $D$11, 100%, $F$11)</f>
        <v>12.8466</v>
      </c>
      <c r="D475" s="8">
        <f>12.8263 * CHOOSE( CONTROL!$C$15, $D$11, 100%, $F$11)</f>
        <v>12.8263</v>
      </c>
      <c r="E475" s="12">
        <f>12.8332 * CHOOSE( CONTROL!$C$15, $D$11, 100%, $F$11)</f>
        <v>12.8332</v>
      </c>
      <c r="F475" s="4">
        <f>13.4919 * CHOOSE(CONTROL!$C$15, $D$11, 100%, $F$11)</f>
        <v>13.491899999999999</v>
      </c>
      <c r="G475" s="8">
        <f>12.526 * CHOOSE( CONTROL!$C$15, $D$11, 100%, $F$11)</f>
        <v>12.526</v>
      </c>
      <c r="H475" s="4">
        <f>13.4123 * CHOOSE(CONTROL!$C$15, $D$11, 100%, $F$11)</f>
        <v>13.4123</v>
      </c>
      <c r="I475" s="8">
        <f>12.4284 * CHOOSE(CONTROL!$C$15, $D$11, 100%, $F$11)</f>
        <v>12.4284</v>
      </c>
      <c r="J475" s="4">
        <f>12.3018 * CHOOSE(CONTROL!$C$15, $D$11, 100%, $F$11)</f>
        <v>12.3018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13.0369 * CHOOSE(CONTROL!$C$15, $D$11, 100%, $F$11)</f>
        <v>13.036899999999999</v>
      </c>
      <c r="C476" s="8">
        <f>13.0415 * CHOOSE(CONTROL!$C$15, $D$11, 100%, $F$11)</f>
        <v>13.041499999999999</v>
      </c>
      <c r="D476" s="8">
        <f>13.0724 * CHOOSE( CONTROL!$C$15, $D$11, 100%, $F$11)</f>
        <v>13.0724</v>
      </c>
      <c r="E476" s="12">
        <f>13.0617 * CHOOSE( CONTROL!$C$15, $D$11, 100%, $F$11)</f>
        <v>13.0617</v>
      </c>
      <c r="F476" s="4">
        <f>13.7517 * CHOOSE(CONTROL!$C$15, $D$11, 100%, $F$11)</f>
        <v>13.7517</v>
      </c>
      <c r="G476" s="8">
        <f>12.7182 * CHOOSE( CONTROL!$C$15, $D$11, 100%, $F$11)</f>
        <v>12.7182</v>
      </c>
      <c r="H476" s="4">
        <f>13.6661 * CHOOSE(CONTROL!$C$15, $D$11, 100%, $F$11)</f>
        <v>13.6661</v>
      </c>
      <c r="I476" s="8">
        <f>12.6089 * CHOOSE(CONTROL!$C$15, $D$11, 100%, $F$11)</f>
        <v>12.6089</v>
      </c>
      <c r="J476" s="4">
        <f>12.4888 * CHOOSE(CONTROL!$C$15, $D$11, 100%, $F$11)</f>
        <v>12.488799999999999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13.3883, 13.3849) * CHOOSE(CONTROL!$C$15, $D$11, 100%, $F$11)</f>
        <v>13.388299999999999</v>
      </c>
      <c r="C477" s="8">
        <f>CHOOSE( CONTROL!$C$32, 13.3964, 13.393) * CHOOSE(CONTROL!$C$15, $D$11, 100%, $F$11)</f>
        <v>13.3964</v>
      </c>
      <c r="D477" s="8">
        <f>CHOOSE( CONTROL!$C$32, 13.422, 13.4186) * CHOOSE( CONTROL!$C$15, $D$11, 100%, $F$11)</f>
        <v>13.422000000000001</v>
      </c>
      <c r="E477" s="12">
        <f>CHOOSE( CONTROL!$C$32, 13.4115, 13.4081) * CHOOSE( CONTROL!$C$15, $D$11, 100%, $F$11)</f>
        <v>13.4115</v>
      </c>
      <c r="F477" s="4">
        <f>CHOOSE( CONTROL!$C$32, 14.1017, 14.0983) * CHOOSE(CONTROL!$C$15, $D$11, 100%, $F$11)</f>
        <v>14.101699999999999</v>
      </c>
      <c r="G477" s="8">
        <f>CHOOSE( CONTROL!$C$32, 13.0608, 13.0575) * CHOOSE( CONTROL!$C$15, $D$11, 100%, $F$11)</f>
        <v>13.0608</v>
      </c>
      <c r="H477" s="4">
        <f>CHOOSE( CONTROL!$C$32, 14.008, 14.0046) * CHOOSE(CONTROL!$C$15, $D$11, 100%, $F$11)</f>
        <v>14.007999999999999</v>
      </c>
      <c r="I477" s="8">
        <f>CHOOSE( CONTROL!$C$32, 12.9452, 12.9419) * CHOOSE(CONTROL!$C$15, $D$11, 100%, $F$11)</f>
        <v>12.9452</v>
      </c>
      <c r="J477" s="4">
        <f>CHOOSE( CONTROL!$C$32, 12.8249, 12.8216) * CHOOSE(CONTROL!$C$15, $D$11, 100%, $F$11)</f>
        <v>12.8249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13.1736, 13.1702) * CHOOSE(CONTROL!$C$15, $D$11, 100%, $F$11)</f>
        <v>13.1736</v>
      </c>
      <c r="C478" s="8">
        <f>CHOOSE( CONTROL!$C$32, 13.1817, 13.1783) * CHOOSE(CONTROL!$C$15, $D$11, 100%, $F$11)</f>
        <v>13.181699999999999</v>
      </c>
      <c r="D478" s="8">
        <f>CHOOSE( CONTROL!$C$32, 13.2075, 13.2041) * CHOOSE( CONTROL!$C$15, $D$11, 100%, $F$11)</f>
        <v>13.2075</v>
      </c>
      <c r="E478" s="12">
        <f>CHOOSE( CONTROL!$C$32, 13.1969, 13.1935) * CHOOSE( CONTROL!$C$15, $D$11, 100%, $F$11)</f>
        <v>13.196899999999999</v>
      </c>
      <c r="F478" s="4">
        <f>CHOOSE( CONTROL!$C$32, 13.887, 13.8836) * CHOOSE(CONTROL!$C$15, $D$11, 100%, $F$11)</f>
        <v>13.887</v>
      </c>
      <c r="G478" s="8">
        <f>CHOOSE( CONTROL!$C$32, 12.8514, 12.8481) * CHOOSE( CONTROL!$C$15, $D$11, 100%, $F$11)</f>
        <v>12.8514</v>
      </c>
      <c r="H478" s="4">
        <f>CHOOSE( CONTROL!$C$32, 13.7983, 13.7949) * CHOOSE(CONTROL!$C$15, $D$11, 100%, $F$11)</f>
        <v>13.798299999999999</v>
      </c>
      <c r="I478" s="8">
        <f>CHOOSE( CONTROL!$C$32, 12.7399, 12.7367) * CHOOSE(CONTROL!$C$15, $D$11, 100%, $F$11)</f>
        <v>12.7399</v>
      </c>
      <c r="J478" s="4">
        <f>CHOOSE( CONTROL!$C$32, 12.6187, 12.6155) * CHOOSE(CONTROL!$C$15, $D$11, 100%, $F$11)</f>
        <v>12.6187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13.739, 13.7356) * CHOOSE(CONTROL!$C$15, $D$11, 100%, $F$11)</f>
        <v>13.739000000000001</v>
      </c>
      <c r="C479" s="8">
        <f>CHOOSE( CONTROL!$C$32, 13.7471, 13.7437) * CHOOSE(CONTROL!$C$15, $D$11, 100%, $F$11)</f>
        <v>13.7471</v>
      </c>
      <c r="D479" s="8">
        <f>CHOOSE( CONTROL!$C$32, 13.7731, 13.7697) * CHOOSE( CONTROL!$C$15, $D$11, 100%, $F$11)</f>
        <v>13.773099999999999</v>
      </c>
      <c r="E479" s="12">
        <f>CHOOSE( CONTROL!$C$32, 13.7624, 13.759) * CHOOSE( CONTROL!$C$15, $D$11, 100%, $F$11)</f>
        <v>13.7624</v>
      </c>
      <c r="F479" s="4">
        <f>CHOOSE( CONTROL!$C$32, 14.4524, 14.449) * CHOOSE(CONTROL!$C$15, $D$11, 100%, $F$11)</f>
        <v>14.452400000000001</v>
      </c>
      <c r="G479" s="8">
        <f>CHOOSE( CONTROL!$C$32, 13.404, 13.4006) * CHOOSE( CONTROL!$C$15, $D$11, 100%, $F$11)</f>
        <v>13.404</v>
      </c>
      <c r="H479" s="4">
        <f>CHOOSE( CONTROL!$C$32, 14.3505, 14.3472) * CHOOSE(CONTROL!$C$15, $D$11, 100%, $F$11)</f>
        <v>14.3505</v>
      </c>
      <c r="I479" s="8">
        <f>CHOOSE( CONTROL!$C$32, 13.2841, 13.2809) * CHOOSE(CONTROL!$C$15, $D$11, 100%, $F$11)</f>
        <v>13.2841</v>
      </c>
      <c r="J479" s="4">
        <f>CHOOSE( CONTROL!$C$32, 13.1616, 13.1583) * CHOOSE(CONTROL!$C$15, $D$11, 100%, $F$11)</f>
        <v>13.1616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12.681, 12.6776) * CHOOSE(CONTROL!$C$15, $D$11, 100%, $F$11)</f>
        <v>12.680999999999999</v>
      </c>
      <c r="C480" s="8">
        <f>CHOOSE( CONTROL!$C$32, 12.6891, 12.6857) * CHOOSE(CONTROL!$C$15, $D$11, 100%, $F$11)</f>
        <v>12.6891</v>
      </c>
      <c r="D480" s="8">
        <f>CHOOSE( CONTROL!$C$32, 12.7153, 12.7118) * CHOOSE( CONTROL!$C$15, $D$11, 100%, $F$11)</f>
        <v>12.715299999999999</v>
      </c>
      <c r="E480" s="12">
        <f>CHOOSE( CONTROL!$C$32, 12.7046, 12.7011) * CHOOSE( CONTROL!$C$15, $D$11, 100%, $F$11)</f>
        <v>12.704599999999999</v>
      </c>
      <c r="F480" s="4">
        <f>CHOOSE( CONTROL!$C$32, 13.3945, 13.3911) * CHOOSE(CONTROL!$C$15, $D$11, 100%, $F$11)</f>
        <v>13.394500000000001</v>
      </c>
      <c r="G480" s="8">
        <f>CHOOSE( CONTROL!$C$32, 12.3708, 12.3675) * CHOOSE( CONTROL!$C$15, $D$11, 100%, $F$11)</f>
        <v>12.370799999999999</v>
      </c>
      <c r="H480" s="4">
        <f>CHOOSE( CONTROL!$C$32, 13.3172, 13.3139) * CHOOSE(CONTROL!$C$15, $D$11, 100%, $F$11)</f>
        <v>13.3172</v>
      </c>
      <c r="I480" s="8">
        <f>CHOOSE( CONTROL!$C$32, 12.2683, 12.2651) * CHOOSE(CONTROL!$C$15, $D$11, 100%, $F$11)</f>
        <v>12.2683</v>
      </c>
      <c r="J480" s="4">
        <f>CHOOSE( CONTROL!$C$32, 12.1458, 12.1426) * CHOOSE(CONTROL!$C$15, $D$11, 100%, $F$11)</f>
        <v>12.145799999999999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12.4161, 12.4127) * CHOOSE(CONTROL!$C$15, $D$11, 100%, $F$11)</f>
        <v>12.4161</v>
      </c>
      <c r="C481" s="8">
        <f>CHOOSE( CONTROL!$C$32, 12.4242, 12.4208) * CHOOSE(CONTROL!$C$15, $D$11, 100%, $F$11)</f>
        <v>12.424200000000001</v>
      </c>
      <c r="D481" s="8">
        <f>CHOOSE( CONTROL!$C$32, 12.4503, 12.4469) * CHOOSE( CONTROL!$C$15, $D$11, 100%, $F$11)</f>
        <v>12.4503</v>
      </c>
      <c r="E481" s="12">
        <f>CHOOSE( CONTROL!$C$32, 12.4396, 12.4362) * CHOOSE( CONTROL!$C$15, $D$11, 100%, $F$11)</f>
        <v>12.4396</v>
      </c>
      <c r="F481" s="4">
        <f>CHOOSE( CONTROL!$C$32, 13.1296, 13.1261) * CHOOSE(CONTROL!$C$15, $D$11, 100%, $F$11)</f>
        <v>13.1296</v>
      </c>
      <c r="G481" s="8">
        <f>CHOOSE( CONTROL!$C$32, 12.112, 12.1087) * CHOOSE( CONTROL!$C$15, $D$11, 100%, $F$11)</f>
        <v>12.112</v>
      </c>
      <c r="H481" s="4">
        <f>CHOOSE( CONTROL!$C$32, 13.0584, 13.0551) * CHOOSE(CONTROL!$C$15, $D$11, 100%, $F$11)</f>
        <v>13.058400000000001</v>
      </c>
      <c r="I481" s="8">
        <f>CHOOSE( CONTROL!$C$32, 12.0137, 12.0104) * CHOOSE(CONTROL!$C$15, $D$11, 100%, $F$11)</f>
        <v>12.0137</v>
      </c>
      <c r="J481" s="4">
        <f>CHOOSE( CONTROL!$C$32, 11.8915, 11.8882) * CHOOSE(CONTROL!$C$15, $D$11, 100%, $F$11)</f>
        <v>11.891500000000001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12.9611 * CHOOSE(CONTROL!$C$15, $D$11, 100%, $F$11)</f>
        <v>12.9611</v>
      </c>
      <c r="C482" s="8">
        <f>12.9665 * CHOOSE(CONTROL!$C$15, $D$11, 100%, $F$11)</f>
        <v>12.9665</v>
      </c>
      <c r="D482" s="8">
        <f>12.9976 * CHOOSE( CONTROL!$C$15, $D$11, 100%, $F$11)</f>
        <v>12.9976</v>
      </c>
      <c r="E482" s="12">
        <f>12.9868 * CHOOSE( CONTROL!$C$15, $D$11, 100%, $F$11)</f>
        <v>12.986800000000001</v>
      </c>
      <c r="F482" s="4">
        <f>13.6762 * CHOOSE(CONTROL!$C$15, $D$11, 100%, $F$11)</f>
        <v>13.6762</v>
      </c>
      <c r="G482" s="8">
        <f>12.6455 * CHOOSE( CONTROL!$C$15, $D$11, 100%, $F$11)</f>
        <v>12.6455</v>
      </c>
      <c r="H482" s="4">
        <f>13.5924 * CHOOSE(CONTROL!$C$15, $D$11, 100%, $F$11)</f>
        <v>13.5924</v>
      </c>
      <c r="I482" s="8">
        <f>12.5397 * CHOOSE(CONTROL!$C$15, $D$11, 100%, $F$11)</f>
        <v>12.5397</v>
      </c>
      <c r="J482" s="4">
        <f>12.4163 * CHOOSE(CONTROL!$C$15, $D$11, 100%, $F$11)</f>
        <v>12.4163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13.976 * CHOOSE(CONTROL!$C$15, $D$11, 100%, $F$11)</f>
        <v>13.976000000000001</v>
      </c>
      <c r="C483" s="8">
        <f>13.9811 * CHOOSE(CONTROL!$C$15, $D$11, 100%, $F$11)</f>
        <v>13.9811</v>
      </c>
      <c r="D483" s="8">
        <f>13.974 * CHOOSE( CONTROL!$C$15, $D$11, 100%, $F$11)</f>
        <v>13.974</v>
      </c>
      <c r="E483" s="12">
        <f>13.9761 * CHOOSE( CONTROL!$C$15, $D$11, 100%, $F$11)</f>
        <v>13.976100000000001</v>
      </c>
      <c r="F483" s="4">
        <f>14.6264 * CHOOSE(CONTROL!$C$15, $D$11, 100%, $F$11)</f>
        <v>14.6264</v>
      </c>
      <c r="G483" s="8">
        <f>13.6502 * CHOOSE( CONTROL!$C$15, $D$11, 100%, $F$11)</f>
        <v>13.6502</v>
      </c>
      <c r="H483" s="4">
        <f>14.5204 * CHOOSE(CONTROL!$C$15, $D$11, 100%, $F$11)</f>
        <v>14.5204</v>
      </c>
      <c r="I483" s="8">
        <f>13.5584 * CHOOSE(CONTROL!$C$15, $D$11, 100%, $F$11)</f>
        <v>13.558400000000001</v>
      </c>
      <c r="J483" s="4">
        <f>13.3911 * CHOOSE(CONTROL!$C$15, $D$11, 100%, $F$11)</f>
        <v>13.3911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13.9506 * CHOOSE(CONTROL!$C$15, $D$11, 100%, $F$11)</f>
        <v>13.9506</v>
      </c>
      <c r="C484" s="8">
        <f>13.9558 * CHOOSE(CONTROL!$C$15, $D$11, 100%, $F$11)</f>
        <v>13.9558</v>
      </c>
      <c r="D484" s="8">
        <f>13.9501 * CHOOSE( CONTROL!$C$15, $D$11, 100%, $F$11)</f>
        <v>13.950100000000001</v>
      </c>
      <c r="E484" s="12">
        <f>13.9516 * CHOOSE( CONTROL!$C$15, $D$11, 100%, $F$11)</f>
        <v>13.951599999999999</v>
      </c>
      <c r="F484" s="4">
        <f>14.6011 * CHOOSE(CONTROL!$C$15, $D$11, 100%, $F$11)</f>
        <v>14.601100000000001</v>
      </c>
      <c r="G484" s="8">
        <f>13.6264 * CHOOSE( CONTROL!$C$15, $D$11, 100%, $F$11)</f>
        <v>13.6264</v>
      </c>
      <c r="H484" s="4">
        <f>14.4957 * CHOOSE(CONTROL!$C$15, $D$11, 100%, $F$11)</f>
        <v>14.495699999999999</v>
      </c>
      <c r="I484" s="8">
        <f>13.5386 * CHOOSE(CONTROL!$C$15, $D$11, 100%, $F$11)</f>
        <v>13.538600000000001</v>
      </c>
      <c r="J484" s="4">
        <f>13.3668 * CHOOSE(CONTROL!$C$15, $D$11, 100%, $F$11)</f>
        <v>13.3668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14.3613 * CHOOSE(CONTROL!$C$15, $D$11, 100%, $F$11)</f>
        <v>14.3613</v>
      </c>
      <c r="C485" s="8">
        <f>14.3664 * CHOOSE(CONTROL!$C$15, $D$11, 100%, $F$11)</f>
        <v>14.366400000000001</v>
      </c>
      <c r="D485" s="8">
        <f>14.3465 * CHOOSE( CONTROL!$C$15, $D$11, 100%, $F$11)</f>
        <v>14.346500000000001</v>
      </c>
      <c r="E485" s="12">
        <f>14.3532 * CHOOSE( CONTROL!$C$15, $D$11, 100%, $F$11)</f>
        <v>14.353199999999999</v>
      </c>
      <c r="F485" s="4">
        <f>15.0117 * CHOOSE(CONTROL!$C$15, $D$11, 100%, $F$11)</f>
        <v>15.011699999999999</v>
      </c>
      <c r="G485" s="8">
        <f>14.0107 * CHOOSE( CONTROL!$C$15, $D$11, 100%, $F$11)</f>
        <v>14.0107</v>
      </c>
      <c r="H485" s="4">
        <f>14.8968 * CHOOSE(CONTROL!$C$15, $D$11, 100%, $F$11)</f>
        <v>14.896800000000001</v>
      </c>
      <c r="I485" s="8">
        <f>13.8896 * CHOOSE(CONTROL!$C$15, $D$11, 100%, $F$11)</f>
        <v>13.8896</v>
      </c>
      <c r="J485" s="4">
        <f>13.7611 * CHOOSE(CONTROL!$C$15, $D$11, 100%, $F$11)</f>
        <v>13.761100000000001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13.4347 * CHOOSE(CONTROL!$C$15, $D$11, 100%, $F$11)</f>
        <v>13.434699999999999</v>
      </c>
      <c r="C486" s="8">
        <f>13.4398 * CHOOSE(CONTROL!$C$15, $D$11, 100%, $F$11)</f>
        <v>13.4398</v>
      </c>
      <c r="D486" s="8">
        <f>13.4199 * CHOOSE( CONTROL!$C$15, $D$11, 100%, $F$11)</f>
        <v>13.4199</v>
      </c>
      <c r="E486" s="12">
        <f>13.4266 * CHOOSE( CONTROL!$C$15, $D$11, 100%, $F$11)</f>
        <v>13.426600000000001</v>
      </c>
      <c r="F486" s="4">
        <f>14.0851 * CHOOSE(CONTROL!$C$15, $D$11, 100%, $F$11)</f>
        <v>14.085100000000001</v>
      </c>
      <c r="G486" s="8">
        <f>13.1057 * CHOOSE( CONTROL!$C$15, $D$11, 100%, $F$11)</f>
        <v>13.105700000000001</v>
      </c>
      <c r="H486" s="4">
        <f>13.9918 * CHOOSE(CONTROL!$C$15, $D$11, 100%, $F$11)</f>
        <v>13.9918</v>
      </c>
      <c r="I486" s="8">
        <f>12.9995 * CHOOSE(CONTROL!$C$15, $D$11, 100%, $F$11)</f>
        <v>12.999499999999999</v>
      </c>
      <c r="J486" s="4">
        <f>12.8714 * CHOOSE(CONTROL!$C$15, $D$11, 100%, $F$11)</f>
        <v>12.8714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13.1493 * CHOOSE(CONTROL!$C$15, $D$11, 100%, $F$11)</f>
        <v>13.1493</v>
      </c>
      <c r="C487" s="8">
        <f>13.1544 * CHOOSE(CONTROL!$C$15, $D$11, 100%, $F$11)</f>
        <v>13.154400000000001</v>
      </c>
      <c r="D487" s="8">
        <f>13.1342 * CHOOSE( CONTROL!$C$15, $D$11, 100%, $F$11)</f>
        <v>13.1342</v>
      </c>
      <c r="E487" s="12">
        <f>13.141 * CHOOSE( CONTROL!$C$15, $D$11, 100%, $F$11)</f>
        <v>13.141</v>
      </c>
      <c r="F487" s="4">
        <f>13.7997 * CHOOSE(CONTROL!$C$15, $D$11, 100%, $F$11)</f>
        <v>13.7997</v>
      </c>
      <c r="G487" s="8">
        <f>12.8267 * CHOOSE( CONTROL!$C$15, $D$11, 100%, $F$11)</f>
        <v>12.826700000000001</v>
      </c>
      <c r="H487" s="4">
        <f>13.713 * CHOOSE(CONTROL!$C$15, $D$11, 100%, $F$11)</f>
        <v>13.712999999999999</v>
      </c>
      <c r="I487" s="8">
        <f>12.7242 * CHOOSE(CONTROL!$C$15, $D$11, 100%, $F$11)</f>
        <v>12.7242</v>
      </c>
      <c r="J487" s="4">
        <f>12.5974 * CHOOSE(CONTROL!$C$15, $D$11, 100%, $F$11)</f>
        <v>12.5974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13.3495 * CHOOSE(CONTROL!$C$15, $D$11, 100%, $F$11)</f>
        <v>13.349500000000001</v>
      </c>
      <c r="C488" s="8">
        <f>13.3541 * CHOOSE(CONTROL!$C$15, $D$11, 100%, $F$11)</f>
        <v>13.354100000000001</v>
      </c>
      <c r="D488" s="8">
        <f>13.385 * CHOOSE( CONTROL!$C$15, $D$11, 100%, $F$11)</f>
        <v>13.385</v>
      </c>
      <c r="E488" s="12">
        <f>13.3743 * CHOOSE( CONTROL!$C$15, $D$11, 100%, $F$11)</f>
        <v>13.3743</v>
      </c>
      <c r="F488" s="4">
        <f>14.0643 * CHOOSE(CONTROL!$C$15, $D$11, 100%, $F$11)</f>
        <v>14.064299999999999</v>
      </c>
      <c r="G488" s="8">
        <f>13.0235 * CHOOSE( CONTROL!$C$15, $D$11, 100%, $F$11)</f>
        <v>13.0235</v>
      </c>
      <c r="H488" s="4">
        <f>13.9714 * CHOOSE(CONTROL!$C$15, $D$11, 100%, $F$11)</f>
        <v>13.971399999999999</v>
      </c>
      <c r="I488" s="8">
        <f>12.9091 * CHOOSE(CONTROL!$C$15, $D$11, 100%, $F$11)</f>
        <v>12.9091</v>
      </c>
      <c r="J488" s="4">
        <f>12.7889 * CHOOSE(CONTROL!$C$15, $D$11, 100%, $F$11)</f>
        <v>12.7889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13.7092, 13.7057) * CHOOSE(CONTROL!$C$15, $D$11, 100%, $F$11)</f>
        <v>13.709199999999999</v>
      </c>
      <c r="C489" s="8">
        <f>CHOOSE( CONTROL!$C$32, 13.7172, 13.7138) * CHOOSE(CONTROL!$C$15, $D$11, 100%, $F$11)</f>
        <v>13.7172</v>
      </c>
      <c r="D489" s="8">
        <f>CHOOSE( CONTROL!$C$32, 13.7428, 13.7394) * CHOOSE( CONTROL!$C$15, $D$11, 100%, $F$11)</f>
        <v>13.742800000000001</v>
      </c>
      <c r="E489" s="12">
        <f>CHOOSE( CONTROL!$C$32, 13.7323, 13.7289) * CHOOSE( CONTROL!$C$15, $D$11, 100%, $F$11)</f>
        <v>13.7323</v>
      </c>
      <c r="F489" s="4">
        <f>CHOOSE( CONTROL!$C$32, 14.4226, 14.4192) * CHOOSE(CONTROL!$C$15, $D$11, 100%, $F$11)</f>
        <v>14.422599999999999</v>
      </c>
      <c r="G489" s="8">
        <f>CHOOSE( CONTROL!$C$32, 13.3742, 13.3709) * CHOOSE( CONTROL!$C$15, $D$11, 100%, $F$11)</f>
        <v>13.3742</v>
      </c>
      <c r="H489" s="4">
        <f>CHOOSE( CONTROL!$C$32, 14.3214, 14.318) * CHOOSE(CONTROL!$C$15, $D$11, 100%, $F$11)</f>
        <v>14.321400000000001</v>
      </c>
      <c r="I489" s="8">
        <f>CHOOSE( CONTROL!$C$32, 13.2534, 13.2502) * CHOOSE(CONTROL!$C$15, $D$11, 100%, $F$11)</f>
        <v>13.253399999999999</v>
      </c>
      <c r="J489" s="4">
        <f>CHOOSE( CONTROL!$C$32, 13.1329, 13.1297) * CHOOSE(CONTROL!$C$15, $D$11, 100%, $F$11)</f>
        <v>13.132899999999999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13.4893, 13.4859) * CHOOSE(CONTROL!$C$15, $D$11, 100%, $F$11)</f>
        <v>13.4893</v>
      </c>
      <c r="C490" s="8">
        <f>CHOOSE( CONTROL!$C$32, 13.4974, 13.494) * CHOOSE(CONTROL!$C$15, $D$11, 100%, $F$11)</f>
        <v>13.497400000000001</v>
      </c>
      <c r="D490" s="8">
        <f>CHOOSE( CONTROL!$C$32, 13.5232, 13.5198) * CHOOSE( CONTROL!$C$15, $D$11, 100%, $F$11)</f>
        <v>13.523199999999999</v>
      </c>
      <c r="E490" s="12">
        <f>CHOOSE( CONTROL!$C$32, 13.5126, 13.5092) * CHOOSE( CONTROL!$C$15, $D$11, 100%, $F$11)</f>
        <v>13.512600000000001</v>
      </c>
      <c r="F490" s="4">
        <f>CHOOSE( CONTROL!$C$32, 14.2027, 14.1993) * CHOOSE(CONTROL!$C$15, $D$11, 100%, $F$11)</f>
        <v>14.2027</v>
      </c>
      <c r="G490" s="8">
        <f>CHOOSE( CONTROL!$C$32, 13.1598, 13.1564) * CHOOSE( CONTROL!$C$15, $D$11, 100%, $F$11)</f>
        <v>13.159800000000001</v>
      </c>
      <c r="H490" s="4">
        <f>CHOOSE( CONTROL!$C$32, 14.1066, 14.1033) * CHOOSE(CONTROL!$C$15, $D$11, 100%, $F$11)</f>
        <v>14.1066</v>
      </c>
      <c r="I490" s="8">
        <f>CHOOSE( CONTROL!$C$32, 13.0432, 13.0399) * CHOOSE(CONTROL!$C$15, $D$11, 100%, $F$11)</f>
        <v>13.043200000000001</v>
      </c>
      <c r="J490" s="4">
        <f>CHOOSE( CONTROL!$C$32, 12.9218, 12.9186) * CHOOSE(CONTROL!$C$15, $D$11, 100%, $F$11)</f>
        <v>12.921799999999999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14.0683, 14.0649) * CHOOSE(CONTROL!$C$15, $D$11, 100%, $F$11)</f>
        <v>14.068300000000001</v>
      </c>
      <c r="C491" s="8">
        <f>CHOOSE( CONTROL!$C$32, 14.0764, 14.073) * CHOOSE(CONTROL!$C$15, $D$11, 100%, $F$11)</f>
        <v>14.0764</v>
      </c>
      <c r="D491" s="8">
        <f>CHOOSE( CONTROL!$C$32, 14.1024, 14.099) * CHOOSE( CONTROL!$C$15, $D$11, 100%, $F$11)</f>
        <v>14.102399999999999</v>
      </c>
      <c r="E491" s="12">
        <f>CHOOSE( CONTROL!$C$32, 14.0917, 14.0883) * CHOOSE( CONTROL!$C$15, $D$11, 100%, $F$11)</f>
        <v>14.091699999999999</v>
      </c>
      <c r="F491" s="4">
        <f>CHOOSE( CONTROL!$C$32, 14.7817, 14.7783) * CHOOSE(CONTROL!$C$15, $D$11, 100%, $F$11)</f>
        <v>14.781700000000001</v>
      </c>
      <c r="G491" s="8">
        <f>CHOOSE( CONTROL!$C$32, 13.7256, 13.7223) * CHOOSE( CONTROL!$C$15, $D$11, 100%, $F$11)</f>
        <v>13.7256</v>
      </c>
      <c r="H491" s="4">
        <f>CHOOSE( CONTROL!$C$32, 14.6721, 14.6688) * CHOOSE(CONTROL!$C$15, $D$11, 100%, $F$11)</f>
        <v>14.6721</v>
      </c>
      <c r="I491" s="8">
        <f>CHOOSE( CONTROL!$C$32, 13.6005, 13.5972) * CHOOSE(CONTROL!$C$15, $D$11, 100%, $F$11)</f>
        <v>13.6005</v>
      </c>
      <c r="J491" s="4">
        <f>CHOOSE( CONTROL!$C$32, 13.4777, 13.4745) * CHOOSE(CONTROL!$C$15, $D$11, 100%, $F$11)</f>
        <v>13.4777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12.9849, 12.9815) * CHOOSE(CONTROL!$C$15, $D$11, 100%, $F$11)</f>
        <v>12.9849</v>
      </c>
      <c r="C492" s="8">
        <f>CHOOSE( CONTROL!$C$32, 12.993, 12.9896) * CHOOSE(CONTROL!$C$15, $D$11, 100%, $F$11)</f>
        <v>12.993</v>
      </c>
      <c r="D492" s="8">
        <f>CHOOSE( CONTROL!$C$32, 13.0191, 13.0157) * CHOOSE( CONTROL!$C$15, $D$11, 100%, $F$11)</f>
        <v>13.0191</v>
      </c>
      <c r="E492" s="12">
        <f>CHOOSE( CONTROL!$C$32, 13.0084, 13.005) * CHOOSE( CONTROL!$C$15, $D$11, 100%, $F$11)</f>
        <v>13.0084</v>
      </c>
      <c r="F492" s="4">
        <f>CHOOSE( CONTROL!$C$32, 13.6984, 13.6949) * CHOOSE(CONTROL!$C$15, $D$11, 100%, $F$11)</f>
        <v>13.698399999999999</v>
      </c>
      <c r="G492" s="8">
        <f>CHOOSE( CONTROL!$C$32, 12.6676, 12.6643) * CHOOSE( CONTROL!$C$15, $D$11, 100%, $F$11)</f>
        <v>12.6676</v>
      </c>
      <c r="H492" s="4">
        <f>CHOOSE( CONTROL!$C$32, 13.614, 13.6107) * CHOOSE(CONTROL!$C$15, $D$11, 100%, $F$11)</f>
        <v>13.614000000000001</v>
      </c>
      <c r="I492" s="8">
        <f>CHOOSE( CONTROL!$C$32, 12.5602, 12.557) * CHOOSE(CONTROL!$C$15, $D$11, 100%, $F$11)</f>
        <v>12.5602</v>
      </c>
      <c r="J492" s="4">
        <f>CHOOSE( CONTROL!$C$32, 12.4376, 12.4343) * CHOOSE(CONTROL!$C$15, $D$11, 100%, $F$11)</f>
        <v>12.4376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12.7136, 12.7102) * CHOOSE(CONTROL!$C$15, $D$11, 100%, $F$11)</f>
        <v>12.7136</v>
      </c>
      <c r="C493" s="8">
        <f>CHOOSE( CONTROL!$C$32, 12.7217, 12.7183) * CHOOSE(CONTROL!$C$15, $D$11, 100%, $F$11)</f>
        <v>12.7217</v>
      </c>
      <c r="D493" s="8">
        <f>CHOOSE( CONTROL!$C$32, 12.7478, 12.7444) * CHOOSE( CONTROL!$C$15, $D$11, 100%, $F$11)</f>
        <v>12.7478</v>
      </c>
      <c r="E493" s="12">
        <f>CHOOSE( CONTROL!$C$32, 12.7371, 12.7337) * CHOOSE( CONTROL!$C$15, $D$11, 100%, $F$11)</f>
        <v>12.7371</v>
      </c>
      <c r="F493" s="4">
        <f>CHOOSE( CONTROL!$C$32, 13.4271, 13.4237) * CHOOSE(CONTROL!$C$15, $D$11, 100%, $F$11)</f>
        <v>13.427099999999999</v>
      </c>
      <c r="G493" s="8">
        <f>CHOOSE( CONTROL!$C$32, 12.4026, 12.3993) * CHOOSE( CONTROL!$C$15, $D$11, 100%, $F$11)</f>
        <v>12.4026</v>
      </c>
      <c r="H493" s="4">
        <f>CHOOSE( CONTROL!$C$32, 13.349, 13.3457) * CHOOSE(CONTROL!$C$15, $D$11, 100%, $F$11)</f>
        <v>13.349</v>
      </c>
      <c r="I493" s="8">
        <f>CHOOSE( CONTROL!$C$32, 12.2995, 12.2962) * CHOOSE(CONTROL!$C$15, $D$11, 100%, $F$11)</f>
        <v>12.2995</v>
      </c>
      <c r="J493" s="4">
        <f>CHOOSE( CONTROL!$C$32, 12.1771, 12.1739) * CHOOSE(CONTROL!$C$15, $D$11, 100%, $F$11)</f>
        <v>12.177099999999999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13.2718 * CHOOSE(CONTROL!$C$15, $D$11, 100%, $F$11)</f>
        <v>13.271800000000001</v>
      </c>
      <c r="C494" s="8">
        <f>13.2772 * CHOOSE(CONTROL!$C$15, $D$11, 100%, $F$11)</f>
        <v>13.277200000000001</v>
      </c>
      <c r="D494" s="8">
        <f>13.3083 * CHOOSE( CONTROL!$C$15, $D$11, 100%, $F$11)</f>
        <v>13.308299999999999</v>
      </c>
      <c r="E494" s="12">
        <f>13.2975 * CHOOSE( CONTROL!$C$15, $D$11, 100%, $F$11)</f>
        <v>13.297499999999999</v>
      </c>
      <c r="F494" s="4">
        <f>13.9869 * CHOOSE(CONTROL!$C$15, $D$11, 100%, $F$11)</f>
        <v>13.9869</v>
      </c>
      <c r="G494" s="8">
        <f>12.949 * CHOOSE( CONTROL!$C$15, $D$11, 100%, $F$11)</f>
        <v>12.949</v>
      </c>
      <c r="H494" s="4">
        <f>13.8959 * CHOOSE(CONTROL!$C$15, $D$11, 100%, $F$11)</f>
        <v>13.895899999999999</v>
      </c>
      <c r="I494" s="8">
        <f>12.8381 * CHOOSE(CONTROL!$C$15, $D$11, 100%, $F$11)</f>
        <v>12.838100000000001</v>
      </c>
      <c r="J494" s="4">
        <f>12.7147 * CHOOSE(CONTROL!$C$15, $D$11, 100%, $F$11)</f>
        <v>12.714700000000001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14.3111 * CHOOSE(CONTROL!$C$15, $D$11, 100%, $F$11)</f>
        <v>14.3111</v>
      </c>
      <c r="C495" s="8">
        <f>14.3163 * CHOOSE(CONTROL!$C$15, $D$11, 100%, $F$11)</f>
        <v>14.3163</v>
      </c>
      <c r="D495" s="8">
        <f>14.3091 * CHOOSE( CONTROL!$C$15, $D$11, 100%, $F$11)</f>
        <v>14.309100000000001</v>
      </c>
      <c r="E495" s="12">
        <f>14.3112 * CHOOSE( CONTROL!$C$15, $D$11, 100%, $F$11)</f>
        <v>14.311199999999999</v>
      </c>
      <c r="F495" s="4">
        <f>14.9616 * CHOOSE(CONTROL!$C$15, $D$11, 100%, $F$11)</f>
        <v>14.961600000000001</v>
      </c>
      <c r="G495" s="8">
        <f>13.9775 * CHOOSE( CONTROL!$C$15, $D$11, 100%, $F$11)</f>
        <v>13.977499999999999</v>
      </c>
      <c r="H495" s="4">
        <f>14.8478 * CHOOSE(CONTROL!$C$15, $D$11, 100%, $F$11)</f>
        <v>14.847799999999999</v>
      </c>
      <c r="I495" s="8">
        <f>13.8803 * CHOOSE(CONTROL!$C$15, $D$11, 100%, $F$11)</f>
        <v>13.8803</v>
      </c>
      <c r="J495" s="4">
        <f>13.7129 * CHOOSE(CONTROL!$C$15, $D$11, 100%, $F$11)</f>
        <v>13.712899999999999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14.2851 * CHOOSE(CONTROL!$C$15, $D$11, 100%, $F$11)</f>
        <v>14.2851</v>
      </c>
      <c r="C496" s="8">
        <f>14.2903 * CHOOSE(CONTROL!$C$15, $D$11, 100%, $F$11)</f>
        <v>14.2903</v>
      </c>
      <c r="D496" s="8">
        <f>14.2846 * CHOOSE( CONTROL!$C$15, $D$11, 100%, $F$11)</f>
        <v>14.284599999999999</v>
      </c>
      <c r="E496" s="12">
        <f>14.2861 * CHOOSE( CONTROL!$C$15, $D$11, 100%, $F$11)</f>
        <v>14.286099999999999</v>
      </c>
      <c r="F496" s="4">
        <f>14.9356 * CHOOSE(CONTROL!$C$15, $D$11, 100%, $F$11)</f>
        <v>14.935600000000001</v>
      </c>
      <c r="G496" s="8">
        <f>13.9532 * CHOOSE( CONTROL!$C$15, $D$11, 100%, $F$11)</f>
        <v>13.953200000000001</v>
      </c>
      <c r="H496" s="4">
        <f>14.8224 * CHOOSE(CONTROL!$C$15, $D$11, 100%, $F$11)</f>
        <v>14.8224</v>
      </c>
      <c r="I496" s="8">
        <f>13.86 * CHOOSE(CONTROL!$C$15, $D$11, 100%, $F$11)</f>
        <v>13.86</v>
      </c>
      <c r="J496" s="4">
        <f>13.688 * CHOOSE(CONTROL!$C$15, $D$11, 100%, $F$11)</f>
        <v>13.688000000000001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14.7056 * CHOOSE(CONTROL!$C$15, $D$11, 100%, $F$11)</f>
        <v>14.7056</v>
      </c>
      <c r="C497" s="8">
        <f>14.7108 * CHOOSE(CONTROL!$C$15, $D$11, 100%, $F$11)</f>
        <v>14.710800000000001</v>
      </c>
      <c r="D497" s="8">
        <f>14.6909 * CHOOSE( CONTROL!$C$15, $D$11, 100%, $F$11)</f>
        <v>14.690899999999999</v>
      </c>
      <c r="E497" s="12">
        <f>14.6976 * CHOOSE( CONTROL!$C$15, $D$11, 100%, $F$11)</f>
        <v>14.6976</v>
      </c>
      <c r="F497" s="4">
        <f>15.3561 * CHOOSE(CONTROL!$C$15, $D$11, 100%, $F$11)</f>
        <v>15.3561</v>
      </c>
      <c r="G497" s="8">
        <f>14.3471 * CHOOSE( CONTROL!$C$15, $D$11, 100%, $F$11)</f>
        <v>14.347099999999999</v>
      </c>
      <c r="H497" s="4">
        <f>15.2331 * CHOOSE(CONTROL!$C$15, $D$11, 100%, $F$11)</f>
        <v>15.2331</v>
      </c>
      <c r="I497" s="8">
        <f>14.2204 * CHOOSE(CONTROL!$C$15, $D$11, 100%, $F$11)</f>
        <v>14.2204</v>
      </c>
      <c r="J497" s="4">
        <f>14.0917 * CHOOSE(CONTROL!$C$15, $D$11, 100%, $F$11)</f>
        <v>14.091699999999999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13.7568 * CHOOSE(CONTROL!$C$15, $D$11, 100%, $F$11)</f>
        <v>13.7568</v>
      </c>
      <c r="C498" s="8">
        <f>13.762 * CHOOSE(CONTROL!$C$15, $D$11, 100%, $F$11)</f>
        <v>13.762</v>
      </c>
      <c r="D498" s="8">
        <f>13.742 * CHOOSE( CONTROL!$C$15, $D$11, 100%, $F$11)</f>
        <v>13.742000000000001</v>
      </c>
      <c r="E498" s="12">
        <f>13.7488 * CHOOSE( CONTROL!$C$15, $D$11, 100%, $F$11)</f>
        <v>13.748799999999999</v>
      </c>
      <c r="F498" s="4">
        <f>14.4072 * CHOOSE(CONTROL!$C$15, $D$11, 100%, $F$11)</f>
        <v>14.4072</v>
      </c>
      <c r="G498" s="8">
        <f>13.4203 * CHOOSE( CONTROL!$C$15, $D$11, 100%, $F$11)</f>
        <v>13.420299999999999</v>
      </c>
      <c r="H498" s="4">
        <f>14.3064 * CHOOSE(CONTROL!$C$15, $D$11, 100%, $F$11)</f>
        <v>14.3064</v>
      </c>
      <c r="I498" s="8">
        <f>13.3089 * CHOOSE(CONTROL!$C$15, $D$11, 100%, $F$11)</f>
        <v>13.3089</v>
      </c>
      <c r="J498" s="4">
        <f>13.1807 * CHOOSE(CONTROL!$C$15, $D$11, 100%, $F$11)</f>
        <v>13.1807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13.4645 * CHOOSE(CONTROL!$C$15, $D$11, 100%, $F$11)</f>
        <v>13.464499999999999</v>
      </c>
      <c r="C499" s="8">
        <f>13.4697 * CHOOSE(CONTROL!$C$15, $D$11, 100%, $F$11)</f>
        <v>13.4697</v>
      </c>
      <c r="D499" s="8">
        <f>13.4494 * CHOOSE( CONTROL!$C$15, $D$11, 100%, $F$11)</f>
        <v>13.449400000000001</v>
      </c>
      <c r="E499" s="12">
        <f>13.4563 * CHOOSE( CONTROL!$C$15, $D$11, 100%, $F$11)</f>
        <v>13.456300000000001</v>
      </c>
      <c r="F499" s="4">
        <f>14.115 * CHOOSE(CONTROL!$C$15, $D$11, 100%, $F$11)</f>
        <v>14.115</v>
      </c>
      <c r="G499" s="8">
        <f>13.1346 * CHOOSE( CONTROL!$C$15, $D$11, 100%, $F$11)</f>
        <v>13.134600000000001</v>
      </c>
      <c r="H499" s="4">
        <f>14.0209 * CHOOSE(CONTROL!$C$15, $D$11, 100%, $F$11)</f>
        <v>14.020899999999999</v>
      </c>
      <c r="I499" s="8">
        <f>13.027 * CHOOSE(CONTROL!$C$15, $D$11, 100%, $F$11)</f>
        <v>13.026999999999999</v>
      </c>
      <c r="J499" s="4">
        <f>12.9001 * CHOOSE(CONTROL!$C$15, $D$11, 100%, $F$11)</f>
        <v>12.9001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13.6695 * CHOOSE(CONTROL!$C$15, $D$11, 100%, $F$11)</f>
        <v>13.669499999999999</v>
      </c>
      <c r="C500" s="8">
        <f>13.6741 * CHOOSE(CONTROL!$C$15, $D$11, 100%, $F$11)</f>
        <v>13.674099999999999</v>
      </c>
      <c r="D500" s="8">
        <f>13.705 * CHOOSE( CONTROL!$C$15, $D$11, 100%, $F$11)</f>
        <v>13.705</v>
      </c>
      <c r="E500" s="12">
        <f>13.6943 * CHOOSE( CONTROL!$C$15, $D$11, 100%, $F$11)</f>
        <v>13.6943</v>
      </c>
      <c r="F500" s="4">
        <f>14.3843 * CHOOSE(CONTROL!$C$15, $D$11, 100%, $F$11)</f>
        <v>14.3843</v>
      </c>
      <c r="G500" s="8">
        <f>13.3361 * CHOOSE( CONTROL!$C$15, $D$11, 100%, $F$11)</f>
        <v>13.3361</v>
      </c>
      <c r="H500" s="4">
        <f>14.284 * CHOOSE(CONTROL!$C$15, $D$11, 100%, $F$11)</f>
        <v>14.284000000000001</v>
      </c>
      <c r="I500" s="8">
        <f>13.2165 * CHOOSE(CONTROL!$C$15, $D$11, 100%, $F$11)</f>
        <v>13.2165</v>
      </c>
      <c r="J500" s="4">
        <f>13.0962 * CHOOSE(CONTROL!$C$15, $D$11, 100%, $F$11)</f>
        <v>13.0962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14.0377, 14.0343) * CHOOSE(CONTROL!$C$15, $D$11, 100%, $F$11)</f>
        <v>14.037699999999999</v>
      </c>
      <c r="C501" s="8">
        <f>CHOOSE( CONTROL!$C$32, 14.0458, 14.0424) * CHOOSE(CONTROL!$C$15, $D$11, 100%, $F$11)</f>
        <v>14.0458</v>
      </c>
      <c r="D501" s="8">
        <f>CHOOSE( CONTROL!$C$32, 14.0714, 14.068) * CHOOSE( CONTROL!$C$15, $D$11, 100%, $F$11)</f>
        <v>14.071400000000001</v>
      </c>
      <c r="E501" s="12">
        <f>CHOOSE( CONTROL!$C$32, 14.0609, 14.0575) * CHOOSE( CONTROL!$C$15, $D$11, 100%, $F$11)</f>
        <v>14.0609</v>
      </c>
      <c r="F501" s="4">
        <f>CHOOSE( CONTROL!$C$32, 14.7512, 14.7478) * CHOOSE(CONTROL!$C$15, $D$11, 100%, $F$11)</f>
        <v>14.751200000000001</v>
      </c>
      <c r="G501" s="8">
        <f>CHOOSE( CONTROL!$C$32, 13.6951, 13.6918) * CHOOSE( CONTROL!$C$15, $D$11, 100%, $F$11)</f>
        <v>13.6951</v>
      </c>
      <c r="H501" s="4">
        <f>CHOOSE( CONTROL!$C$32, 14.6423, 14.639) * CHOOSE(CONTROL!$C$15, $D$11, 100%, $F$11)</f>
        <v>14.642300000000001</v>
      </c>
      <c r="I501" s="8">
        <f>CHOOSE( CONTROL!$C$32, 13.5691, 13.5658) * CHOOSE(CONTROL!$C$15, $D$11, 100%, $F$11)</f>
        <v>13.569100000000001</v>
      </c>
      <c r="J501" s="4">
        <f>CHOOSE( CONTROL!$C$32, 13.4484, 13.4451) * CHOOSE(CONTROL!$C$15, $D$11, 100%, $F$11)</f>
        <v>13.448399999999999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13.8126, 13.8092) * CHOOSE(CONTROL!$C$15, $D$11, 100%, $F$11)</f>
        <v>13.8126</v>
      </c>
      <c r="C502" s="8">
        <f>CHOOSE( CONTROL!$C$32, 13.8207, 13.8173) * CHOOSE(CONTROL!$C$15, $D$11, 100%, $F$11)</f>
        <v>13.8207</v>
      </c>
      <c r="D502" s="8">
        <f>CHOOSE( CONTROL!$C$32, 13.8465, 13.8431) * CHOOSE( CONTROL!$C$15, $D$11, 100%, $F$11)</f>
        <v>13.846500000000001</v>
      </c>
      <c r="E502" s="12">
        <f>CHOOSE( CONTROL!$C$32, 13.8359, 13.8325) * CHOOSE( CONTROL!$C$15, $D$11, 100%, $F$11)</f>
        <v>13.835900000000001</v>
      </c>
      <c r="F502" s="4">
        <f>CHOOSE( CONTROL!$C$32, 14.526, 14.5226) * CHOOSE(CONTROL!$C$15, $D$11, 100%, $F$11)</f>
        <v>14.526</v>
      </c>
      <c r="G502" s="8">
        <f>CHOOSE( CONTROL!$C$32, 13.4755, 13.4722) * CHOOSE( CONTROL!$C$15, $D$11, 100%, $F$11)</f>
        <v>13.4755</v>
      </c>
      <c r="H502" s="4">
        <f>CHOOSE( CONTROL!$C$32, 14.4224, 14.4191) * CHOOSE(CONTROL!$C$15, $D$11, 100%, $F$11)</f>
        <v>14.4224</v>
      </c>
      <c r="I502" s="8">
        <f>CHOOSE( CONTROL!$C$32, 13.3537, 13.3505) * CHOOSE(CONTROL!$C$15, $D$11, 100%, $F$11)</f>
        <v>13.3537</v>
      </c>
      <c r="J502" s="4">
        <f>CHOOSE( CONTROL!$C$32, 13.2322, 13.229) * CHOOSE(CONTROL!$C$15, $D$11, 100%, $F$11)</f>
        <v>13.232200000000001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14.4055, 14.4021) * CHOOSE(CONTROL!$C$15, $D$11, 100%, $F$11)</f>
        <v>14.4055</v>
      </c>
      <c r="C503" s="8">
        <f>CHOOSE( CONTROL!$C$32, 14.4136, 14.4102) * CHOOSE(CONTROL!$C$15, $D$11, 100%, $F$11)</f>
        <v>14.413600000000001</v>
      </c>
      <c r="D503" s="8">
        <f>CHOOSE( CONTROL!$C$32, 14.4396, 14.4362) * CHOOSE( CONTROL!$C$15, $D$11, 100%, $F$11)</f>
        <v>14.4396</v>
      </c>
      <c r="E503" s="12">
        <f>CHOOSE( CONTROL!$C$32, 14.4289, 14.4255) * CHOOSE( CONTROL!$C$15, $D$11, 100%, $F$11)</f>
        <v>14.428900000000001</v>
      </c>
      <c r="F503" s="4">
        <f>CHOOSE( CONTROL!$C$32, 15.1189, 15.1155) * CHOOSE(CONTROL!$C$15, $D$11, 100%, $F$11)</f>
        <v>15.1189</v>
      </c>
      <c r="G503" s="8">
        <f>CHOOSE( CONTROL!$C$32, 14.055, 14.0516) * CHOOSE( CONTROL!$C$15, $D$11, 100%, $F$11)</f>
        <v>14.055</v>
      </c>
      <c r="H503" s="4">
        <f>CHOOSE( CONTROL!$C$32, 15.0015, 14.9981) * CHOOSE(CONTROL!$C$15, $D$11, 100%, $F$11)</f>
        <v>15.0015</v>
      </c>
      <c r="I503" s="8">
        <f>CHOOSE( CONTROL!$C$32, 13.9244, 13.9211) * CHOOSE(CONTROL!$C$15, $D$11, 100%, $F$11)</f>
        <v>13.9244</v>
      </c>
      <c r="J503" s="4">
        <f>CHOOSE( CONTROL!$C$32, 13.8015, 13.7982) * CHOOSE(CONTROL!$C$15, $D$11, 100%, $F$11)</f>
        <v>13.801500000000001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13.2961, 13.2927) * CHOOSE(CONTROL!$C$15, $D$11, 100%, $F$11)</f>
        <v>13.296099999999999</v>
      </c>
      <c r="C504" s="8">
        <f>CHOOSE( CONTROL!$C$32, 13.3042, 13.3008) * CHOOSE(CONTROL!$C$15, $D$11, 100%, $F$11)</f>
        <v>13.3042</v>
      </c>
      <c r="D504" s="8">
        <f>CHOOSE( CONTROL!$C$32, 13.3303, 13.3269) * CHOOSE( CONTROL!$C$15, $D$11, 100%, $F$11)</f>
        <v>13.330299999999999</v>
      </c>
      <c r="E504" s="12">
        <f>CHOOSE( CONTROL!$C$32, 13.3196, 13.3162) * CHOOSE( CONTROL!$C$15, $D$11, 100%, $F$11)</f>
        <v>13.319599999999999</v>
      </c>
      <c r="F504" s="4">
        <f>CHOOSE( CONTROL!$C$32, 14.0095, 14.0061) * CHOOSE(CONTROL!$C$15, $D$11, 100%, $F$11)</f>
        <v>14.009499999999999</v>
      </c>
      <c r="G504" s="8">
        <f>CHOOSE( CONTROL!$C$32, 12.9715, 12.9682) * CHOOSE( CONTROL!$C$15, $D$11, 100%, $F$11)</f>
        <v>12.971500000000001</v>
      </c>
      <c r="H504" s="4">
        <f>CHOOSE( CONTROL!$C$32, 13.9179, 13.9146) * CHOOSE(CONTROL!$C$15, $D$11, 100%, $F$11)</f>
        <v>13.917899999999999</v>
      </c>
      <c r="I504" s="8">
        <f>CHOOSE( CONTROL!$C$32, 12.8592, 12.8559) * CHOOSE(CONTROL!$C$15, $D$11, 100%, $F$11)</f>
        <v>12.8592</v>
      </c>
      <c r="J504" s="4">
        <f>CHOOSE( CONTROL!$C$32, 12.7364, 12.7331) * CHOOSE(CONTROL!$C$15, $D$11, 100%, $F$11)</f>
        <v>12.7364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13.0183, 13.0149) * CHOOSE(CONTROL!$C$15, $D$11, 100%, $F$11)</f>
        <v>13.0183</v>
      </c>
      <c r="C505" s="8">
        <f>CHOOSE( CONTROL!$C$32, 13.0264, 13.023) * CHOOSE(CONTROL!$C$15, $D$11, 100%, $F$11)</f>
        <v>13.026400000000001</v>
      </c>
      <c r="D505" s="8">
        <f>CHOOSE( CONTROL!$C$32, 13.0525, 13.0491) * CHOOSE( CONTROL!$C$15, $D$11, 100%, $F$11)</f>
        <v>13.0525</v>
      </c>
      <c r="E505" s="12">
        <f>CHOOSE( CONTROL!$C$32, 13.0418, 13.0384) * CHOOSE( CONTROL!$C$15, $D$11, 100%, $F$11)</f>
        <v>13.0418</v>
      </c>
      <c r="F505" s="4">
        <f>CHOOSE( CONTROL!$C$32, 13.7317, 13.7283) * CHOOSE(CONTROL!$C$15, $D$11, 100%, $F$11)</f>
        <v>13.7317</v>
      </c>
      <c r="G505" s="8">
        <f>CHOOSE( CONTROL!$C$32, 12.7002, 12.6968) * CHOOSE( CONTROL!$C$15, $D$11, 100%, $F$11)</f>
        <v>12.700200000000001</v>
      </c>
      <c r="H505" s="4">
        <f>CHOOSE( CONTROL!$C$32, 13.6466, 13.6433) * CHOOSE(CONTROL!$C$15, $D$11, 100%, $F$11)</f>
        <v>13.646599999999999</v>
      </c>
      <c r="I505" s="8">
        <f>CHOOSE( CONTROL!$C$32, 12.5922, 12.5889) * CHOOSE(CONTROL!$C$15, $D$11, 100%, $F$11)</f>
        <v>12.5922</v>
      </c>
      <c r="J505" s="4">
        <f>CHOOSE( CONTROL!$C$32, 12.4696, 12.4664) * CHOOSE(CONTROL!$C$15, $D$11, 100%, $F$11)</f>
        <v>12.4696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13.59 * CHOOSE(CONTROL!$C$15, $D$11, 100%, $F$11)</f>
        <v>13.59</v>
      </c>
      <c r="C506" s="8">
        <f>13.5954 * CHOOSE(CONTROL!$C$15, $D$11, 100%, $F$11)</f>
        <v>13.5954</v>
      </c>
      <c r="D506" s="8">
        <f>13.6265 * CHOOSE( CONTROL!$C$15, $D$11, 100%, $F$11)</f>
        <v>13.6265</v>
      </c>
      <c r="E506" s="12">
        <f>13.6157 * CHOOSE( CONTROL!$C$15, $D$11, 100%, $F$11)</f>
        <v>13.6157</v>
      </c>
      <c r="F506" s="4">
        <f>14.3051 * CHOOSE(CONTROL!$C$15, $D$11, 100%, $F$11)</f>
        <v>14.305099999999999</v>
      </c>
      <c r="G506" s="8">
        <f>13.2598 * CHOOSE( CONTROL!$C$15, $D$11, 100%, $F$11)</f>
        <v>13.2598</v>
      </c>
      <c r="H506" s="4">
        <f>14.2066 * CHOOSE(CONTROL!$C$15, $D$11, 100%, $F$11)</f>
        <v>14.2066</v>
      </c>
      <c r="I506" s="8">
        <f>13.1438 * CHOOSE(CONTROL!$C$15, $D$11, 100%, $F$11)</f>
        <v>13.143800000000001</v>
      </c>
      <c r="J506" s="4">
        <f>13.0202 * CHOOSE(CONTROL!$C$15, $D$11, 100%, $F$11)</f>
        <v>13.020200000000001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14.6543 * CHOOSE(CONTROL!$C$15, $D$11, 100%, $F$11)</f>
        <v>14.654299999999999</v>
      </c>
      <c r="C507" s="8">
        <f>14.6594 * CHOOSE(CONTROL!$C$15, $D$11, 100%, $F$11)</f>
        <v>14.6594</v>
      </c>
      <c r="D507" s="8">
        <f>14.6523 * CHOOSE( CONTROL!$C$15, $D$11, 100%, $F$11)</f>
        <v>14.6523</v>
      </c>
      <c r="E507" s="12">
        <f>14.6544 * CHOOSE( CONTROL!$C$15, $D$11, 100%, $F$11)</f>
        <v>14.654400000000001</v>
      </c>
      <c r="F507" s="4">
        <f>15.3047 * CHOOSE(CONTROL!$C$15, $D$11, 100%, $F$11)</f>
        <v>15.3047</v>
      </c>
      <c r="G507" s="8">
        <f>14.3127 * CHOOSE( CONTROL!$C$15, $D$11, 100%, $F$11)</f>
        <v>14.3127</v>
      </c>
      <c r="H507" s="4">
        <f>15.1829 * CHOOSE(CONTROL!$C$15, $D$11, 100%, $F$11)</f>
        <v>15.1829</v>
      </c>
      <c r="I507" s="8">
        <f>14.21 * CHOOSE(CONTROL!$C$15, $D$11, 100%, $F$11)</f>
        <v>14.21</v>
      </c>
      <c r="J507" s="4">
        <f>14.0424 * CHOOSE(CONTROL!$C$15, $D$11, 100%, $F$11)</f>
        <v>14.042400000000001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14.6277 * CHOOSE(CONTROL!$C$15, $D$11, 100%, $F$11)</f>
        <v>14.627700000000001</v>
      </c>
      <c r="C508" s="8">
        <f>14.6328 * CHOOSE(CONTROL!$C$15, $D$11, 100%, $F$11)</f>
        <v>14.6328</v>
      </c>
      <c r="D508" s="8">
        <f>14.6271 * CHOOSE( CONTROL!$C$15, $D$11, 100%, $F$11)</f>
        <v>14.6271</v>
      </c>
      <c r="E508" s="12">
        <f>14.6286 * CHOOSE( CONTROL!$C$15, $D$11, 100%, $F$11)</f>
        <v>14.6286</v>
      </c>
      <c r="F508" s="4">
        <f>15.2781 * CHOOSE(CONTROL!$C$15, $D$11, 100%, $F$11)</f>
        <v>15.2781</v>
      </c>
      <c r="G508" s="8">
        <f>14.2877 * CHOOSE( CONTROL!$C$15, $D$11, 100%, $F$11)</f>
        <v>14.287699999999999</v>
      </c>
      <c r="H508" s="4">
        <f>15.157 * CHOOSE(CONTROL!$C$15, $D$11, 100%, $F$11)</f>
        <v>15.157</v>
      </c>
      <c r="I508" s="8">
        <f>14.189 * CHOOSE(CONTROL!$C$15, $D$11, 100%, $F$11)</f>
        <v>14.189</v>
      </c>
      <c r="J508" s="4">
        <f>14.0168 * CHOOSE(CONTROL!$C$15, $D$11, 100%, $F$11)</f>
        <v>14.0168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15.0583 * CHOOSE(CONTROL!$C$15, $D$11, 100%, $F$11)</f>
        <v>15.058299999999999</v>
      </c>
      <c r="C509" s="8">
        <f>15.0635 * CHOOSE(CONTROL!$C$15, $D$11, 100%, $F$11)</f>
        <v>15.063499999999999</v>
      </c>
      <c r="D509" s="8">
        <f>15.0436 * CHOOSE( CONTROL!$C$15, $D$11, 100%, $F$11)</f>
        <v>15.0436</v>
      </c>
      <c r="E509" s="12">
        <f>15.0503 * CHOOSE( CONTROL!$C$15, $D$11, 100%, $F$11)</f>
        <v>15.0503</v>
      </c>
      <c r="F509" s="4">
        <f>15.7088 * CHOOSE(CONTROL!$C$15, $D$11, 100%, $F$11)</f>
        <v>15.7088</v>
      </c>
      <c r="G509" s="8">
        <f>14.6915 * CHOOSE( CONTROL!$C$15, $D$11, 100%, $F$11)</f>
        <v>14.6915</v>
      </c>
      <c r="H509" s="4">
        <f>15.5776 * CHOOSE(CONTROL!$C$15, $D$11, 100%, $F$11)</f>
        <v>15.5776</v>
      </c>
      <c r="I509" s="8">
        <f>14.5592 * CHOOSE(CONTROL!$C$15, $D$11, 100%, $F$11)</f>
        <v>14.559200000000001</v>
      </c>
      <c r="J509" s="4">
        <f>14.4303 * CHOOSE(CONTROL!$C$15, $D$11, 100%, $F$11)</f>
        <v>14.430300000000001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14.0866 * CHOOSE(CONTROL!$C$15, $D$11, 100%, $F$11)</f>
        <v>14.086600000000001</v>
      </c>
      <c r="C510" s="8">
        <f>14.0918 * CHOOSE(CONTROL!$C$15, $D$11, 100%, $F$11)</f>
        <v>14.091799999999999</v>
      </c>
      <c r="D510" s="8">
        <f>14.0719 * CHOOSE( CONTROL!$C$15, $D$11, 100%, $F$11)</f>
        <v>14.071899999999999</v>
      </c>
      <c r="E510" s="12">
        <f>14.0786 * CHOOSE( CONTROL!$C$15, $D$11, 100%, $F$11)</f>
        <v>14.0786</v>
      </c>
      <c r="F510" s="4">
        <f>14.7371 * CHOOSE(CONTROL!$C$15, $D$11, 100%, $F$11)</f>
        <v>14.7371</v>
      </c>
      <c r="G510" s="8">
        <f>13.7425 * CHOOSE( CONTROL!$C$15, $D$11, 100%, $F$11)</f>
        <v>13.7425</v>
      </c>
      <c r="H510" s="4">
        <f>14.6285 * CHOOSE(CONTROL!$C$15, $D$11, 100%, $F$11)</f>
        <v>14.628500000000001</v>
      </c>
      <c r="I510" s="8">
        <f>13.6257 * CHOOSE(CONTROL!$C$15, $D$11, 100%, $F$11)</f>
        <v>13.6257</v>
      </c>
      <c r="J510" s="4">
        <f>13.4974 * CHOOSE(CONTROL!$C$15, $D$11, 100%, $F$11)</f>
        <v>13.497400000000001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13.7874 * CHOOSE(CONTROL!$C$15, $D$11, 100%, $F$11)</f>
        <v>13.7874</v>
      </c>
      <c r="C511" s="8">
        <f>13.7926 * CHOOSE(CONTROL!$C$15, $D$11, 100%, $F$11)</f>
        <v>13.7926</v>
      </c>
      <c r="D511" s="8">
        <f>13.7723 * CHOOSE( CONTROL!$C$15, $D$11, 100%, $F$11)</f>
        <v>13.7723</v>
      </c>
      <c r="E511" s="12">
        <f>13.7792 * CHOOSE( CONTROL!$C$15, $D$11, 100%, $F$11)</f>
        <v>13.779199999999999</v>
      </c>
      <c r="F511" s="4">
        <f>14.4378 * CHOOSE(CONTROL!$C$15, $D$11, 100%, $F$11)</f>
        <v>14.437799999999999</v>
      </c>
      <c r="G511" s="8">
        <f>13.4499 * CHOOSE( CONTROL!$C$15, $D$11, 100%, $F$11)</f>
        <v>13.4499</v>
      </c>
      <c r="H511" s="4">
        <f>14.3362 * CHOOSE(CONTROL!$C$15, $D$11, 100%, $F$11)</f>
        <v>14.3362</v>
      </c>
      <c r="I511" s="8">
        <f>13.3371 * CHOOSE(CONTROL!$C$15, $D$11, 100%, $F$11)</f>
        <v>13.3371</v>
      </c>
      <c r="J511" s="4">
        <f>13.2101 * CHOOSE(CONTROL!$C$15, $D$11, 100%, $F$11)</f>
        <v>13.210100000000001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13.9973 * CHOOSE(CONTROL!$C$15, $D$11, 100%, $F$11)</f>
        <v>13.997299999999999</v>
      </c>
      <c r="C512" s="8">
        <f>14.0019 * CHOOSE(CONTROL!$C$15, $D$11, 100%, $F$11)</f>
        <v>14.001899999999999</v>
      </c>
      <c r="D512" s="8">
        <f>14.0328 * CHOOSE( CONTROL!$C$15, $D$11, 100%, $F$11)</f>
        <v>14.0328</v>
      </c>
      <c r="E512" s="12">
        <f>14.0221 * CHOOSE( CONTROL!$C$15, $D$11, 100%, $F$11)</f>
        <v>14.0221</v>
      </c>
      <c r="F512" s="4">
        <f>14.7121 * CHOOSE(CONTROL!$C$15, $D$11, 100%, $F$11)</f>
        <v>14.7121</v>
      </c>
      <c r="G512" s="8">
        <f>13.6562 * CHOOSE( CONTROL!$C$15, $D$11, 100%, $F$11)</f>
        <v>13.6562</v>
      </c>
      <c r="H512" s="4">
        <f>14.6041 * CHOOSE(CONTROL!$C$15, $D$11, 100%, $F$11)</f>
        <v>14.604100000000001</v>
      </c>
      <c r="I512" s="8">
        <f>13.5314 * CHOOSE(CONTROL!$C$15, $D$11, 100%, $F$11)</f>
        <v>13.5314</v>
      </c>
      <c r="J512" s="4">
        <f>13.4108 * CHOOSE(CONTROL!$C$15, $D$11, 100%, $F$11)</f>
        <v>13.4108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14.3742, 14.3708) * CHOOSE(CONTROL!$C$15, $D$11, 100%, $F$11)</f>
        <v>14.3742</v>
      </c>
      <c r="C513" s="8">
        <f>CHOOSE( CONTROL!$C$32, 14.3823, 14.3789) * CHOOSE(CONTROL!$C$15, $D$11, 100%, $F$11)</f>
        <v>14.382300000000001</v>
      </c>
      <c r="D513" s="8">
        <f>CHOOSE( CONTROL!$C$32, 14.4079, 14.4045) * CHOOSE( CONTROL!$C$15, $D$11, 100%, $F$11)</f>
        <v>14.4079</v>
      </c>
      <c r="E513" s="12">
        <f>CHOOSE( CONTROL!$C$32, 14.3974, 14.394) * CHOOSE( CONTROL!$C$15, $D$11, 100%, $F$11)</f>
        <v>14.397399999999999</v>
      </c>
      <c r="F513" s="4">
        <f>CHOOSE( CONTROL!$C$32, 15.0876, 15.0842) * CHOOSE(CONTROL!$C$15, $D$11, 100%, $F$11)</f>
        <v>15.0876</v>
      </c>
      <c r="G513" s="8">
        <f>CHOOSE( CONTROL!$C$32, 14.0238, 14.0204) * CHOOSE( CONTROL!$C$15, $D$11, 100%, $F$11)</f>
        <v>14.0238</v>
      </c>
      <c r="H513" s="4">
        <f>CHOOSE( CONTROL!$C$32, 14.9709, 14.9676) * CHOOSE(CONTROL!$C$15, $D$11, 100%, $F$11)</f>
        <v>14.9709</v>
      </c>
      <c r="I513" s="8">
        <f>CHOOSE( CONTROL!$C$32, 13.8923, 13.889) * CHOOSE(CONTROL!$C$15, $D$11, 100%, $F$11)</f>
        <v>13.892300000000001</v>
      </c>
      <c r="J513" s="4">
        <f>CHOOSE( CONTROL!$C$32, 13.7715, 13.7682) * CHOOSE(CONTROL!$C$15, $D$11, 100%, $F$11)</f>
        <v>13.7715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14.1437, 14.1402) * CHOOSE(CONTROL!$C$15, $D$11, 100%, $F$11)</f>
        <v>14.143700000000001</v>
      </c>
      <c r="C514" s="8">
        <f>CHOOSE( CONTROL!$C$32, 14.1517, 14.1483) * CHOOSE(CONTROL!$C$15, $D$11, 100%, $F$11)</f>
        <v>14.1517</v>
      </c>
      <c r="D514" s="8">
        <f>CHOOSE( CONTROL!$C$32, 14.1775, 14.1741) * CHOOSE( CONTROL!$C$15, $D$11, 100%, $F$11)</f>
        <v>14.1775</v>
      </c>
      <c r="E514" s="12">
        <f>CHOOSE( CONTROL!$C$32, 14.1669, 14.1635) * CHOOSE( CONTROL!$C$15, $D$11, 100%, $F$11)</f>
        <v>14.1669</v>
      </c>
      <c r="F514" s="4">
        <f>CHOOSE( CONTROL!$C$32, 14.8571, 14.8537) * CHOOSE(CONTROL!$C$15, $D$11, 100%, $F$11)</f>
        <v>14.857100000000001</v>
      </c>
      <c r="G514" s="8">
        <f>CHOOSE( CONTROL!$C$32, 13.7989, 13.7955) * CHOOSE( CONTROL!$C$15, $D$11, 100%, $F$11)</f>
        <v>13.7989</v>
      </c>
      <c r="H514" s="4">
        <f>CHOOSE( CONTROL!$C$32, 14.7457, 14.7424) * CHOOSE(CONTROL!$C$15, $D$11, 100%, $F$11)</f>
        <v>14.745699999999999</v>
      </c>
      <c r="I514" s="8">
        <f>CHOOSE( CONTROL!$C$32, 13.6718, 13.6685) * CHOOSE(CONTROL!$C$15, $D$11, 100%, $F$11)</f>
        <v>13.671799999999999</v>
      </c>
      <c r="J514" s="4">
        <f>CHOOSE( CONTROL!$C$32, 13.5501, 13.5468) * CHOOSE(CONTROL!$C$15, $D$11, 100%, $F$11)</f>
        <v>13.5501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14.7508, 14.7474) * CHOOSE(CONTROL!$C$15, $D$11, 100%, $F$11)</f>
        <v>14.7508</v>
      </c>
      <c r="C515" s="8">
        <f>CHOOSE( CONTROL!$C$32, 14.7589, 14.7555) * CHOOSE(CONTROL!$C$15, $D$11, 100%, $F$11)</f>
        <v>14.758900000000001</v>
      </c>
      <c r="D515" s="8">
        <f>CHOOSE( CONTROL!$C$32, 14.7849, 14.7815) * CHOOSE( CONTROL!$C$15, $D$11, 100%, $F$11)</f>
        <v>14.7849</v>
      </c>
      <c r="E515" s="12">
        <f>CHOOSE( CONTROL!$C$32, 14.7742, 14.7708) * CHOOSE( CONTROL!$C$15, $D$11, 100%, $F$11)</f>
        <v>14.7742</v>
      </c>
      <c r="F515" s="4">
        <f>CHOOSE( CONTROL!$C$32, 15.4642, 15.4608) * CHOOSE(CONTROL!$C$15, $D$11, 100%, $F$11)</f>
        <v>15.4642</v>
      </c>
      <c r="G515" s="8">
        <f>CHOOSE( CONTROL!$C$32, 14.3922, 14.3889) * CHOOSE( CONTROL!$C$15, $D$11, 100%, $F$11)</f>
        <v>14.392200000000001</v>
      </c>
      <c r="H515" s="4">
        <f>CHOOSE( CONTROL!$C$32, 15.3387, 15.3354) * CHOOSE(CONTROL!$C$15, $D$11, 100%, $F$11)</f>
        <v>15.338699999999999</v>
      </c>
      <c r="I515" s="8">
        <f>CHOOSE( CONTROL!$C$32, 14.2561, 14.2528) * CHOOSE(CONTROL!$C$15, $D$11, 100%, $F$11)</f>
        <v>14.2561</v>
      </c>
      <c r="J515" s="4">
        <f>CHOOSE( CONTROL!$C$32, 14.133, 14.1298) * CHOOSE(CONTROL!$C$15, $D$11, 100%, $F$11)</f>
        <v>14.132999999999999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13.6148, 13.6114) * CHOOSE(CONTROL!$C$15, $D$11, 100%, $F$11)</f>
        <v>13.614800000000001</v>
      </c>
      <c r="C516" s="8">
        <f>CHOOSE( CONTROL!$C$32, 13.6228, 13.6194) * CHOOSE(CONTROL!$C$15, $D$11, 100%, $F$11)</f>
        <v>13.6228</v>
      </c>
      <c r="D516" s="8">
        <f>CHOOSE( CONTROL!$C$32, 13.649, 13.6456) * CHOOSE( CONTROL!$C$15, $D$11, 100%, $F$11)</f>
        <v>13.648999999999999</v>
      </c>
      <c r="E516" s="12">
        <f>CHOOSE( CONTROL!$C$32, 13.6383, 13.6349) * CHOOSE( CONTROL!$C$15, $D$11, 100%, $F$11)</f>
        <v>13.638299999999999</v>
      </c>
      <c r="F516" s="4">
        <f>CHOOSE( CONTROL!$C$32, 14.3282, 14.3248) * CHOOSE(CONTROL!$C$15, $D$11, 100%, $F$11)</f>
        <v>14.328200000000001</v>
      </c>
      <c r="G516" s="8">
        <f>CHOOSE( CONTROL!$C$32, 13.2828, 13.2795) * CHOOSE( CONTROL!$C$15, $D$11, 100%, $F$11)</f>
        <v>13.2828</v>
      </c>
      <c r="H516" s="4">
        <f>CHOOSE( CONTROL!$C$32, 14.2292, 14.2258) * CHOOSE(CONTROL!$C$15, $D$11, 100%, $F$11)</f>
        <v>14.229200000000001</v>
      </c>
      <c r="I516" s="8">
        <f>CHOOSE( CONTROL!$C$32, 13.1652, 13.162) * CHOOSE(CONTROL!$C$15, $D$11, 100%, $F$11)</f>
        <v>13.1652</v>
      </c>
      <c r="J516" s="4">
        <f>CHOOSE( CONTROL!$C$32, 13.0423, 13.039) * CHOOSE(CONTROL!$C$15, $D$11, 100%, $F$11)</f>
        <v>13.042299999999999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13.3303, 13.3269) * CHOOSE(CONTROL!$C$15, $D$11, 100%, $F$11)</f>
        <v>13.330299999999999</v>
      </c>
      <c r="C517" s="8">
        <f>CHOOSE( CONTROL!$C$32, 13.3384, 13.335) * CHOOSE(CONTROL!$C$15, $D$11, 100%, $F$11)</f>
        <v>13.3384</v>
      </c>
      <c r="D517" s="8">
        <f>CHOOSE( CONTROL!$C$32, 13.3645, 13.3611) * CHOOSE( CONTROL!$C$15, $D$11, 100%, $F$11)</f>
        <v>13.3645</v>
      </c>
      <c r="E517" s="12">
        <f>CHOOSE( CONTROL!$C$32, 13.3538, 13.3504) * CHOOSE( CONTROL!$C$15, $D$11, 100%, $F$11)</f>
        <v>13.3538</v>
      </c>
      <c r="F517" s="4">
        <f>CHOOSE( CONTROL!$C$32, 14.0437, 14.0403) * CHOOSE(CONTROL!$C$15, $D$11, 100%, $F$11)</f>
        <v>14.043699999999999</v>
      </c>
      <c r="G517" s="8">
        <f>CHOOSE( CONTROL!$C$32, 13.0049, 13.0016) * CHOOSE( CONTROL!$C$15, $D$11, 100%, $F$11)</f>
        <v>13.004899999999999</v>
      </c>
      <c r="H517" s="4">
        <f>CHOOSE( CONTROL!$C$32, 13.9513, 13.948) * CHOOSE(CONTROL!$C$15, $D$11, 100%, $F$11)</f>
        <v>13.9513</v>
      </c>
      <c r="I517" s="8">
        <f>CHOOSE( CONTROL!$C$32, 12.8918, 12.8886) * CHOOSE(CONTROL!$C$15, $D$11, 100%, $F$11)</f>
        <v>12.8918</v>
      </c>
      <c r="J517" s="4">
        <f>CHOOSE( CONTROL!$C$32, 12.7692, 12.7659) * CHOOSE(CONTROL!$C$15, $D$11, 100%, $F$11)</f>
        <v>12.7692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13.9158 * CHOOSE(CONTROL!$C$15, $D$11, 100%, $F$11)</f>
        <v>13.915800000000001</v>
      </c>
      <c r="C518" s="8">
        <f>13.9213 * CHOOSE(CONTROL!$C$15, $D$11, 100%, $F$11)</f>
        <v>13.9213</v>
      </c>
      <c r="D518" s="8">
        <f>13.9524 * CHOOSE( CONTROL!$C$15, $D$11, 100%, $F$11)</f>
        <v>13.952400000000001</v>
      </c>
      <c r="E518" s="12">
        <f>13.9415 * CHOOSE( CONTROL!$C$15, $D$11, 100%, $F$11)</f>
        <v>13.9415</v>
      </c>
      <c r="F518" s="4">
        <f>14.631 * CHOOSE(CONTROL!$C$15, $D$11, 100%, $F$11)</f>
        <v>14.631</v>
      </c>
      <c r="G518" s="8">
        <f>13.578 * CHOOSE( CONTROL!$C$15, $D$11, 100%, $F$11)</f>
        <v>13.577999999999999</v>
      </c>
      <c r="H518" s="4">
        <f>14.5249 * CHOOSE(CONTROL!$C$15, $D$11, 100%, $F$11)</f>
        <v>14.524900000000001</v>
      </c>
      <c r="I518" s="8">
        <f>13.4568 * CHOOSE(CONTROL!$C$15, $D$11, 100%, $F$11)</f>
        <v>13.456799999999999</v>
      </c>
      <c r="J518" s="4">
        <f>13.333 * CHOOSE(CONTROL!$C$15, $D$11, 100%, $F$11)</f>
        <v>13.333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15.0057 * CHOOSE(CONTROL!$C$15, $D$11, 100%, $F$11)</f>
        <v>15.005699999999999</v>
      </c>
      <c r="C519" s="8">
        <f>15.0109 * CHOOSE(CONTROL!$C$15, $D$11, 100%, $F$11)</f>
        <v>15.010899999999999</v>
      </c>
      <c r="D519" s="8">
        <f>15.0037 * CHOOSE( CONTROL!$C$15, $D$11, 100%, $F$11)</f>
        <v>15.0037</v>
      </c>
      <c r="E519" s="12">
        <f>15.0058 * CHOOSE( CONTROL!$C$15, $D$11, 100%, $F$11)</f>
        <v>15.005800000000001</v>
      </c>
      <c r="F519" s="4">
        <f>15.6562 * CHOOSE(CONTROL!$C$15, $D$11, 100%, $F$11)</f>
        <v>15.6562</v>
      </c>
      <c r="G519" s="8">
        <f>14.6559 * CHOOSE( CONTROL!$C$15, $D$11, 100%, $F$11)</f>
        <v>14.655900000000001</v>
      </c>
      <c r="H519" s="4">
        <f>15.5262 * CHOOSE(CONTROL!$C$15, $D$11, 100%, $F$11)</f>
        <v>15.526199999999999</v>
      </c>
      <c r="I519" s="8">
        <f>14.5475 * CHOOSE(CONTROL!$C$15, $D$11, 100%, $F$11)</f>
        <v>14.547499999999999</v>
      </c>
      <c r="J519" s="4">
        <f>14.3798 * CHOOSE(CONTROL!$C$15, $D$11, 100%, $F$11)</f>
        <v>14.379799999999999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14.9784 * CHOOSE(CONTROL!$C$15, $D$11, 100%, $F$11)</f>
        <v>14.978400000000001</v>
      </c>
      <c r="C520" s="8">
        <f>14.9836 * CHOOSE(CONTROL!$C$15, $D$11, 100%, $F$11)</f>
        <v>14.983599999999999</v>
      </c>
      <c r="D520" s="8">
        <f>14.9779 * CHOOSE( CONTROL!$C$15, $D$11, 100%, $F$11)</f>
        <v>14.9779</v>
      </c>
      <c r="E520" s="12">
        <f>14.9794 * CHOOSE( CONTROL!$C$15, $D$11, 100%, $F$11)</f>
        <v>14.9794</v>
      </c>
      <c r="F520" s="4">
        <f>15.6289 * CHOOSE(CONTROL!$C$15, $D$11, 100%, $F$11)</f>
        <v>15.6289</v>
      </c>
      <c r="G520" s="8">
        <f>14.6304 * CHOOSE( CONTROL!$C$15, $D$11, 100%, $F$11)</f>
        <v>14.6304</v>
      </c>
      <c r="H520" s="4">
        <f>15.4996 * CHOOSE(CONTROL!$C$15, $D$11, 100%, $F$11)</f>
        <v>15.499599999999999</v>
      </c>
      <c r="I520" s="8">
        <f>14.526 * CHOOSE(CONTROL!$C$15, $D$11, 100%, $F$11)</f>
        <v>14.526</v>
      </c>
      <c r="J520" s="4">
        <f>14.3536 * CHOOSE(CONTROL!$C$15, $D$11, 100%, $F$11)</f>
        <v>14.3536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15.4194 * CHOOSE(CONTROL!$C$15, $D$11, 100%, $F$11)</f>
        <v>15.4194</v>
      </c>
      <c r="C521" s="8">
        <f>15.4246 * CHOOSE(CONTROL!$C$15, $D$11, 100%, $F$11)</f>
        <v>15.4246</v>
      </c>
      <c r="D521" s="8">
        <f>15.4047 * CHOOSE( CONTROL!$C$15, $D$11, 100%, $F$11)</f>
        <v>15.4047</v>
      </c>
      <c r="E521" s="12">
        <f>15.4114 * CHOOSE( CONTROL!$C$15, $D$11, 100%, $F$11)</f>
        <v>15.4114</v>
      </c>
      <c r="F521" s="4">
        <f>16.0699 * CHOOSE(CONTROL!$C$15, $D$11, 100%, $F$11)</f>
        <v>16.069900000000001</v>
      </c>
      <c r="G521" s="8">
        <f>15.0442 * CHOOSE( CONTROL!$C$15, $D$11, 100%, $F$11)</f>
        <v>15.0442</v>
      </c>
      <c r="H521" s="4">
        <f>15.9303 * CHOOSE(CONTROL!$C$15, $D$11, 100%, $F$11)</f>
        <v>15.930300000000001</v>
      </c>
      <c r="I521" s="8">
        <f>14.906 * CHOOSE(CONTROL!$C$15, $D$11, 100%, $F$11)</f>
        <v>14.906000000000001</v>
      </c>
      <c r="J521" s="4">
        <f>14.777 * CHOOSE(CONTROL!$C$15, $D$11, 100%, $F$11)</f>
        <v>14.776999999999999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14.4244 * CHOOSE(CONTROL!$C$15, $D$11, 100%, $F$11)</f>
        <v>14.4244</v>
      </c>
      <c r="C522" s="8">
        <f>14.4296 * CHOOSE(CONTROL!$C$15, $D$11, 100%, $F$11)</f>
        <v>14.429600000000001</v>
      </c>
      <c r="D522" s="8">
        <f>14.4097 * CHOOSE( CONTROL!$C$15, $D$11, 100%, $F$11)</f>
        <v>14.409700000000001</v>
      </c>
      <c r="E522" s="12">
        <f>14.4164 * CHOOSE( CONTROL!$C$15, $D$11, 100%, $F$11)</f>
        <v>14.416399999999999</v>
      </c>
      <c r="F522" s="4">
        <f>15.0749 * CHOOSE(CONTROL!$C$15, $D$11, 100%, $F$11)</f>
        <v>15.0749</v>
      </c>
      <c r="G522" s="8">
        <f>14.0724 * CHOOSE( CONTROL!$C$15, $D$11, 100%, $F$11)</f>
        <v>14.0724</v>
      </c>
      <c r="H522" s="4">
        <f>14.9585 * CHOOSE(CONTROL!$C$15, $D$11, 100%, $F$11)</f>
        <v>14.958500000000001</v>
      </c>
      <c r="I522" s="8">
        <f>13.9502 * CHOOSE(CONTROL!$C$15, $D$11, 100%, $F$11)</f>
        <v>13.950200000000001</v>
      </c>
      <c r="J522" s="4">
        <f>13.8217 * CHOOSE(CONTROL!$C$15, $D$11, 100%, $F$11)</f>
        <v>13.8217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14.118 * CHOOSE(CONTROL!$C$15, $D$11, 100%, $F$11)</f>
        <v>14.118</v>
      </c>
      <c r="C523" s="8">
        <f>14.1231 * CHOOSE(CONTROL!$C$15, $D$11, 100%, $F$11)</f>
        <v>14.123100000000001</v>
      </c>
      <c r="D523" s="8">
        <f>14.1029 * CHOOSE( CONTROL!$C$15, $D$11, 100%, $F$11)</f>
        <v>14.1029</v>
      </c>
      <c r="E523" s="12">
        <f>14.1097 * CHOOSE( CONTROL!$C$15, $D$11, 100%, $F$11)</f>
        <v>14.1097</v>
      </c>
      <c r="F523" s="4">
        <f>14.7684 * CHOOSE(CONTROL!$C$15, $D$11, 100%, $F$11)</f>
        <v>14.7684</v>
      </c>
      <c r="G523" s="8">
        <f>13.7728 * CHOOSE( CONTROL!$C$15, $D$11, 100%, $F$11)</f>
        <v>13.7728</v>
      </c>
      <c r="H523" s="4">
        <f>14.6591 * CHOOSE(CONTROL!$C$15, $D$11, 100%, $F$11)</f>
        <v>14.6591</v>
      </c>
      <c r="I523" s="8">
        <f>13.6547 * CHOOSE(CONTROL!$C$15, $D$11, 100%, $F$11)</f>
        <v>13.6547</v>
      </c>
      <c r="J523" s="4">
        <f>13.5275 * CHOOSE(CONTROL!$C$15, $D$11, 100%, $F$11)</f>
        <v>13.5275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14.3329 * CHOOSE(CONTROL!$C$15, $D$11, 100%, $F$11)</f>
        <v>14.3329</v>
      </c>
      <c r="C524" s="8">
        <f>14.3375 * CHOOSE(CONTROL!$C$15, $D$11, 100%, $F$11)</f>
        <v>14.3375</v>
      </c>
      <c r="D524" s="8">
        <f>14.3684 * CHOOSE( CONTROL!$C$15, $D$11, 100%, $F$11)</f>
        <v>14.368399999999999</v>
      </c>
      <c r="E524" s="12">
        <f>14.3577 * CHOOSE( CONTROL!$C$15, $D$11, 100%, $F$11)</f>
        <v>14.357699999999999</v>
      </c>
      <c r="F524" s="4">
        <f>15.0477 * CHOOSE(CONTROL!$C$15, $D$11, 100%, $F$11)</f>
        <v>15.047700000000001</v>
      </c>
      <c r="G524" s="8">
        <f>13.984 * CHOOSE( CONTROL!$C$15, $D$11, 100%, $F$11)</f>
        <v>13.984</v>
      </c>
      <c r="H524" s="4">
        <f>14.9319 * CHOOSE(CONTROL!$C$15, $D$11, 100%, $F$11)</f>
        <v>14.931900000000001</v>
      </c>
      <c r="I524" s="8">
        <f>13.8537 * CHOOSE(CONTROL!$C$15, $D$11, 100%, $F$11)</f>
        <v>13.8537</v>
      </c>
      <c r="J524" s="4">
        <f>13.7331 * CHOOSE(CONTROL!$C$15, $D$11, 100%, $F$11)</f>
        <v>13.7331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14.7188, 14.7154) * CHOOSE(CONTROL!$C$15, $D$11, 100%, $F$11)</f>
        <v>14.7188</v>
      </c>
      <c r="C525" s="8">
        <f>CHOOSE( CONTROL!$C$32, 14.7269, 14.7235) * CHOOSE(CONTROL!$C$15, $D$11, 100%, $F$11)</f>
        <v>14.726900000000001</v>
      </c>
      <c r="D525" s="8">
        <f>CHOOSE( CONTROL!$C$32, 14.7525, 14.7491) * CHOOSE( CONTROL!$C$15, $D$11, 100%, $F$11)</f>
        <v>14.7525</v>
      </c>
      <c r="E525" s="12">
        <f>CHOOSE( CONTROL!$C$32, 14.742, 14.7386) * CHOOSE( CONTROL!$C$15, $D$11, 100%, $F$11)</f>
        <v>14.742000000000001</v>
      </c>
      <c r="F525" s="4">
        <f>CHOOSE( CONTROL!$C$32, 15.4322, 15.4288) * CHOOSE(CONTROL!$C$15, $D$11, 100%, $F$11)</f>
        <v>15.4322</v>
      </c>
      <c r="G525" s="8">
        <f>CHOOSE( CONTROL!$C$32, 14.3603, 14.357) * CHOOSE( CONTROL!$C$15, $D$11, 100%, $F$11)</f>
        <v>14.360300000000001</v>
      </c>
      <c r="H525" s="4">
        <f>CHOOSE( CONTROL!$C$32, 15.3075, 15.3041) * CHOOSE(CONTROL!$C$15, $D$11, 100%, $F$11)</f>
        <v>15.307499999999999</v>
      </c>
      <c r="I525" s="8">
        <f>CHOOSE( CONTROL!$C$32, 14.2233, 14.22) * CHOOSE(CONTROL!$C$15, $D$11, 100%, $F$11)</f>
        <v>14.2233</v>
      </c>
      <c r="J525" s="4">
        <f>CHOOSE( CONTROL!$C$32, 14.1023, 14.099) * CHOOSE(CONTROL!$C$15, $D$11, 100%, $F$11)</f>
        <v>14.1023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14.4827, 14.4793) * CHOOSE(CONTROL!$C$15, $D$11, 100%, $F$11)</f>
        <v>14.482699999999999</v>
      </c>
      <c r="C526" s="8">
        <f>CHOOSE( CONTROL!$C$32, 14.4908, 14.4874) * CHOOSE(CONTROL!$C$15, $D$11, 100%, $F$11)</f>
        <v>14.4908</v>
      </c>
      <c r="D526" s="8">
        <f>CHOOSE( CONTROL!$C$32, 14.5166, 14.5132) * CHOOSE( CONTROL!$C$15, $D$11, 100%, $F$11)</f>
        <v>14.5166</v>
      </c>
      <c r="E526" s="12">
        <f>CHOOSE( CONTROL!$C$32, 14.506, 14.5026) * CHOOSE( CONTROL!$C$15, $D$11, 100%, $F$11)</f>
        <v>14.506</v>
      </c>
      <c r="F526" s="4">
        <f>CHOOSE( CONTROL!$C$32, 15.1961, 15.1927) * CHOOSE(CONTROL!$C$15, $D$11, 100%, $F$11)</f>
        <v>15.196099999999999</v>
      </c>
      <c r="G526" s="8">
        <f>CHOOSE( CONTROL!$C$32, 14.13, 14.1267) * CHOOSE( CONTROL!$C$15, $D$11, 100%, $F$11)</f>
        <v>14.13</v>
      </c>
      <c r="H526" s="4">
        <f>CHOOSE( CONTROL!$C$32, 15.0769, 15.0735) * CHOOSE(CONTROL!$C$15, $D$11, 100%, $F$11)</f>
        <v>15.0769</v>
      </c>
      <c r="I526" s="8">
        <f>CHOOSE( CONTROL!$C$32, 13.9974, 13.9942) * CHOOSE(CONTROL!$C$15, $D$11, 100%, $F$11)</f>
        <v>13.997400000000001</v>
      </c>
      <c r="J526" s="4">
        <f>CHOOSE( CONTROL!$C$32, 13.8756, 13.8723) * CHOOSE(CONTROL!$C$15, $D$11, 100%, $F$11)</f>
        <v>13.8756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15.1044, 15.101) * CHOOSE(CONTROL!$C$15, $D$11, 100%, $F$11)</f>
        <v>15.1044</v>
      </c>
      <c r="C527" s="8">
        <f>CHOOSE( CONTROL!$C$32, 15.1125, 15.1091) * CHOOSE(CONTROL!$C$15, $D$11, 100%, $F$11)</f>
        <v>15.112500000000001</v>
      </c>
      <c r="D527" s="8">
        <f>CHOOSE( CONTROL!$C$32, 15.1385, 15.1351) * CHOOSE( CONTROL!$C$15, $D$11, 100%, $F$11)</f>
        <v>15.138500000000001</v>
      </c>
      <c r="E527" s="12">
        <f>CHOOSE( CONTROL!$C$32, 15.1278, 15.1244) * CHOOSE( CONTROL!$C$15, $D$11, 100%, $F$11)</f>
        <v>15.127800000000001</v>
      </c>
      <c r="F527" s="4">
        <f>CHOOSE( CONTROL!$C$32, 15.8178, 15.8144) * CHOOSE(CONTROL!$C$15, $D$11, 100%, $F$11)</f>
        <v>15.8178</v>
      </c>
      <c r="G527" s="8">
        <f>CHOOSE( CONTROL!$C$32, 14.7376, 14.7343) * CHOOSE( CONTROL!$C$15, $D$11, 100%, $F$11)</f>
        <v>14.7376</v>
      </c>
      <c r="H527" s="4">
        <f>CHOOSE( CONTROL!$C$32, 15.6841, 15.6808) * CHOOSE(CONTROL!$C$15, $D$11, 100%, $F$11)</f>
        <v>15.684100000000001</v>
      </c>
      <c r="I527" s="8">
        <f>CHOOSE( CONTROL!$C$32, 14.5957, 14.5925) * CHOOSE(CONTROL!$C$15, $D$11, 100%, $F$11)</f>
        <v>14.595700000000001</v>
      </c>
      <c r="J527" s="4">
        <f>CHOOSE( CONTROL!$C$32, 14.4725, 14.4693) * CHOOSE(CONTROL!$C$15, $D$11, 100%, $F$11)</f>
        <v>14.4725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13.9411, 13.9377) * CHOOSE(CONTROL!$C$15, $D$11, 100%, $F$11)</f>
        <v>13.9411</v>
      </c>
      <c r="C528" s="8">
        <f>CHOOSE( CONTROL!$C$32, 13.9492, 13.9458) * CHOOSE(CONTROL!$C$15, $D$11, 100%, $F$11)</f>
        <v>13.949199999999999</v>
      </c>
      <c r="D528" s="8">
        <f>CHOOSE( CONTROL!$C$32, 13.9753, 13.9719) * CHOOSE( CONTROL!$C$15, $D$11, 100%, $F$11)</f>
        <v>13.975300000000001</v>
      </c>
      <c r="E528" s="12">
        <f>CHOOSE( CONTROL!$C$32, 13.9646, 13.9612) * CHOOSE( CONTROL!$C$15, $D$11, 100%, $F$11)</f>
        <v>13.964600000000001</v>
      </c>
      <c r="F528" s="4">
        <f>CHOOSE( CONTROL!$C$32, 14.6545, 14.6511) * CHOOSE(CONTROL!$C$15, $D$11, 100%, $F$11)</f>
        <v>14.654500000000001</v>
      </c>
      <c r="G528" s="8">
        <f>CHOOSE( CONTROL!$C$32, 13.6015, 13.5982) * CHOOSE( CONTROL!$C$15, $D$11, 100%, $F$11)</f>
        <v>13.6015</v>
      </c>
      <c r="H528" s="4">
        <f>CHOOSE( CONTROL!$C$32, 14.5479, 14.5446) * CHOOSE(CONTROL!$C$15, $D$11, 100%, $F$11)</f>
        <v>14.5479</v>
      </c>
      <c r="I528" s="8">
        <f>CHOOSE( CONTROL!$C$32, 13.4787, 13.4754) * CHOOSE(CONTROL!$C$15, $D$11, 100%, $F$11)</f>
        <v>13.4787</v>
      </c>
      <c r="J528" s="4">
        <f>CHOOSE( CONTROL!$C$32, 13.3556, 13.3523) * CHOOSE(CONTROL!$C$15, $D$11, 100%, $F$11)</f>
        <v>13.355600000000001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13.6498, 13.6464) * CHOOSE(CONTROL!$C$15, $D$11, 100%, $F$11)</f>
        <v>13.649800000000001</v>
      </c>
      <c r="C529" s="8">
        <f>CHOOSE( CONTROL!$C$32, 13.6578, 13.6544) * CHOOSE(CONTROL!$C$15, $D$11, 100%, $F$11)</f>
        <v>13.6578</v>
      </c>
      <c r="D529" s="8">
        <f>CHOOSE( CONTROL!$C$32, 13.6839, 13.6805) * CHOOSE( CONTROL!$C$15, $D$11, 100%, $F$11)</f>
        <v>13.6839</v>
      </c>
      <c r="E529" s="12">
        <f>CHOOSE( CONTROL!$C$32, 13.6732, 13.6698) * CHOOSE( CONTROL!$C$15, $D$11, 100%, $F$11)</f>
        <v>13.6732</v>
      </c>
      <c r="F529" s="4">
        <f>CHOOSE( CONTROL!$C$32, 14.3632, 14.3598) * CHOOSE(CONTROL!$C$15, $D$11, 100%, $F$11)</f>
        <v>14.363200000000001</v>
      </c>
      <c r="G529" s="8">
        <f>CHOOSE( CONTROL!$C$32, 13.3169, 13.3136) * CHOOSE( CONTROL!$C$15, $D$11, 100%, $F$11)</f>
        <v>13.3169</v>
      </c>
      <c r="H529" s="4">
        <f>CHOOSE( CONTROL!$C$32, 14.2634, 14.26) * CHOOSE(CONTROL!$C$15, $D$11, 100%, $F$11)</f>
        <v>14.263400000000001</v>
      </c>
      <c r="I529" s="8">
        <f>CHOOSE( CONTROL!$C$32, 13.1987, 13.1955) * CHOOSE(CONTROL!$C$15, $D$11, 100%, $F$11)</f>
        <v>13.198700000000001</v>
      </c>
      <c r="J529" s="4">
        <f>CHOOSE( CONTROL!$C$32, 13.0759, 13.0726) * CHOOSE(CONTROL!$C$15, $D$11, 100%, $F$11)</f>
        <v>13.075900000000001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14.2495 * CHOOSE(CONTROL!$C$15, $D$11, 100%, $F$11)</f>
        <v>14.249499999999999</v>
      </c>
      <c r="C530" s="8">
        <f>14.2549 * CHOOSE(CONTROL!$C$15, $D$11, 100%, $F$11)</f>
        <v>14.254899999999999</v>
      </c>
      <c r="D530" s="8">
        <f>14.286 * CHOOSE( CONTROL!$C$15, $D$11, 100%, $F$11)</f>
        <v>14.286</v>
      </c>
      <c r="E530" s="12">
        <f>14.2752 * CHOOSE( CONTROL!$C$15, $D$11, 100%, $F$11)</f>
        <v>14.2752</v>
      </c>
      <c r="F530" s="4">
        <f>14.9647 * CHOOSE(CONTROL!$C$15, $D$11, 100%, $F$11)</f>
        <v>14.964700000000001</v>
      </c>
      <c r="G530" s="8">
        <f>13.9039 * CHOOSE( CONTROL!$C$15, $D$11, 100%, $F$11)</f>
        <v>13.9039</v>
      </c>
      <c r="H530" s="4">
        <f>14.8508 * CHOOSE(CONTROL!$C$15, $D$11, 100%, $F$11)</f>
        <v>14.8508</v>
      </c>
      <c r="I530" s="8">
        <f>13.7773 * CHOOSE(CONTROL!$C$15, $D$11, 100%, $F$11)</f>
        <v>13.7773</v>
      </c>
      <c r="J530" s="4">
        <f>13.6534 * CHOOSE(CONTROL!$C$15, $D$11, 100%, $F$11)</f>
        <v>13.6534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15.3656 * CHOOSE(CONTROL!$C$15, $D$11, 100%, $F$11)</f>
        <v>15.365600000000001</v>
      </c>
      <c r="C531" s="8">
        <f>15.3707 * CHOOSE(CONTROL!$C$15, $D$11, 100%, $F$11)</f>
        <v>15.370699999999999</v>
      </c>
      <c r="D531" s="8">
        <f>15.3636 * CHOOSE( CONTROL!$C$15, $D$11, 100%, $F$11)</f>
        <v>15.3636</v>
      </c>
      <c r="E531" s="12">
        <f>15.3657 * CHOOSE( CONTROL!$C$15, $D$11, 100%, $F$11)</f>
        <v>15.3657</v>
      </c>
      <c r="F531" s="4">
        <f>16.016 * CHOOSE(CONTROL!$C$15, $D$11, 100%, $F$11)</f>
        <v>16.015999999999998</v>
      </c>
      <c r="G531" s="8">
        <f>15.0074 * CHOOSE( CONTROL!$C$15, $D$11, 100%, $F$11)</f>
        <v>15.007400000000001</v>
      </c>
      <c r="H531" s="4">
        <f>15.8777 * CHOOSE(CONTROL!$C$15, $D$11, 100%, $F$11)</f>
        <v>15.877700000000001</v>
      </c>
      <c r="I531" s="8">
        <f>14.8932 * CHOOSE(CONTROL!$C$15, $D$11, 100%, $F$11)</f>
        <v>14.8932</v>
      </c>
      <c r="J531" s="4">
        <f>14.7253 * CHOOSE(CONTROL!$C$15, $D$11, 100%, $F$11)</f>
        <v>14.725300000000001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15.3377 * CHOOSE(CONTROL!$C$15, $D$11, 100%, $F$11)</f>
        <v>15.3377</v>
      </c>
      <c r="C532" s="8">
        <f>15.3428 * CHOOSE(CONTROL!$C$15, $D$11, 100%, $F$11)</f>
        <v>15.3428</v>
      </c>
      <c r="D532" s="8">
        <f>15.3371 * CHOOSE( CONTROL!$C$15, $D$11, 100%, $F$11)</f>
        <v>15.3371</v>
      </c>
      <c r="E532" s="12">
        <f>15.3386 * CHOOSE( CONTROL!$C$15, $D$11, 100%, $F$11)</f>
        <v>15.3386</v>
      </c>
      <c r="F532" s="4">
        <f>15.9881 * CHOOSE(CONTROL!$C$15, $D$11, 100%, $F$11)</f>
        <v>15.988099999999999</v>
      </c>
      <c r="G532" s="8">
        <f>14.9812 * CHOOSE( CONTROL!$C$15, $D$11, 100%, $F$11)</f>
        <v>14.981199999999999</v>
      </c>
      <c r="H532" s="4">
        <f>15.8504 * CHOOSE(CONTROL!$C$15, $D$11, 100%, $F$11)</f>
        <v>15.8504</v>
      </c>
      <c r="I532" s="8">
        <f>14.871 * CHOOSE(CONTROL!$C$15, $D$11, 100%, $F$11)</f>
        <v>14.871</v>
      </c>
      <c r="J532" s="4">
        <f>14.6985 * CHOOSE(CONTROL!$C$15, $D$11, 100%, $F$11)</f>
        <v>14.698499999999999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15.7892 * CHOOSE(CONTROL!$C$15, $D$11, 100%, $F$11)</f>
        <v>15.789199999999999</v>
      </c>
      <c r="C533" s="8">
        <f>15.7944 * CHOOSE(CONTROL!$C$15, $D$11, 100%, $F$11)</f>
        <v>15.7944</v>
      </c>
      <c r="D533" s="8">
        <f>15.7745 * CHOOSE( CONTROL!$C$15, $D$11, 100%, $F$11)</f>
        <v>15.7745</v>
      </c>
      <c r="E533" s="12">
        <f>15.7812 * CHOOSE( CONTROL!$C$15, $D$11, 100%, $F$11)</f>
        <v>15.7812</v>
      </c>
      <c r="F533" s="4">
        <f>16.4397 * CHOOSE(CONTROL!$C$15, $D$11, 100%, $F$11)</f>
        <v>16.439699999999998</v>
      </c>
      <c r="G533" s="8">
        <f>15.4054 * CHOOSE( CONTROL!$C$15, $D$11, 100%, $F$11)</f>
        <v>15.4054</v>
      </c>
      <c r="H533" s="4">
        <f>16.2915 * CHOOSE(CONTROL!$C$15, $D$11, 100%, $F$11)</f>
        <v>16.291499999999999</v>
      </c>
      <c r="I533" s="8">
        <f>15.2613 * CHOOSE(CONTROL!$C$15, $D$11, 100%, $F$11)</f>
        <v>15.2613</v>
      </c>
      <c r="J533" s="4">
        <f>15.1321 * CHOOSE(CONTROL!$C$15, $D$11, 100%, $F$11)</f>
        <v>15.132099999999999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14.7703 * CHOOSE(CONTROL!$C$15, $D$11, 100%, $F$11)</f>
        <v>14.770300000000001</v>
      </c>
      <c r="C534" s="8">
        <f>14.7755 * CHOOSE(CONTROL!$C$15, $D$11, 100%, $F$11)</f>
        <v>14.775499999999999</v>
      </c>
      <c r="D534" s="8">
        <f>14.7556 * CHOOSE( CONTROL!$C$15, $D$11, 100%, $F$11)</f>
        <v>14.755599999999999</v>
      </c>
      <c r="E534" s="12">
        <f>14.7623 * CHOOSE( CONTROL!$C$15, $D$11, 100%, $F$11)</f>
        <v>14.7623</v>
      </c>
      <c r="F534" s="4">
        <f>15.4208 * CHOOSE(CONTROL!$C$15, $D$11, 100%, $F$11)</f>
        <v>15.4208</v>
      </c>
      <c r="G534" s="8">
        <f>14.4102 * CHOOSE( CONTROL!$C$15, $D$11, 100%, $F$11)</f>
        <v>14.4102</v>
      </c>
      <c r="H534" s="4">
        <f>15.2963 * CHOOSE(CONTROL!$C$15, $D$11, 100%, $F$11)</f>
        <v>15.2963</v>
      </c>
      <c r="I534" s="8">
        <f>14.2825 * CHOOSE(CONTROL!$C$15, $D$11, 100%, $F$11)</f>
        <v>14.282500000000001</v>
      </c>
      <c r="J534" s="4">
        <f>14.1538 * CHOOSE(CONTROL!$C$15, $D$11, 100%, $F$11)</f>
        <v>14.1538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14.4565 * CHOOSE(CONTROL!$C$15, $D$11, 100%, $F$11)</f>
        <v>14.4565</v>
      </c>
      <c r="C535" s="8">
        <f>14.4617 * CHOOSE(CONTROL!$C$15, $D$11, 100%, $F$11)</f>
        <v>14.4617</v>
      </c>
      <c r="D535" s="8">
        <f>14.4414 * CHOOSE( CONTROL!$C$15, $D$11, 100%, $F$11)</f>
        <v>14.4414</v>
      </c>
      <c r="E535" s="12">
        <f>14.4483 * CHOOSE( CONTROL!$C$15, $D$11, 100%, $F$11)</f>
        <v>14.4483</v>
      </c>
      <c r="F535" s="4">
        <f>15.107 * CHOOSE(CONTROL!$C$15, $D$11, 100%, $F$11)</f>
        <v>15.106999999999999</v>
      </c>
      <c r="G535" s="8">
        <f>14.1035 * CHOOSE( CONTROL!$C$15, $D$11, 100%, $F$11)</f>
        <v>14.1035</v>
      </c>
      <c r="H535" s="4">
        <f>14.9898 * CHOOSE(CONTROL!$C$15, $D$11, 100%, $F$11)</f>
        <v>14.989800000000001</v>
      </c>
      <c r="I535" s="8">
        <f>13.9799 * CHOOSE(CONTROL!$C$15, $D$11, 100%, $F$11)</f>
        <v>13.979900000000001</v>
      </c>
      <c r="J535" s="4">
        <f>13.8525 * CHOOSE(CONTROL!$C$15, $D$11, 100%, $F$11)</f>
        <v>13.852499999999999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14.6766 * CHOOSE(CONTROL!$C$15, $D$11, 100%, $F$11)</f>
        <v>14.676600000000001</v>
      </c>
      <c r="C536" s="8">
        <f>14.6812 * CHOOSE(CONTROL!$C$15, $D$11, 100%, $F$11)</f>
        <v>14.6812</v>
      </c>
      <c r="D536" s="8">
        <f>14.7121 * CHOOSE( CONTROL!$C$15, $D$11, 100%, $F$11)</f>
        <v>14.7121</v>
      </c>
      <c r="E536" s="12">
        <f>14.7014 * CHOOSE( CONTROL!$C$15, $D$11, 100%, $F$11)</f>
        <v>14.7014</v>
      </c>
      <c r="F536" s="4">
        <f>15.3914 * CHOOSE(CONTROL!$C$15, $D$11, 100%, $F$11)</f>
        <v>15.391400000000001</v>
      </c>
      <c r="G536" s="8">
        <f>14.3197 * CHOOSE( CONTROL!$C$15, $D$11, 100%, $F$11)</f>
        <v>14.319699999999999</v>
      </c>
      <c r="H536" s="4">
        <f>15.2676 * CHOOSE(CONTROL!$C$15, $D$11, 100%, $F$11)</f>
        <v>15.2676</v>
      </c>
      <c r="I536" s="8">
        <f>14.1839 * CHOOSE(CONTROL!$C$15, $D$11, 100%, $F$11)</f>
        <v>14.1839</v>
      </c>
      <c r="J536" s="4">
        <f>14.063 * CHOOSE(CONTROL!$C$15, $D$11, 100%, $F$11)</f>
        <v>14.063000000000001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15.0716, 15.0682) * CHOOSE(CONTROL!$C$15, $D$11, 100%, $F$11)</f>
        <v>15.0716</v>
      </c>
      <c r="C537" s="8">
        <f>CHOOSE( CONTROL!$C$32, 15.0797, 15.0763) * CHOOSE(CONTROL!$C$15, $D$11, 100%, $F$11)</f>
        <v>15.079700000000001</v>
      </c>
      <c r="D537" s="8">
        <f>CHOOSE( CONTROL!$C$32, 15.1053, 15.1019) * CHOOSE( CONTROL!$C$15, $D$11, 100%, $F$11)</f>
        <v>15.1053</v>
      </c>
      <c r="E537" s="12">
        <f>CHOOSE( CONTROL!$C$32, 15.0948, 15.0914) * CHOOSE( CONTROL!$C$15, $D$11, 100%, $F$11)</f>
        <v>15.094799999999999</v>
      </c>
      <c r="F537" s="4">
        <f>CHOOSE( CONTROL!$C$32, 15.7851, 15.7816) * CHOOSE(CONTROL!$C$15, $D$11, 100%, $F$11)</f>
        <v>15.7851</v>
      </c>
      <c r="G537" s="8">
        <f>CHOOSE( CONTROL!$C$32, 14.7049, 14.7016) * CHOOSE( CONTROL!$C$15, $D$11, 100%, $F$11)</f>
        <v>14.7049</v>
      </c>
      <c r="H537" s="4">
        <f>CHOOSE( CONTROL!$C$32, 15.6521, 15.6488) * CHOOSE(CONTROL!$C$15, $D$11, 100%, $F$11)</f>
        <v>15.652100000000001</v>
      </c>
      <c r="I537" s="8">
        <f>CHOOSE( CONTROL!$C$32, 14.5622, 14.5589) * CHOOSE(CONTROL!$C$15, $D$11, 100%, $F$11)</f>
        <v>14.562200000000001</v>
      </c>
      <c r="J537" s="4">
        <f>CHOOSE( CONTROL!$C$32, 14.441, 14.4378) * CHOOSE(CONTROL!$C$15, $D$11, 100%, $F$11)</f>
        <v>14.441000000000001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14.8298, 14.8264) * CHOOSE(CONTROL!$C$15, $D$11, 100%, $F$11)</f>
        <v>14.829800000000001</v>
      </c>
      <c r="C538" s="8">
        <f>CHOOSE( CONTROL!$C$32, 14.8379, 14.8345) * CHOOSE(CONTROL!$C$15, $D$11, 100%, $F$11)</f>
        <v>14.837899999999999</v>
      </c>
      <c r="D538" s="8">
        <f>CHOOSE( CONTROL!$C$32, 14.8637, 14.8603) * CHOOSE( CONTROL!$C$15, $D$11, 100%, $F$11)</f>
        <v>14.8637</v>
      </c>
      <c r="E538" s="12">
        <f>CHOOSE( CONTROL!$C$32, 14.8531, 14.8497) * CHOOSE( CONTROL!$C$15, $D$11, 100%, $F$11)</f>
        <v>14.8531</v>
      </c>
      <c r="F538" s="4">
        <f>CHOOSE( CONTROL!$C$32, 15.5433, 15.5399) * CHOOSE(CONTROL!$C$15, $D$11, 100%, $F$11)</f>
        <v>15.5433</v>
      </c>
      <c r="G538" s="8">
        <f>CHOOSE( CONTROL!$C$32, 14.4691, 14.4658) * CHOOSE( CONTROL!$C$15, $D$11, 100%, $F$11)</f>
        <v>14.469099999999999</v>
      </c>
      <c r="H538" s="4">
        <f>CHOOSE( CONTROL!$C$32, 15.4159, 15.4126) * CHOOSE(CONTROL!$C$15, $D$11, 100%, $F$11)</f>
        <v>15.415900000000001</v>
      </c>
      <c r="I538" s="8">
        <f>CHOOSE( CONTROL!$C$32, 14.3309, 14.3276) * CHOOSE(CONTROL!$C$15, $D$11, 100%, $F$11)</f>
        <v>14.3309</v>
      </c>
      <c r="J538" s="4">
        <f>CHOOSE( CONTROL!$C$32, 14.2089, 14.2056) * CHOOSE(CONTROL!$C$15, $D$11, 100%, $F$11)</f>
        <v>14.2089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15.4665, 15.4631) * CHOOSE(CONTROL!$C$15, $D$11, 100%, $F$11)</f>
        <v>15.4665</v>
      </c>
      <c r="C539" s="8">
        <f>CHOOSE( CONTROL!$C$32, 15.4746, 15.4712) * CHOOSE(CONTROL!$C$15, $D$11, 100%, $F$11)</f>
        <v>15.474600000000001</v>
      </c>
      <c r="D539" s="8">
        <f>CHOOSE( CONTROL!$C$32, 15.5006, 15.4972) * CHOOSE( CONTROL!$C$15, $D$11, 100%, $F$11)</f>
        <v>15.5006</v>
      </c>
      <c r="E539" s="12">
        <f>CHOOSE( CONTROL!$C$32, 15.4899, 15.4865) * CHOOSE( CONTROL!$C$15, $D$11, 100%, $F$11)</f>
        <v>15.4899</v>
      </c>
      <c r="F539" s="4">
        <f>CHOOSE( CONTROL!$C$32, 16.18, 16.1765) * CHOOSE(CONTROL!$C$15, $D$11, 100%, $F$11)</f>
        <v>16.18</v>
      </c>
      <c r="G539" s="8">
        <f>CHOOSE( CONTROL!$C$32, 15.0913, 15.0879) * CHOOSE( CONTROL!$C$15, $D$11, 100%, $F$11)</f>
        <v>15.0913</v>
      </c>
      <c r="H539" s="4">
        <f>CHOOSE( CONTROL!$C$32, 16.0378, 16.0345) * CHOOSE(CONTROL!$C$15, $D$11, 100%, $F$11)</f>
        <v>16.037800000000001</v>
      </c>
      <c r="I539" s="8">
        <f>CHOOSE( CONTROL!$C$32, 14.9436, 14.9403) * CHOOSE(CONTROL!$C$15, $D$11, 100%, $F$11)</f>
        <v>14.9436</v>
      </c>
      <c r="J539" s="4">
        <f>CHOOSE( CONTROL!$C$32, 14.8202, 14.8169) * CHOOSE(CONTROL!$C$15, $D$11, 100%, $F$11)</f>
        <v>14.8202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14.2752, 14.2718) * CHOOSE(CONTROL!$C$15, $D$11, 100%, $F$11)</f>
        <v>14.2752</v>
      </c>
      <c r="C540" s="8">
        <f>CHOOSE( CONTROL!$C$32, 14.2833, 14.2799) * CHOOSE(CONTROL!$C$15, $D$11, 100%, $F$11)</f>
        <v>14.283300000000001</v>
      </c>
      <c r="D540" s="8">
        <f>CHOOSE( CONTROL!$C$32, 14.3094, 14.306) * CHOOSE( CONTROL!$C$15, $D$11, 100%, $F$11)</f>
        <v>14.3094</v>
      </c>
      <c r="E540" s="12">
        <f>CHOOSE( CONTROL!$C$32, 14.2987, 14.2953) * CHOOSE( CONTROL!$C$15, $D$11, 100%, $F$11)</f>
        <v>14.2987</v>
      </c>
      <c r="F540" s="4">
        <f>CHOOSE( CONTROL!$C$32, 14.9887, 14.9853) * CHOOSE(CONTROL!$C$15, $D$11, 100%, $F$11)</f>
        <v>14.9887</v>
      </c>
      <c r="G540" s="8">
        <f>CHOOSE( CONTROL!$C$32, 13.9279, 13.9245) * CHOOSE( CONTROL!$C$15, $D$11, 100%, $F$11)</f>
        <v>13.927899999999999</v>
      </c>
      <c r="H540" s="4">
        <f>CHOOSE( CONTROL!$C$32, 14.8742, 14.8709) * CHOOSE(CONTROL!$C$15, $D$11, 100%, $F$11)</f>
        <v>14.8742</v>
      </c>
      <c r="I540" s="8">
        <f>CHOOSE( CONTROL!$C$32, 13.7997, 13.7964) * CHOOSE(CONTROL!$C$15, $D$11, 100%, $F$11)</f>
        <v>13.7997</v>
      </c>
      <c r="J540" s="4">
        <f>CHOOSE( CONTROL!$C$32, 13.6764, 13.6732) * CHOOSE(CONTROL!$C$15, $D$11, 100%, $F$11)</f>
        <v>13.676399999999999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13.9769, 13.9735) * CHOOSE(CONTROL!$C$15, $D$11, 100%, $F$11)</f>
        <v>13.976900000000001</v>
      </c>
      <c r="C541" s="8">
        <f>CHOOSE( CONTROL!$C$32, 13.985, 13.9816) * CHOOSE(CONTROL!$C$15, $D$11, 100%, $F$11)</f>
        <v>13.984999999999999</v>
      </c>
      <c r="D541" s="8">
        <f>CHOOSE( CONTROL!$C$32, 14.0111, 14.0077) * CHOOSE( CONTROL!$C$15, $D$11, 100%, $F$11)</f>
        <v>14.011100000000001</v>
      </c>
      <c r="E541" s="12">
        <f>CHOOSE( CONTROL!$C$32, 14.0004, 13.997) * CHOOSE( CONTROL!$C$15, $D$11, 100%, $F$11)</f>
        <v>14.000400000000001</v>
      </c>
      <c r="F541" s="4">
        <f>CHOOSE( CONTROL!$C$32, 14.6904, 14.6869) * CHOOSE(CONTROL!$C$15, $D$11, 100%, $F$11)</f>
        <v>14.6904</v>
      </c>
      <c r="G541" s="8">
        <f>CHOOSE( CONTROL!$C$32, 13.6365, 13.6331) * CHOOSE( CONTROL!$C$15, $D$11, 100%, $F$11)</f>
        <v>13.6365</v>
      </c>
      <c r="H541" s="4">
        <f>CHOOSE( CONTROL!$C$32, 14.5829, 14.5796) * CHOOSE(CONTROL!$C$15, $D$11, 100%, $F$11)</f>
        <v>14.5829</v>
      </c>
      <c r="I541" s="8">
        <f>CHOOSE( CONTROL!$C$32, 13.513, 13.5097) * CHOOSE(CONTROL!$C$15, $D$11, 100%, $F$11)</f>
        <v>13.513</v>
      </c>
      <c r="J541" s="4">
        <f>CHOOSE( CONTROL!$C$32, 13.39, 13.3867) * CHOOSE(CONTROL!$C$15, $D$11, 100%, $F$11)</f>
        <v>13.39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14.5912 * CHOOSE(CONTROL!$C$15, $D$11, 100%, $F$11)</f>
        <v>14.591200000000001</v>
      </c>
      <c r="C542" s="8">
        <f>14.5966 * CHOOSE(CONTROL!$C$15, $D$11, 100%, $F$11)</f>
        <v>14.5966</v>
      </c>
      <c r="D542" s="8">
        <f>14.6277 * CHOOSE( CONTROL!$C$15, $D$11, 100%, $F$11)</f>
        <v>14.627700000000001</v>
      </c>
      <c r="E542" s="12">
        <f>14.6169 * CHOOSE( CONTROL!$C$15, $D$11, 100%, $F$11)</f>
        <v>14.616899999999999</v>
      </c>
      <c r="F542" s="4">
        <f>15.3063 * CHOOSE(CONTROL!$C$15, $D$11, 100%, $F$11)</f>
        <v>15.3063</v>
      </c>
      <c r="G542" s="8">
        <f>14.2377 * CHOOSE( CONTROL!$C$15, $D$11, 100%, $F$11)</f>
        <v>14.2377</v>
      </c>
      <c r="H542" s="4">
        <f>15.1845 * CHOOSE(CONTROL!$C$15, $D$11, 100%, $F$11)</f>
        <v>15.1845</v>
      </c>
      <c r="I542" s="8">
        <f>14.1055 * CHOOSE(CONTROL!$C$15, $D$11, 100%, $F$11)</f>
        <v>14.105499999999999</v>
      </c>
      <c r="J542" s="4">
        <f>13.9814 * CHOOSE(CONTROL!$C$15, $D$11, 100%, $F$11)</f>
        <v>13.981400000000001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15.7341 * CHOOSE(CONTROL!$C$15, $D$11, 100%, $F$11)</f>
        <v>15.7341</v>
      </c>
      <c r="C543" s="8">
        <f>15.7393 * CHOOSE(CONTROL!$C$15, $D$11, 100%, $F$11)</f>
        <v>15.7393</v>
      </c>
      <c r="D543" s="8">
        <f>15.7321 * CHOOSE( CONTROL!$C$15, $D$11, 100%, $F$11)</f>
        <v>15.732100000000001</v>
      </c>
      <c r="E543" s="12">
        <f>15.7342 * CHOOSE( CONTROL!$C$15, $D$11, 100%, $F$11)</f>
        <v>15.7342</v>
      </c>
      <c r="F543" s="4">
        <f>16.3845 * CHOOSE(CONTROL!$C$15, $D$11, 100%, $F$11)</f>
        <v>16.384499999999999</v>
      </c>
      <c r="G543" s="8">
        <f>15.3673 * CHOOSE( CONTROL!$C$15, $D$11, 100%, $F$11)</f>
        <v>15.3673</v>
      </c>
      <c r="H543" s="4">
        <f>16.2376 * CHOOSE(CONTROL!$C$15, $D$11, 100%, $F$11)</f>
        <v>16.2376</v>
      </c>
      <c r="I543" s="8">
        <f>15.2472 * CHOOSE(CONTROL!$C$15, $D$11, 100%, $F$11)</f>
        <v>15.247199999999999</v>
      </c>
      <c r="J543" s="4">
        <f>15.0791 * CHOOSE(CONTROL!$C$15, $D$11, 100%, $F$11)</f>
        <v>15.0791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15.7055 * CHOOSE(CONTROL!$C$15, $D$11, 100%, $F$11)</f>
        <v>15.705500000000001</v>
      </c>
      <c r="C544" s="8">
        <f>15.7107 * CHOOSE(CONTROL!$C$15, $D$11, 100%, $F$11)</f>
        <v>15.710699999999999</v>
      </c>
      <c r="D544" s="8">
        <f>15.705 * CHOOSE( CONTROL!$C$15, $D$11, 100%, $F$11)</f>
        <v>15.705</v>
      </c>
      <c r="E544" s="12">
        <f>15.7065 * CHOOSE( CONTROL!$C$15, $D$11, 100%, $F$11)</f>
        <v>15.7065</v>
      </c>
      <c r="F544" s="4">
        <f>16.356 * CHOOSE(CONTROL!$C$15, $D$11, 100%, $F$11)</f>
        <v>16.356000000000002</v>
      </c>
      <c r="G544" s="8">
        <f>15.3405 * CHOOSE( CONTROL!$C$15, $D$11, 100%, $F$11)</f>
        <v>15.3405</v>
      </c>
      <c r="H544" s="4">
        <f>16.2097 * CHOOSE(CONTROL!$C$15, $D$11, 100%, $F$11)</f>
        <v>16.209700000000002</v>
      </c>
      <c r="I544" s="8">
        <f>15.2244 * CHOOSE(CONTROL!$C$15, $D$11, 100%, $F$11)</f>
        <v>15.224399999999999</v>
      </c>
      <c r="J544" s="4">
        <f>15.0517 * CHOOSE(CONTROL!$C$15, $D$11, 100%, $F$11)</f>
        <v>15.0517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16.1679 * CHOOSE(CONTROL!$C$15, $D$11, 100%, $F$11)</f>
        <v>16.167899999999999</v>
      </c>
      <c r="C545" s="8">
        <f>16.1731 * CHOOSE(CONTROL!$C$15, $D$11, 100%, $F$11)</f>
        <v>16.173100000000002</v>
      </c>
      <c r="D545" s="8">
        <f>16.1532 * CHOOSE( CONTROL!$C$15, $D$11, 100%, $F$11)</f>
        <v>16.153199999999998</v>
      </c>
      <c r="E545" s="12">
        <f>16.1599 * CHOOSE( CONTROL!$C$15, $D$11, 100%, $F$11)</f>
        <v>16.1599</v>
      </c>
      <c r="F545" s="4">
        <f>16.8184 * CHOOSE(CONTROL!$C$15, $D$11, 100%, $F$11)</f>
        <v>16.8184</v>
      </c>
      <c r="G545" s="8">
        <f>15.7753 * CHOOSE( CONTROL!$C$15, $D$11, 100%, $F$11)</f>
        <v>15.7753</v>
      </c>
      <c r="H545" s="4">
        <f>16.6614 * CHOOSE(CONTROL!$C$15, $D$11, 100%, $F$11)</f>
        <v>16.6614</v>
      </c>
      <c r="I545" s="8">
        <f>15.625 * CHOOSE(CONTROL!$C$15, $D$11, 100%, $F$11)</f>
        <v>15.625</v>
      </c>
      <c r="J545" s="4">
        <f>15.4957 * CHOOSE(CONTROL!$C$15, $D$11, 100%, $F$11)</f>
        <v>15.495699999999999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15.1245 * CHOOSE(CONTROL!$C$15, $D$11, 100%, $F$11)</f>
        <v>15.124499999999999</v>
      </c>
      <c r="C546" s="8">
        <f>15.1297 * CHOOSE(CONTROL!$C$15, $D$11, 100%, $F$11)</f>
        <v>15.1297</v>
      </c>
      <c r="D546" s="8">
        <f>15.1098 * CHOOSE( CONTROL!$C$15, $D$11, 100%, $F$11)</f>
        <v>15.1098</v>
      </c>
      <c r="E546" s="12">
        <f>15.1165 * CHOOSE( CONTROL!$C$15, $D$11, 100%, $F$11)</f>
        <v>15.1165</v>
      </c>
      <c r="F546" s="4">
        <f>15.775 * CHOOSE(CONTROL!$C$15, $D$11, 100%, $F$11)</f>
        <v>15.775</v>
      </c>
      <c r="G546" s="8">
        <f>14.7562 * CHOOSE( CONTROL!$C$15, $D$11, 100%, $F$11)</f>
        <v>14.7562</v>
      </c>
      <c r="H546" s="4">
        <f>15.6423 * CHOOSE(CONTROL!$C$15, $D$11, 100%, $F$11)</f>
        <v>15.642300000000001</v>
      </c>
      <c r="I546" s="8">
        <f>14.6227 * CHOOSE(CONTROL!$C$15, $D$11, 100%, $F$11)</f>
        <v>14.6227</v>
      </c>
      <c r="J546" s="4">
        <f>14.4939 * CHOOSE(CONTROL!$C$15, $D$11, 100%, $F$11)</f>
        <v>14.4939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14.8032 * CHOOSE(CONTROL!$C$15, $D$11, 100%, $F$11)</f>
        <v>14.8032</v>
      </c>
      <c r="C547" s="8">
        <f>14.8084 * CHOOSE(CONTROL!$C$15, $D$11, 100%, $F$11)</f>
        <v>14.808400000000001</v>
      </c>
      <c r="D547" s="8">
        <f>14.7881 * CHOOSE( CONTROL!$C$15, $D$11, 100%, $F$11)</f>
        <v>14.7881</v>
      </c>
      <c r="E547" s="12">
        <f>14.795 * CHOOSE( CONTROL!$C$15, $D$11, 100%, $F$11)</f>
        <v>14.795</v>
      </c>
      <c r="F547" s="4">
        <f>15.4536 * CHOOSE(CONTROL!$C$15, $D$11, 100%, $F$11)</f>
        <v>15.4536</v>
      </c>
      <c r="G547" s="8">
        <f>14.4421 * CHOOSE( CONTROL!$C$15, $D$11, 100%, $F$11)</f>
        <v>14.4421</v>
      </c>
      <c r="H547" s="4">
        <f>15.3284 * CHOOSE(CONTROL!$C$15, $D$11, 100%, $F$11)</f>
        <v>15.3284</v>
      </c>
      <c r="I547" s="8">
        <f>14.3129 * CHOOSE(CONTROL!$C$15, $D$11, 100%, $F$11)</f>
        <v>14.312900000000001</v>
      </c>
      <c r="J547" s="4">
        <f>14.1853 * CHOOSE(CONTROL!$C$15, $D$11, 100%, $F$11)</f>
        <v>14.1853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15.0285 * CHOOSE(CONTROL!$C$15, $D$11, 100%, $F$11)</f>
        <v>15.028499999999999</v>
      </c>
      <c r="C548" s="8">
        <f>15.0331 * CHOOSE(CONTROL!$C$15, $D$11, 100%, $F$11)</f>
        <v>15.033099999999999</v>
      </c>
      <c r="D548" s="8">
        <f>15.064 * CHOOSE( CONTROL!$C$15, $D$11, 100%, $F$11)</f>
        <v>15.064</v>
      </c>
      <c r="E548" s="12">
        <f>15.0533 * CHOOSE( CONTROL!$C$15, $D$11, 100%, $F$11)</f>
        <v>15.0533</v>
      </c>
      <c r="F548" s="4">
        <f>15.7433 * CHOOSE(CONTROL!$C$15, $D$11, 100%, $F$11)</f>
        <v>15.7433</v>
      </c>
      <c r="G548" s="8">
        <f>14.6634 * CHOOSE( CONTROL!$C$15, $D$11, 100%, $F$11)</f>
        <v>14.663399999999999</v>
      </c>
      <c r="H548" s="4">
        <f>15.6113 * CHOOSE(CONTROL!$C$15, $D$11, 100%, $F$11)</f>
        <v>15.6113</v>
      </c>
      <c r="I548" s="8">
        <f>14.5219 * CHOOSE(CONTROL!$C$15, $D$11, 100%, $F$11)</f>
        <v>14.5219</v>
      </c>
      <c r="J548" s="4">
        <f>14.4009 * CHOOSE(CONTROL!$C$15, $D$11, 100%, $F$11)</f>
        <v>14.4009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15.4329, 15.4295) * CHOOSE(CONTROL!$C$15, $D$11, 100%, $F$11)</f>
        <v>15.4329</v>
      </c>
      <c r="C549" s="8">
        <f>CHOOSE( CONTROL!$C$32, 15.441, 15.4376) * CHOOSE(CONTROL!$C$15, $D$11, 100%, $F$11)</f>
        <v>15.441000000000001</v>
      </c>
      <c r="D549" s="8">
        <f>CHOOSE( CONTROL!$C$32, 15.4666, 15.4632) * CHOOSE( CONTROL!$C$15, $D$11, 100%, $F$11)</f>
        <v>15.4666</v>
      </c>
      <c r="E549" s="12">
        <f>CHOOSE( CONTROL!$C$32, 15.4561, 15.4527) * CHOOSE( CONTROL!$C$15, $D$11, 100%, $F$11)</f>
        <v>15.456099999999999</v>
      </c>
      <c r="F549" s="4">
        <f>CHOOSE( CONTROL!$C$32, 16.1464, 16.143) * CHOOSE(CONTROL!$C$15, $D$11, 100%, $F$11)</f>
        <v>16.1464</v>
      </c>
      <c r="G549" s="8">
        <f>CHOOSE( CONTROL!$C$32, 15.0578, 15.0545) * CHOOSE( CONTROL!$C$15, $D$11, 100%, $F$11)</f>
        <v>15.0578</v>
      </c>
      <c r="H549" s="4">
        <f>CHOOSE( CONTROL!$C$32, 16.005, 16.0017) * CHOOSE(CONTROL!$C$15, $D$11, 100%, $F$11)</f>
        <v>16.004999999999999</v>
      </c>
      <c r="I549" s="8">
        <f>CHOOSE( CONTROL!$C$32, 14.9093, 14.906) * CHOOSE(CONTROL!$C$15, $D$11, 100%, $F$11)</f>
        <v>14.9093</v>
      </c>
      <c r="J549" s="4">
        <f>CHOOSE( CONTROL!$C$32, 14.7879, 14.7847) * CHOOSE(CONTROL!$C$15, $D$11, 100%, $F$11)</f>
        <v>14.7879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15.1854, 15.1819) * CHOOSE(CONTROL!$C$15, $D$11, 100%, $F$11)</f>
        <v>15.1854</v>
      </c>
      <c r="C550" s="8">
        <f>CHOOSE( CONTROL!$C$32, 15.1934, 15.19) * CHOOSE(CONTROL!$C$15, $D$11, 100%, $F$11)</f>
        <v>15.1934</v>
      </c>
      <c r="D550" s="8">
        <f>CHOOSE( CONTROL!$C$32, 15.2192, 15.2158) * CHOOSE( CONTROL!$C$15, $D$11, 100%, $F$11)</f>
        <v>15.219200000000001</v>
      </c>
      <c r="E550" s="12">
        <f>CHOOSE( CONTROL!$C$32, 15.2086, 15.2052) * CHOOSE( CONTROL!$C$15, $D$11, 100%, $F$11)</f>
        <v>15.208600000000001</v>
      </c>
      <c r="F550" s="4">
        <f>CHOOSE( CONTROL!$C$32, 15.8988, 15.8954) * CHOOSE(CONTROL!$C$15, $D$11, 100%, $F$11)</f>
        <v>15.8988</v>
      </c>
      <c r="G550" s="8">
        <f>CHOOSE( CONTROL!$C$32, 14.8163, 14.813) * CHOOSE( CONTROL!$C$15, $D$11, 100%, $F$11)</f>
        <v>14.8163</v>
      </c>
      <c r="H550" s="4">
        <f>CHOOSE( CONTROL!$C$32, 15.7632, 15.7598) * CHOOSE(CONTROL!$C$15, $D$11, 100%, $F$11)</f>
        <v>15.763199999999999</v>
      </c>
      <c r="I550" s="8">
        <f>CHOOSE( CONTROL!$C$32, 14.6724, 14.6691) * CHOOSE(CONTROL!$C$15, $D$11, 100%, $F$11)</f>
        <v>14.6724</v>
      </c>
      <c r="J550" s="4">
        <f>CHOOSE( CONTROL!$C$32, 14.5502, 14.547) * CHOOSE(CONTROL!$C$15, $D$11, 100%, $F$11)</f>
        <v>14.5502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15.8373, 15.8339) * CHOOSE(CONTROL!$C$15, $D$11, 100%, $F$11)</f>
        <v>15.837300000000001</v>
      </c>
      <c r="C551" s="8">
        <f>CHOOSE( CONTROL!$C$32, 15.8454, 15.842) * CHOOSE(CONTROL!$C$15, $D$11, 100%, $F$11)</f>
        <v>15.8454</v>
      </c>
      <c r="D551" s="8">
        <f>CHOOSE( CONTROL!$C$32, 15.8715, 15.868) * CHOOSE( CONTROL!$C$15, $D$11, 100%, $F$11)</f>
        <v>15.871499999999999</v>
      </c>
      <c r="E551" s="12">
        <f>CHOOSE( CONTROL!$C$32, 15.8608, 15.8573) * CHOOSE( CONTROL!$C$15, $D$11, 100%, $F$11)</f>
        <v>15.860799999999999</v>
      </c>
      <c r="F551" s="4">
        <f>CHOOSE( CONTROL!$C$32, 16.5508, 16.5474) * CHOOSE(CONTROL!$C$15, $D$11, 100%, $F$11)</f>
        <v>16.550799999999999</v>
      </c>
      <c r="G551" s="8">
        <f>CHOOSE( CONTROL!$C$32, 15.4534, 15.4501) * CHOOSE( CONTROL!$C$15, $D$11, 100%, $F$11)</f>
        <v>15.4534</v>
      </c>
      <c r="H551" s="4">
        <f>CHOOSE( CONTROL!$C$32, 16.4, 16.3966) * CHOOSE(CONTROL!$C$15, $D$11, 100%, $F$11)</f>
        <v>16.399999999999999</v>
      </c>
      <c r="I551" s="8">
        <f>CHOOSE( CONTROL!$C$32, 15.2998, 15.2965) * CHOOSE(CONTROL!$C$15, $D$11, 100%, $F$11)</f>
        <v>15.299799999999999</v>
      </c>
      <c r="J551" s="4">
        <f>CHOOSE( CONTROL!$C$32, 15.1762, 15.1729) * CHOOSE(CONTROL!$C$15, $D$11, 100%, $F$11)</f>
        <v>15.1762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14.6174, 14.614) * CHOOSE(CONTROL!$C$15, $D$11, 100%, $F$11)</f>
        <v>14.6174</v>
      </c>
      <c r="C552" s="8">
        <f>CHOOSE( CONTROL!$C$32, 14.6255, 14.6221) * CHOOSE(CONTROL!$C$15, $D$11, 100%, $F$11)</f>
        <v>14.625500000000001</v>
      </c>
      <c r="D552" s="8">
        <f>CHOOSE( CONTROL!$C$32, 14.6516, 14.6482) * CHOOSE( CONTROL!$C$15, $D$11, 100%, $F$11)</f>
        <v>14.6516</v>
      </c>
      <c r="E552" s="12">
        <f>CHOOSE( CONTROL!$C$32, 14.6409, 14.6375) * CHOOSE( CONTROL!$C$15, $D$11, 100%, $F$11)</f>
        <v>14.6409</v>
      </c>
      <c r="F552" s="4">
        <f>CHOOSE( CONTROL!$C$32, 15.3308, 15.3274) * CHOOSE(CONTROL!$C$15, $D$11, 100%, $F$11)</f>
        <v>15.3308</v>
      </c>
      <c r="G552" s="8">
        <f>CHOOSE( CONTROL!$C$32, 14.2621, 14.2588) * CHOOSE( CONTROL!$C$15, $D$11, 100%, $F$11)</f>
        <v>14.2621</v>
      </c>
      <c r="H552" s="4">
        <f>CHOOSE( CONTROL!$C$32, 15.2085, 15.2051) * CHOOSE(CONTROL!$C$15, $D$11, 100%, $F$11)</f>
        <v>15.208500000000001</v>
      </c>
      <c r="I552" s="8">
        <f>CHOOSE( CONTROL!$C$32, 14.1284, 14.1251) * CHOOSE(CONTROL!$C$15, $D$11, 100%, $F$11)</f>
        <v>14.128399999999999</v>
      </c>
      <c r="J552" s="4">
        <f>CHOOSE( CONTROL!$C$32, 14.005, 14.0017) * CHOOSE(CONTROL!$C$15, $D$11, 100%, $F$11)</f>
        <v>14.005000000000001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14.3119, 14.3085) * CHOOSE(CONTROL!$C$15, $D$11, 100%, $F$11)</f>
        <v>14.3119</v>
      </c>
      <c r="C553" s="8">
        <f>CHOOSE( CONTROL!$C$32, 14.32, 14.3166) * CHOOSE(CONTROL!$C$15, $D$11, 100%, $F$11)</f>
        <v>14.32</v>
      </c>
      <c r="D553" s="8">
        <f>CHOOSE( CONTROL!$C$32, 14.3461, 14.3427) * CHOOSE( CONTROL!$C$15, $D$11, 100%, $F$11)</f>
        <v>14.3461</v>
      </c>
      <c r="E553" s="12">
        <f>CHOOSE( CONTROL!$C$32, 14.3354, 14.332) * CHOOSE( CONTROL!$C$15, $D$11, 100%, $F$11)</f>
        <v>14.3354</v>
      </c>
      <c r="F553" s="4">
        <f>CHOOSE( CONTROL!$C$32, 15.0254, 15.022) * CHOOSE(CONTROL!$C$15, $D$11, 100%, $F$11)</f>
        <v>15.025399999999999</v>
      </c>
      <c r="G553" s="8">
        <f>CHOOSE( CONTROL!$C$32, 13.9637, 13.9603) * CHOOSE( CONTROL!$C$15, $D$11, 100%, $F$11)</f>
        <v>13.963699999999999</v>
      </c>
      <c r="H553" s="4">
        <f>CHOOSE( CONTROL!$C$32, 14.9101, 14.9068) * CHOOSE(CONTROL!$C$15, $D$11, 100%, $F$11)</f>
        <v>14.9101</v>
      </c>
      <c r="I553" s="8">
        <f>CHOOSE( CONTROL!$C$32, 13.8348, 13.8315) * CHOOSE(CONTROL!$C$15, $D$11, 100%, $F$11)</f>
        <v>13.8348</v>
      </c>
      <c r="J553" s="4">
        <f>CHOOSE( CONTROL!$C$32, 13.7117, 13.7084) * CHOOSE(CONTROL!$C$15, $D$11, 100%, $F$11)</f>
        <v>13.7117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14.9411 * CHOOSE(CONTROL!$C$15, $D$11, 100%, $F$11)</f>
        <v>14.9411</v>
      </c>
      <c r="C554" s="8">
        <f>14.9465 * CHOOSE(CONTROL!$C$15, $D$11, 100%, $F$11)</f>
        <v>14.9465</v>
      </c>
      <c r="D554" s="8">
        <f>14.9776 * CHOOSE( CONTROL!$C$15, $D$11, 100%, $F$11)</f>
        <v>14.977600000000001</v>
      </c>
      <c r="E554" s="12">
        <f>14.9668 * CHOOSE( CONTROL!$C$15, $D$11, 100%, $F$11)</f>
        <v>14.966799999999999</v>
      </c>
      <c r="F554" s="4">
        <f>15.6562 * CHOOSE(CONTROL!$C$15, $D$11, 100%, $F$11)</f>
        <v>15.6562</v>
      </c>
      <c r="G554" s="8">
        <f>14.5794 * CHOOSE( CONTROL!$C$15, $D$11, 100%, $F$11)</f>
        <v>14.5794</v>
      </c>
      <c r="H554" s="4">
        <f>15.5263 * CHOOSE(CONTROL!$C$15, $D$11, 100%, $F$11)</f>
        <v>15.526300000000001</v>
      </c>
      <c r="I554" s="8">
        <f>14.4416 * CHOOSE(CONTROL!$C$15, $D$11, 100%, $F$11)</f>
        <v>14.441599999999999</v>
      </c>
      <c r="J554" s="4">
        <f>14.3174 * CHOOSE(CONTROL!$C$15, $D$11, 100%, $F$11)</f>
        <v>14.317399999999999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16.1114 * CHOOSE(CONTROL!$C$15, $D$11, 100%, $F$11)</f>
        <v>16.1114</v>
      </c>
      <c r="C555" s="8">
        <f>16.1166 * CHOOSE(CONTROL!$C$15, $D$11, 100%, $F$11)</f>
        <v>16.116599999999998</v>
      </c>
      <c r="D555" s="8">
        <f>16.1095 * CHOOSE( CONTROL!$C$15, $D$11, 100%, $F$11)</f>
        <v>16.109500000000001</v>
      </c>
      <c r="E555" s="12">
        <f>16.1115 * CHOOSE( CONTROL!$C$15, $D$11, 100%, $F$11)</f>
        <v>16.111499999999999</v>
      </c>
      <c r="F555" s="4">
        <f>16.7619 * CHOOSE(CONTROL!$C$15, $D$11, 100%, $F$11)</f>
        <v>16.761900000000001</v>
      </c>
      <c r="G555" s="8">
        <f>15.7359 * CHOOSE( CONTROL!$C$15, $D$11, 100%, $F$11)</f>
        <v>15.735900000000001</v>
      </c>
      <c r="H555" s="4">
        <f>16.6062 * CHOOSE(CONTROL!$C$15, $D$11, 100%, $F$11)</f>
        <v>16.606200000000001</v>
      </c>
      <c r="I555" s="8">
        <f>15.6097 * CHOOSE(CONTROL!$C$15, $D$11, 100%, $F$11)</f>
        <v>15.6097</v>
      </c>
      <c r="J555" s="4">
        <f>15.4414 * CHOOSE(CONTROL!$C$15, $D$11, 100%, $F$11)</f>
        <v>15.4414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16.0822 * CHOOSE(CONTROL!$C$15, $D$11, 100%, $F$11)</f>
        <v>16.0822</v>
      </c>
      <c r="C556" s="8">
        <f>16.0874 * CHOOSE(CONTROL!$C$15, $D$11, 100%, $F$11)</f>
        <v>16.087399999999999</v>
      </c>
      <c r="D556" s="8">
        <f>16.0817 * CHOOSE( CONTROL!$C$15, $D$11, 100%, $F$11)</f>
        <v>16.081700000000001</v>
      </c>
      <c r="E556" s="12">
        <f>16.0832 * CHOOSE( CONTROL!$C$15, $D$11, 100%, $F$11)</f>
        <v>16.083200000000001</v>
      </c>
      <c r="F556" s="4">
        <f>16.7327 * CHOOSE(CONTROL!$C$15, $D$11, 100%, $F$11)</f>
        <v>16.732700000000001</v>
      </c>
      <c r="G556" s="8">
        <f>15.7084 * CHOOSE( CONTROL!$C$15, $D$11, 100%, $F$11)</f>
        <v>15.708399999999999</v>
      </c>
      <c r="H556" s="4">
        <f>16.5776 * CHOOSE(CONTROL!$C$15, $D$11, 100%, $F$11)</f>
        <v>16.5776</v>
      </c>
      <c r="I556" s="8">
        <f>15.5862 * CHOOSE(CONTROL!$C$15, $D$11, 100%, $F$11)</f>
        <v>15.5862</v>
      </c>
      <c r="J556" s="4">
        <f>15.4133 * CHOOSE(CONTROL!$C$15, $D$11, 100%, $F$11)</f>
        <v>15.4133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16.5557 * CHOOSE(CONTROL!$C$15, $D$11, 100%, $F$11)</f>
        <v>16.555700000000002</v>
      </c>
      <c r="C557" s="8">
        <f>16.5609 * CHOOSE(CONTROL!$C$15, $D$11, 100%, $F$11)</f>
        <v>16.5609</v>
      </c>
      <c r="D557" s="8">
        <f>16.541 * CHOOSE( CONTROL!$C$15, $D$11, 100%, $F$11)</f>
        <v>16.541</v>
      </c>
      <c r="E557" s="12">
        <f>16.5477 * CHOOSE( CONTROL!$C$15, $D$11, 100%, $F$11)</f>
        <v>16.547699999999999</v>
      </c>
      <c r="F557" s="4">
        <f>17.2062 * CHOOSE(CONTROL!$C$15, $D$11, 100%, $F$11)</f>
        <v>17.206199999999999</v>
      </c>
      <c r="G557" s="8">
        <f>16.1541 * CHOOSE( CONTROL!$C$15, $D$11, 100%, $F$11)</f>
        <v>16.1541</v>
      </c>
      <c r="H557" s="4">
        <f>17.0401 * CHOOSE(CONTROL!$C$15, $D$11, 100%, $F$11)</f>
        <v>17.040099999999999</v>
      </c>
      <c r="I557" s="8">
        <f>15.9976 * CHOOSE(CONTROL!$C$15, $D$11, 100%, $F$11)</f>
        <v>15.9976</v>
      </c>
      <c r="J557" s="4">
        <f>15.868 * CHOOSE(CONTROL!$C$15, $D$11, 100%, $F$11)</f>
        <v>15.868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15.4873 * CHOOSE(CONTROL!$C$15, $D$11, 100%, $F$11)</f>
        <v>15.487299999999999</v>
      </c>
      <c r="C558" s="8">
        <f>15.4924 * CHOOSE(CONTROL!$C$15, $D$11, 100%, $F$11)</f>
        <v>15.4924</v>
      </c>
      <c r="D558" s="8">
        <f>15.4725 * CHOOSE( CONTROL!$C$15, $D$11, 100%, $F$11)</f>
        <v>15.4725</v>
      </c>
      <c r="E558" s="12">
        <f>15.4792 * CHOOSE( CONTROL!$C$15, $D$11, 100%, $F$11)</f>
        <v>15.479200000000001</v>
      </c>
      <c r="F558" s="4">
        <f>16.1377 * CHOOSE(CONTROL!$C$15, $D$11, 100%, $F$11)</f>
        <v>16.137699999999999</v>
      </c>
      <c r="G558" s="8">
        <f>15.1105 * CHOOSE( CONTROL!$C$15, $D$11, 100%, $F$11)</f>
        <v>15.1105</v>
      </c>
      <c r="H558" s="4">
        <f>15.9965 * CHOOSE(CONTROL!$C$15, $D$11, 100%, $F$11)</f>
        <v>15.996499999999999</v>
      </c>
      <c r="I558" s="8">
        <f>14.9711 * CHOOSE(CONTROL!$C$15, $D$11, 100%, $F$11)</f>
        <v>14.9711</v>
      </c>
      <c r="J558" s="4">
        <f>14.8421 * CHOOSE(CONTROL!$C$15, $D$11, 100%, $F$11)</f>
        <v>14.8421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15.1582 * CHOOSE(CONTROL!$C$15, $D$11, 100%, $F$11)</f>
        <v>15.158200000000001</v>
      </c>
      <c r="C559" s="8">
        <f>15.1634 * CHOOSE(CONTROL!$C$15, $D$11, 100%, $F$11)</f>
        <v>15.163399999999999</v>
      </c>
      <c r="D559" s="8">
        <f>15.1431 * CHOOSE( CONTROL!$C$15, $D$11, 100%, $F$11)</f>
        <v>15.1431</v>
      </c>
      <c r="E559" s="12">
        <f>15.15 * CHOOSE( CONTROL!$C$15, $D$11, 100%, $F$11)</f>
        <v>15.15</v>
      </c>
      <c r="F559" s="4">
        <f>15.8086 * CHOOSE(CONTROL!$C$15, $D$11, 100%, $F$11)</f>
        <v>15.8086</v>
      </c>
      <c r="G559" s="8">
        <f>14.7888 * CHOOSE( CONTROL!$C$15, $D$11, 100%, $F$11)</f>
        <v>14.7888</v>
      </c>
      <c r="H559" s="4">
        <f>15.6751 * CHOOSE(CONTROL!$C$15, $D$11, 100%, $F$11)</f>
        <v>15.6751</v>
      </c>
      <c r="I559" s="8">
        <f>14.6539 * CHOOSE(CONTROL!$C$15, $D$11, 100%, $F$11)</f>
        <v>14.6539</v>
      </c>
      <c r="J559" s="4">
        <f>14.5262 * CHOOSE(CONTROL!$C$15, $D$11, 100%, $F$11)</f>
        <v>14.526199999999999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15.3889 * CHOOSE(CONTROL!$C$15, $D$11, 100%, $F$11)</f>
        <v>15.3889</v>
      </c>
      <c r="C560" s="8">
        <f>15.3935 * CHOOSE(CONTROL!$C$15, $D$11, 100%, $F$11)</f>
        <v>15.3935</v>
      </c>
      <c r="D560" s="8">
        <f>15.4244 * CHOOSE( CONTROL!$C$15, $D$11, 100%, $F$11)</f>
        <v>15.4244</v>
      </c>
      <c r="E560" s="12">
        <f>15.4137 * CHOOSE( CONTROL!$C$15, $D$11, 100%, $F$11)</f>
        <v>15.4137</v>
      </c>
      <c r="F560" s="4">
        <f>16.1037 * CHOOSE(CONTROL!$C$15, $D$11, 100%, $F$11)</f>
        <v>16.1037</v>
      </c>
      <c r="G560" s="8">
        <f>15.0154 * CHOOSE( CONTROL!$C$15, $D$11, 100%, $F$11)</f>
        <v>15.0154</v>
      </c>
      <c r="H560" s="4">
        <f>15.9633 * CHOOSE(CONTROL!$C$15, $D$11, 100%, $F$11)</f>
        <v>15.9633</v>
      </c>
      <c r="I560" s="8">
        <f>14.8681 * CHOOSE(CONTROL!$C$15, $D$11, 100%, $F$11)</f>
        <v>14.8681</v>
      </c>
      <c r="J560" s="4">
        <f>14.747 * CHOOSE(CONTROL!$C$15, $D$11, 100%, $F$11)</f>
        <v>14.747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15.8029, 15.7995) * CHOOSE(CONTROL!$C$15, $D$11, 100%, $F$11)</f>
        <v>15.802899999999999</v>
      </c>
      <c r="C561" s="8">
        <f>CHOOSE( CONTROL!$C$32, 15.811, 15.8076) * CHOOSE(CONTROL!$C$15, $D$11, 100%, $F$11)</f>
        <v>15.811</v>
      </c>
      <c r="D561" s="8">
        <f>CHOOSE( CONTROL!$C$32, 15.8366, 15.8332) * CHOOSE( CONTROL!$C$15, $D$11, 100%, $F$11)</f>
        <v>15.836600000000001</v>
      </c>
      <c r="E561" s="12">
        <f>CHOOSE( CONTROL!$C$32, 15.8261, 15.8227) * CHOOSE( CONTROL!$C$15, $D$11, 100%, $F$11)</f>
        <v>15.8261</v>
      </c>
      <c r="F561" s="4">
        <f>CHOOSE( CONTROL!$C$32, 16.5164, 16.513) * CHOOSE(CONTROL!$C$15, $D$11, 100%, $F$11)</f>
        <v>16.516400000000001</v>
      </c>
      <c r="G561" s="8">
        <f>CHOOSE( CONTROL!$C$32, 15.4192, 15.4159) * CHOOSE( CONTROL!$C$15, $D$11, 100%, $F$11)</f>
        <v>15.4192</v>
      </c>
      <c r="H561" s="4">
        <f>CHOOSE( CONTROL!$C$32, 16.3664, 16.363) * CHOOSE(CONTROL!$C$15, $D$11, 100%, $F$11)</f>
        <v>16.366399999999999</v>
      </c>
      <c r="I561" s="8">
        <f>CHOOSE( CONTROL!$C$32, 15.2647, 15.2614) * CHOOSE(CONTROL!$C$15, $D$11, 100%, $F$11)</f>
        <v>15.264699999999999</v>
      </c>
      <c r="J561" s="4">
        <f>CHOOSE( CONTROL!$C$32, 15.1432, 15.1399) * CHOOSE(CONTROL!$C$15, $D$11, 100%, $F$11)</f>
        <v>15.1432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15.5494, 15.546) * CHOOSE(CONTROL!$C$15, $D$11, 100%, $F$11)</f>
        <v>15.5494</v>
      </c>
      <c r="C562" s="8">
        <f>CHOOSE( CONTROL!$C$32, 15.5575, 15.5541) * CHOOSE(CONTROL!$C$15, $D$11, 100%, $F$11)</f>
        <v>15.557499999999999</v>
      </c>
      <c r="D562" s="8">
        <f>CHOOSE( CONTROL!$C$32, 15.5833, 15.5799) * CHOOSE( CONTROL!$C$15, $D$11, 100%, $F$11)</f>
        <v>15.583299999999999</v>
      </c>
      <c r="E562" s="12">
        <f>CHOOSE( CONTROL!$C$32, 15.5727, 15.5693) * CHOOSE( CONTROL!$C$15, $D$11, 100%, $F$11)</f>
        <v>15.572699999999999</v>
      </c>
      <c r="F562" s="4">
        <f>CHOOSE( CONTROL!$C$32, 16.2628, 16.2594) * CHOOSE(CONTROL!$C$15, $D$11, 100%, $F$11)</f>
        <v>16.262799999999999</v>
      </c>
      <c r="G562" s="8">
        <f>CHOOSE( CONTROL!$C$32, 15.1719, 15.1686) * CHOOSE( CONTROL!$C$15, $D$11, 100%, $F$11)</f>
        <v>15.171900000000001</v>
      </c>
      <c r="H562" s="4">
        <f>CHOOSE( CONTROL!$C$32, 16.1187, 16.1154) * CHOOSE(CONTROL!$C$15, $D$11, 100%, $F$11)</f>
        <v>16.1187</v>
      </c>
      <c r="I562" s="8">
        <f>CHOOSE( CONTROL!$C$32, 15.0221, 15.0188) * CHOOSE(CONTROL!$C$15, $D$11, 100%, $F$11)</f>
        <v>15.0221</v>
      </c>
      <c r="J562" s="4">
        <f>CHOOSE( CONTROL!$C$32, 14.8998, 14.8965) * CHOOSE(CONTROL!$C$15, $D$11, 100%, $F$11)</f>
        <v>14.899800000000001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16.217, 16.2136) * CHOOSE(CONTROL!$C$15, $D$11, 100%, $F$11)</f>
        <v>16.216999999999999</v>
      </c>
      <c r="C563" s="8">
        <f>CHOOSE( CONTROL!$C$32, 16.2251, 16.2217) * CHOOSE(CONTROL!$C$15, $D$11, 100%, $F$11)</f>
        <v>16.225100000000001</v>
      </c>
      <c r="D563" s="8">
        <f>CHOOSE( CONTROL!$C$32, 16.2512, 16.2478) * CHOOSE( CONTROL!$C$15, $D$11, 100%, $F$11)</f>
        <v>16.251200000000001</v>
      </c>
      <c r="E563" s="12">
        <f>CHOOSE( CONTROL!$C$32, 16.2405, 16.2371) * CHOOSE( CONTROL!$C$15, $D$11, 100%, $F$11)</f>
        <v>16.240500000000001</v>
      </c>
      <c r="F563" s="4">
        <f>CHOOSE( CONTROL!$C$32, 16.9305, 16.9271) * CHOOSE(CONTROL!$C$15, $D$11, 100%, $F$11)</f>
        <v>16.930499999999999</v>
      </c>
      <c r="G563" s="8">
        <f>CHOOSE( CONTROL!$C$32, 15.8243, 15.821) * CHOOSE( CONTROL!$C$15, $D$11, 100%, $F$11)</f>
        <v>15.824299999999999</v>
      </c>
      <c r="H563" s="4">
        <f>CHOOSE( CONTROL!$C$32, 16.7708, 16.7675) * CHOOSE(CONTROL!$C$15, $D$11, 100%, $F$11)</f>
        <v>16.770800000000001</v>
      </c>
      <c r="I563" s="8">
        <f>CHOOSE( CONTROL!$C$32, 15.6645, 15.6612) * CHOOSE(CONTROL!$C$15, $D$11, 100%, $F$11)</f>
        <v>15.6645</v>
      </c>
      <c r="J563" s="4">
        <f>CHOOSE( CONTROL!$C$32, 15.5408, 15.5375) * CHOOSE(CONTROL!$C$15, $D$11, 100%, $F$11)</f>
        <v>15.540800000000001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14.9678, 14.9644) * CHOOSE(CONTROL!$C$15, $D$11, 100%, $F$11)</f>
        <v>14.9678</v>
      </c>
      <c r="C564" s="8">
        <f>CHOOSE( CONTROL!$C$32, 14.9759, 14.9725) * CHOOSE(CONTROL!$C$15, $D$11, 100%, $F$11)</f>
        <v>14.975899999999999</v>
      </c>
      <c r="D564" s="8">
        <f>CHOOSE( CONTROL!$C$32, 15.002, 14.9986) * CHOOSE( CONTROL!$C$15, $D$11, 100%, $F$11)</f>
        <v>15.002000000000001</v>
      </c>
      <c r="E564" s="12">
        <f>CHOOSE( CONTROL!$C$32, 14.9913, 14.9879) * CHOOSE( CONTROL!$C$15, $D$11, 100%, $F$11)</f>
        <v>14.991300000000001</v>
      </c>
      <c r="F564" s="4">
        <f>CHOOSE( CONTROL!$C$32, 15.6813, 15.6778) * CHOOSE(CONTROL!$C$15, $D$11, 100%, $F$11)</f>
        <v>15.6813</v>
      </c>
      <c r="G564" s="8">
        <f>CHOOSE( CONTROL!$C$32, 14.6043, 14.601) * CHOOSE( CONTROL!$C$15, $D$11, 100%, $F$11)</f>
        <v>14.6043</v>
      </c>
      <c r="H564" s="4">
        <f>CHOOSE( CONTROL!$C$32, 15.5507, 15.5474) * CHOOSE(CONTROL!$C$15, $D$11, 100%, $F$11)</f>
        <v>15.550700000000001</v>
      </c>
      <c r="I564" s="8">
        <f>CHOOSE( CONTROL!$C$32, 14.465, 14.4617) * CHOOSE(CONTROL!$C$15, $D$11, 100%, $F$11)</f>
        <v>14.465</v>
      </c>
      <c r="J564" s="4">
        <f>CHOOSE( CONTROL!$C$32, 14.3414, 14.3381) * CHOOSE(CONTROL!$C$15, $D$11, 100%, $F$11)</f>
        <v>14.3414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14.655, 14.6516) * CHOOSE(CONTROL!$C$15, $D$11, 100%, $F$11)</f>
        <v>14.654999999999999</v>
      </c>
      <c r="C565" s="8">
        <f>CHOOSE( CONTROL!$C$32, 14.6631, 14.6597) * CHOOSE(CONTROL!$C$15, $D$11, 100%, $F$11)</f>
        <v>14.6631</v>
      </c>
      <c r="D565" s="8">
        <f>CHOOSE( CONTROL!$C$32, 14.6892, 14.6858) * CHOOSE( CONTROL!$C$15, $D$11, 100%, $F$11)</f>
        <v>14.6892</v>
      </c>
      <c r="E565" s="12">
        <f>CHOOSE( CONTROL!$C$32, 14.6785, 14.6751) * CHOOSE( CONTROL!$C$15, $D$11, 100%, $F$11)</f>
        <v>14.6785</v>
      </c>
      <c r="F565" s="4">
        <f>CHOOSE( CONTROL!$C$32, 15.3684, 15.365) * CHOOSE(CONTROL!$C$15, $D$11, 100%, $F$11)</f>
        <v>15.368399999999999</v>
      </c>
      <c r="G565" s="8">
        <f>CHOOSE( CONTROL!$C$32, 14.2987, 14.2954) * CHOOSE( CONTROL!$C$15, $D$11, 100%, $F$11)</f>
        <v>14.2987</v>
      </c>
      <c r="H565" s="4">
        <f>CHOOSE( CONTROL!$C$32, 15.2452, 15.2418) * CHOOSE(CONTROL!$C$15, $D$11, 100%, $F$11)</f>
        <v>15.245200000000001</v>
      </c>
      <c r="I565" s="8">
        <f>CHOOSE( CONTROL!$C$32, 14.1643, 14.1611) * CHOOSE(CONTROL!$C$15, $D$11, 100%, $F$11)</f>
        <v>14.164300000000001</v>
      </c>
      <c r="J565" s="4">
        <f>CHOOSE( CONTROL!$C$32, 14.041, 14.0378) * CHOOSE(CONTROL!$C$15, $D$11, 100%, $F$11)</f>
        <v>14.041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15.2994 * CHOOSE(CONTROL!$C$15, $D$11, 100%, $F$11)</f>
        <v>15.2994</v>
      </c>
      <c r="C566" s="8">
        <f>15.3048 * CHOOSE(CONTROL!$C$15, $D$11, 100%, $F$11)</f>
        <v>15.3048</v>
      </c>
      <c r="D566" s="8">
        <f>15.3359 * CHOOSE( CONTROL!$C$15, $D$11, 100%, $F$11)</f>
        <v>15.335900000000001</v>
      </c>
      <c r="E566" s="12">
        <f>15.3251 * CHOOSE( CONTROL!$C$15, $D$11, 100%, $F$11)</f>
        <v>15.325100000000001</v>
      </c>
      <c r="F566" s="4">
        <f>16.0146 * CHOOSE(CONTROL!$C$15, $D$11, 100%, $F$11)</f>
        <v>16.014600000000002</v>
      </c>
      <c r="G566" s="8">
        <f>14.9294 * CHOOSE( CONTROL!$C$15, $D$11, 100%, $F$11)</f>
        <v>14.929399999999999</v>
      </c>
      <c r="H566" s="4">
        <f>15.8762 * CHOOSE(CONTROL!$C$15, $D$11, 100%, $F$11)</f>
        <v>15.876200000000001</v>
      </c>
      <c r="I566" s="8">
        <f>14.7858 * CHOOSE(CONTROL!$C$15, $D$11, 100%, $F$11)</f>
        <v>14.7858</v>
      </c>
      <c r="J566" s="4">
        <f>14.6614 * CHOOSE(CONTROL!$C$15, $D$11, 100%, $F$11)</f>
        <v>14.6614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16.4979 * CHOOSE(CONTROL!$C$15, $D$11, 100%, $F$11)</f>
        <v>16.497900000000001</v>
      </c>
      <c r="C567" s="8">
        <f>16.5031 * CHOOSE(CONTROL!$C$15, $D$11, 100%, $F$11)</f>
        <v>16.5031</v>
      </c>
      <c r="D567" s="8">
        <f>16.4959 * CHOOSE( CONTROL!$C$15, $D$11, 100%, $F$11)</f>
        <v>16.495899999999999</v>
      </c>
      <c r="E567" s="12">
        <f>16.498 * CHOOSE( CONTROL!$C$15, $D$11, 100%, $F$11)</f>
        <v>16.498000000000001</v>
      </c>
      <c r="F567" s="4">
        <f>17.1483 * CHOOSE(CONTROL!$C$15, $D$11, 100%, $F$11)</f>
        <v>17.148299999999999</v>
      </c>
      <c r="G567" s="8">
        <f>16.1133 * CHOOSE( CONTROL!$C$15, $D$11, 100%, $F$11)</f>
        <v>16.113299999999999</v>
      </c>
      <c r="H567" s="4">
        <f>16.9836 * CHOOSE(CONTROL!$C$15, $D$11, 100%, $F$11)</f>
        <v>16.983599999999999</v>
      </c>
      <c r="I567" s="8">
        <f>15.9809 * CHOOSE(CONTROL!$C$15, $D$11, 100%, $F$11)</f>
        <v>15.9809</v>
      </c>
      <c r="J567" s="4">
        <f>15.8124 * CHOOSE(CONTROL!$C$15, $D$11, 100%, $F$11)</f>
        <v>15.8124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16.4679 * CHOOSE(CONTROL!$C$15, $D$11, 100%, $F$11)</f>
        <v>16.4679</v>
      </c>
      <c r="C568" s="8">
        <f>16.4731 * CHOOSE(CONTROL!$C$15, $D$11, 100%, $F$11)</f>
        <v>16.473099999999999</v>
      </c>
      <c r="D568" s="8">
        <f>16.4674 * CHOOSE( CONTROL!$C$15, $D$11, 100%, $F$11)</f>
        <v>16.467400000000001</v>
      </c>
      <c r="E568" s="12">
        <f>16.4689 * CHOOSE( CONTROL!$C$15, $D$11, 100%, $F$11)</f>
        <v>16.468900000000001</v>
      </c>
      <c r="F568" s="4">
        <f>17.1184 * CHOOSE(CONTROL!$C$15, $D$11, 100%, $F$11)</f>
        <v>17.118400000000001</v>
      </c>
      <c r="G568" s="8">
        <f>16.0851 * CHOOSE( CONTROL!$C$15, $D$11, 100%, $F$11)</f>
        <v>16.085100000000001</v>
      </c>
      <c r="H568" s="4">
        <f>16.9544 * CHOOSE(CONTROL!$C$15, $D$11, 100%, $F$11)</f>
        <v>16.9544</v>
      </c>
      <c r="I568" s="8">
        <f>15.9567 * CHOOSE(CONTROL!$C$15, $D$11, 100%, $F$11)</f>
        <v>15.9567</v>
      </c>
      <c r="J568" s="4">
        <f>15.7837 * CHOOSE(CONTROL!$C$15, $D$11, 100%, $F$11)</f>
        <v>15.7837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16.9528 * CHOOSE(CONTROL!$C$15, $D$11, 100%, $F$11)</f>
        <v>16.9528</v>
      </c>
      <c r="C569" s="8">
        <f>16.958 * CHOOSE(CONTROL!$C$15, $D$11, 100%, $F$11)</f>
        <v>16.957999999999998</v>
      </c>
      <c r="D569" s="8">
        <f>16.9381 * CHOOSE( CONTROL!$C$15, $D$11, 100%, $F$11)</f>
        <v>16.938099999999999</v>
      </c>
      <c r="E569" s="12">
        <f>16.9448 * CHOOSE( CONTROL!$C$15, $D$11, 100%, $F$11)</f>
        <v>16.944800000000001</v>
      </c>
      <c r="F569" s="4">
        <f>17.6033 * CHOOSE(CONTROL!$C$15, $D$11, 100%, $F$11)</f>
        <v>17.603300000000001</v>
      </c>
      <c r="G569" s="8">
        <f>16.5419 * CHOOSE( CONTROL!$C$15, $D$11, 100%, $F$11)</f>
        <v>16.541899999999998</v>
      </c>
      <c r="H569" s="4">
        <f>17.428 * CHOOSE(CONTROL!$C$15, $D$11, 100%, $F$11)</f>
        <v>17.428000000000001</v>
      </c>
      <c r="I569" s="8">
        <f>16.379 * CHOOSE(CONTROL!$C$15, $D$11, 100%, $F$11)</f>
        <v>16.379000000000001</v>
      </c>
      <c r="J569" s="4">
        <f>16.2492 * CHOOSE(CONTROL!$C$15, $D$11, 100%, $F$11)</f>
        <v>16.249199999999998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15.8587 * CHOOSE(CONTROL!$C$15, $D$11, 100%, $F$11)</f>
        <v>15.858700000000001</v>
      </c>
      <c r="C570" s="8">
        <f>15.8639 * CHOOSE(CONTROL!$C$15, $D$11, 100%, $F$11)</f>
        <v>15.863899999999999</v>
      </c>
      <c r="D570" s="8">
        <f>15.844 * CHOOSE( CONTROL!$C$15, $D$11, 100%, $F$11)</f>
        <v>15.843999999999999</v>
      </c>
      <c r="E570" s="12">
        <f>15.8507 * CHOOSE( CONTROL!$C$15, $D$11, 100%, $F$11)</f>
        <v>15.8507</v>
      </c>
      <c r="F570" s="4">
        <f>16.5092 * CHOOSE(CONTROL!$C$15, $D$11, 100%, $F$11)</f>
        <v>16.5092</v>
      </c>
      <c r="G570" s="8">
        <f>15.4733 * CHOOSE( CONTROL!$C$15, $D$11, 100%, $F$11)</f>
        <v>15.4733</v>
      </c>
      <c r="H570" s="4">
        <f>16.3593 * CHOOSE(CONTROL!$C$15, $D$11, 100%, $F$11)</f>
        <v>16.359300000000001</v>
      </c>
      <c r="I570" s="8">
        <f>15.3279 * CHOOSE(CONTROL!$C$15, $D$11, 100%, $F$11)</f>
        <v>15.3279</v>
      </c>
      <c r="J570" s="4">
        <f>15.1988 * CHOOSE(CONTROL!$C$15, $D$11, 100%, $F$11)</f>
        <v>15.1988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15.5217 * CHOOSE(CONTROL!$C$15, $D$11, 100%, $F$11)</f>
        <v>15.521699999999999</v>
      </c>
      <c r="C571" s="8">
        <f>15.5269 * CHOOSE(CONTROL!$C$15, $D$11, 100%, $F$11)</f>
        <v>15.526899999999999</v>
      </c>
      <c r="D571" s="8">
        <f>15.5066 * CHOOSE( CONTROL!$C$15, $D$11, 100%, $F$11)</f>
        <v>15.506600000000001</v>
      </c>
      <c r="E571" s="12">
        <f>15.5135 * CHOOSE( CONTROL!$C$15, $D$11, 100%, $F$11)</f>
        <v>15.513500000000001</v>
      </c>
      <c r="F571" s="4">
        <f>16.1722 * CHOOSE(CONTROL!$C$15, $D$11, 100%, $F$11)</f>
        <v>16.1722</v>
      </c>
      <c r="G571" s="8">
        <f>15.1438 * CHOOSE( CONTROL!$C$15, $D$11, 100%, $F$11)</f>
        <v>15.143800000000001</v>
      </c>
      <c r="H571" s="4">
        <f>16.0302 * CHOOSE(CONTROL!$C$15, $D$11, 100%, $F$11)</f>
        <v>16.030200000000001</v>
      </c>
      <c r="I571" s="8">
        <f>15.0031 * CHOOSE(CONTROL!$C$15, $D$11, 100%, $F$11)</f>
        <v>15.0031</v>
      </c>
      <c r="J571" s="4">
        <f>14.8752 * CHOOSE(CONTROL!$C$15, $D$11, 100%, $F$11)</f>
        <v>14.8752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15.758 * CHOOSE(CONTROL!$C$15, $D$11, 100%, $F$11)</f>
        <v>15.757999999999999</v>
      </c>
      <c r="C572" s="8">
        <f>15.7626 * CHOOSE(CONTROL!$C$15, $D$11, 100%, $F$11)</f>
        <v>15.762600000000001</v>
      </c>
      <c r="D572" s="8">
        <f>15.7935 * CHOOSE( CONTROL!$C$15, $D$11, 100%, $F$11)</f>
        <v>15.7935</v>
      </c>
      <c r="E572" s="12">
        <f>15.7828 * CHOOSE( CONTROL!$C$15, $D$11, 100%, $F$11)</f>
        <v>15.7828</v>
      </c>
      <c r="F572" s="4">
        <f>16.4728 * CHOOSE(CONTROL!$C$15, $D$11, 100%, $F$11)</f>
        <v>16.472799999999999</v>
      </c>
      <c r="G572" s="8">
        <f>15.3759 * CHOOSE( CONTROL!$C$15, $D$11, 100%, $F$11)</f>
        <v>15.3759</v>
      </c>
      <c r="H572" s="4">
        <f>16.3238 * CHOOSE(CONTROL!$C$15, $D$11, 100%, $F$11)</f>
        <v>16.323799999999999</v>
      </c>
      <c r="I572" s="8">
        <f>15.2226 * CHOOSE(CONTROL!$C$15, $D$11, 100%, $F$11)</f>
        <v>15.2226</v>
      </c>
      <c r="J572" s="4">
        <f>15.1013 * CHOOSE(CONTROL!$C$15, $D$11, 100%, $F$11)</f>
        <v>15.1013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16.1818, 16.1784) * CHOOSE(CONTROL!$C$15, $D$11, 100%, $F$11)</f>
        <v>16.181799999999999</v>
      </c>
      <c r="C573" s="8">
        <f>CHOOSE( CONTROL!$C$32, 16.1899, 16.1865) * CHOOSE(CONTROL!$C$15, $D$11, 100%, $F$11)</f>
        <v>16.189900000000002</v>
      </c>
      <c r="D573" s="8">
        <f>CHOOSE( CONTROL!$C$32, 16.2155, 16.2121) * CHOOSE( CONTROL!$C$15, $D$11, 100%, $F$11)</f>
        <v>16.215499999999999</v>
      </c>
      <c r="E573" s="12">
        <f>CHOOSE( CONTROL!$C$32, 16.205, 16.2016) * CHOOSE( CONTROL!$C$15, $D$11, 100%, $F$11)</f>
        <v>16.204999999999998</v>
      </c>
      <c r="F573" s="4">
        <f>CHOOSE( CONTROL!$C$32, 16.8953, 16.8919) * CHOOSE(CONTROL!$C$15, $D$11, 100%, $F$11)</f>
        <v>16.895299999999999</v>
      </c>
      <c r="G573" s="8">
        <f>CHOOSE( CONTROL!$C$32, 15.7893, 15.7859) * CHOOSE( CONTROL!$C$15, $D$11, 100%, $F$11)</f>
        <v>15.789300000000001</v>
      </c>
      <c r="H573" s="4">
        <f>CHOOSE( CONTROL!$C$32, 16.7364, 16.7331) * CHOOSE(CONTROL!$C$15, $D$11, 100%, $F$11)</f>
        <v>16.7364</v>
      </c>
      <c r="I573" s="8">
        <f>CHOOSE( CONTROL!$C$32, 15.6286, 15.6254) * CHOOSE(CONTROL!$C$15, $D$11, 100%, $F$11)</f>
        <v>15.6286</v>
      </c>
      <c r="J573" s="4">
        <f>CHOOSE( CONTROL!$C$32, 15.5069, 15.5037) * CHOOSE(CONTROL!$C$15, $D$11, 100%, $F$11)</f>
        <v>15.5069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15.9222, 15.9188) * CHOOSE(CONTROL!$C$15, $D$11, 100%, $F$11)</f>
        <v>15.9222</v>
      </c>
      <c r="C574" s="8">
        <f>CHOOSE( CONTROL!$C$32, 15.9303, 15.9269) * CHOOSE(CONTROL!$C$15, $D$11, 100%, $F$11)</f>
        <v>15.930300000000001</v>
      </c>
      <c r="D574" s="8">
        <f>CHOOSE( CONTROL!$C$32, 15.9561, 15.9527) * CHOOSE( CONTROL!$C$15, $D$11, 100%, $F$11)</f>
        <v>15.956099999999999</v>
      </c>
      <c r="E574" s="12">
        <f>CHOOSE( CONTROL!$C$32, 15.9455, 15.9421) * CHOOSE( CONTROL!$C$15, $D$11, 100%, $F$11)</f>
        <v>15.945499999999999</v>
      </c>
      <c r="F574" s="4">
        <f>CHOOSE( CONTROL!$C$32, 16.6356, 16.6322) * CHOOSE(CONTROL!$C$15, $D$11, 100%, $F$11)</f>
        <v>16.6356</v>
      </c>
      <c r="G574" s="8">
        <f>CHOOSE( CONTROL!$C$32, 15.536, 15.5327) * CHOOSE( CONTROL!$C$15, $D$11, 100%, $F$11)</f>
        <v>15.536</v>
      </c>
      <c r="H574" s="4">
        <f>CHOOSE( CONTROL!$C$32, 16.4829, 16.4795) * CHOOSE(CONTROL!$C$15, $D$11, 100%, $F$11)</f>
        <v>16.482900000000001</v>
      </c>
      <c r="I574" s="8">
        <f>CHOOSE( CONTROL!$C$32, 15.3802, 15.3769) * CHOOSE(CONTROL!$C$15, $D$11, 100%, $F$11)</f>
        <v>15.3802</v>
      </c>
      <c r="J574" s="4">
        <f>CHOOSE( CONTROL!$C$32, 15.2577, 15.2544) * CHOOSE(CONTROL!$C$15, $D$11, 100%, $F$11)</f>
        <v>15.2577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16.6059, 16.6025) * CHOOSE(CONTROL!$C$15, $D$11, 100%, $F$11)</f>
        <v>16.605899999999998</v>
      </c>
      <c r="C575" s="8">
        <f>CHOOSE( CONTROL!$C$32, 16.614, 16.6106) * CHOOSE(CONTROL!$C$15, $D$11, 100%, $F$11)</f>
        <v>16.614000000000001</v>
      </c>
      <c r="D575" s="8">
        <f>CHOOSE( CONTROL!$C$32, 16.64, 16.6366) * CHOOSE( CONTROL!$C$15, $D$11, 100%, $F$11)</f>
        <v>16.64</v>
      </c>
      <c r="E575" s="12">
        <f>CHOOSE( CONTROL!$C$32, 16.6293, 16.6259) * CHOOSE( CONTROL!$C$15, $D$11, 100%, $F$11)</f>
        <v>16.629300000000001</v>
      </c>
      <c r="F575" s="4">
        <f>CHOOSE( CONTROL!$C$32, 17.3193, 17.3159) * CHOOSE(CONTROL!$C$15, $D$11, 100%, $F$11)</f>
        <v>17.319299999999998</v>
      </c>
      <c r="G575" s="8">
        <f>CHOOSE( CONTROL!$C$32, 16.2041, 16.2008) * CHOOSE( CONTROL!$C$15, $D$11, 100%, $F$11)</f>
        <v>16.2041</v>
      </c>
      <c r="H575" s="4">
        <f>CHOOSE( CONTROL!$C$32, 17.1506, 17.1473) * CHOOSE(CONTROL!$C$15, $D$11, 100%, $F$11)</f>
        <v>17.150600000000001</v>
      </c>
      <c r="I575" s="8">
        <f>CHOOSE( CONTROL!$C$32, 16.038, 16.0348) * CHOOSE(CONTROL!$C$15, $D$11, 100%, $F$11)</f>
        <v>16.038</v>
      </c>
      <c r="J575" s="4">
        <f>CHOOSE( CONTROL!$C$32, 15.9141, 15.9108) * CHOOSE(CONTROL!$C$15, $D$11, 100%, $F$11)</f>
        <v>15.914099999999999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15.3266, 15.3232) * CHOOSE(CONTROL!$C$15, $D$11, 100%, $F$11)</f>
        <v>15.326599999999999</v>
      </c>
      <c r="C576" s="8">
        <f>CHOOSE( CONTROL!$C$32, 15.3347, 15.3313) * CHOOSE(CONTROL!$C$15, $D$11, 100%, $F$11)</f>
        <v>15.3347</v>
      </c>
      <c r="D576" s="8">
        <f>CHOOSE( CONTROL!$C$32, 15.3609, 15.3575) * CHOOSE( CONTROL!$C$15, $D$11, 100%, $F$11)</f>
        <v>15.360900000000001</v>
      </c>
      <c r="E576" s="12">
        <f>CHOOSE( CONTROL!$C$32, 15.3502, 15.3468) * CHOOSE( CONTROL!$C$15, $D$11, 100%, $F$11)</f>
        <v>15.350199999999999</v>
      </c>
      <c r="F576" s="4">
        <f>CHOOSE( CONTROL!$C$32, 16.0401, 16.0367) * CHOOSE(CONTROL!$C$15, $D$11, 100%, $F$11)</f>
        <v>16.040099999999999</v>
      </c>
      <c r="G576" s="8">
        <f>CHOOSE( CONTROL!$C$32, 14.9548, 14.9515) * CHOOSE( CONTROL!$C$15, $D$11, 100%, $F$11)</f>
        <v>14.954800000000001</v>
      </c>
      <c r="H576" s="4">
        <f>CHOOSE( CONTROL!$C$32, 15.9012, 15.8978) * CHOOSE(CONTROL!$C$15, $D$11, 100%, $F$11)</f>
        <v>15.901199999999999</v>
      </c>
      <c r="I576" s="8">
        <f>CHOOSE( CONTROL!$C$32, 14.8097, 14.8064) * CHOOSE(CONTROL!$C$15, $D$11, 100%, $F$11)</f>
        <v>14.809699999999999</v>
      </c>
      <c r="J576" s="4">
        <f>CHOOSE( CONTROL!$C$32, 14.6859, 14.6826) * CHOOSE(CONTROL!$C$15, $D$11, 100%, $F$11)</f>
        <v>14.6859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15.0063, 15.0029) * CHOOSE(CONTROL!$C$15, $D$11, 100%, $F$11)</f>
        <v>15.0063</v>
      </c>
      <c r="C577" s="8">
        <f>CHOOSE( CONTROL!$C$32, 15.0144, 15.011) * CHOOSE(CONTROL!$C$15, $D$11, 100%, $F$11)</f>
        <v>15.0144</v>
      </c>
      <c r="D577" s="8">
        <f>CHOOSE( CONTROL!$C$32, 15.0405, 15.0371) * CHOOSE( CONTROL!$C$15, $D$11, 100%, $F$11)</f>
        <v>15.0405</v>
      </c>
      <c r="E577" s="12">
        <f>CHOOSE( CONTROL!$C$32, 15.0298, 15.0264) * CHOOSE( CONTROL!$C$15, $D$11, 100%, $F$11)</f>
        <v>15.0298</v>
      </c>
      <c r="F577" s="4">
        <f>CHOOSE( CONTROL!$C$32, 15.7197, 15.7163) * CHOOSE(CONTROL!$C$15, $D$11, 100%, $F$11)</f>
        <v>15.7197</v>
      </c>
      <c r="G577" s="8">
        <f>CHOOSE( CONTROL!$C$32, 14.6419, 14.6385) * CHOOSE( CONTROL!$C$15, $D$11, 100%, $F$11)</f>
        <v>14.6419</v>
      </c>
      <c r="H577" s="4">
        <f>CHOOSE( CONTROL!$C$32, 15.5883, 15.585) * CHOOSE(CONTROL!$C$15, $D$11, 100%, $F$11)</f>
        <v>15.5883</v>
      </c>
      <c r="I577" s="8">
        <f>CHOOSE( CONTROL!$C$32, 14.5018, 14.4985) * CHOOSE(CONTROL!$C$15, $D$11, 100%, $F$11)</f>
        <v>14.501799999999999</v>
      </c>
      <c r="J577" s="4">
        <f>CHOOSE( CONTROL!$C$32, 14.3783, 14.3751) * CHOOSE(CONTROL!$C$15, $D$11, 100%, $F$11)</f>
        <v>14.378299999999999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15.6663 * CHOOSE(CONTROL!$C$15, $D$11, 100%, $F$11)</f>
        <v>15.6663</v>
      </c>
      <c r="C578" s="8">
        <f>15.6717 * CHOOSE(CONTROL!$C$15, $D$11, 100%, $F$11)</f>
        <v>15.6717</v>
      </c>
      <c r="D578" s="8">
        <f>15.7028 * CHOOSE( CONTROL!$C$15, $D$11, 100%, $F$11)</f>
        <v>15.7028</v>
      </c>
      <c r="E578" s="12">
        <f>15.692 * CHOOSE( CONTROL!$C$15, $D$11, 100%, $F$11)</f>
        <v>15.692</v>
      </c>
      <c r="F578" s="4">
        <f>16.3815 * CHOOSE(CONTROL!$C$15, $D$11, 100%, $F$11)</f>
        <v>16.381499999999999</v>
      </c>
      <c r="G578" s="8">
        <f>15.2877 * CHOOSE( CONTROL!$C$15, $D$11, 100%, $F$11)</f>
        <v>15.287699999999999</v>
      </c>
      <c r="H578" s="4">
        <f>16.2346 * CHOOSE(CONTROL!$C$15, $D$11, 100%, $F$11)</f>
        <v>16.2346</v>
      </c>
      <c r="I578" s="8">
        <f>15.1383 * CHOOSE(CONTROL!$C$15, $D$11, 100%, $F$11)</f>
        <v>15.138299999999999</v>
      </c>
      <c r="J578" s="4">
        <f>15.0137 * CHOOSE(CONTROL!$C$15, $D$11, 100%, $F$11)</f>
        <v>15.0137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16.8936 * CHOOSE(CONTROL!$C$15, $D$11, 100%, $F$11)</f>
        <v>16.893599999999999</v>
      </c>
      <c r="C579" s="8">
        <f>16.8988 * CHOOSE(CONTROL!$C$15, $D$11, 100%, $F$11)</f>
        <v>16.898800000000001</v>
      </c>
      <c r="D579" s="8">
        <f>16.8916 * CHOOSE( CONTROL!$C$15, $D$11, 100%, $F$11)</f>
        <v>16.8916</v>
      </c>
      <c r="E579" s="12">
        <f>16.8937 * CHOOSE( CONTROL!$C$15, $D$11, 100%, $F$11)</f>
        <v>16.893699999999999</v>
      </c>
      <c r="F579" s="4">
        <f>17.5441 * CHOOSE(CONTROL!$C$15, $D$11, 100%, $F$11)</f>
        <v>17.5441</v>
      </c>
      <c r="G579" s="8">
        <f>16.4998 * CHOOSE( CONTROL!$C$15, $D$11, 100%, $F$11)</f>
        <v>16.4998</v>
      </c>
      <c r="H579" s="4">
        <f>17.3701 * CHOOSE(CONTROL!$C$15, $D$11, 100%, $F$11)</f>
        <v>17.370100000000001</v>
      </c>
      <c r="I579" s="8">
        <f>16.361 * CHOOSE(CONTROL!$C$15, $D$11, 100%, $F$11)</f>
        <v>16.361000000000001</v>
      </c>
      <c r="J579" s="4">
        <f>16.1924 * CHOOSE(CONTROL!$C$15, $D$11, 100%, $F$11)</f>
        <v>16.192399999999999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16.8629 * CHOOSE(CONTROL!$C$15, $D$11, 100%, $F$11)</f>
        <v>16.8629</v>
      </c>
      <c r="C580" s="8">
        <f>16.8681 * CHOOSE(CONTROL!$C$15, $D$11, 100%, $F$11)</f>
        <v>16.868099999999998</v>
      </c>
      <c r="D580" s="8">
        <f>16.8624 * CHOOSE( CONTROL!$C$15, $D$11, 100%, $F$11)</f>
        <v>16.862400000000001</v>
      </c>
      <c r="E580" s="12">
        <f>16.8639 * CHOOSE( CONTROL!$C$15, $D$11, 100%, $F$11)</f>
        <v>16.863900000000001</v>
      </c>
      <c r="F580" s="4">
        <f>17.5134 * CHOOSE(CONTROL!$C$15, $D$11, 100%, $F$11)</f>
        <v>17.513400000000001</v>
      </c>
      <c r="G580" s="8">
        <f>16.4709 * CHOOSE( CONTROL!$C$15, $D$11, 100%, $F$11)</f>
        <v>16.4709</v>
      </c>
      <c r="H580" s="4">
        <f>17.3402 * CHOOSE(CONTROL!$C$15, $D$11, 100%, $F$11)</f>
        <v>17.340199999999999</v>
      </c>
      <c r="I580" s="8">
        <f>16.3362 * CHOOSE(CONTROL!$C$15, $D$11, 100%, $F$11)</f>
        <v>16.336200000000002</v>
      </c>
      <c r="J580" s="4">
        <f>16.1629 * CHOOSE(CONTROL!$C$15, $D$11, 100%, $F$11)</f>
        <v>16.1629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17.3595 * CHOOSE(CONTROL!$C$15, $D$11, 100%, $F$11)</f>
        <v>17.359500000000001</v>
      </c>
      <c r="C581" s="8">
        <f>17.3647 * CHOOSE(CONTROL!$C$15, $D$11, 100%, $F$11)</f>
        <v>17.364699999999999</v>
      </c>
      <c r="D581" s="8">
        <f>17.3448 * CHOOSE( CONTROL!$C$15, $D$11, 100%, $F$11)</f>
        <v>17.344799999999999</v>
      </c>
      <c r="E581" s="12">
        <f>17.3515 * CHOOSE( CONTROL!$C$15, $D$11, 100%, $F$11)</f>
        <v>17.351500000000001</v>
      </c>
      <c r="F581" s="4">
        <f>18.01 * CHOOSE(CONTROL!$C$15, $D$11, 100%, $F$11)</f>
        <v>18.010000000000002</v>
      </c>
      <c r="G581" s="8">
        <f>16.9391 * CHOOSE( CONTROL!$C$15, $D$11, 100%, $F$11)</f>
        <v>16.9391</v>
      </c>
      <c r="H581" s="4">
        <f>17.8252 * CHOOSE(CONTROL!$C$15, $D$11, 100%, $F$11)</f>
        <v>17.825199999999999</v>
      </c>
      <c r="I581" s="8">
        <f>16.7696 * CHOOSE(CONTROL!$C$15, $D$11, 100%, $F$11)</f>
        <v>16.769600000000001</v>
      </c>
      <c r="J581" s="4">
        <f>16.6397 * CHOOSE(CONTROL!$C$15, $D$11, 100%, $F$11)</f>
        <v>16.639700000000001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16.2391 * CHOOSE(CONTROL!$C$15, $D$11, 100%, $F$11)</f>
        <v>16.239100000000001</v>
      </c>
      <c r="C582" s="8">
        <f>16.2442 * CHOOSE(CONTROL!$C$15, $D$11, 100%, $F$11)</f>
        <v>16.244199999999999</v>
      </c>
      <c r="D582" s="8">
        <f>16.2243 * CHOOSE( CONTROL!$C$15, $D$11, 100%, $F$11)</f>
        <v>16.224299999999999</v>
      </c>
      <c r="E582" s="12">
        <f>16.231 * CHOOSE( CONTROL!$C$15, $D$11, 100%, $F$11)</f>
        <v>16.231000000000002</v>
      </c>
      <c r="F582" s="4">
        <f>16.8895 * CHOOSE(CONTROL!$C$15, $D$11, 100%, $F$11)</f>
        <v>16.889500000000002</v>
      </c>
      <c r="G582" s="8">
        <f>15.8448 * CHOOSE( CONTROL!$C$15, $D$11, 100%, $F$11)</f>
        <v>15.844799999999999</v>
      </c>
      <c r="H582" s="4">
        <f>16.7308 * CHOOSE(CONTROL!$C$15, $D$11, 100%, $F$11)</f>
        <v>16.730799999999999</v>
      </c>
      <c r="I582" s="8">
        <f>15.6933 * CHOOSE(CONTROL!$C$15, $D$11, 100%, $F$11)</f>
        <v>15.693300000000001</v>
      </c>
      <c r="J582" s="4">
        <f>15.5639 * CHOOSE(CONTROL!$C$15, $D$11, 100%, $F$11)</f>
        <v>15.5639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15.894 * CHOOSE(CONTROL!$C$15, $D$11, 100%, $F$11)</f>
        <v>15.894</v>
      </c>
      <c r="C583" s="8">
        <f>15.8992 * CHOOSE(CONTROL!$C$15, $D$11, 100%, $F$11)</f>
        <v>15.8992</v>
      </c>
      <c r="D583" s="8">
        <f>15.8789 * CHOOSE( CONTROL!$C$15, $D$11, 100%, $F$11)</f>
        <v>15.8789</v>
      </c>
      <c r="E583" s="12">
        <f>15.8858 * CHOOSE( CONTROL!$C$15, $D$11, 100%, $F$11)</f>
        <v>15.8858</v>
      </c>
      <c r="F583" s="4">
        <f>16.5444 * CHOOSE(CONTROL!$C$15, $D$11, 100%, $F$11)</f>
        <v>16.5444</v>
      </c>
      <c r="G583" s="8">
        <f>15.5074 * CHOOSE( CONTROL!$C$15, $D$11, 100%, $F$11)</f>
        <v>15.507400000000001</v>
      </c>
      <c r="H583" s="4">
        <f>16.3938 * CHOOSE(CONTROL!$C$15, $D$11, 100%, $F$11)</f>
        <v>16.393799999999999</v>
      </c>
      <c r="I583" s="8">
        <f>15.3607 * CHOOSE(CONTROL!$C$15, $D$11, 100%, $F$11)</f>
        <v>15.3607</v>
      </c>
      <c r="J583" s="4">
        <f>15.2326 * CHOOSE(CONTROL!$C$15, $D$11, 100%, $F$11)</f>
        <v>15.2326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16.1359 * CHOOSE(CONTROL!$C$15, $D$11, 100%, $F$11)</f>
        <v>16.135899999999999</v>
      </c>
      <c r="C584" s="8">
        <f>16.1405 * CHOOSE(CONTROL!$C$15, $D$11, 100%, $F$11)</f>
        <v>16.140499999999999</v>
      </c>
      <c r="D584" s="8">
        <f>16.1714 * CHOOSE( CONTROL!$C$15, $D$11, 100%, $F$11)</f>
        <v>16.171399999999998</v>
      </c>
      <c r="E584" s="12">
        <f>16.1607 * CHOOSE( CONTROL!$C$15, $D$11, 100%, $F$11)</f>
        <v>16.160699999999999</v>
      </c>
      <c r="F584" s="4">
        <f>16.8507 * CHOOSE(CONTROL!$C$15, $D$11, 100%, $F$11)</f>
        <v>16.8507</v>
      </c>
      <c r="G584" s="8">
        <f>15.745 * CHOOSE( CONTROL!$C$15, $D$11, 100%, $F$11)</f>
        <v>15.744999999999999</v>
      </c>
      <c r="H584" s="4">
        <f>16.6929 * CHOOSE(CONTROL!$C$15, $D$11, 100%, $F$11)</f>
        <v>16.692900000000002</v>
      </c>
      <c r="I584" s="8">
        <f>15.5857 * CHOOSE(CONTROL!$C$15, $D$11, 100%, $F$11)</f>
        <v>15.585699999999999</v>
      </c>
      <c r="J584" s="4">
        <f>15.4641 * CHOOSE(CONTROL!$C$15, $D$11, 100%, $F$11)</f>
        <v>15.4641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16.5698, 16.5664) * CHOOSE(CONTROL!$C$15, $D$11, 100%, $F$11)</f>
        <v>16.569800000000001</v>
      </c>
      <c r="C585" s="8">
        <f>CHOOSE( CONTROL!$C$32, 16.5779, 16.5745) * CHOOSE(CONTROL!$C$15, $D$11, 100%, $F$11)</f>
        <v>16.5779</v>
      </c>
      <c r="D585" s="8">
        <f>CHOOSE( CONTROL!$C$32, 16.6035, 16.6001) * CHOOSE( CONTROL!$C$15, $D$11, 100%, $F$11)</f>
        <v>16.6035</v>
      </c>
      <c r="E585" s="12">
        <f>CHOOSE( CONTROL!$C$32, 16.593, 16.5896) * CHOOSE( CONTROL!$C$15, $D$11, 100%, $F$11)</f>
        <v>16.593</v>
      </c>
      <c r="F585" s="4">
        <f>CHOOSE( CONTROL!$C$32, 17.2833, 17.2799) * CHOOSE(CONTROL!$C$15, $D$11, 100%, $F$11)</f>
        <v>17.283300000000001</v>
      </c>
      <c r="G585" s="8">
        <f>CHOOSE( CONTROL!$C$32, 16.1682, 16.1649) * CHOOSE( CONTROL!$C$15, $D$11, 100%, $F$11)</f>
        <v>16.168199999999999</v>
      </c>
      <c r="H585" s="4">
        <f>CHOOSE( CONTROL!$C$32, 17.1154, 17.1121) * CHOOSE(CONTROL!$C$15, $D$11, 100%, $F$11)</f>
        <v>17.115400000000001</v>
      </c>
      <c r="I585" s="8">
        <f>CHOOSE( CONTROL!$C$32, 16.0013, 15.9981) * CHOOSE(CONTROL!$C$15, $D$11, 100%, $F$11)</f>
        <v>16.001300000000001</v>
      </c>
      <c r="J585" s="4">
        <f>CHOOSE( CONTROL!$C$32, 15.8795, 15.8762) * CHOOSE(CONTROL!$C$15, $D$11, 100%, $F$11)</f>
        <v>15.8795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16.304, 16.3006) * CHOOSE(CONTROL!$C$15, $D$11, 100%, $F$11)</f>
        <v>16.303999999999998</v>
      </c>
      <c r="C586" s="8">
        <f>CHOOSE( CONTROL!$C$32, 16.312, 16.3086) * CHOOSE(CONTROL!$C$15, $D$11, 100%, $F$11)</f>
        <v>16.312000000000001</v>
      </c>
      <c r="D586" s="8">
        <f>CHOOSE( CONTROL!$C$32, 16.3379, 16.3345) * CHOOSE( CONTROL!$C$15, $D$11, 100%, $F$11)</f>
        <v>16.337900000000001</v>
      </c>
      <c r="E586" s="12">
        <f>CHOOSE( CONTROL!$C$32, 16.3273, 16.3239) * CHOOSE( CONTROL!$C$15, $D$11, 100%, $F$11)</f>
        <v>16.327300000000001</v>
      </c>
      <c r="F586" s="4">
        <f>CHOOSE( CONTROL!$C$32, 17.0174, 17.014) * CHOOSE(CONTROL!$C$15, $D$11, 100%, $F$11)</f>
        <v>17.017399999999999</v>
      </c>
      <c r="G586" s="8">
        <f>CHOOSE( CONTROL!$C$32, 15.9089, 15.9055) * CHOOSE( CONTROL!$C$15, $D$11, 100%, $F$11)</f>
        <v>15.908899999999999</v>
      </c>
      <c r="H586" s="4">
        <f>CHOOSE( CONTROL!$C$32, 16.8557, 16.8524) * CHOOSE(CONTROL!$C$15, $D$11, 100%, $F$11)</f>
        <v>16.855699999999999</v>
      </c>
      <c r="I586" s="8">
        <f>CHOOSE( CONTROL!$C$32, 15.7469, 15.7436) * CHOOSE(CONTROL!$C$15, $D$11, 100%, $F$11)</f>
        <v>15.7469</v>
      </c>
      <c r="J586" s="4">
        <f>CHOOSE( CONTROL!$C$32, 15.6242, 15.6209) * CHOOSE(CONTROL!$C$15, $D$11, 100%, $F$11)</f>
        <v>15.6242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17.0041, 17.0007) * CHOOSE(CONTROL!$C$15, $D$11, 100%, $F$11)</f>
        <v>17.004100000000001</v>
      </c>
      <c r="C587" s="8">
        <f>CHOOSE( CONTROL!$C$32, 17.0122, 17.0088) * CHOOSE(CONTROL!$C$15, $D$11, 100%, $F$11)</f>
        <v>17.0122</v>
      </c>
      <c r="D587" s="8">
        <f>CHOOSE( CONTROL!$C$32, 17.0382, 17.0348) * CHOOSE( CONTROL!$C$15, $D$11, 100%, $F$11)</f>
        <v>17.0382</v>
      </c>
      <c r="E587" s="12">
        <f>CHOOSE( CONTROL!$C$32, 17.0275, 17.0241) * CHOOSE( CONTROL!$C$15, $D$11, 100%, $F$11)</f>
        <v>17.0275</v>
      </c>
      <c r="F587" s="4">
        <f>CHOOSE( CONTROL!$C$32, 17.7175, 17.7141) * CHOOSE(CONTROL!$C$15, $D$11, 100%, $F$11)</f>
        <v>17.717500000000001</v>
      </c>
      <c r="G587" s="8">
        <f>CHOOSE( CONTROL!$C$32, 16.593, 16.5897) * CHOOSE( CONTROL!$C$15, $D$11, 100%, $F$11)</f>
        <v>16.593</v>
      </c>
      <c r="H587" s="4">
        <f>CHOOSE( CONTROL!$C$32, 17.5395, 17.5362) * CHOOSE(CONTROL!$C$15, $D$11, 100%, $F$11)</f>
        <v>17.5395</v>
      </c>
      <c r="I587" s="8">
        <f>CHOOSE( CONTROL!$C$32, 16.4205, 16.4173) * CHOOSE(CONTROL!$C$15, $D$11, 100%, $F$11)</f>
        <v>16.420500000000001</v>
      </c>
      <c r="J587" s="4">
        <f>CHOOSE( CONTROL!$C$32, 16.2964, 16.2931) * CHOOSE(CONTROL!$C$15, $D$11, 100%, $F$11)</f>
        <v>16.296399999999998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15.6941, 15.6907) * CHOOSE(CONTROL!$C$15, $D$11, 100%, $F$11)</f>
        <v>15.694100000000001</v>
      </c>
      <c r="C588" s="8">
        <f>CHOOSE( CONTROL!$C$32, 15.7022, 15.6988) * CHOOSE(CONTROL!$C$15, $D$11, 100%, $F$11)</f>
        <v>15.702199999999999</v>
      </c>
      <c r="D588" s="8">
        <f>CHOOSE( CONTROL!$C$32, 15.7283, 15.7249) * CHOOSE( CONTROL!$C$15, $D$11, 100%, $F$11)</f>
        <v>15.728300000000001</v>
      </c>
      <c r="E588" s="12">
        <f>CHOOSE( CONTROL!$C$32, 15.7176, 15.7142) * CHOOSE( CONTROL!$C$15, $D$11, 100%, $F$11)</f>
        <v>15.717599999999999</v>
      </c>
      <c r="F588" s="4">
        <f>CHOOSE( CONTROL!$C$32, 16.4075, 16.4041) * CHOOSE(CONTROL!$C$15, $D$11, 100%, $F$11)</f>
        <v>16.407499999999999</v>
      </c>
      <c r="G588" s="8">
        <f>CHOOSE( CONTROL!$C$32, 15.3137, 15.3103) * CHOOSE( CONTROL!$C$15, $D$11, 100%, $F$11)</f>
        <v>15.313700000000001</v>
      </c>
      <c r="H588" s="4">
        <f>CHOOSE( CONTROL!$C$32, 16.2601, 16.2567) * CHOOSE(CONTROL!$C$15, $D$11, 100%, $F$11)</f>
        <v>16.260100000000001</v>
      </c>
      <c r="I588" s="8">
        <f>CHOOSE( CONTROL!$C$32, 15.1626, 15.1593) * CHOOSE(CONTROL!$C$15, $D$11, 100%, $F$11)</f>
        <v>15.162599999999999</v>
      </c>
      <c r="J588" s="4">
        <f>CHOOSE( CONTROL!$C$32, 15.0387, 15.0354) * CHOOSE(CONTROL!$C$15, $D$11, 100%, $F$11)</f>
        <v>15.0387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15.3661, 15.3627) * CHOOSE(CONTROL!$C$15, $D$11, 100%, $F$11)</f>
        <v>15.366099999999999</v>
      </c>
      <c r="C589" s="8">
        <f>CHOOSE( CONTROL!$C$32, 15.3741, 15.3707) * CHOOSE(CONTROL!$C$15, $D$11, 100%, $F$11)</f>
        <v>15.3741</v>
      </c>
      <c r="D589" s="8">
        <f>CHOOSE( CONTROL!$C$32, 15.4002, 15.3968) * CHOOSE( CONTROL!$C$15, $D$11, 100%, $F$11)</f>
        <v>15.4002</v>
      </c>
      <c r="E589" s="12">
        <f>CHOOSE( CONTROL!$C$32, 15.3895, 15.3861) * CHOOSE( CONTROL!$C$15, $D$11, 100%, $F$11)</f>
        <v>15.3895</v>
      </c>
      <c r="F589" s="4">
        <f>CHOOSE( CONTROL!$C$32, 16.0795, 16.0761) * CHOOSE(CONTROL!$C$15, $D$11, 100%, $F$11)</f>
        <v>16.079499999999999</v>
      </c>
      <c r="G589" s="8">
        <f>CHOOSE( CONTROL!$C$32, 14.9932, 14.9899) * CHOOSE( CONTROL!$C$15, $D$11, 100%, $F$11)</f>
        <v>14.9932</v>
      </c>
      <c r="H589" s="4">
        <f>CHOOSE( CONTROL!$C$32, 15.9397, 15.9363) * CHOOSE(CONTROL!$C$15, $D$11, 100%, $F$11)</f>
        <v>15.9397</v>
      </c>
      <c r="I589" s="8">
        <f>CHOOSE( CONTROL!$C$32, 14.8474, 14.8441) * CHOOSE(CONTROL!$C$15, $D$11, 100%, $F$11)</f>
        <v>14.8474</v>
      </c>
      <c r="J589" s="4">
        <f>CHOOSE( CONTROL!$C$32, 14.7237, 14.7205) * CHOOSE(CONTROL!$C$15, $D$11, 100%, $F$11)</f>
        <v>14.723699999999999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16.042 * CHOOSE(CONTROL!$C$15, $D$11, 100%, $F$11)</f>
        <v>16.042000000000002</v>
      </c>
      <c r="C590" s="8">
        <f>16.0475 * CHOOSE(CONTROL!$C$15, $D$11, 100%, $F$11)</f>
        <v>16.047499999999999</v>
      </c>
      <c r="D590" s="8">
        <f>16.0786 * CHOOSE( CONTROL!$C$15, $D$11, 100%, $F$11)</f>
        <v>16.078600000000002</v>
      </c>
      <c r="E590" s="12">
        <f>16.0677 * CHOOSE( CONTROL!$C$15, $D$11, 100%, $F$11)</f>
        <v>16.067699999999999</v>
      </c>
      <c r="F590" s="4">
        <f>16.7572 * CHOOSE(CONTROL!$C$15, $D$11, 100%, $F$11)</f>
        <v>16.757200000000001</v>
      </c>
      <c r="G590" s="8">
        <f>15.6547 * CHOOSE( CONTROL!$C$15, $D$11, 100%, $F$11)</f>
        <v>15.6547</v>
      </c>
      <c r="H590" s="4">
        <f>16.6016 * CHOOSE(CONTROL!$C$15, $D$11, 100%, $F$11)</f>
        <v>16.601600000000001</v>
      </c>
      <c r="I590" s="8">
        <f>15.4992 * CHOOSE(CONTROL!$C$15, $D$11, 100%, $F$11)</f>
        <v>15.4992</v>
      </c>
      <c r="J590" s="4">
        <f>15.3744 * CHOOSE(CONTROL!$C$15, $D$11, 100%, $F$11)</f>
        <v>15.3744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17.2988 * CHOOSE(CONTROL!$C$15, $D$11, 100%, $F$11)</f>
        <v>17.2988</v>
      </c>
      <c r="C591" s="8">
        <f>17.304 * CHOOSE(CONTROL!$C$15, $D$11, 100%, $F$11)</f>
        <v>17.303999999999998</v>
      </c>
      <c r="D591" s="8">
        <f>17.2969 * CHOOSE( CONTROL!$C$15, $D$11, 100%, $F$11)</f>
        <v>17.296900000000001</v>
      </c>
      <c r="E591" s="12">
        <f>17.2989 * CHOOSE( CONTROL!$C$15, $D$11, 100%, $F$11)</f>
        <v>17.2989</v>
      </c>
      <c r="F591" s="4">
        <f>17.9493 * CHOOSE(CONTROL!$C$15, $D$11, 100%, $F$11)</f>
        <v>17.949300000000001</v>
      </c>
      <c r="G591" s="8">
        <f>16.8956 * CHOOSE( CONTROL!$C$15, $D$11, 100%, $F$11)</f>
        <v>16.895600000000002</v>
      </c>
      <c r="H591" s="4">
        <f>17.7659 * CHOOSE(CONTROL!$C$15, $D$11, 100%, $F$11)</f>
        <v>17.765899999999998</v>
      </c>
      <c r="I591" s="8">
        <f>16.7503 * CHOOSE(CONTROL!$C$15, $D$11, 100%, $F$11)</f>
        <v>16.750299999999999</v>
      </c>
      <c r="J591" s="4">
        <f>16.5814 * CHOOSE(CONTROL!$C$15, $D$11, 100%, $F$11)</f>
        <v>16.581399999999999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17.2674 * CHOOSE(CONTROL!$C$15, $D$11, 100%, $F$11)</f>
        <v>17.267399999999999</v>
      </c>
      <c r="C592" s="8">
        <f>17.2726 * CHOOSE(CONTROL!$C$15, $D$11, 100%, $F$11)</f>
        <v>17.272600000000001</v>
      </c>
      <c r="D592" s="8">
        <f>17.2669 * CHOOSE( CONTROL!$C$15, $D$11, 100%, $F$11)</f>
        <v>17.2669</v>
      </c>
      <c r="E592" s="12">
        <f>17.2684 * CHOOSE( CONTROL!$C$15, $D$11, 100%, $F$11)</f>
        <v>17.2684</v>
      </c>
      <c r="F592" s="4">
        <f>17.9179 * CHOOSE(CONTROL!$C$15, $D$11, 100%, $F$11)</f>
        <v>17.917899999999999</v>
      </c>
      <c r="G592" s="8">
        <f>16.866 * CHOOSE( CONTROL!$C$15, $D$11, 100%, $F$11)</f>
        <v>16.866</v>
      </c>
      <c r="H592" s="4">
        <f>17.7352 * CHOOSE(CONTROL!$C$15, $D$11, 100%, $F$11)</f>
        <v>17.735199999999999</v>
      </c>
      <c r="I592" s="8">
        <f>16.7247 * CHOOSE(CONTROL!$C$15, $D$11, 100%, $F$11)</f>
        <v>16.724699999999999</v>
      </c>
      <c r="J592" s="4">
        <f>16.5513 * CHOOSE(CONTROL!$C$15, $D$11, 100%, $F$11)</f>
        <v>16.551300000000001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17.7759 * CHOOSE(CONTROL!$C$15, $D$11, 100%, $F$11)</f>
        <v>17.7759</v>
      </c>
      <c r="C593" s="8">
        <f>17.7811 * CHOOSE(CONTROL!$C$15, $D$11, 100%, $F$11)</f>
        <v>17.781099999999999</v>
      </c>
      <c r="D593" s="8">
        <f>17.7612 * CHOOSE( CONTROL!$C$15, $D$11, 100%, $F$11)</f>
        <v>17.761199999999999</v>
      </c>
      <c r="E593" s="12">
        <f>17.7679 * CHOOSE( CONTROL!$C$15, $D$11, 100%, $F$11)</f>
        <v>17.767900000000001</v>
      </c>
      <c r="F593" s="4">
        <f>18.4264 * CHOOSE(CONTROL!$C$15, $D$11, 100%, $F$11)</f>
        <v>18.426400000000001</v>
      </c>
      <c r="G593" s="8">
        <f>17.3458 * CHOOSE( CONTROL!$C$15, $D$11, 100%, $F$11)</f>
        <v>17.345800000000001</v>
      </c>
      <c r="H593" s="4">
        <f>18.2319 * CHOOSE(CONTROL!$C$15, $D$11, 100%, $F$11)</f>
        <v>18.2319</v>
      </c>
      <c r="I593" s="8">
        <f>17.1696 * CHOOSE(CONTROL!$C$15, $D$11, 100%, $F$11)</f>
        <v>17.169599999999999</v>
      </c>
      <c r="J593" s="4">
        <f>17.0395 * CHOOSE(CONTROL!$C$15, $D$11, 100%, $F$11)</f>
        <v>17.0395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16.6286 * CHOOSE(CONTROL!$C$15, $D$11, 100%, $F$11)</f>
        <v>16.628599999999999</v>
      </c>
      <c r="C594" s="8">
        <f>16.6338 * CHOOSE(CONTROL!$C$15, $D$11, 100%, $F$11)</f>
        <v>16.633800000000001</v>
      </c>
      <c r="D594" s="8">
        <f>16.6138 * CHOOSE( CONTROL!$C$15, $D$11, 100%, $F$11)</f>
        <v>16.613800000000001</v>
      </c>
      <c r="E594" s="12">
        <f>16.6206 * CHOOSE( CONTROL!$C$15, $D$11, 100%, $F$11)</f>
        <v>16.6206</v>
      </c>
      <c r="F594" s="4">
        <f>17.279 * CHOOSE(CONTROL!$C$15, $D$11, 100%, $F$11)</f>
        <v>17.279</v>
      </c>
      <c r="G594" s="8">
        <f>16.2252 * CHOOSE( CONTROL!$C$15, $D$11, 100%, $F$11)</f>
        <v>16.225200000000001</v>
      </c>
      <c r="H594" s="4">
        <f>17.1113 * CHOOSE(CONTROL!$C$15, $D$11, 100%, $F$11)</f>
        <v>17.1113</v>
      </c>
      <c r="I594" s="8">
        <f>16.0675 * CHOOSE(CONTROL!$C$15, $D$11, 100%, $F$11)</f>
        <v>16.067499999999999</v>
      </c>
      <c r="J594" s="4">
        <f>15.9379 * CHOOSE(CONTROL!$C$15, $D$11, 100%, $F$11)</f>
        <v>15.937900000000001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16.2752 * CHOOSE(CONTROL!$C$15, $D$11, 100%, $F$11)</f>
        <v>16.275200000000002</v>
      </c>
      <c r="C595" s="8">
        <f>16.2804 * CHOOSE(CONTROL!$C$15, $D$11, 100%, $F$11)</f>
        <v>16.2804</v>
      </c>
      <c r="D595" s="8">
        <f>16.2601 * CHOOSE( CONTROL!$C$15, $D$11, 100%, $F$11)</f>
        <v>16.260100000000001</v>
      </c>
      <c r="E595" s="12">
        <f>16.267 * CHOOSE( CONTROL!$C$15, $D$11, 100%, $F$11)</f>
        <v>16.266999999999999</v>
      </c>
      <c r="F595" s="4">
        <f>16.9256 * CHOOSE(CONTROL!$C$15, $D$11, 100%, $F$11)</f>
        <v>16.925599999999999</v>
      </c>
      <c r="G595" s="8">
        <f>15.8798 * CHOOSE( CONTROL!$C$15, $D$11, 100%, $F$11)</f>
        <v>15.879799999999999</v>
      </c>
      <c r="H595" s="4">
        <f>16.7661 * CHOOSE(CONTROL!$C$15, $D$11, 100%, $F$11)</f>
        <v>16.766100000000002</v>
      </c>
      <c r="I595" s="8">
        <f>15.7269 * CHOOSE(CONTROL!$C$15, $D$11, 100%, $F$11)</f>
        <v>15.726900000000001</v>
      </c>
      <c r="J595" s="4">
        <f>15.5986 * CHOOSE(CONTROL!$C$15, $D$11, 100%, $F$11)</f>
        <v>15.598599999999999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16.5229 * CHOOSE(CONTROL!$C$15, $D$11, 100%, $F$11)</f>
        <v>16.5229</v>
      </c>
      <c r="C596" s="8">
        <f>16.5275 * CHOOSE(CONTROL!$C$15, $D$11, 100%, $F$11)</f>
        <v>16.5275</v>
      </c>
      <c r="D596" s="8">
        <f>16.5584 * CHOOSE( CONTROL!$C$15, $D$11, 100%, $F$11)</f>
        <v>16.558399999999999</v>
      </c>
      <c r="E596" s="12">
        <f>16.5477 * CHOOSE( CONTROL!$C$15, $D$11, 100%, $F$11)</f>
        <v>16.547699999999999</v>
      </c>
      <c r="F596" s="4">
        <f>17.2377 * CHOOSE(CONTROL!$C$15, $D$11, 100%, $F$11)</f>
        <v>17.2377</v>
      </c>
      <c r="G596" s="8">
        <f>16.123 * CHOOSE( CONTROL!$C$15, $D$11, 100%, $F$11)</f>
        <v>16.123000000000001</v>
      </c>
      <c r="H596" s="4">
        <f>17.0709 * CHOOSE(CONTROL!$C$15, $D$11, 100%, $F$11)</f>
        <v>17.070900000000002</v>
      </c>
      <c r="I596" s="8">
        <f>15.9574 * CHOOSE(CONTROL!$C$15, $D$11, 100%, $F$11)</f>
        <v>15.9574</v>
      </c>
      <c r="J596" s="4">
        <f>15.8357 * CHOOSE(CONTROL!$C$15, $D$11, 100%, $F$11)</f>
        <v>15.835699999999999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16.9671, 16.9637) * CHOOSE(CONTROL!$C$15, $D$11, 100%, $F$11)</f>
        <v>16.967099999999999</v>
      </c>
      <c r="C597" s="8">
        <f>CHOOSE( CONTROL!$C$32, 16.9752, 16.9718) * CHOOSE(CONTROL!$C$15, $D$11, 100%, $F$11)</f>
        <v>16.975200000000001</v>
      </c>
      <c r="D597" s="8">
        <f>CHOOSE( CONTROL!$C$32, 17.0008, 16.9974) * CHOOSE( CONTROL!$C$15, $D$11, 100%, $F$11)</f>
        <v>17.000800000000002</v>
      </c>
      <c r="E597" s="12">
        <f>CHOOSE( CONTROL!$C$32, 16.9903, 16.9869) * CHOOSE( CONTROL!$C$15, $D$11, 100%, $F$11)</f>
        <v>16.990300000000001</v>
      </c>
      <c r="F597" s="4">
        <f>CHOOSE( CONTROL!$C$32, 17.6806, 17.6772) * CHOOSE(CONTROL!$C$15, $D$11, 100%, $F$11)</f>
        <v>17.680599999999998</v>
      </c>
      <c r="G597" s="8">
        <f>CHOOSE( CONTROL!$C$32, 16.5563, 16.553) * CHOOSE( CONTROL!$C$15, $D$11, 100%, $F$11)</f>
        <v>16.5563</v>
      </c>
      <c r="H597" s="4">
        <f>CHOOSE( CONTROL!$C$32, 17.5034, 17.5001) * CHOOSE(CONTROL!$C$15, $D$11, 100%, $F$11)</f>
        <v>17.503399999999999</v>
      </c>
      <c r="I597" s="8">
        <f>CHOOSE( CONTROL!$C$32, 16.383, 16.3797) * CHOOSE(CONTROL!$C$15, $D$11, 100%, $F$11)</f>
        <v>16.382999999999999</v>
      </c>
      <c r="J597" s="4">
        <f>CHOOSE( CONTROL!$C$32, 16.2609, 16.2577) * CHOOSE(CONTROL!$C$15, $D$11, 100%, $F$11)</f>
        <v>16.260899999999999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16.6949, 16.6915) * CHOOSE(CONTROL!$C$15, $D$11, 100%, $F$11)</f>
        <v>16.694900000000001</v>
      </c>
      <c r="C598" s="8">
        <f>CHOOSE( CONTROL!$C$32, 16.703, 16.6996) * CHOOSE(CONTROL!$C$15, $D$11, 100%, $F$11)</f>
        <v>16.702999999999999</v>
      </c>
      <c r="D598" s="8">
        <f>CHOOSE( CONTROL!$C$32, 16.7288, 16.7254) * CHOOSE( CONTROL!$C$15, $D$11, 100%, $F$11)</f>
        <v>16.7288</v>
      </c>
      <c r="E598" s="12">
        <f>CHOOSE( CONTROL!$C$32, 16.7182, 16.7148) * CHOOSE( CONTROL!$C$15, $D$11, 100%, $F$11)</f>
        <v>16.7182</v>
      </c>
      <c r="F598" s="4">
        <f>CHOOSE( CONTROL!$C$32, 17.4083, 17.4049) * CHOOSE(CONTROL!$C$15, $D$11, 100%, $F$11)</f>
        <v>17.408300000000001</v>
      </c>
      <c r="G598" s="8">
        <f>CHOOSE( CONTROL!$C$32, 16.2907, 16.2874) * CHOOSE( CONTROL!$C$15, $D$11, 100%, $F$11)</f>
        <v>16.290700000000001</v>
      </c>
      <c r="H598" s="4">
        <f>CHOOSE( CONTROL!$C$32, 17.2375, 17.2342) * CHOOSE(CONTROL!$C$15, $D$11, 100%, $F$11)</f>
        <v>17.237500000000001</v>
      </c>
      <c r="I598" s="8">
        <f>CHOOSE( CONTROL!$C$32, 16.1224, 16.1192) * CHOOSE(CONTROL!$C$15, $D$11, 100%, $F$11)</f>
        <v>16.122399999999999</v>
      </c>
      <c r="J598" s="4">
        <f>CHOOSE( CONTROL!$C$32, 15.9995, 15.9963) * CHOOSE(CONTROL!$C$15, $D$11, 100%, $F$11)</f>
        <v>15.999499999999999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17.4118, 17.4084) * CHOOSE(CONTROL!$C$15, $D$11, 100%, $F$11)</f>
        <v>17.411799999999999</v>
      </c>
      <c r="C599" s="8">
        <f>CHOOSE( CONTROL!$C$32, 17.4199, 17.4165) * CHOOSE(CONTROL!$C$15, $D$11, 100%, $F$11)</f>
        <v>17.419899999999998</v>
      </c>
      <c r="D599" s="8">
        <f>CHOOSE( CONTROL!$C$32, 17.4459, 17.4425) * CHOOSE( CONTROL!$C$15, $D$11, 100%, $F$11)</f>
        <v>17.445900000000002</v>
      </c>
      <c r="E599" s="12">
        <f>CHOOSE( CONTROL!$C$32, 17.4352, 17.4318) * CHOOSE( CONTROL!$C$15, $D$11, 100%, $F$11)</f>
        <v>17.435199999999998</v>
      </c>
      <c r="F599" s="4">
        <f>CHOOSE( CONTROL!$C$32, 18.1253, 18.1219) * CHOOSE(CONTROL!$C$15, $D$11, 100%, $F$11)</f>
        <v>18.125299999999999</v>
      </c>
      <c r="G599" s="8">
        <f>CHOOSE( CONTROL!$C$32, 16.9913, 16.9879) * CHOOSE( CONTROL!$C$15, $D$11, 100%, $F$11)</f>
        <v>16.991299999999999</v>
      </c>
      <c r="H599" s="4">
        <f>CHOOSE( CONTROL!$C$32, 17.9378, 17.9344) * CHOOSE(CONTROL!$C$15, $D$11, 100%, $F$11)</f>
        <v>17.937799999999999</v>
      </c>
      <c r="I599" s="8">
        <f>CHOOSE( CONTROL!$C$32, 16.8122, 16.8089) * CHOOSE(CONTROL!$C$15, $D$11, 100%, $F$11)</f>
        <v>16.812200000000001</v>
      </c>
      <c r="J599" s="4">
        <f>CHOOSE( CONTROL!$C$32, 16.6879, 16.6846) * CHOOSE(CONTROL!$C$15, $D$11, 100%, $F$11)</f>
        <v>16.687899999999999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16.0704, 16.067) * CHOOSE(CONTROL!$C$15, $D$11, 100%, $F$11)</f>
        <v>16.070399999999999</v>
      </c>
      <c r="C600" s="8">
        <f>CHOOSE( CONTROL!$C$32, 16.0785, 16.0751) * CHOOSE(CONTROL!$C$15, $D$11, 100%, $F$11)</f>
        <v>16.078499999999998</v>
      </c>
      <c r="D600" s="8">
        <f>CHOOSE( CONTROL!$C$32, 16.1046, 16.1012) * CHOOSE( CONTROL!$C$15, $D$11, 100%, $F$11)</f>
        <v>16.104600000000001</v>
      </c>
      <c r="E600" s="12">
        <f>CHOOSE( CONTROL!$C$32, 16.0939, 16.0905) * CHOOSE( CONTROL!$C$15, $D$11, 100%, $F$11)</f>
        <v>16.093900000000001</v>
      </c>
      <c r="F600" s="4">
        <f>CHOOSE( CONTROL!$C$32, 16.7838, 16.7804) * CHOOSE(CONTROL!$C$15, $D$11, 100%, $F$11)</f>
        <v>16.783799999999999</v>
      </c>
      <c r="G600" s="8">
        <f>CHOOSE( CONTROL!$C$32, 15.6812, 15.6779) * CHOOSE( CONTROL!$C$15, $D$11, 100%, $F$11)</f>
        <v>15.6812</v>
      </c>
      <c r="H600" s="4">
        <f>CHOOSE( CONTROL!$C$32, 16.6276, 16.6242) * CHOOSE(CONTROL!$C$15, $D$11, 100%, $F$11)</f>
        <v>16.627600000000001</v>
      </c>
      <c r="I600" s="8">
        <f>CHOOSE( CONTROL!$C$32, 15.5241, 15.5208) * CHOOSE(CONTROL!$C$15, $D$11, 100%, $F$11)</f>
        <v>15.524100000000001</v>
      </c>
      <c r="J600" s="4">
        <f>CHOOSE( CONTROL!$C$32, 15.3999, 15.3967) * CHOOSE(CONTROL!$C$15, $D$11, 100%, $F$11)</f>
        <v>15.399900000000001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15.7345, 15.731) * CHOOSE(CONTROL!$C$15, $D$11, 100%, $F$11)</f>
        <v>15.734500000000001</v>
      </c>
      <c r="C601" s="8">
        <f>CHOOSE( CONTROL!$C$32, 15.7425, 15.7391) * CHOOSE(CONTROL!$C$15, $D$11, 100%, $F$11)</f>
        <v>15.7425</v>
      </c>
      <c r="D601" s="8">
        <f>CHOOSE( CONTROL!$C$32, 15.7686, 15.7652) * CHOOSE( CONTROL!$C$15, $D$11, 100%, $F$11)</f>
        <v>15.768599999999999</v>
      </c>
      <c r="E601" s="12">
        <f>CHOOSE( CONTROL!$C$32, 15.7579, 15.7545) * CHOOSE( CONTROL!$C$15, $D$11, 100%, $F$11)</f>
        <v>15.757899999999999</v>
      </c>
      <c r="F601" s="4">
        <f>CHOOSE( CONTROL!$C$32, 16.4479, 16.4445) * CHOOSE(CONTROL!$C$15, $D$11, 100%, $F$11)</f>
        <v>16.447900000000001</v>
      </c>
      <c r="G601" s="8">
        <f>CHOOSE( CONTROL!$C$32, 15.353, 15.3497) * CHOOSE( CONTROL!$C$15, $D$11, 100%, $F$11)</f>
        <v>15.353</v>
      </c>
      <c r="H601" s="4">
        <f>CHOOSE( CONTROL!$C$32, 16.2995, 16.2962) * CHOOSE(CONTROL!$C$15, $D$11, 100%, $F$11)</f>
        <v>16.299499999999998</v>
      </c>
      <c r="I601" s="8">
        <f>CHOOSE( CONTROL!$C$32, 15.2012, 15.198) * CHOOSE(CONTROL!$C$15, $D$11, 100%, $F$11)</f>
        <v>15.2012</v>
      </c>
      <c r="J601" s="4">
        <f>CHOOSE( CONTROL!$C$32, 15.0774, 15.0742) * CHOOSE(CONTROL!$C$15, $D$11, 100%, $F$11)</f>
        <v>15.077400000000001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16.4268 * CHOOSE(CONTROL!$C$15, $D$11, 100%, $F$11)</f>
        <v>16.4268</v>
      </c>
      <c r="C602" s="8">
        <f>16.4322 * CHOOSE(CONTROL!$C$15, $D$11, 100%, $F$11)</f>
        <v>16.432200000000002</v>
      </c>
      <c r="D602" s="8">
        <f>16.4633 * CHOOSE( CONTROL!$C$15, $D$11, 100%, $F$11)</f>
        <v>16.4633</v>
      </c>
      <c r="E602" s="12">
        <f>16.4525 * CHOOSE( CONTROL!$C$15, $D$11, 100%, $F$11)</f>
        <v>16.452500000000001</v>
      </c>
      <c r="F602" s="4">
        <f>17.142 * CHOOSE(CONTROL!$C$15, $D$11, 100%, $F$11)</f>
        <v>17.141999999999999</v>
      </c>
      <c r="G602" s="8">
        <f>16.0305 * CHOOSE( CONTROL!$C$15, $D$11, 100%, $F$11)</f>
        <v>16.0305</v>
      </c>
      <c r="H602" s="4">
        <f>16.9774 * CHOOSE(CONTROL!$C$15, $D$11, 100%, $F$11)</f>
        <v>16.977399999999999</v>
      </c>
      <c r="I602" s="8">
        <f>15.8688 * CHOOSE(CONTROL!$C$15, $D$11, 100%, $F$11)</f>
        <v>15.8688</v>
      </c>
      <c r="J602" s="4">
        <f>15.7438 * CHOOSE(CONTROL!$C$15, $D$11, 100%, $F$11)</f>
        <v>15.7438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17.7138 * CHOOSE(CONTROL!$C$15, $D$11, 100%, $F$11)</f>
        <v>17.713799999999999</v>
      </c>
      <c r="C603" s="8">
        <f>17.719 * CHOOSE(CONTROL!$C$15, $D$11, 100%, $F$11)</f>
        <v>17.719000000000001</v>
      </c>
      <c r="D603" s="8">
        <f>17.7118 * CHOOSE( CONTROL!$C$15, $D$11, 100%, $F$11)</f>
        <v>17.7118</v>
      </c>
      <c r="E603" s="12">
        <f>17.7139 * CHOOSE( CONTROL!$C$15, $D$11, 100%, $F$11)</f>
        <v>17.713899999999999</v>
      </c>
      <c r="F603" s="4">
        <f>18.3643 * CHOOSE(CONTROL!$C$15, $D$11, 100%, $F$11)</f>
        <v>18.3643</v>
      </c>
      <c r="G603" s="8">
        <f>17.3009 * CHOOSE( CONTROL!$C$15, $D$11, 100%, $F$11)</f>
        <v>17.300899999999999</v>
      </c>
      <c r="H603" s="4">
        <f>18.1712 * CHOOSE(CONTROL!$C$15, $D$11, 100%, $F$11)</f>
        <v>18.171199999999999</v>
      </c>
      <c r="I603" s="8">
        <f>17.1489 * CHOOSE(CONTROL!$C$15, $D$11, 100%, $F$11)</f>
        <v>17.148900000000001</v>
      </c>
      <c r="J603" s="4">
        <f>16.9798 * CHOOSE(CONTROL!$C$15, $D$11, 100%, $F$11)</f>
        <v>16.979800000000001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17.6816 * CHOOSE(CONTROL!$C$15, $D$11, 100%, $F$11)</f>
        <v>17.6816</v>
      </c>
      <c r="C604" s="8">
        <f>17.6868 * CHOOSE(CONTROL!$C$15, $D$11, 100%, $F$11)</f>
        <v>17.686800000000002</v>
      </c>
      <c r="D604" s="8">
        <f>17.6811 * CHOOSE( CONTROL!$C$15, $D$11, 100%, $F$11)</f>
        <v>17.681100000000001</v>
      </c>
      <c r="E604" s="12">
        <f>17.6826 * CHOOSE( CONTROL!$C$15, $D$11, 100%, $F$11)</f>
        <v>17.682600000000001</v>
      </c>
      <c r="F604" s="4">
        <f>18.3321 * CHOOSE(CONTROL!$C$15, $D$11, 100%, $F$11)</f>
        <v>18.332100000000001</v>
      </c>
      <c r="G604" s="8">
        <f>17.2706 * CHOOSE( CONTROL!$C$15, $D$11, 100%, $F$11)</f>
        <v>17.270600000000002</v>
      </c>
      <c r="H604" s="4">
        <f>18.1398 * CHOOSE(CONTROL!$C$15, $D$11, 100%, $F$11)</f>
        <v>18.139800000000001</v>
      </c>
      <c r="I604" s="8">
        <f>17.1226 * CHOOSE(CONTROL!$C$15, $D$11, 100%, $F$11)</f>
        <v>17.122599999999998</v>
      </c>
      <c r="J604" s="4">
        <f>16.949 * CHOOSE(CONTROL!$C$15, $D$11, 100%, $F$11)</f>
        <v>16.949000000000002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18.2023 * CHOOSE(CONTROL!$C$15, $D$11, 100%, $F$11)</f>
        <v>18.202300000000001</v>
      </c>
      <c r="C605" s="8">
        <f>18.2075 * CHOOSE(CONTROL!$C$15, $D$11, 100%, $F$11)</f>
        <v>18.2075</v>
      </c>
      <c r="D605" s="8">
        <f>18.1876 * CHOOSE( CONTROL!$C$15, $D$11, 100%, $F$11)</f>
        <v>18.1876</v>
      </c>
      <c r="E605" s="12">
        <f>18.1943 * CHOOSE( CONTROL!$C$15, $D$11, 100%, $F$11)</f>
        <v>18.194299999999998</v>
      </c>
      <c r="F605" s="4">
        <f>18.8528 * CHOOSE(CONTROL!$C$15, $D$11, 100%, $F$11)</f>
        <v>18.852799999999998</v>
      </c>
      <c r="G605" s="8">
        <f>17.7623 * CHOOSE( CONTROL!$C$15, $D$11, 100%, $F$11)</f>
        <v>17.7623</v>
      </c>
      <c r="H605" s="4">
        <f>18.6484 * CHOOSE(CONTROL!$C$15, $D$11, 100%, $F$11)</f>
        <v>18.648399999999999</v>
      </c>
      <c r="I605" s="8">
        <f>17.5793 * CHOOSE(CONTROL!$C$15, $D$11, 100%, $F$11)</f>
        <v>17.5793</v>
      </c>
      <c r="J605" s="4">
        <f>17.4489 * CHOOSE(CONTROL!$C$15, $D$11, 100%, $F$11)</f>
        <v>17.448899999999998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17.0274 * CHOOSE(CONTROL!$C$15, $D$11, 100%, $F$11)</f>
        <v>17.0274</v>
      </c>
      <c r="C606" s="8">
        <f>17.0326 * CHOOSE(CONTROL!$C$15, $D$11, 100%, $F$11)</f>
        <v>17.032599999999999</v>
      </c>
      <c r="D606" s="8">
        <f>17.0127 * CHOOSE( CONTROL!$C$15, $D$11, 100%, $F$11)</f>
        <v>17.012699999999999</v>
      </c>
      <c r="E606" s="12">
        <f>17.0194 * CHOOSE( CONTROL!$C$15, $D$11, 100%, $F$11)</f>
        <v>17.019400000000001</v>
      </c>
      <c r="F606" s="4">
        <f>17.6779 * CHOOSE(CONTROL!$C$15, $D$11, 100%, $F$11)</f>
        <v>17.677900000000001</v>
      </c>
      <c r="G606" s="8">
        <f>16.6148 * CHOOSE( CONTROL!$C$15, $D$11, 100%, $F$11)</f>
        <v>16.614799999999999</v>
      </c>
      <c r="H606" s="4">
        <f>17.5008 * CHOOSE(CONTROL!$C$15, $D$11, 100%, $F$11)</f>
        <v>17.500800000000002</v>
      </c>
      <c r="I606" s="8">
        <f>16.4506 * CHOOSE(CONTROL!$C$15, $D$11, 100%, $F$11)</f>
        <v>16.450600000000001</v>
      </c>
      <c r="J606" s="4">
        <f>16.3209 * CHOOSE(CONTROL!$C$15, $D$11, 100%, $F$11)</f>
        <v>16.320900000000002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16.6656 * CHOOSE(CONTROL!$C$15, $D$11, 100%, $F$11)</f>
        <v>16.665600000000001</v>
      </c>
      <c r="C607" s="8">
        <f>16.6707 * CHOOSE(CONTROL!$C$15, $D$11, 100%, $F$11)</f>
        <v>16.6707</v>
      </c>
      <c r="D607" s="8">
        <f>16.6505 * CHOOSE( CONTROL!$C$15, $D$11, 100%, $F$11)</f>
        <v>16.650500000000001</v>
      </c>
      <c r="E607" s="12">
        <f>16.6573 * CHOOSE( CONTROL!$C$15, $D$11, 100%, $F$11)</f>
        <v>16.657299999999999</v>
      </c>
      <c r="F607" s="4">
        <f>17.316 * CHOOSE(CONTROL!$C$15, $D$11, 100%, $F$11)</f>
        <v>17.315999999999999</v>
      </c>
      <c r="G607" s="8">
        <f>16.2611 * CHOOSE( CONTROL!$C$15, $D$11, 100%, $F$11)</f>
        <v>16.261099999999999</v>
      </c>
      <c r="H607" s="4">
        <f>17.1474 * CHOOSE(CONTROL!$C$15, $D$11, 100%, $F$11)</f>
        <v>17.147400000000001</v>
      </c>
      <c r="I607" s="8">
        <f>16.1018 * CHOOSE(CONTROL!$C$15, $D$11, 100%, $F$11)</f>
        <v>16.101800000000001</v>
      </c>
      <c r="J607" s="4">
        <f>15.9734 * CHOOSE(CONTROL!$C$15, $D$11, 100%, $F$11)</f>
        <v>15.9734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16.9192 * CHOOSE(CONTROL!$C$15, $D$11, 100%, $F$11)</f>
        <v>16.9192</v>
      </c>
      <c r="C608" s="8">
        <f>16.9238 * CHOOSE(CONTROL!$C$15, $D$11, 100%, $F$11)</f>
        <v>16.9238</v>
      </c>
      <c r="D608" s="8">
        <f>16.9547 * CHOOSE( CONTROL!$C$15, $D$11, 100%, $F$11)</f>
        <v>16.954699999999999</v>
      </c>
      <c r="E608" s="12">
        <f>16.944 * CHOOSE( CONTROL!$C$15, $D$11, 100%, $F$11)</f>
        <v>16.943999999999999</v>
      </c>
      <c r="F608" s="4">
        <f>17.634 * CHOOSE(CONTROL!$C$15, $D$11, 100%, $F$11)</f>
        <v>17.634</v>
      </c>
      <c r="G608" s="8">
        <f>16.51 * CHOOSE( CONTROL!$C$15, $D$11, 100%, $F$11)</f>
        <v>16.510000000000002</v>
      </c>
      <c r="H608" s="4">
        <f>17.4579 * CHOOSE(CONTROL!$C$15, $D$11, 100%, $F$11)</f>
        <v>17.457899999999999</v>
      </c>
      <c r="I608" s="8">
        <f>16.3381 * CHOOSE(CONTROL!$C$15, $D$11, 100%, $F$11)</f>
        <v>16.338100000000001</v>
      </c>
      <c r="J608" s="4">
        <f>16.2162 * CHOOSE(CONTROL!$C$15, $D$11, 100%, $F$11)</f>
        <v>16.216200000000001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17.374, 17.3706) * CHOOSE(CONTROL!$C$15, $D$11, 100%, $F$11)</f>
        <v>17.373999999999999</v>
      </c>
      <c r="C609" s="8">
        <f>CHOOSE( CONTROL!$C$32, 17.3821, 17.3787) * CHOOSE(CONTROL!$C$15, $D$11, 100%, $F$11)</f>
        <v>17.382100000000001</v>
      </c>
      <c r="D609" s="8">
        <f>CHOOSE( CONTROL!$C$32, 17.4077, 17.4043) * CHOOSE( CONTROL!$C$15, $D$11, 100%, $F$11)</f>
        <v>17.407699999999998</v>
      </c>
      <c r="E609" s="12">
        <f>CHOOSE( CONTROL!$C$32, 17.3972, 17.3938) * CHOOSE( CONTROL!$C$15, $D$11, 100%, $F$11)</f>
        <v>17.397200000000002</v>
      </c>
      <c r="F609" s="4">
        <f>CHOOSE( CONTROL!$C$32, 18.0874, 18.084) * CHOOSE(CONTROL!$C$15, $D$11, 100%, $F$11)</f>
        <v>18.087399999999999</v>
      </c>
      <c r="G609" s="8">
        <f>CHOOSE( CONTROL!$C$32, 16.9537, 16.9503) * CHOOSE( CONTROL!$C$15, $D$11, 100%, $F$11)</f>
        <v>16.953700000000001</v>
      </c>
      <c r="H609" s="4">
        <f>CHOOSE( CONTROL!$C$32, 17.9008, 17.8975) * CHOOSE(CONTROL!$C$15, $D$11, 100%, $F$11)</f>
        <v>17.9008</v>
      </c>
      <c r="I609" s="8">
        <f>CHOOSE( CONTROL!$C$32, 16.7738, 16.7706) * CHOOSE(CONTROL!$C$15, $D$11, 100%, $F$11)</f>
        <v>16.773800000000001</v>
      </c>
      <c r="J609" s="4">
        <f>CHOOSE( CONTROL!$C$32, 16.6516, 16.6483) * CHOOSE(CONTROL!$C$15, $D$11, 100%, $F$11)</f>
        <v>16.651599999999998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17.0952, 17.0918) * CHOOSE(CONTROL!$C$15, $D$11, 100%, $F$11)</f>
        <v>17.095199999999998</v>
      </c>
      <c r="C610" s="8">
        <f>CHOOSE( CONTROL!$C$32, 17.1033, 17.0999) * CHOOSE(CONTROL!$C$15, $D$11, 100%, $F$11)</f>
        <v>17.103300000000001</v>
      </c>
      <c r="D610" s="8">
        <f>CHOOSE( CONTROL!$C$32, 17.1291, 17.1257) * CHOOSE( CONTROL!$C$15, $D$11, 100%, $F$11)</f>
        <v>17.129100000000001</v>
      </c>
      <c r="E610" s="12">
        <f>CHOOSE( CONTROL!$C$32, 17.1185, 17.1151) * CHOOSE( CONTROL!$C$15, $D$11, 100%, $F$11)</f>
        <v>17.118500000000001</v>
      </c>
      <c r="F610" s="4">
        <f>CHOOSE( CONTROL!$C$32, 17.8086, 17.8052) * CHOOSE(CONTROL!$C$15, $D$11, 100%, $F$11)</f>
        <v>17.808599999999998</v>
      </c>
      <c r="G610" s="8">
        <f>CHOOSE( CONTROL!$C$32, 16.6817, 16.6784) * CHOOSE( CONTROL!$C$15, $D$11, 100%, $F$11)</f>
        <v>16.681699999999999</v>
      </c>
      <c r="H610" s="4">
        <f>CHOOSE( CONTROL!$C$32, 17.6285, 17.6252) * CHOOSE(CONTROL!$C$15, $D$11, 100%, $F$11)</f>
        <v>17.628499999999999</v>
      </c>
      <c r="I610" s="8">
        <f>CHOOSE( CONTROL!$C$32, 16.507, 16.5037) * CHOOSE(CONTROL!$C$15, $D$11, 100%, $F$11)</f>
        <v>16.507000000000001</v>
      </c>
      <c r="J610" s="4">
        <f>CHOOSE( CONTROL!$C$32, 16.3839, 16.3806) * CHOOSE(CONTROL!$C$15, $D$11, 100%, $F$11)</f>
        <v>16.383900000000001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17.8294, 17.826) * CHOOSE(CONTROL!$C$15, $D$11, 100%, $F$11)</f>
        <v>17.8294</v>
      </c>
      <c r="C611" s="8">
        <f>CHOOSE( CONTROL!$C$32, 17.8375, 17.8341) * CHOOSE(CONTROL!$C$15, $D$11, 100%, $F$11)</f>
        <v>17.837499999999999</v>
      </c>
      <c r="D611" s="8">
        <f>CHOOSE( CONTROL!$C$32, 17.8635, 17.8601) * CHOOSE( CONTROL!$C$15, $D$11, 100%, $F$11)</f>
        <v>17.863499999999998</v>
      </c>
      <c r="E611" s="12">
        <f>CHOOSE( CONTROL!$C$32, 17.8528, 17.8494) * CHOOSE( CONTROL!$C$15, $D$11, 100%, $F$11)</f>
        <v>17.852799999999998</v>
      </c>
      <c r="F611" s="4">
        <f>CHOOSE( CONTROL!$C$32, 18.5428, 18.5394) * CHOOSE(CONTROL!$C$15, $D$11, 100%, $F$11)</f>
        <v>18.5428</v>
      </c>
      <c r="G611" s="8">
        <f>CHOOSE( CONTROL!$C$32, 17.3991, 17.3957) * CHOOSE( CONTROL!$C$15, $D$11, 100%, $F$11)</f>
        <v>17.399100000000001</v>
      </c>
      <c r="H611" s="4">
        <f>CHOOSE( CONTROL!$C$32, 18.3456, 18.3423) * CHOOSE(CONTROL!$C$15, $D$11, 100%, $F$11)</f>
        <v>18.345600000000001</v>
      </c>
      <c r="I611" s="8">
        <f>CHOOSE( CONTROL!$C$32, 17.2133, 17.21) * CHOOSE(CONTROL!$C$15, $D$11, 100%, $F$11)</f>
        <v>17.2133</v>
      </c>
      <c r="J611" s="4">
        <f>CHOOSE( CONTROL!$C$32, 17.0888, 17.0855) * CHOOSE(CONTROL!$C$15, $D$11, 100%, $F$11)</f>
        <v>17.088799999999999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16.4557, 16.4523) * CHOOSE(CONTROL!$C$15, $D$11, 100%, $F$11)</f>
        <v>16.4557</v>
      </c>
      <c r="C612" s="8">
        <f>CHOOSE( CONTROL!$C$32, 16.4638, 16.4604) * CHOOSE(CONTROL!$C$15, $D$11, 100%, $F$11)</f>
        <v>16.463799999999999</v>
      </c>
      <c r="D612" s="8">
        <f>CHOOSE( CONTROL!$C$32, 16.4899, 16.4865) * CHOOSE( CONTROL!$C$15, $D$11, 100%, $F$11)</f>
        <v>16.489899999999999</v>
      </c>
      <c r="E612" s="12">
        <f>CHOOSE( CONTROL!$C$32, 16.4792, 16.4758) * CHOOSE( CONTROL!$C$15, $D$11, 100%, $F$11)</f>
        <v>16.479199999999999</v>
      </c>
      <c r="F612" s="4">
        <f>CHOOSE( CONTROL!$C$32, 17.1691, 17.1657) * CHOOSE(CONTROL!$C$15, $D$11, 100%, $F$11)</f>
        <v>17.1691</v>
      </c>
      <c r="G612" s="8">
        <f>CHOOSE( CONTROL!$C$32, 16.0575, 16.0542) * CHOOSE( CONTROL!$C$15, $D$11, 100%, $F$11)</f>
        <v>16.057500000000001</v>
      </c>
      <c r="H612" s="4">
        <f>CHOOSE( CONTROL!$C$32, 17.0039, 17.0006) * CHOOSE(CONTROL!$C$15, $D$11, 100%, $F$11)</f>
        <v>17.003900000000002</v>
      </c>
      <c r="I612" s="8">
        <f>CHOOSE( CONTROL!$C$32, 15.8942, 15.8909) * CHOOSE(CONTROL!$C$15, $D$11, 100%, $F$11)</f>
        <v>15.8942</v>
      </c>
      <c r="J612" s="4">
        <f>CHOOSE( CONTROL!$C$32, 15.7699, 15.7666) * CHOOSE(CONTROL!$C$15, $D$11, 100%, $F$11)</f>
        <v>15.7699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16.1117, 16.1083) * CHOOSE(CONTROL!$C$15, $D$11, 100%, $F$11)</f>
        <v>16.111699999999999</v>
      </c>
      <c r="C613" s="8">
        <f>CHOOSE( CONTROL!$C$32, 16.1198, 16.1164) * CHOOSE(CONTROL!$C$15, $D$11, 100%, $F$11)</f>
        <v>16.119800000000001</v>
      </c>
      <c r="D613" s="8">
        <f>CHOOSE( CONTROL!$C$32, 16.1459, 16.1425) * CHOOSE( CONTROL!$C$15, $D$11, 100%, $F$11)</f>
        <v>16.145900000000001</v>
      </c>
      <c r="E613" s="12">
        <f>CHOOSE( CONTROL!$C$32, 16.1352, 16.1318) * CHOOSE( CONTROL!$C$15, $D$11, 100%, $F$11)</f>
        <v>16.135200000000001</v>
      </c>
      <c r="F613" s="4">
        <f>CHOOSE( CONTROL!$C$32, 16.8251, 16.8217) * CHOOSE(CONTROL!$C$15, $D$11, 100%, $F$11)</f>
        <v>16.825099999999999</v>
      </c>
      <c r="G613" s="8">
        <f>CHOOSE( CONTROL!$C$32, 15.7215, 15.7182) * CHOOSE( CONTROL!$C$15, $D$11, 100%, $F$11)</f>
        <v>15.721500000000001</v>
      </c>
      <c r="H613" s="4">
        <f>CHOOSE( CONTROL!$C$32, 16.6679, 16.6646) * CHOOSE(CONTROL!$C$15, $D$11, 100%, $F$11)</f>
        <v>16.667899999999999</v>
      </c>
      <c r="I613" s="8">
        <f>CHOOSE( CONTROL!$C$32, 15.5636, 15.5603) * CHOOSE(CONTROL!$C$15, $D$11, 100%, $F$11)</f>
        <v>15.563599999999999</v>
      </c>
      <c r="J613" s="4">
        <f>CHOOSE( CONTROL!$C$32, 15.4396, 15.4364) * CHOOSE(CONTROL!$C$15, $D$11, 100%, $F$11)</f>
        <v>15.4396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16.8208 * CHOOSE(CONTROL!$C$15, $D$11, 100%, $F$11)</f>
        <v>16.820799999999998</v>
      </c>
      <c r="C614" s="8">
        <f>16.8262 * CHOOSE(CONTROL!$C$15, $D$11, 100%, $F$11)</f>
        <v>16.8262</v>
      </c>
      <c r="D614" s="8">
        <f>16.8573 * CHOOSE( CONTROL!$C$15, $D$11, 100%, $F$11)</f>
        <v>16.857299999999999</v>
      </c>
      <c r="E614" s="12">
        <f>16.8465 * CHOOSE( CONTROL!$C$15, $D$11, 100%, $F$11)</f>
        <v>16.846499999999999</v>
      </c>
      <c r="F614" s="4">
        <f>17.536 * CHOOSE(CONTROL!$C$15, $D$11, 100%, $F$11)</f>
        <v>17.536000000000001</v>
      </c>
      <c r="G614" s="8">
        <f>16.4153 * CHOOSE( CONTROL!$C$15, $D$11, 100%, $F$11)</f>
        <v>16.415299999999998</v>
      </c>
      <c r="H614" s="4">
        <f>17.3622 * CHOOSE(CONTROL!$C$15, $D$11, 100%, $F$11)</f>
        <v>17.362200000000001</v>
      </c>
      <c r="I614" s="8">
        <f>16.2473 * CHOOSE(CONTROL!$C$15, $D$11, 100%, $F$11)</f>
        <v>16.247299999999999</v>
      </c>
      <c r="J614" s="4">
        <f>16.1221 * CHOOSE(CONTROL!$C$15, $D$11, 100%, $F$11)</f>
        <v>16.1221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18.1387 * CHOOSE(CONTROL!$C$15, $D$11, 100%, $F$11)</f>
        <v>18.1387</v>
      </c>
      <c r="C615" s="8">
        <f>18.1439 * CHOOSE(CONTROL!$C$15, $D$11, 100%, $F$11)</f>
        <v>18.143899999999999</v>
      </c>
      <c r="D615" s="8">
        <f>18.1368 * CHOOSE( CONTROL!$C$15, $D$11, 100%, $F$11)</f>
        <v>18.136800000000001</v>
      </c>
      <c r="E615" s="12">
        <f>18.1388 * CHOOSE( CONTROL!$C$15, $D$11, 100%, $F$11)</f>
        <v>18.1388</v>
      </c>
      <c r="F615" s="4">
        <f>18.7892 * CHOOSE(CONTROL!$C$15, $D$11, 100%, $F$11)</f>
        <v>18.789200000000001</v>
      </c>
      <c r="G615" s="8">
        <f>17.716 * CHOOSE( CONTROL!$C$15, $D$11, 100%, $F$11)</f>
        <v>17.716000000000001</v>
      </c>
      <c r="H615" s="4">
        <f>18.5862 * CHOOSE(CONTROL!$C$15, $D$11, 100%, $F$11)</f>
        <v>18.586200000000002</v>
      </c>
      <c r="I615" s="8">
        <f>17.5571 * CHOOSE(CONTROL!$C$15, $D$11, 100%, $F$11)</f>
        <v>17.557099999999998</v>
      </c>
      <c r="J615" s="4">
        <f>17.3878 * CHOOSE(CONTROL!$C$15, $D$11, 100%, $F$11)</f>
        <v>17.387799999999999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18.1058 * CHOOSE(CONTROL!$C$15, $D$11, 100%, $F$11)</f>
        <v>18.105799999999999</v>
      </c>
      <c r="C616" s="8">
        <f>18.111 * CHOOSE(CONTROL!$C$15, $D$11, 100%, $F$11)</f>
        <v>18.111000000000001</v>
      </c>
      <c r="D616" s="8">
        <f>18.1053 * CHOOSE( CONTROL!$C$15, $D$11, 100%, $F$11)</f>
        <v>18.1053</v>
      </c>
      <c r="E616" s="12">
        <f>18.1068 * CHOOSE( CONTROL!$C$15, $D$11, 100%, $F$11)</f>
        <v>18.1068</v>
      </c>
      <c r="F616" s="4">
        <f>18.7563 * CHOOSE(CONTROL!$C$15, $D$11, 100%, $F$11)</f>
        <v>18.7563</v>
      </c>
      <c r="G616" s="8">
        <f>17.6849 * CHOOSE( CONTROL!$C$15, $D$11, 100%, $F$11)</f>
        <v>17.684899999999999</v>
      </c>
      <c r="H616" s="4">
        <f>18.5541 * CHOOSE(CONTROL!$C$15, $D$11, 100%, $F$11)</f>
        <v>18.554099999999998</v>
      </c>
      <c r="I616" s="8">
        <f>17.53 * CHOOSE(CONTROL!$C$15, $D$11, 100%, $F$11)</f>
        <v>17.53</v>
      </c>
      <c r="J616" s="4">
        <f>17.3562 * CHOOSE(CONTROL!$C$15, $D$11, 100%, $F$11)</f>
        <v>17.356200000000001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18.639 * CHOOSE(CONTROL!$C$15, $D$11, 100%, $F$11)</f>
        <v>18.638999999999999</v>
      </c>
      <c r="C617" s="8">
        <f>18.6442 * CHOOSE(CONTROL!$C$15, $D$11, 100%, $F$11)</f>
        <v>18.644200000000001</v>
      </c>
      <c r="D617" s="8">
        <f>18.6243 * CHOOSE( CONTROL!$C$15, $D$11, 100%, $F$11)</f>
        <v>18.624300000000002</v>
      </c>
      <c r="E617" s="12">
        <f>18.631 * CHOOSE( CONTROL!$C$15, $D$11, 100%, $F$11)</f>
        <v>18.631</v>
      </c>
      <c r="F617" s="4">
        <f>19.2895 * CHOOSE(CONTROL!$C$15, $D$11, 100%, $F$11)</f>
        <v>19.2895</v>
      </c>
      <c r="G617" s="8">
        <f>18.1888 * CHOOSE( CONTROL!$C$15, $D$11, 100%, $F$11)</f>
        <v>18.188800000000001</v>
      </c>
      <c r="H617" s="4">
        <f>19.0749 * CHOOSE(CONTROL!$C$15, $D$11, 100%, $F$11)</f>
        <v>19.0749</v>
      </c>
      <c r="I617" s="8">
        <f>17.9987 * CHOOSE(CONTROL!$C$15, $D$11, 100%, $F$11)</f>
        <v>17.998699999999999</v>
      </c>
      <c r="J617" s="4">
        <f>17.8681 * CHOOSE(CONTROL!$C$15, $D$11, 100%, $F$11)</f>
        <v>17.868099999999998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17.4359 * CHOOSE(CONTROL!$C$15, $D$11, 100%, $F$11)</f>
        <v>17.4359</v>
      </c>
      <c r="C618" s="8">
        <f>17.4411 * CHOOSE(CONTROL!$C$15, $D$11, 100%, $F$11)</f>
        <v>17.441099999999999</v>
      </c>
      <c r="D618" s="8">
        <f>17.4211 * CHOOSE( CONTROL!$C$15, $D$11, 100%, $F$11)</f>
        <v>17.421099999999999</v>
      </c>
      <c r="E618" s="12">
        <f>17.4279 * CHOOSE( CONTROL!$C$15, $D$11, 100%, $F$11)</f>
        <v>17.427900000000001</v>
      </c>
      <c r="F618" s="4">
        <f>18.0863 * CHOOSE(CONTROL!$C$15, $D$11, 100%, $F$11)</f>
        <v>18.086300000000001</v>
      </c>
      <c r="G618" s="8">
        <f>17.0137 * CHOOSE( CONTROL!$C$15, $D$11, 100%, $F$11)</f>
        <v>17.0137</v>
      </c>
      <c r="H618" s="4">
        <f>17.8998 * CHOOSE(CONTROL!$C$15, $D$11, 100%, $F$11)</f>
        <v>17.899799999999999</v>
      </c>
      <c r="I618" s="8">
        <f>16.8429 * CHOOSE(CONTROL!$C$15, $D$11, 100%, $F$11)</f>
        <v>16.8429</v>
      </c>
      <c r="J618" s="4">
        <f>16.713 * CHOOSE(CONTROL!$C$15, $D$11, 100%, $F$11)</f>
        <v>16.713000000000001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17.0653 * CHOOSE(CONTROL!$C$15, $D$11, 100%, $F$11)</f>
        <v>17.065300000000001</v>
      </c>
      <c r="C619" s="8">
        <f>17.0705 * CHOOSE(CONTROL!$C$15, $D$11, 100%, $F$11)</f>
        <v>17.070499999999999</v>
      </c>
      <c r="D619" s="8">
        <f>17.0502 * CHOOSE( CONTROL!$C$15, $D$11, 100%, $F$11)</f>
        <v>17.0502</v>
      </c>
      <c r="E619" s="12">
        <f>17.0571 * CHOOSE( CONTROL!$C$15, $D$11, 100%, $F$11)</f>
        <v>17.057099999999998</v>
      </c>
      <c r="F619" s="4">
        <f>17.7158 * CHOOSE(CONTROL!$C$15, $D$11, 100%, $F$11)</f>
        <v>17.715800000000002</v>
      </c>
      <c r="G619" s="8">
        <f>16.6515 * CHOOSE( CONTROL!$C$15, $D$11, 100%, $F$11)</f>
        <v>16.651499999999999</v>
      </c>
      <c r="H619" s="4">
        <f>17.5378 * CHOOSE(CONTROL!$C$15, $D$11, 100%, $F$11)</f>
        <v>17.537800000000001</v>
      </c>
      <c r="I619" s="8">
        <f>16.4858 * CHOOSE(CONTROL!$C$15, $D$11, 100%, $F$11)</f>
        <v>16.485800000000001</v>
      </c>
      <c r="J619" s="4">
        <f>16.3572 * CHOOSE(CONTROL!$C$15, $D$11, 100%, $F$11)</f>
        <v>16.357199999999999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17.325 * CHOOSE(CONTROL!$C$15, $D$11, 100%, $F$11)</f>
        <v>17.324999999999999</v>
      </c>
      <c r="C620" s="8">
        <f>17.3296 * CHOOSE(CONTROL!$C$15, $D$11, 100%, $F$11)</f>
        <v>17.329599999999999</v>
      </c>
      <c r="D620" s="8">
        <f>17.3605 * CHOOSE( CONTROL!$C$15, $D$11, 100%, $F$11)</f>
        <v>17.360499999999998</v>
      </c>
      <c r="E620" s="12">
        <f>17.3498 * CHOOSE( CONTROL!$C$15, $D$11, 100%, $F$11)</f>
        <v>17.349799999999998</v>
      </c>
      <c r="F620" s="4">
        <f>18.0398 * CHOOSE(CONTROL!$C$15, $D$11, 100%, $F$11)</f>
        <v>18.0398</v>
      </c>
      <c r="G620" s="8">
        <f>16.9064 * CHOOSE( CONTROL!$C$15, $D$11, 100%, $F$11)</f>
        <v>16.906400000000001</v>
      </c>
      <c r="H620" s="4">
        <f>17.8543 * CHOOSE(CONTROL!$C$15, $D$11, 100%, $F$11)</f>
        <v>17.854299999999999</v>
      </c>
      <c r="I620" s="8">
        <f>16.7279 * CHOOSE(CONTROL!$C$15, $D$11, 100%, $F$11)</f>
        <v>16.727900000000002</v>
      </c>
      <c r="J620" s="4">
        <f>16.6058 * CHOOSE(CONTROL!$C$15, $D$11, 100%, $F$11)</f>
        <v>16.605799999999999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17.7906, 17.7872) * CHOOSE(CONTROL!$C$15, $D$11, 100%, $F$11)</f>
        <v>17.790600000000001</v>
      </c>
      <c r="C621" s="8">
        <f>CHOOSE( CONTROL!$C$32, 17.7987, 17.7953) * CHOOSE(CONTROL!$C$15, $D$11, 100%, $F$11)</f>
        <v>17.7987</v>
      </c>
      <c r="D621" s="8">
        <f>CHOOSE( CONTROL!$C$32, 17.8243, 17.8209) * CHOOSE( CONTROL!$C$15, $D$11, 100%, $F$11)</f>
        <v>17.824300000000001</v>
      </c>
      <c r="E621" s="12">
        <f>CHOOSE( CONTROL!$C$32, 17.8138, 17.8104) * CHOOSE( CONTROL!$C$15, $D$11, 100%, $F$11)</f>
        <v>17.813800000000001</v>
      </c>
      <c r="F621" s="4">
        <f>CHOOSE( CONTROL!$C$32, 18.5041, 18.5007) * CHOOSE(CONTROL!$C$15, $D$11, 100%, $F$11)</f>
        <v>18.504100000000001</v>
      </c>
      <c r="G621" s="8">
        <f>CHOOSE( CONTROL!$C$32, 17.3606, 17.3573) * CHOOSE( CONTROL!$C$15, $D$11, 100%, $F$11)</f>
        <v>17.360600000000002</v>
      </c>
      <c r="H621" s="4">
        <f>CHOOSE( CONTROL!$C$32, 18.3078, 18.3044) * CHOOSE(CONTROL!$C$15, $D$11, 100%, $F$11)</f>
        <v>18.3078</v>
      </c>
      <c r="I621" s="8">
        <f>CHOOSE( CONTROL!$C$32, 17.174, 17.1708) * CHOOSE(CONTROL!$C$15, $D$11, 100%, $F$11)</f>
        <v>17.173999999999999</v>
      </c>
      <c r="J621" s="4">
        <f>CHOOSE( CONTROL!$C$32, 17.0516, 17.0483) * CHOOSE(CONTROL!$C$15, $D$11, 100%, $F$11)</f>
        <v>17.051600000000001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17.5052, 17.5018) * CHOOSE(CONTROL!$C$15, $D$11, 100%, $F$11)</f>
        <v>17.505199999999999</v>
      </c>
      <c r="C622" s="8">
        <f>CHOOSE( CONTROL!$C$32, 17.5132, 17.5098) * CHOOSE(CONTROL!$C$15, $D$11, 100%, $F$11)</f>
        <v>17.513200000000001</v>
      </c>
      <c r="D622" s="8">
        <f>CHOOSE( CONTROL!$C$32, 17.539, 17.5356) * CHOOSE( CONTROL!$C$15, $D$11, 100%, $F$11)</f>
        <v>17.539000000000001</v>
      </c>
      <c r="E622" s="12">
        <f>CHOOSE( CONTROL!$C$32, 17.5284, 17.525) * CHOOSE( CONTROL!$C$15, $D$11, 100%, $F$11)</f>
        <v>17.528400000000001</v>
      </c>
      <c r="F622" s="4">
        <f>CHOOSE( CONTROL!$C$32, 18.2186, 18.2152) * CHOOSE(CONTROL!$C$15, $D$11, 100%, $F$11)</f>
        <v>18.218599999999999</v>
      </c>
      <c r="G622" s="8">
        <f>CHOOSE( CONTROL!$C$32, 17.0821, 17.0787) * CHOOSE( CONTROL!$C$15, $D$11, 100%, $F$11)</f>
        <v>17.082100000000001</v>
      </c>
      <c r="H622" s="4">
        <f>CHOOSE( CONTROL!$C$32, 18.0289, 18.0256) * CHOOSE(CONTROL!$C$15, $D$11, 100%, $F$11)</f>
        <v>18.0289</v>
      </c>
      <c r="I622" s="8">
        <f>CHOOSE( CONTROL!$C$32, 16.9008, 16.8975) * CHOOSE(CONTROL!$C$15, $D$11, 100%, $F$11)</f>
        <v>16.9008</v>
      </c>
      <c r="J622" s="4">
        <f>CHOOSE( CONTROL!$C$32, 16.7775, 16.7742) * CHOOSE(CONTROL!$C$15, $D$11, 100%, $F$11)</f>
        <v>16.7775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18.257, 18.2535) * CHOOSE(CONTROL!$C$15, $D$11, 100%, $F$11)</f>
        <v>18.257000000000001</v>
      </c>
      <c r="C623" s="8">
        <f>CHOOSE( CONTROL!$C$32, 18.265, 18.2616) * CHOOSE(CONTROL!$C$15, $D$11, 100%, $F$11)</f>
        <v>18.265000000000001</v>
      </c>
      <c r="D623" s="8">
        <f>CHOOSE( CONTROL!$C$32, 18.2911, 18.2877) * CHOOSE( CONTROL!$C$15, $D$11, 100%, $F$11)</f>
        <v>18.2911</v>
      </c>
      <c r="E623" s="12">
        <f>CHOOSE( CONTROL!$C$32, 18.2804, 18.277) * CHOOSE( CONTROL!$C$15, $D$11, 100%, $F$11)</f>
        <v>18.2804</v>
      </c>
      <c r="F623" s="4">
        <f>CHOOSE( CONTROL!$C$32, 18.9704, 18.967) * CHOOSE(CONTROL!$C$15, $D$11, 100%, $F$11)</f>
        <v>18.970400000000001</v>
      </c>
      <c r="G623" s="8">
        <f>CHOOSE( CONTROL!$C$32, 17.8167, 17.8134) * CHOOSE( CONTROL!$C$15, $D$11, 100%, $F$11)</f>
        <v>17.816700000000001</v>
      </c>
      <c r="H623" s="4">
        <f>CHOOSE( CONTROL!$C$32, 18.7632, 18.7599) * CHOOSE(CONTROL!$C$15, $D$11, 100%, $F$11)</f>
        <v>18.763200000000001</v>
      </c>
      <c r="I623" s="8">
        <f>CHOOSE( CONTROL!$C$32, 17.624, 17.6207) * CHOOSE(CONTROL!$C$15, $D$11, 100%, $F$11)</f>
        <v>17.623999999999999</v>
      </c>
      <c r="J623" s="4">
        <f>CHOOSE( CONTROL!$C$32, 17.4993, 17.496) * CHOOSE(CONTROL!$C$15, $D$11, 100%, $F$11)</f>
        <v>17.499300000000002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16.8503, 16.8469) * CHOOSE(CONTROL!$C$15, $D$11, 100%, $F$11)</f>
        <v>16.850300000000001</v>
      </c>
      <c r="C624" s="8">
        <f>CHOOSE( CONTROL!$C$32, 16.8583, 16.8549) * CHOOSE(CONTROL!$C$15, $D$11, 100%, $F$11)</f>
        <v>16.8583</v>
      </c>
      <c r="D624" s="8">
        <f>CHOOSE( CONTROL!$C$32, 16.8845, 16.8811) * CHOOSE( CONTROL!$C$15, $D$11, 100%, $F$11)</f>
        <v>16.884499999999999</v>
      </c>
      <c r="E624" s="12">
        <f>CHOOSE( CONTROL!$C$32, 16.8738, 16.8704) * CHOOSE( CONTROL!$C$15, $D$11, 100%, $F$11)</f>
        <v>16.873799999999999</v>
      </c>
      <c r="F624" s="4">
        <f>CHOOSE( CONTROL!$C$32, 17.5637, 17.5603) * CHOOSE(CONTROL!$C$15, $D$11, 100%, $F$11)</f>
        <v>17.563700000000001</v>
      </c>
      <c r="G624" s="8">
        <f>CHOOSE( CONTROL!$C$32, 16.4429, 16.4396) * CHOOSE( CONTROL!$C$15, $D$11, 100%, $F$11)</f>
        <v>16.442900000000002</v>
      </c>
      <c r="H624" s="4">
        <f>CHOOSE( CONTROL!$C$32, 17.3893, 17.386) * CHOOSE(CONTROL!$C$15, $D$11, 100%, $F$11)</f>
        <v>17.389299999999999</v>
      </c>
      <c r="I624" s="8">
        <f>CHOOSE( CONTROL!$C$32, 16.2732, 16.2699) * CHOOSE(CONTROL!$C$15, $D$11, 100%, $F$11)</f>
        <v>16.273199999999999</v>
      </c>
      <c r="J624" s="4">
        <f>CHOOSE( CONTROL!$C$32, 16.1487, 16.1454) * CHOOSE(CONTROL!$C$15, $D$11, 100%, $F$11)</f>
        <v>16.148700000000002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16.498, 16.4946) * CHOOSE(CONTROL!$C$15, $D$11, 100%, $F$11)</f>
        <v>16.498000000000001</v>
      </c>
      <c r="C625" s="8">
        <f>CHOOSE( CONTROL!$C$32, 16.5061, 16.5027) * CHOOSE(CONTROL!$C$15, $D$11, 100%, $F$11)</f>
        <v>16.5061</v>
      </c>
      <c r="D625" s="8">
        <f>CHOOSE( CONTROL!$C$32, 16.5322, 16.5288) * CHOOSE( CONTROL!$C$15, $D$11, 100%, $F$11)</f>
        <v>16.5322</v>
      </c>
      <c r="E625" s="12">
        <f>CHOOSE( CONTROL!$C$32, 16.5215, 16.5181) * CHOOSE( CONTROL!$C$15, $D$11, 100%, $F$11)</f>
        <v>16.5215</v>
      </c>
      <c r="F625" s="4">
        <f>CHOOSE( CONTROL!$C$32, 17.2114, 17.208) * CHOOSE(CONTROL!$C$15, $D$11, 100%, $F$11)</f>
        <v>17.211400000000001</v>
      </c>
      <c r="G625" s="8">
        <f>CHOOSE( CONTROL!$C$32, 16.0988, 16.0955) * CHOOSE( CONTROL!$C$15, $D$11, 100%, $F$11)</f>
        <v>16.098800000000001</v>
      </c>
      <c r="H625" s="4">
        <f>CHOOSE( CONTROL!$C$32, 17.0452, 17.0419) * CHOOSE(CONTROL!$C$15, $D$11, 100%, $F$11)</f>
        <v>17.045200000000001</v>
      </c>
      <c r="I625" s="8">
        <f>CHOOSE( CONTROL!$C$32, 15.9347, 15.9314) * CHOOSE(CONTROL!$C$15, $D$11, 100%, $F$11)</f>
        <v>15.934699999999999</v>
      </c>
      <c r="J625" s="4">
        <f>CHOOSE( CONTROL!$C$32, 15.8105, 15.8072) * CHOOSE(CONTROL!$C$15, $D$11, 100%, $F$11)</f>
        <v>15.810499999999999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17.2243 * CHOOSE(CONTROL!$C$15, $D$11, 100%, $F$11)</f>
        <v>17.224299999999999</v>
      </c>
      <c r="C626" s="8">
        <f>17.2297 * CHOOSE(CONTROL!$C$15, $D$11, 100%, $F$11)</f>
        <v>17.229700000000001</v>
      </c>
      <c r="D626" s="8">
        <f>17.2608 * CHOOSE( CONTROL!$C$15, $D$11, 100%, $F$11)</f>
        <v>17.2608</v>
      </c>
      <c r="E626" s="12">
        <f>17.25 * CHOOSE( CONTROL!$C$15, $D$11, 100%, $F$11)</f>
        <v>17.25</v>
      </c>
      <c r="F626" s="4">
        <f>17.9394 * CHOOSE(CONTROL!$C$15, $D$11, 100%, $F$11)</f>
        <v>17.939399999999999</v>
      </c>
      <c r="G626" s="8">
        <f>16.8094 * CHOOSE( CONTROL!$C$15, $D$11, 100%, $F$11)</f>
        <v>16.8094</v>
      </c>
      <c r="H626" s="4">
        <f>17.7563 * CHOOSE(CONTROL!$C$15, $D$11, 100%, $F$11)</f>
        <v>17.7563</v>
      </c>
      <c r="I626" s="8">
        <f>16.6348 * CHOOSE(CONTROL!$C$15, $D$11, 100%, $F$11)</f>
        <v>16.634799999999998</v>
      </c>
      <c r="J626" s="4">
        <f>16.5095 * CHOOSE(CONTROL!$C$15, $D$11, 100%, $F$11)</f>
        <v>16.509499999999999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18.5739 * CHOOSE(CONTROL!$C$15, $D$11, 100%, $F$11)</f>
        <v>18.573899999999998</v>
      </c>
      <c r="C627" s="8">
        <f>18.5791 * CHOOSE(CONTROL!$C$15, $D$11, 100%, $F$11)</f>
        <v>18.5791</v>
      </c>
      <c r="D627" s="8">
        <f>18.5719 * CHOOSE( CONTROL!$C$15, $D$11, 100%, $F$11)</f>
        <v>18.571899999999999</v>
      </c>
      <c r="E627" s="12">
        <f>18.574 * CHOOSE( CONTROL!$C$15, $D$11, 100%, $F$11)</f>
        <v>18.574000000000002</v>
      </c>
      <c r="F627" s="4">
        <f>19.2243 * CHOOSE(CONTROL!$C$15, $D$11, 100%, $F$11)</f>
        <v>19.224299999999999</v>
      </c>
      <c r="G627" s="8">
        <f>18.141 * CHOOSE( CONTROL!$C$15, $D$11, 100%, $F$11)</f>
        <v>18.140999999999998</v>
      </c>
      <c r="H627" s="4">
        <f>19.0113 * CHOOSE(CONTROL!$C$15, $D$11, 100%, $F$11)</f>
        <v>19.011299999999999</v>
      </c>
      <c r="I627" s="8">
        <f>17.9751 * CHOOSE(CONTROL!$C$15, $D$11, 100%, $F$11)</f>
        <v>17.975100000000001</v>
      </c>
      <c r="J627" s="4">
        <f>17.8056 * CHOOSE(CONTROL!$C$15, $D$11, 100%, $F$11)</f>
        <v>17.805599999999998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18.5402 * CHOOSE(CONTROL!$C$15, $D$11, 100%, $F$11)</f>
        <v>18.540199999999999</v>
      </c>
      <c r="C628" s="8">
        <f>18.5453 * CHOOSE(CONTROL!$C$15, $D$11, 100%, $F$11)</f>
        <v>18.545300000000001</v>
      </c>
      <c r="D628" s="8">
        <f>18.5396 * CHOOSE( CONTROL!$C$15, $D$11, 100%, $F$11)</f>
        <v>18.5396</v>
      </c>
      <c r="E628" s="12">
        <f>18.5411 * CHOOSE( CONTROL!$C$15, $D$11, 100%, $F$11)</f>
        <v>18.5411</v>
      </c>
      <c r="F628" s="4">
        <f>19.1906 * CHOOSE(CONTROL!$C$15, $D$11, 100%, $F$11)</f>
        <v>19.1906</v>
      </c>
      <c r="G628" s="8">
        <f>18.1091 * CHOOSE( CONTROL!$C$15, $D$11, 100%, $F$11)</f>
        <v>18.109100000000002</v>
      </c>
      <c r="H628" s="4">
        <f>18.9783 * CHOOSE(CONTROL!$C$15, $D$11, 100%, $F$11)</f>
        <v>18.978300000000001</v>
      </c>
      <c r="I628" s="8">
        <f>17.9473 * CHOOSE(CONTROL!$C$15, $D$11, 100%, $F$11)</f>
        <v>17.947299999999998</v>
      </c>
      <c r="J628" s="4">
        <f>17.7732 * CHOOSE(CONTROL!$C$15, $D$11, 100%, $F$11)</f>
        <v>17.773199999999999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19.0862 * CHOOSE(CONTROL!$C$15, $D$11, 100%, $F$11)</f>
        <v>19.086200000000002</v>
      </c>
      <c r="C629" s="8">
        <f>19.0914 * CHOOSE(CONTROL!$C$15, $D$11, 100%, $F$11)</f>
        <v>19.0914</v>
      </c>
      <c r="D629" s="8">
        <f>19.0715 * CHOOSE( CONTROL!$C$15, $D$11, 100%, $F$11)</f>
        <v>19.0715</v>
      </c>
      <c r="E629" s="12">
        <f>19.0782 * CHOOSE( CONTROL!$C$15, $D$11, 100%, $F$11)</f>
        <v>19.078199999999999</v>
      </c>
      <c r="F629" s="4">
        <f>19.7367 * CHOOSE(CONTROL!$C$15, $D$11, 100%, $F$11)</f>
        <v>19.736699999999999</v>
      </c>
      <c r="G629" s="8">
        <f>18.6256 * CHOOSE( CONTROL!$C$15, $D$11, 100%, $F$11)</f>
        <v>18.625599999999999</v>
      </c>
      <c r="H629" s="4">
        <f>19.5116 * CHOOSE(CONTROL!$C$15, $D$11, 100%, $F$11)</f>
        <v>19.511600000000001</v>
      </c>
      <c r="I629" s="8">
        <f>18.4283 * CHOOSE(CONTROL!$C$15, $D$11, 100%, $F$11)</f>
        <v>18.4283</v>
      </c>
      <c r="J629" s="4">
        <f>18.2975 * CHOOSE(CONTROL!$C$15, $D$11, 100%, $F$11)</f>
        <v>18.297499999999999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17.8541 * CHOOSE(CONTROL!$C$15, $D$11, 100%, $F$11)</f>
        <v>17.854099999999999</v>
      </c>
      <c r="C630" s="8">
        <f>17.8593 * CHOOSE(CONTROL!$C$15, $D$11, 100%, $F$11)</f>
        <v>17.859300000000001</v>
      </c>
      <c r="D630" s="8">
        <f>17.8394 * CHOOSE( CONTROL!$C$15, $D$11, 100%, $F$11)</f>
        <v>17.839400000000001</v>
      </c>
      <c r="E630" s="12">
        <f>17.8461 * CHOOSE( CONTROL!$C$15, $D$11, 100%, $F$11)</f>
        <v>17.8461</v>
      </c>
      <c r="F630" s="4">
        <f>18.5046 * CHOOSE(CONTROL!$C$15, $D$11, 100%, $F$11)</f>
        <v>18.5046</v>
      </c>
      <c r="G630" s="8">
        <f>17.4222 * CHOOSE( CONTROL!$C$15, $D$11, 100%, $F$11)</f>
        <v>17.4222</v>
      </c>
      <c r="H630" s="4">
        <f>18.3083 * CHOOSE(CONTROL!$C$15, $D$11, 100%, $F$11)</f>
        <v>18.308299999999999</v>
      </c>
      <c r="I630" s="8">
        <f>17.2447 * CHOOSE(CONTROL!$C$15, $D$11, 100%, $F$11)</f>
        <v>17.244700000000002</v>
      </c>
      <c r="J630" s="4">
        <f>17.1146 * CHOOSE(CONTROL!$C$15, $D$11, 100%, $F$11)</f>
        <v>17.114599999999999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17.4747 * CHOOSE(CONTROL!$C$15, $D$11, 100%, $F$11)</f>
        <v>17.474699999999999</v>
      </c>
      <c r="C631" s="8">
        <f>17.4798 * CHOOSE(CONTROL!$C$15, $D$11, 100%, $F$11)</f>
        <v>17.479800000000001</v>
      </c>
      <c r="D631" s="8">
        <f>17.4596 * CHOOSE( CONTROL!$C$15, $D$11, 100%, $F$11)</f>
        <v>17.459599999999998</v>
      </c>
      <c r="E631" s="12">
        <f>17.4664 * CHOOSE( CONTROL!$C$15, $D$11, 100%, $F$11)</f>
        <v>17.4664</v>
      </c>
      <c r="F631" s="4">
        <f>18.1251 * CHOOSE(CONTROL!$C$15, $D$11, 100%, $F$11)</f>
        <v>18.1251</v>
      </c>
      <c r="G631" s="8">
        <f>17.0513 * CHOOSE( CONTROL!$C$15, $D$11, 100%, $F$11)</f>
        <v>17.051300000000001</v>
      </c>
      <c r="H631" s="4">
        <f>17.9376 * CHOOSE(CONTROL!$C$15, $D$11, 100%, $F$11)</f>
        <v>17.9376</v>
      </c>
      <c r="I631" s="8">
        <f>16.8791 * CHOOSE(CONTROL!$C$15, $D$11, 100%, $F$11)</f>
        <v>16.879100000000001</v>
      </c>
      <c r="J631" s="4">
        <f>16.7502 * CHOOSE(CONTROL!$C$15, $D$11, 100%, $F$11)</f>
        <v>16.7502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17.7406 * CHOOSE(CONTROL!$C$15, $D$11, 100%, $F$11)</f>
        <v>17.740600000000001</v>
      </c>
      <c r="C632" s="8">
        <f>17.7452 * CHOOSE(CONTROL!$C$15, $D$11, 100%, $F$11)</f>
        <v>17.745200000000001</v>
      </c>
      <c r="D632" s="8">
        <f>17.7761 * CHOOSE( CONTROL!$C$15, $D$11, 100%, $F$11)</f>
        <v>17.7761</v>
      </c>
      <c r="E632" s="12">
        <f>17.7654 * CHOOSE( CONTROL!$C$15, $D$11, 100%, $F$11)</f>
        <v>17.7654</v>
      </c>
      <c r="F632" s="4">
        <f>18.4554 * CHOOSE(CONTROL!$C$15, $D$11, 100%, $F$11)</f>
        <v>18.455400000000001</v>
      </c>
      <c r="G632" s="8">
        <f>17.3123 * CHOOSE( CONTROL!$C$15, $D$11, 100%, $F$11)</f>
        <v>17.3123</v>
      </c>
      <c r="H632" s="4">
        <f>18.2602 * CHOOSE(CONTROL!$C$15, $D$11, 100%, $F$11)</f>
        <v>18.260200000000001</v>
      </c>
      <c r="I632" s="8">
        <f>17.1271 * CHOOSE(CONTROL!$C$15, $D$11, 100%, $F$11)</f>
        <v>17.127099999999999</v>
      </c>
      <c r="J632" s="4">
        <f>17.0048 * CHOOSE(CONTROL!$C$15, $D$11, 100%, $F$11)</f>
        <v>17.004799999999999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18.2173, 18.2139) * CHOOSE(CONTROL!$C$15, $D$11, 100%, $F$11)</f>
        <v>18.217300000000002</v>
      </c>
      <c r="C633" s="8">
        <f>CHOOSE( CONTROL!$C$32, 18.2254, 18.222) * CHOOSE(CONTROL!$C$15, $D$11, 100%, $F$11)</f>
        <v>18.2254</v>
      </c>
      <c r="D633" s="8">
        <f>CHOOSE( CONTROL!$C$32, 18.251, 18.2476) * CHOOSE( CONTROL!$C$15, $D$11, 100%, $F$11)</f>
        <v>18.251000000000001</v>
      </c>
      <c r="E633" s="12">
        <f>CHOOSE( CONTROL!$C$32, 18.2405, 18.2371) * CHOOSE( CONTROL!$C$15, $D$11, 100%, $F$11)</f>
        <v>18.240500000000001</v>
      </c>
      <c r="F633" s="4">
        <f>CHOOSE( CONTROL!$C$32, 18.9307, 18.9273) * CHOOSE(CONTROL!$C$15, $D$11, 100%, $F$11)</f>
        <v>18.930700000000002</v>
      </c>
      <c r="G633" s="8">
        <f>CHOOSE( CONTROL!$C$32, 17.7773, 17.774) * CHOOSE( CONTROL!$C$15, $D$11, 100%, $F$11)</f>
        <v>17.7773</v>
      </c>
      <c r="H633" s="4">
        <f>CHOOSE( CONTROL!$C$32, 18.7245, 18.7212) * CHOOSE(CONTROL!$C$15, $D$11, 100%, $F$11)</f>
        <v>18.724499999999999</v>
      </c>
      <c r="I633" s="8">
        <f>CHOOSE( CONTROL!$C$32, 17.5839, 17.5806) * CHOOSE(CONTROL!$C$15, $D$11, 100%, $F$11)</f>
        <v>17.5839</v>
      </c>
      <c r="J633" s="4">
        <f>CHOOSE( CONTROL!$C$32, 17.4612, 17.4579) * CHOOSE(CONTROL!$C$15, $D$11, 100%, $F$11)</f>
        <v>17.461200000000002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17.9249, 17.9215) * CHOOSE(CONTROL!$C$15, $D$11, 100%, $F$11)</f>
        <v>17.924900000000001</v>
      </c>
      <c r="C634" s="8">
        <f>CHOOSE( CONTROL!$C$32, 17.933, 17.9296) * CHOOSE(CONTROL!$C$15, $D$11, 100%, $F$11)</f>
        <v>17.933</v>
      </c>
      <c r="D634" s="8">
        <f>CHOOSE( CONTROL!$C$32, 17.9588, 17.9554) * CHOOSE( CONTROL!$C$15, $D$11, 100%, $F$11)</f>
        <v>17.9588</v>
      </c>
      <c r="E634" s="12">
        <f>CHOOSE( CONTROL!$C$32, 17.9482, 17.9448) * CHOOSE( CONTROL!$C$15, $D$11, 100%, $F$11)</f>
        <v>17.9482</v>
      </c>
      <c r="F634" s="4">
        <f>CHOOSE( CONTROL!$C$32, 18.6384, 18.635) * CHOOSE(CONTROL!$C$15, $D$11, 100%, $F$11)</f>
        <v>18.638400000000001</v>
      </c>
      <c r="G634" s="8">
        <f>CHOOSE( CONTROL!$C$32, 17.4921, 17.4888) * CHOOSE( CONTROL!$C$15, $D$11, 100%, $F$11)</f>
        <v>17.492100000000001</v>
      </c>
      <c r="H634" s="4">
        <f>CHOOSE( CONTROL!$C$32, 18.4389, 18.4356) * CHOOSE(CONTROL!$C$15, $D$11, 100%, $F$11)</f>
        <v>18.4389</v>
      </c>
      <c r="I634" s="8">
        <f>CHOOSE( CONTROL!$C$32, 17.304, 17.3007) * CHOOSE(CONTROL!$C$15, $D$11, 100%, $F$11)</f>
        <v>17.303999999999998</v>
      </c>
      <c r="J634" s="4">
        <f>CHOOSE( CONTROL!$C$32, 17.1805, 17.1772) * CHOOSE(CONTROL!$C$15, $D$11, 100%, $F$11)</f>
        <v>17.180499999999999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18.6948, 18.6914) * CHOOSE(CONTROL!$C$15, $D$11, 100%, $F$11)</f>
        <v>18.694800000000001</v>
      </c>
      <c r="C635" s="8">
        <f>CHOOSE( CONTROL!$C$32, 18.7029, 18.6995) * CHOOSE(CONTROL!$C$15, $D$11, 100%, $F$11)</f>
        <v>18.7029</v>
      </c>
      <c r="D635" s="8">
        <f>CHOOSE( CONTROL!$C$32, 18.7289, 18.7255) * CHOOSE( CONTROL!$C$15, $D$11, 100%, $F$11)</f>
        <v>18.728899999999999</v>
      </c>
      <c r="E635" s="12">
        <f>CHOOSE( CONTROL!$C$32, 18.7182, 18.7148) * CHOOSE( CONTROL!$C$15, $D$11, 100%, $F$11)</f>
        <v>18.7182</v>
      </c>
      <c r="F635" s="4">
        <f>CHOOSE( CONTROL!$C$32, 19.4082, 19.4048) * CHOOSE(CONTROL!$C$15, $D$11, 100%, $F$11)</f>
        <v>19.408200000000001</v>
      </c>
      <c r="G635" s="8">
        <f>CHOOSE( CONTROL!$C$32, 18.2443, 18.241) * CHOOSE( CONTROL!$C$15, $D$11, 100%, $F$11)</f>
        <v>18.244299999999999</v>
      </c>
      <c r="H635" s="4">
        <f>CHOOSE( CONTROL!$C$32, 19.1909, 19.1875) * CHOOSE(CONTROL!$C$15, $D$11, 100%, $F$11)</f>
        <v>19.190899999999999</v>
      </c>
      <c r="I635" s="8">
        <f>CHOOSE( CONTROL!$C$32, 18.0446, 18.0413) * CHOOSE(CONTROL!$C$15, $D$11, 100%, $F$11)</f>
        <v>18.044599999999999</v>
      </c>
      <c r="J635" s="4">
        <f>CHOOSE( CONTROL!$C$32, 17.9197, 17.9164) * CHOOSE(CONTROL!$C$15, $D$11, 100%, $F$11)</f>
        <v>17.919699999999999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17.2543, 17.2509) * CHOOSE(CONTROL!$C$15, $D$11, 100%, $F$11)</f>
        <v>17.254300000000001</v>
      </c>
      <c r="C636" s="8">
        <f>CHOOSE( CONTROL!$C$32, 17.2624, 17.259) * CHOOSE(CONTROL!$C$15, $D$11, 100%, $F$11)</f>
        <v>17.2624</v>
      </c>
      <c r="D636" s="8">
        <f>CHOOSE( CONTROL!$C$32, 17.2885, 17.2851) * CHOOSE( CONTROL!$C$15, $D$11, 100%, $F$11)</f>
        <v>17.288499999999999</v>
      </c>
      <c r="E636" s="12">
        <f>CHOOSE( CONTROL!$C$32, 17.2778, 17.2744) * CHOOSE( CONTROL!$C$15, $D$11, 100%, $F$11)</f>
        <v>17.277799999999999</v>
      </c>
      <c r="F636" s="4">
        <f>CHOOSE( CONTROL!$C$32, 17.9678, 17.9643) * CHOOSE(CONTROL!$C$15, $D$11, 100%, $F$11)</f>
        <v>17.9678</v>
      </c>
      <c r="G636" s="8">
        <f>CHOOSE( CONTROL!$C$32, 16.8376, 16.8342) * CHOOSE( CONTROL!$C$15, $D$11, 100%, $F$11)</f>
        <v>16.837599999999998</v>
      </c>
      <c r="H636" s="4">
        <f>CHOOSE( CONTROL!$C$32, 17.7839, 17.7806) * CHOOSE(CONTROL!$C$15, $D$11, 100%, $F$11)</f>
        <v>17.783899999999999</v>
      </c>
      <c r="I636" s="8">
        <f>CHOOSE( CONTROL!$C$32, 16.6613, 16.6581) * CHOOSE(CONTROL!$C$15, $D$11, 100%, $F$11)</f>
        <v>16.661300000000001</v>
      </c>
      <c r="J636" s="4">
        <f>CHOOSE( CONTROL!$C$32, 16.5366, 16.5334) * CHOOSE(CONTROL!$C$15, $D$11, 100%, $F$11)</f>
        <v>16.5366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16.8936, 16.8902) * CHOOSE(CONTROL!$C$15, $D$11, 100%, $F$11)</f>
        <v>16.893599999999999</v>
      </c>
      <c r="C637" s="8">
        <f>CHOOSE( CONTROL!$C$32, 16.9017, 16.8983) * CHOOSE(CONTROL!$C$15, $D$11, 100%, $F$11)</f>
        <v>16.901700000000002</v>
      </c>
      <c r="D637" s="8">
        <f>CHOOSE( CONTROL!$C$32, 16.9278, 16.9244) * CHOOSE( CONTROL!$C$15, $D$11, 100%, $F$11)</f>
        <v>16.927800000000001</v>
      </c>
      <c r="E637" s="12">
        <f>CHOOSE( CONTROL!$C$32, 16.9171, 16.9137) * CHOOSE( CONTROL!$C$15, $D$11, 100%, $F$11)</f>
        <v>16.917100000000001</v>
      </c>
      <c r="F637" s="4">
        <f>CHOOSE( CONTROL!$C$32, 17.607, 17.6036) * CHOOSE(CONTROL!$C$15, $D$11, 100%, $F$11)</f>
        <v>17.606999999999999</v>
      </c>
      <c r="G637" s="8">
        <f>CHOOSE( CONTROL!$C$32, 16.4852, 16.4819) * CHOOSE( CONTROL!$C$15, $D$11, 100%, $F$11)</f>
        <v>16.485199999999999</v>
      </c>
      <c r="H637" s="4">
        <f>CHOOSE( CONTROL!$C$32, 17.4316, 17.4283) * CHOOSE(CONTROL!$C$15, $D$11, 100%, $F$11)</f>
        <v>17.4316</v>
      </c>
      <c r="I637" s="8">
        <f>CHOOSE( CONTROL!$C$32, 16.3147, 16.3114) * CHOOSE(CONTROL!$C$15, $D$11, 100%, $F$11)</f>
        <v>16.314699999999998</v>
      </c>
      <c r="J637" s="4">
        <f>CHOOSE( CONTROL!$C$32, 16.1903, 16.1871) * CHOOSE(CONTROL!$C$15, $D$11, 100%, $F$11)</f>
        <v>16.190300000000001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17.6374 * CHOOSE(CONTROL!$C$15, $D$11, 100%, $F$11)</f>
        <v>17.6374</v>
      </c>
      <c r="C638" s="8">
        <f>17.6429 * CHOOSE(CONTROL!$C$15, $D$11, 100%, $F$11)</f>
        <v>17.642900000000001</v>
      </c>
      <c r="D638" s="8">
        <f>17.674 * CHOOSE( CONTROL!$C$15, $D$11, 100%, $F$11)</f>
        <v>17.673999999999999</v>
      </c>
      <c r="E638" s="12">
        <f>17.6631 * CHOOSE( CONTROL!$C$15, $D$11, 100%, $F$11)</f>
        <v>17.6631</v>
      </c>
      <c r="F638" s="4">
        <f>18.3526 * CHOOSE(CONTROL!$C$15, $D$11, 100%, $F$11)</f>
        <v>18.352599999999999</v>
      </c>
      <c r="G638" s="8">
        <f>17.213 * CHOOSE( CONTROL!$C$15, $D$11, 100%, $F$11)</f>
        <v>17.213000000000001</v>
      </c>
      <c r="H638" s="4">
        <f>18.1598 * CHOOSE(CONTROL!$C$15, $D$11, 100%, $F$11)</f>
        <v>18.159800000000001</v>
      </c>
      <c r="I638" s="8">
        <f>17.0317 * CHOOSE(CONTROL!$C$15, $D$11, 100%, $F$11)</f>
        <v>17.031700000000001</v>
      </c>
      <c r="J638" s="4">
        <f>16.9061 * CHOOSE(CONTROL!$C$15, $D$11, 100%, $F$11)</f>
        <v>16.906099999999999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19.0195 * CHOOSE(CONTROL!$C$15, $D$11, 100%, $F$11)</f>
        <v>19.019500000000001</v>
      </c>
      <c r="C639" s="8">
        <f>19.0247 * CHOOSE(CONTROL!$C$15, $D$11, 100%, $F$11)</f>
        <v>19.024699999999999</v>
      </c>
      <c r="D639" s="8">
        <f>19.0175 * CHOOSE( CONTROL!$C$15, $D$11, 100%, $F$11)</f>
        <v>19.017499999999998</v>
      </c>
      <c r="E639" s="12">
        <f>19.0196 * CHOOSE( CONTROL!$C$15, $D$11, 100%, $F$11)</f>
        <v>19.019600000000001</v>
      </c>
      <c r="F639" s="4">
        <f>19.6699 * CHOOSE(CONTROL!$C$15, $D$11, 100%, $F$11)</f>
        <v>19.669899999999998</v>
      </c>
      <c r="G639" s="8">
        <f>18.5762 * CHOOSE( CONTROL!$C$15, $D$11, 100%, $F$11)</f>
        <v>18.5762</v>
      </c>
      <c r="H639" s="4">
        <f>19.4465 * CHOOSE(CONTROL!$C$15, $D$11, 100%, $F$11)</f>
        <v>19.4465</v>
      </c>
      <c r="I639" s="8">
        <f>18.4031 * CHOOSE(CONTROL!$C$15, $D$11, 100%, $F$11)</f>
        <v>18.403099999999998</v>
      </c>
      <c r="J639" s="4">
        <f>18.2334 * CHOOSE(CONTROL!$C$15, $D$11, 100%, $F$11)</f>
        <v>18.2334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18.9849 * CHOOSE(CONTROL!$C$15, $D$11, 100%, $F$11)</f>
        <v>18.9849</v>
      </c>
      <c r="C640" s="8">
        <f>18.9901 * CHOOSE(CONTROL!$C$15, $D$11, 100%, $F$11)</f>
        <v>18.990100000000002</v>
      </c>
      <c r="D640" s="8">
        <f>18.9844 * CHOOSE( CONTROL!$C$15, $D$11, 100%, $F$11)</f>
        <v>18.984400000000001</v>
      </c>
      <c r="E640" s="12">
        <f>18.9859 * CHOOSE( CONTROL!$C$15, $D$11, 100%, $F$11)</f>
        <v>18.985900000000001</v>
      </c>
      <c r="F640" s="4">
        <f>19.6354 * CHOOSE(CONTROL!$C$15, $D$11, 100%, $F$11)</f>
        <v>19.635400000000001</v>
      </c>
      <c r="G640" s="8">
        <f>18.5435 * CHOOSE( CONTROL!$C$15, $D$11, 100%, $F$11)</f>
        <v>18.543500000000002</v>
      </c>
      <c r="H640" s="4">
        <f>19.4127 * CHOOSE(CONTROL!$C$15, $D$11, 100%, $F$11)</f>
        <v>19.412700000000001</v>
      </c>
      <c r="I640" s="8">
        <f>18.3745 * CHOOSE(CONTROL!$C$15, $D$11, 100%, $F$11)</f>
        <v>18.374500000000001</v>
      </c>
      <c r="J640" s="4">
        <f>18.2003 * CHOOSE(CONTROL!$C$15, $D$11, 100%, $F$11)</f>
        <v>18.200299999999999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19.5441 * CHOOSE(CONTROL!$C$15, $D$11, 100%, $F$11)</f>
        <v>19.5441</v>
      </c>
      <c r="C641" s="8">
        <f>19.5493 * CHOOSE(CONTROL!$C$15, $D$11, 100%, $F$11)</f>
        <v>19.549299999999999</v>
      </c>
      <c r="D641" s="8">
        <f>19.5294 * CHOOSE( CONTROL!$C$15, $D$11, 100%, $F$11)</f>
        <v>19.529399999999999</v>
      </c>
      <c r="E641" s="12">
        <f>19.5361 * CHOOSE( CONTROL!$C$15, $D$11, 100%, $F$11)</f>
        <v>19.536100000000001</v>
      </c>
      <c r="F641" s="4">
        <f>20.1946 * CHOOSE(CONTROL!$C$15, $D$11, 100%, $F$11)</f>
        <v>20.194600000000001</v>
      </c>
      <c r="G641" s="8">
        <f>19.0728 * CHOOSE( CONTROL!$C$15, $D$11, 100%, $F$11)</f>
        <v>19.072800000000001</v>
      </c>
      <c r="H641" s="4">
        <f>19.9589 * CHOOSE(CONTROL!$C$15, $D$11, 100%, $F$11)</f>
        <v>19.9589</v>
      </c>
      <c r="I641" s="8">
        <f>18.8681 * CHOOSE(CONTROL!$C$15, $D$11, 100%, $F$11)</f>
        <v>18.868099999999998</v>
      </c>
      <c r="J641" s="4">
        <f>18.7371 * CHOOSE(CONTROL!$C$15, $D$11, 100%, $F$11)</f>
        <v>18.737100000000002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18.2824 * CHOOSE(CONTROL!$C$15, $D$11, 100%, $F$11)</f>
        <v>18.282399999999999</v>
      </c>
      <c r="C642" s="8">
        <f>18.2876 * CHOOSE(CONTROL!$C$15, $D$11, 100%, $F$11)</f>
        <v>18.287600000000001</v>
      </c>
      <c r="D642" s="8">
        <f>18.2677 * CHOOSE( CONTROL!$C$15, $D$11, 100%, $F$11)</f>
        <v>18.267700000000001</v>
      </c>
      <c r="E642" s="12">
        <f>18.2744 * CHOOSE( CONTROL!$C$15, $D$11, 100%, $F$11)</f>
        <v>18.2744</v>
      </c>
      <c r="F642" s="4">
        <f>18.9329 * CHOOSE(CONTROL!$C$15, $D$11, 100%, $F$11)</f>
        <v>18.9329</v>
      </c>
      <c r="G642" s="8">
        <f>17.8405 * CHOOSE( CONTROL!$C$15, $D$11, 100%, $F$11)</f>
        <v>17.840499999999999</v>
      </c>
      <c r="H642" s="4">
        <f>18.7266 * CHOOSE(CONTROL!$C$15, $D$11, 100%, $F$11)</f>
        <v>18.726600000000001</v>
      </c>
      <c r="I642" s="8">
        <f>17.6561 * CHOOSE(CONTROL!$C$15, $D$11, 100%, $F$11)</f>
        <v>17.656099999999999</v>
      </c>
      <c r="J642" s="4">
        <f>17.5258 * CHOOSE(CONTROL!$C$15, $D$11, 100%, $F$11)</f>
        <v>17.5258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17.8939 * CHOOSE(CONTROL!$C$15, $D$11, 100%, $F$11)</f>
        <v>17.893899999999999</v>
      </c>
      <c r="C643" s="8">
        <f>17.899 * CHOOSE(CONTROL!$C$15, $D$11, 100%, $F$11)</f>
        <v>17.899000000000001</v>
      </c>
      <c r="D643" s="8">
        <f>17.8788 * CHOOSE( CONTROL!$C$15, $D$11, 100%, $F$11)</f>
        <v>17.878799999999998</v>
      </c>
      <c r="E643" s="12">
        <f>17.8856 * CHOOSE( CONTROL!$C$15, $D$11, 100%, $F$11)</f>
        <v>17.8856</v>
      </c>
      <c r="F643" s="4">
        <f>18.5443 * CHOOSE(CONTROL!$C$15, $D$11, 100%, $F$11)</f>
        <v>18.5443</v>
      </c>
      <c r="G643" s="8">
        <f>17.4607 * CHOOSE( CONTROL!$C$15, $D$11, 100%, $F$11)</f>
        <v>17.460699999999999</v>
      </c>
      <c r="H643" s="4">
        <f>18.3471 * CHOOSE(CONTROL!$C$15, $D$11, 100%, $F$11)</f>
        <v>18.347100000000001</v>
      </c>
      <c r="I643" s="8">
        <f>17.2817 * CHOOSE(CONTROL!$C$15, $D$11, 100%, $F$11)</f>
        <v>17.281700000000001</v>
      </c>
      <c r="J643" s="4">
        <f>17.1527 * CHOOSE(CONTROL!$C$15, $D$11, 100%, $F$11)</f>
        <v>17.152699999999999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18.1662 * CHOOSE(CONTROL!$C$15, $D$11, 100%, $F$11)</f>
        <v>18.1662</v>
      </c>
      <c r="C644" s="8">
        <f>18.1708 * CHOOSE(CONTROL!$C$15, $D$11, 100%, $F$11)</f>
        <v>18.1708</v>
      </c>
      <c r="D644" s="8">
        <f>18.2017 * CHOOSE( CONTROL!$C$15, $D$11, 100%, $F$11)</f>
        <v>18.201699999999999</v>
      </c>
      <c r="E644" s="12">
        <f>18.191 * CHOOSE( CONTROL!$C$15, $D$11, 100%, $F$11)</f>
        <v>18.190999999999999</v>
      </c>
      <c r="F644" s="4">
        <f>18.881 * CHOOSE(CONTROL!$C$15, $D$11, 100%, $F$11)</f>
        <v>18.881</v>
      </c>
      <c r="G644" s="8">
        <f>17.728 * CHOOSE( CONTROL!$C$15, $D$11, 100%, $F$11)</f>
        <v>17.728000000000002</v>
      </c>
      <c r="H644" s="4">
        <f>18.6759 * CHOOSE(CONTROL!$C$15, $D$11, 100%, $F$11)</f>
        <v>18.675899999999999</v>
      </c>
      <c r="I644" s="8">
        <f>17.5359 * CHOOSE(CONTROL!$C$15, $D$11, 100%, $F$11)</f>
        <v>17.535900000000002</v>
      </c>
      <c r="J644" s="4">
        <f>17.4134 * CHOOSE(CONTROL!$C$15, $D$11, 100%, $F$11)</f>
        <v>17.413399999999999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18.6542, 18.6508) * CHOOSE(CONTROL!$C$15, $D$11, 100%, $F$11)</f>
        <v>18.654199999999999</v>
      </c>
      <c r="C645" s="8">
        <f>CHOOSE( CONTROL!$C$32, 18.6623, 18.6589) * CHOOSE(CONTROL!$C$15, $D$11, 100%, $F$11)</f>
        <v>18.662299999999998</v>
      </c>
      <c r="D645" s="8">
        <f>CHOOSE( CONTROL!$C$32, 18.6879, 18.6845) * CHOOSE( CONTROL!$C$15, $D$11, 100%, $F$11)</f>
        <v>18.687899999999999</v>
      </c>
      <c r="E645" s="12">
        <f>CHOOSE( CONTROL!$C$32, 18.6774, 18.674) * CHOOSE( CONTROL!$C$15, $D$11, 100%, $F$11)</f>
        <v>18.677399999999999</v>
      </c>
      <c r="F645" s="4">
        <f>CHOOSE( CONTROL!$C$32, 19.3676, 19.3642) * CHOOSE(CONTROL!$C$15, $D$11, 100%, $F$11)</f>
        <v>19.367599999999999</v>
      </c>
      <c r="G645" s="8">
        <f>CHOOSE( CONTROL!$C$32, 18.204, 18.2007) * CHOOSE( CONTROL!$C$15, $D$11, 100%, $F$11)</f>
        <v>18.204000000000001</v>
      </c>
      <c r="H645" s="4">
        <f>CHOOSE( CONTROL!$C$32, 19.1512, 19.1479) * CHOOSE(CONTROL!$C$15, $D$11, 100%, $F$11)</f>
        <v>19.151199999999999</v>
      </c>
      <c r="I645" s="8">
        <f>CHOOSE( CONTROL!$C$32, 18.0036, 18.0003) * CHOOSE(CONTROL!$C$15, $D$11, 100%, $F$11)</f>
        <v>18.003599999999999</v>
      </c>
      <c r="J645" s="4">
        <f>CHOOSE( CONTROL!$C$32, 17.8807, 17.8774) * CHOOSE(CONTROL!$C$15, $D$11, 100%, $F$11)</f>
        <v>17.880700000000001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18.3548, 18.3514) * CHOOSE(CONTROL!$C$15, $D$11, 100%, $F$11)</f>
        <v>18.354800000000001</v>
      </c>
      <c r="C646" s="8">
        <f>CHOOSE( CONTROL!$C$32, 18.3629, 18.3595) * CHOOSE(CONTROL!$C$15, $D$11, 100%, $F$11)</f>
        <v>18.3629</v>
      </c>
      <c r="D646" s="8">
        <f>CHOOSE( CONTROL!$C$32, 18.3887, 18.3853) * CHOOSE( CONTROL!$C$15, $D$11, 100%, $F$11)</f>
        <v>18.3887</v>
      </c>
      <c r="E646" s="12">
        <f>CHOOSE( CONTROL!$C$32, 18.3781, 18.3747) * CHOOSE( CONTROL!$C$15, $D$11, 100%, $F$11)</f>
        <v>18.3781</v>
      </c>
      <c r="F646" s="4">
        <f>CHOOSE( CONTROL!$C$32, 19.0683, 19.0649) * CHOOSE(CONTROL!$C$15, $D$11, 100%, $F$11)</f>
        <v>19.068300000000001</v>
      </c>
      <c r="G646" s="8">
        <f>CHOOSE( CONTROL!$C$32, 17.9119, 17.9086) * CHOOSE( CONTROL!$C$15, $D$11, 100%, $F$11)</f>
        <v>17.911899999999999</v>
      </c>
      <c r="H646" s="4">
        <f>CHOOSE( CONTROL!$C$32, 18.8588, 18.8555) * CHOOSE(CONTROL!$C$15, $D$11, 100%, $F$11)</f>
        <v>18.858799999999999</v>
      </c>
      <c r="I646" s="8">
        <f>CHOOSE( CONTROL!$C$32, 17.7169, 17.7137) * CHOOSE(CONTROL!$C$15, $D$11, 100%, $F$11)</f>
        <v>17.716899999999999</v>
      </c>
      <c r="J646" s="4">
        <f>CHOOSE( CONTROL!$C$32, 17.5932, 17.59) * CHOOSE(CONTROL!$C$15, $D$11, 100%, $F$11)</f>
        <v>17.5932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19.1432, 19.1398) * CHOOSE(CONTROL!$C$15, $D$11, 100%, $F$11)</f>
        <v>19.1432</v>
      </c>
      <c r="C647" s="8">
        <f>CHOOSE( CONTROL!$C$32, 19.1513, 19.1479) * CHOOSE(CONTROL!$C$15, $D$11, 100%, $F$11)</f>
        <v>19.151299999999999</v>
      </c>
      <c r="D647" s="8">
        <f>CHOOSE( CONTROL!$C$32, 19.1773, 19.1739) * CHOOSE( CONTROL!$C$15, $D$11, 100%, $F$11)</f>
        <v>19.177299999999999</v>
      </c>
      <c r="E647" s="12">
        <f>CHOOSE( CONTROL!$C$32, 19.1666, 19.1632) * CHOOSE( CONTROL!$C$15, $D$11, 100%, $F$11)</f>
        <v>19.166599999999999</v>
      </c>
      <c r="F647" s="4">
        <f>CHOOSE( CONTROL!$C$32, 19.8566, 19.8532) * CHOOSE(CONTROL!$C$15, $D$11, 100%, $F$11)</f>
        <v>19.8566</v>
      </c>
      <c r="G647" s="8">
        <f>CHOOSE( CONTROL!$C$32, 18.6823, 18.679) * CHOOSE( CONTROL!$C$15, $D$11, 100%, $F$11)</f>
        <v>18.682300000000001</v>
      </c>
      <c r="H647" s="4">
        <f>CHOOSE( CONTROL!$C$32, 19.6288, 19.6255) * CHOOSE(CONTROL!$C$15, $D$11, 100%, $F$11)</f>
        <v>19.628799999999998</v>
      </c>
      <c r="I647" s="8">
        <f>CHOOSE( CONTROL!$C$32, 18.4753, 18.472) * CHOOSE(CONTROL!$C$15, $D$11, 100%, $F$11)</f>
        <v>18.475300000000001</v>
      </c>
      <c r="J647" s="4">
        <f>CHOOSE( CONTROL!$C$32, 18.3501, 18.3469) * CHOOSE(CONTROL!$C$15, $D$11, 100%, $F$11)</f>
        <v>18.350100000000001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17.6681, 17.6647) * CHOOSE(CONTROL!$C$15, $D$11, 100%, $F$11)</f>
        <v>17.668099999999999</v>
      </c>
      <c r="C648" s="8">
        <f>CHOOSE( CONTROL!$C$32, 17.6762, 17.6728) * CHOOSE(CONTROL!$C$15, $D$11, 100%, $F$11)</f>
        <v>17.676200000000001</v>
      </c>
      <c r="D648" s="8">
        <f>CHOOSE( CONTROL!$C$32, 17.7023, 17.6989) * CHOOSE( CONTROL!$C$15, $D$11, 100%, $F$11)</f>
        <v>17.702300000000001</v>
      </c>
      <c r="E648" s="12">
        <f>CHOOSE( CONTROL!$C$32, 17.6916, 17.6882) * CHOOSE( CONTROL!$C$15, $D$11, 100%, $F$11)</f>
        <v>17.691600000000001</v>
      </c>
      <c r="F648" s="4">
        <f>CHOOSE( CONTROL!$C$32, 18.3815, 18.3781) * CHOOSE(CONTROL!$C$15, $D$11, 100%, $F$11)</f>
        <v>18.381499999999999</v>
      </c>
      <c r="G648" s="8">
        <f>CHOOSE( CONTROL!$C$32, 17.2417, 17.2383) * CHOOSE( CONTROL!$C$15, $D$11, 100%, $F$11)</f>
        <v>17.241700000000002</v>
      </c>
      <c r="H648" s="4">
        <f>CHOOSE( CONTROL!$C$32, 18.1881, 18.1847) * CHOOSE(CONTROL!$C$15, $D$11, 100%, $F$11)</f>
        <v>18.188099999999999</v>
      </c>
      <c r="I648" s="8">
        <f>CHOOSE( CONTROL!$C$32, 17.0588, 17.0555) * CHOOSE(CONTROL!$C$15, $D$11, 100%, $F$11)</f>
        <v>17.058800000000002</v>
      </c>
      <c r="J648" s="4">
        <f>CHOOSE( CONTROL!$C$32, 16.9339, 16.9306) * CHOOSE(CONTROL!$C$15, $D$11, 100%, $F$11)</f>
        <v>16.933900000000001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17.2987, 17.2953) * CHOOSE(CONTROL!$C$15, $D$11, 100%, $F$11)</f>
        <v>17.2987</v>
      </c>
      <c r="C649" s="8">
        <f>CHOOSE( CONTROL!$C$32, 17.3068, 17.3034) * CHOOSE(CONTROL!$C$15, $D$11, 100%, $F$11)</f>
        <v>17.306799999999999</v>
      </c>
      <c r="D649" s="8">
        <f>CHOOSE( CONTROL!$C$32, 17.3329, 17.3295) * CHOOSE( CONTROL!$C$15, $D$11, 100%, $F$11)</f>
        <v>17.332899999999999</v>
      </c>
      <c r="E649" s="12">
        <f>CHOOSE( CONTROL!$C$32, 17.3222, 17.3188) * CHOOSE( CONTROL!$C$15, $D$11, 100%, $F$11)</f>
        <v>17.322199999999999</v>
      </c>
      <c r="F649" s="4">
        <f>CHOOSE( CONTROL!$C$32, 18.0121, 18.0087) * CHOOSE(CONTROL!$C$15, $D$11, 100%, $F$11)</f>
        <v>18.0121</v>
      </c>
      <c r="G649" s="8">
        <f>CHOOSE( CONTROL!$C$32, 16.8809, 16.8775) * CHOOSE( CONTROL!$C$15, $D$11, 100%, $F$11)</f>
        <v>16.8809</v>
      </c>
      <c r="H649" s="4">
        <f>CHOOSE( CONTROL!$C$32, 17.8273, 17.824) * CHOOSE(CONTROL!$C$15, $D$11, 100%, $F$11)</f>
        <v>17.827300000000001</v>
      </c>
      <c r="I649" s="8">
        <f>CHOOSE( CONTROL!$C$32, 16.7038, 16.7006) * CHOOSE(CONTROL!$C$15, $D$11, 100%, $F$11)</f>
        <v>16.703800000000001</v>
      </c>
      <c r="J649" s="4">
        <f>CHOOSE( CONTROL!$C$32, 16.5793, 16.576) * CHOOSE(CONTROL!$C$15, $D$11, 100%, $F$11)</f>
        <v>16.5793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18.0605 * CHOOSE(CONTROL!$C$15, $D$11, 100%, $F$11)</f>
        <v>18.060500000000001</v>
      </c>
      <c r="C650" s="8">
        <f>18.066 * CHOOSE(CONTROL!$C$15, $D$11, 100%, $F$11)</f>
        <v>18.065999999999999</v>
      </c>
      <c r="D650" s="8">
        <f>18.0971 * CHOOSE( CONTROL!$C$15, $D$11, 100%, $F$11)</f>
        <v>18.097100000000001</v>
      </c>
      <c r="E650" s="12">
        <f>18.0862 * CHOOSE( CONTROL!$C$15, $D$11, 100%, $F$11)</f>
        <v>18.086200000000002</v>
      </c>
      <c r="F650" s="4">
        <f>18.7757 * CHOOSE(CONTROL!$C$15, $D$11, 100%, $F$11)</f>
        <v>18.775700000000001</v>
      </c>
      <c r="G650" s="8">
        <f>17.6262 * CHOOSE( CONTROL!$C$15, $D$11, 100%, $F$11)</f>
        <v>17.626200000000001</v>
      </c>
      <c r="H650" s="4">
        <f>18.5731 * CHOOSE(CONTROL!$C$15, $D$11, 100%, $F$11)</f>
        <v>18.5731</v>
      </c>
      <c r="I650" s="8">
        <f>17.4381 * CHOOSE(CONTROL!$C$15, $D$11, 100%, $F$11)</f>
        <v>17.438099999999999</v>
      </c>
      <c r="J650" s="4">
        <f>17.3124 * CHOOSE(CONTROL!$C$15, $D$11, 100%, $F$11)</f>
        <v>17.3124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19.4758 * CHOOSE(CONTROL!$C$15, $D$11, 100%, $F$11)</f>
        <v>19.4758</v>
      </c>
      <c r="C651" s="8">
        <f>19.481 * CHOOSE(CONTROL!$C$15, $D$11, 100%, $F$11)</f>
        <v>19.481000000000002</v>
      </c>
      <c r="D651" s="8">
        <f>19.4738 * CHOOSE( CONTROL!$C$15, $D$11, 100%, $F$11)</f>
        <v>19.473800000000001</v>
      </c>
      <c r="E651" s="12">
        <f>19.4759 * CHOOSE( CONTROL!$C$15, $D$11, 100%, $F$11)</f>
        <v>19.475899999999999</v>
      </c>
      <c r="F651" s="4">
        <f>20.1263 * CHOOSE(CONTROL!$C$15, $D$11, 100%, $F$11)</f>
        <v>20.126300000000001</v>
      </c>
      <c r="G651" s="8">
        <f>19.0219 * CHOOSE( CONTROL!$C$15, $D$11, 100%, $F$11)</f>
        <v>19.021899999999999</v>
      </c>
      <c r="H651" s="4">
        <f>19.8922 * CHOOSE(CONTROL!$C$15, $D$11, 100%, $F$11)</f>
        <v>19.892199999999999</v>
      </c>
      <c r="I651" s="8">
        <f>18.8414 * CHOOSE(CONTROL!$C$15, $D$11, 100%, $F$11)</f>
        <v>18.8414</v>
      </c>
      <c r="J651" s="4">
        <f>18.6715 * CHOOSE(CONTROL!$C$15, $D$11, 100%, $F$11)</f>
        <v>18.671500000000002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19.4404 * CHOOSE(CONTROL!$C$15, $D$11, 100%, $F$11)</f>
        <v>19.4404</v>
      </c>
      <c r="C652" s="8">
        <f>19.4456 * CHOOSE(CONTROL!$C$15, $D$11, 100%, $F$11)</f>
        <v>19.445599999999999</v>
      </c>
      <c r="D652" s="8">
        <f>19.4399 * CHOOSE( CONTROL!$C$15, $D$11, 100%, $F$11)</f>
        <v>19.439900000000002</v>
      </c>
      <c r="E652" s="12">
        <f>19.4414 * CHOOSE( CONTROL!$C$15, $D$11, 100%, $F$11)</f>
        <v>19.441400000000002</v>
      </c>
      <c r="F652" s="4">
        <f>20.0909 * CHOOSE(CONTROL!$C$15, $D$11, 100%, $F$11)</f>
        <v>20.090900000000001</v>
      </c>
      <c r="G652" s="8">
        <f>18.9884 * CHOOSE( CONTROL!$C$15, $D$11, 100%, $F$11)</f>
        <v>18.988399999999999</v>
      </c>
      <c r="H652" s="4">
        <f>19.8576 * CHOOSE(CONTROL!$C$15, $D$11, 100%, $F$11)</f>
        <v>19.857600000000001</v>
      </c>
      <c r="I652" s="8">
        <f>18.8121 * CHOOSE(CONTROL!$C$15, $D$11, 100%, $F$11)</f>
        <v>18.812100000000001</v>
      </c>
      <c r="J652" s="4">
        <f>18.6376 * CHOOSE(CONTROL!$C$15, $D$11, 100%, $F$11)</f>
        <v>18.637599999999999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20.013 * CHOOSE(CONTROL!$C$15, $D$11, 100%, $F$11)</f>
        <v>20.013000000000002</v>
      </c>
      <c r="C653" s="8">
        <f>20.0182 * CHOOSE(CONTROL!$C$15, $D$11, 100%, $F$11)</f>
        <v>20.0182</v>
      </c>
      <c r="D653" s="8">
        <f>19.9983 * CHOOSE( CONTROL!$C$15, $D$11, 100%, $F$11)</f>
        <v>19.9983</v>
      </c>
      <c r="E653" s="12">
        <f>20.005 * CHOOSE( CONTROL!$C$15, $D$11, 100%, $F$11)</f>
        <v>20.004999999999999</v>
      </c>
      <c r="F653" s="4">
        <f>20.6635 * CHOOSE(CONTROL!$C$15, $D$11, 100%, $F$11)</f>
        <v>20.663499999999999</v>
      </c>
      <c r="G653" s="8">
        <f>19.5308 * CHOOSE( CONTROL!$C$15, $D$11, 100%, $F$11)</f>
        <v>19.530799999999999</v>
      </c>
      <c r="H653" s="4">
        <f>20.4169 * CHOOSE(CONTROL!$C$15, $D$11, 100%, $F$11)</f>
        <v>20.416899999999998</v>
      </c>
      <c r="I653" s="8">
        <f>19.3186 * CHOOSE(CONTROL!$C$15, $D$11, 100%, $F$11)</f>
        <v>19.3186</v>
      </c>
      <c r="J653" s="4">
        <f>19.1873 * CHOOSE(CONTROL!$C$15, $D$11, 100%, $F$11)</f>
        <v>19.1873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18.721 * CHOOSE(CONTROL!$C$15, $D$11, 100%, $F$11)</f>
        <v>18.721</v>
      </c>
      <c r="C654" s="8">
        <f>18.7262 * CHOOSE(CONTROL!$C$15, $D$11, 100%, $F$11)</f>
        <v>18.726199999999999</v>
      </c>
      <c r="D654" s="8">
        <f>18.7063 * CHOOSE( CONTROL!$C$15, $D$11, 100%, $F$11)</f>
        <v>18.706299999999999</v>
      </c>
      <c r="E654" s="12">
        <f>18.713 * CHOOSE( CONTROL!$C$15, $D$11, 100%, $F$11)</f>
        <v>18.713000000000001</v>
      </c>
      <c r="F654" s="4">
        <f>19.3715 * CHOOSE(CONTROL!$C$15, $D$11, 100%, $F$11)</f>
        <v>19.371500000000001</v>
      </c>
      <c r="G654" s="8">
        <f>18.2689 * CHOOSE( CONTROL!$C$15, $D$11, 100%, $F$11)</f>
        <v>18.268899999999999</v>
      </c>
      <c r="H654" s="4">
        <f>19.155 * CHOOSE(CONTROL!$C$15, $D$11, 100%, $F$11)</f>
        <v>19.155000000000001</v>
      </c>
      <c r="I654" s="8">
        <f>18.0775 * CHOOSE(CONTROL!$C$15, $D$11, 100%, $F$11)</f>
        <v>18.077500000000001</v>
      </c>
      <c r="J654" s="4">
        <f>17.9469 * CHOOSE(CONTROL!$C$15, $D$11, 100%, $F$11)</f>
        <v>17.946899999999999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18.3231 * CHOOSE(CONTROL!$C$15, $D$11, 100%, $F$11)</f>
        <v>18.3231</v>
      </c>
      <c r="C655" s="8">
        <f>18.3283 * CHOOSE(CONTROL!$C$15, $D$11, 100%, $F$11)</f>
        <v>18.328299999999999</v>
      </c>
      <c r="D655" s="8">
        <f>18.308 * CHOOSE( CONTROL!$C$15, $D$11, 100%, $F$11)</f>
        <v>18.308</v>
      </c>
      <c r="E655" s="12">
        <f>18.3149 * CHOOSE( CONTROL!$C$15, $D$11, 100%, $F$11)</f>
        <v>18.314900000000002</v>
      </c>
      <c r="F655" s="4">
        <f>18.9736 * CHOOSE(CONTROL!$C$15, $D$11, 100%, $F$11)</f>
        <v>18.973600000000001</v>
      </c>
      <c r="G655" s="8">
        <f>17.88 * CHOOSE( CONTROL!$C$15, $D$11, 100%, $F$11)</f>
        <v>17.88</v>
      </c>
      <c r="H655" s="4">
        <f>18.7663 * CHOOSE(CONTROL!$C$15, $D$11, 100%, $F$11)</f>
        <v>18.766300000000001</v>
      </c>
      <c r="I655" s="8">
        <f>17.6941 * CHOOSE(CONTROL!$C$15, $D$11, 100%, $F$11)</f>
        <v>17.694099999999999</v>
      </c>
      <c r="J655" s="4">
        <f>17.5648 * CHOOSE(CONTROL!$C$15, $D$11, 100%, $F$11)</f>
        <v>17.564800000000002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18.6019 * CHOOSE(CONTROL!$C$15, $D$11, 100%, $F$11)</f>
        <v>18.601900000000001</v>
      </c>
      <c r="C656" s="8">
        <f>18.6066 * CHOOSE(CONTROL!$C$15, $D$11, 100%, $F$11)</f>
        <v>18.6066</v>
      </c>
      <c r="D656" s="8">
        <f>18.6374 * CHOOSE( CONTROL!$C$15, $D$11, 100%, $F$11)</f>
        <v>18.6374</v>
      </c>
      <c r="E656" s="12">
        <f>18.6267 * CHOOSE( CONTROL!$C$15, $D$11, 100%, $F$11)</f>
        <v>18.6267</v>
      </c>
      <c r="F656" s="4">
        <f>19.3167 * CHOOSE(CONTROL!$C$15, $D$11, 100%, $F$11)</f>
        <v>19.316700000000001</v>
      </c>
      <c r="G656" s="8">
        <f>18.1536 * CHOOSE( CONTROL!$C$15, $D$11, 100%, $F$11)</f>
        <v>18.153600000000001</v>
      </c>
      <c r="H656" s="4">
        <f>19.1015 * CHOOSE(CONTROL!$C$15, $D$11, 100%, $F$11)</f>
        <v>19.101500000000001</v>
      </c>
      <c r="I656" s="8">
        <f>17.9545 * CHOOSE(CONTROL!$C$15, $D$11, 100%, $F$11)</f>
        <v>17.954499999999999</v>
      </c>
      <c r="J656" s="4">
        <f>17.8318 * CHOOSE(CONTROL!$C$15, $D$11, 100%, $F$11)</f>
        <v>17.831800000000001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19.1016, 19.0982) * CHOOSE(CONTROL!$C$15, $D$11, 100%, $F$11)</f>
        <v>19.101600000000001</v>
      </c>
      <c r="C657" s="8">
        <f>CHOOSE( CONTROL!$C$32, 19.1097, 19.1063) * CHOOSE(CONTROL!$C$15, $D$11, 100%, $F$11)</f>
        <v>19.1097</v>
      </c>
      <c r="D657" s="8">
        <f>CHOOSE( CONTROL!$C$32, 19.1353, 19.1319) * CHOOSE( CONTROL!$C$15, $D$11, 100%, $F$11)</f>
        <v>19.135300000000001</v>
      </c>
      <c r="E657" s="12">
        <f>CHOOSE( CONTROL!$C$32, 19.1248, 19.1214) * CHOOSE( CONTROL!$C$15, $D$11, 100%, $F$11)</f>
        <v>19.1248</v>
      </c>
      <c r="F657" s="4">
        <f>CHOOSE( CONTROL!$C$32, 19.815, 19.8116) * CHOOSE(CONTROL!$C$15, $D$11, 100%, $F$11)</f>
        <v>19.815000000000001</v>
      </c>
      <c r="G657" s="8">
        <f>CHOOSE( CONTROL!$C$32, 18.641, 18.6377) * CHOOSE( CONTROL!$C$15, $D$11, 100%, $F$11)</f>
        <v>18.640999999999998</v>
      </c>
      <c r="H657" s="4">
        <f>CHOOSE( CONTROL!$C$32, 19.5882, 19.5849) * CHOOSE(CONTROL!$C$15, $D$11, 100%, $F$11)</f>
        <v>19.588200000000001</v>
      </c>
      <c r="I657" s="8">
        <f>CHOOSE( CONTROL!$C$32, 18.4333, 18.43) * CHOOSE(CONTROL!$C$15, $D$11, 100%, $F$11)</f>
        <v>18.433299999999999</v>
      </c>
      <c r="J657" s="4">
        <f>CHOOSE( CONTROL!$C$32, 18.3102, 18.307) * CHOOSE(CONTROL!$C$15, $D$11, 100%, $F$11)</f>
        <v>18.310199999999998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18.795, 18.7916) * CHOOSE(CONTROL!$C$15, $D$11, 100%, $F$11)</f>
        <v>18.795000000000002</v>
      </c>
      <c r="C658" s="8">
        <f>CHOOSE( CONTROL!$C$32, 18.8031, 18.7997) * CHOOSE(CONTROL!$C$15, $D$11, 100%, $F$11)</f>
        <v>18.803100000000001</v>
      </c>
      <c r="D658" s="8">
        <f>CHOOSE( CONTROL!$C$32, 18.8289, 18.8255) * CHOOSE( CONTROL!$C$15, $D$11, 100%, $F$11)</f>
        <v>18.828900000000001</v>
      </c>
      <c r="E658" s="12">
        <f>CHOOSE( CONTROL!$C$32, 18.8183, 18.8149) * CHOOSE( CONTROL!$C$15, $D$11, 100%, $F$11)</f>
        <v>18.818300000000001</v>
      </c>
      <c r="F658" s="4">
        <f>CHOOSE( CONTROL!$C$32, 19.5085, 19.5051) * CHOOSE(CONTROL!$C$15, $D$11, 100%, $F$11)</f>
        <v>19.508500000000002</v>
      </c>
      <c r="G658" s="8">
        <f>CHOOSE( CONTROL!$C$32, 18.3419, 18.3386) * CHOOSE( CONTROL!$C$15, $D$11, 100%, $F$11)</f>
        <v>18.341899999999999</v>
      </c>
      <c r="H658" s="4">
        <f>CHOOSE( CONTROL!$C$32, 19.2888, 19.2854) * CHOOSE(CONTROL!$C$15, $D$11, 100%, $F$11)</f>
        <v>19.288799999999998</v>
      </c>
      <c r="I658" s="8">
        <f>CHOOSE( CONTROL!$C$32, 18.1398, 18.1365) * CHOOSE(CONTROL!$C$15, $D$11, 100%, $F$11)</f>
        <v>18.139800000000001</v>
      </c>
      <c r="J658" s="4">
        <f>CHOOSE( CONTROL!$C$32, 18.0159, 18.0126) * CHOOSE(CONTROL!$C$15, $D$11, 100%, $F$11)</f>
        <v>18.015899999999998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19.6023, 19.5989) * CHOOSE(CONTROL!$C$15, $D$11, 100%, $F$11)</f>
        <v>19.6023</v>
      </c>
      <c r="C659" s="8">
        <f>CHOOSE( CONTROL!$C$32, 19.6104, 19.607) * CHOOSE(CONTROL!$C$15, $D$11, 100%, $F$11)</f>
        <v>19.610399999999998</v>
      </c>
      <c r="D659" s="8">
        <f>CHOOSE( CONTROL!$C$32, 19.6365, 19.633) * CHOOSE( CONTROL!$C$15, $D$11, 100%, $F$11)</f>
        <v>19.636500000000002</v>
      </c>
      <c r="E659" s="12">
        <f>CHOOSE( CONTROL!$C$32, 19.6258, 19.6223) * CHOOSE( CONTROL!$C$15, $D$11, 100%, $F$11)</f>
        <v>19.625800000000002</v>
      </c>
      <c r="F659" s="4">
        <f>CHOOSE( CONTROL!$C$32, 20.3158, 20.3124) * CHOOSE(CONTROL!$C$15, $D$11, 100%, $F$11)</f>
        <v>20.315799999999999</v>
      </c>
      <c r="G659" s="8">
        <f>CHOOSE( CONTROL!$C$32, 19.1307, 19.1274) * CHOOSE( CONTROL!$C$15, $D$11, 100%, $F$11)</f>
        <v>19.130700000000001</v>
      </c>
      <c r="H659" s="4">
        <f>CHOOSE( CONTROL!$C$32, 20.0772, 20.0739) * CHOOSE(CONTROL!$C$15, $D$11, 100%, $F$11)</f>
        <v>20.077200000000001</v>
      </c>
      <c r="I659" s="8">
        <f>CHOOSE( CONTROL!$C$32, 18.9164, 18.9131) * CHOOSE(CONTROL!$C$15, $D$11, 100%, $F$11)</f>
        <v>18.916399999999999</v>
      </c>
      <c r="J659" s="4">
        <f>CHOOSE( CONTROL!$C$32, 18.791, 18.7877) * CHOOSE(CONTROL!$C$15, $D$11, 100%, $F$11)</f>
        <v>18.791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18.0918, 18.0884) * CHOOSE(CONTROL!$C$15, $D$11, 100%, $F$11)</f>
        <v>18.091799999999999</v>
      </c>
      <c r="C660" s="8">
        <f>CHOOSE( CONTROL!$C$32, 18.0999, 18.0965) * CHOOSE(CONTROL!$C$15, $D$11, 100%, $F$11)</f>
        <v>18.099900000000002</v>
      </c>
      <c r="D660" s="8">
        <f>CHOOSE( CONTROL!$C$32, 18.126, 18.1226) * CHOOSE( CONTROL!$C$15, $D$11, 100%, $F$11)</f>
        <v>18.126000000000001</v>
      </c>
      <c r="E660" s="12">
        <f>CHOOSE( CONTROL!$C$32, 18.1153, 18.1119) * CHOOSE( CONTROL!$C$15, $D$11, 100%, $F$11)</f>
        <v>18.115300000000001</v>
      </c>
      <c r="F660" s="4">
        <f>CHOOSE( CONTROL!$C$32, 18.8052, 18.8018) * CHOOSE(CONTROL!$C$15, $D$11, 100%, $F$11)</f>
        <v>18.805199999999999</v>
      </c>
      <c r="G660" s="8">
        <f>CHOOSE( CONTROL!$C$32, 17.6555, 17.6522) * CHOOSE( CONTROL!$C$15, $D$11, 100%, $F$11)</f>
        <v>17.6555</v>
      </c>
      <c r="H660" s="4">
        <f>CHOOSE( CONTROL!$C$32, 18.6019, 18.5986) * CHOOSE(CONTROL!$C$15, $D$11, 100%, $F$11)</f>
        <v>18.601900000000001</v>
      </c>
      <c r="I660" s="8">
        <f>CHOOSE( CONTROL!$C$32, 17.4658, 17.4625) * CHOOSE(CONTROL!$C$15, $D$11, 100%, $F$11)</f>
        <v>17.465800000000002</v>
      </c>
      <c r="J660" s="4">
        <f>CHOOSE( CONTROL!$C$32, 17.3407, 17.3374) * CHOOSE(CONTROL!$C$15, $D$11, 100%, $F$11)</f>
        <v>17.340699999999998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17.7135, 17.7101) * CHOOSE(CONTROL!$C$15, $D$11, 100%, $F$11)</f>
        <v>17.7135</v>
      </c>
      <c r="C661" s="8">
        <f>CHOOSE( CONTROL!$C$32, 17.7216, 17.7182) * CHOOSE(CONTROL!$C$15, $D$11, 100%, $F$11)</f>
        <v>17.721599999999999</v>
      </c>
      <c r="D661" s="8">
        <f>CHOOSE( CONTROL!$C$32, 17.7477, 17.7443) * CHOOSE( CONTROL!$C$15, $D$11, 100%, $F$11)</f>
        <v>17.747699999999998</v>
      </c>
      <c r="E661" s="12">
        <f>CHOOSE( CONTROL!$C$32, 17.737, 17.7336) * CHOOSE( CONTROL!$C$15, $D$11, 100%, $F$11)</f>
        <v>17.736999999999998</v>
      </c>
      <c r="F661" s="4">
        <f>CHOOSE( CONTROL!$C$32, 18.427, 18.4236) * CHOOSE(CONTROL!$C$15, $D$11, 100%, $F$11)</f>
        <v>18.427</v>
      </c>
      <c r="G661" s="8">
        <f>CHOOSE( CONTROL!$C$32, 17.286, 17.2827) * CHOOSE( CONTROL!$C$15, $D$11, 100%, $F$11)</f>
        <v>17.286000000000001</v>
      </c>
      <c r="H661" s="4">
        <f>CHOOSE( CONTROL!$C$32, 18.2324, 18.2291) * CHOOSE(CONTROL!$C$15, $D$11, 100%, $F$11)</f>
        <v>18.232399999999998</v>
      </c>
      <c r="I661" s="8">
        <f>CHOOSE( CONTROL!$C$32, 17.1023, 17.099) * CHOOSE(CONTROL!$C$15, $D$11, 100%, $F$11)</f>
        <v>17.1023</v>
      </c>
      <c r="J661" s="4">
        <f>CHOOSE( CONTROL!$C$32, 16.9775, 16.9743) * CHOOSE(CONTROL!$C$15, $D$11, 100%, $F$11)</f>
        <v>16.977499999999999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18.4938 * CHOOSE(CONTROL!$C$15, $D$11, 100%, $F$11)</f>
        <v>18.4938</v>
      </c>
      <c r="C662" s="8">
        <f>18.4992 * CHOOSE(CONTROL!$C$15, $D$11, 100%, $F$11)</f>
        <v>18.499199999999998</v>
      </c>
      <c r="D662" s="8">
        <f>18.5303 * CHOOSE( CONTROL!$C$15, $D$11, 100%, $F$11)</f>
        <v>18.5303</v>
      </c>
      <c r="E662" s="12">
        <f>18.5195 * CHOOSE( CONTROL!$C$15, $D$11, 100%, $F$11)</f>
        <v>18.519500000000001</v>
      </c>
      <c r="F662" s="4">
        <f>19.209 * CHOOSE(CONTROL!$C$15, $D$11, 100%, $F$11)</f>
        <v>19.209</v>
      </c>
      <c r="G662" s="8">
        <f>18.0494 * CHOOSE( CONTROL!$C$15, $D$11, 100%, $F$11)</f>
        <v>18.049399999999999</v>
      </c>
      <c r="H662" s="4">
        <f>18.9962 * CHOOSE(CONTROL!$C$15, $D$11, 100%, $F$11)</f>
        <v>18.996200000000002</v>
      </c>
      <c r="I662" s="8">
        <f>17.8543 * CHOOSE(CONTROL!$C$15, $D$11, 100%, $F$11)</f>
        <v>17.854299999999999</v>
      </c>
      <c r="J662" s="4">
        <f>17.7283 * CHOOSE(CONTROL!$C$15, $D$11, 100%, $F$11)</f>
        <v>17.728300000000001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19.9431 * CHOOSE(CONTROL!$C$15, $D$11, 100%, $F$11)</f>
        <v>19.943100000000001</v>
      </c>
      <c r="C663" s="8">
        <f>19.9483 * CHOOSE(CONTROL!$C$15, $D$11, 100%, $F$11)</f>
        <v>19.9483</v>
      </c>
      <c r="D663" s="8">
        <f>19.9411 * CHOOSE( CONTROL!$C$15, $D$11, 100%, $F$11)</f>
        <v>19.941099999999999</v>
      </c>
      <c r="E663" s="12">
        <f>19.9432 * CHOOSE( CONTROL!$C$15, $D$11, 100%, $F$11)</f>
        <v>19.943200000000001</v>
      </c>
      <c r="F663" s="4">
        <f>20.5935 * CHOOSE(CONTROL!$C$15, $D$11, 100%, $F$11)</f>
        <v>20.593499999999999</v>
      </c>
      <c r="G663" s="8">
        <f>19.4783 * CHOOSE( CONTROL!$C$15, $D$11, 100%, $F$11)</f>
        <v>19.478300000000001</v>
      </c>
      <c r="H663" s="4">
        <f>20.3485 * CHOOSE(CONTROL!$C$15, $D$11, 100%, $F$11)</f>
        <v>20.348500000000001</v>
      </c>
      <c r="I663" s="8">
        <f>19.2903 * CHOOSE(CONTROL!$C$15, $D$11, 100%, $F$11)</f>
        <v>19.290299999999998</v>
      </c>
      <c r="J663" s="4">
        <f>19.1202 * CHOOSE(CONTROL!$C$15, $D$11, 100%, $F$11)</f>
        <v>19.120200000000001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19.9068 * CHOOSE(CONTROL!$C$15, $D$11, 100%, $F$11)</f>
        <v>19.9068</v>
      </c>
      <c r="C664" s="8">
        <f>19.912 * CHOOSE(CONTROL!$C$15, $D$11, 100%, $F$11)</f>
        <v>19.911999999999999</v>
      </c>
      <c r="D664" s="8">
        <f>19.9063 * CHOOSE( CONTROL!$C$15, $D$11, 100%, $F$11)</f>
        <v>19.906300000000002</v>
      </c>
      <c r="E664" s="12">
        <f>19.9078 * CHOOSE( CONTROL!$C$15, $D$11, 100%, $F$11)</f>
        <v>19.907800000000002</v>
      </c>
      <c r="F664" s="4">
        <f>20.5573 * CHOOSE(CONTROL!$C$15, $D$11, 100%, $F$11)</f>
        <v>20.557300000000001</v>
      </c>
      <c r="G664" s="8">
        <f>19.4439 * CHOOSE( CONTROL!$C$15, $D$11, 100%, $F$11)</f>
        <v>19.443899999999999</v>
      </c>
      <c r="H664" s="4">
        <f>20.3132 * CHOOSE(CONTROL!$C$15, $D$11, 100%, $F$11)</f>
        <v>20.313199999999998</v>
      </c>
      <c r="I664" s="8">
        <f>19.2601 * CHOOSE(CONTROL!$C$15, $D$11, 100%, $F$11)</f>
        <v>19.260100000000001</v>
      </c>
      <c r="J664" s="4">
        <f>19.0854 * CHOOSE(CONTROL!$C$15, $D$11, 100%, $F$11)</f>
        <v>19.0854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20.4932 * CHOOSE(CONTROL!$C$15, $D$11, 100%, $F$11)</f>
        <v>20.493200000000002</v>
      </c>
      <c r="C665" s="8">
        <f>20.4984 * CHOOSE(CONTROL!$C$15, $D$11, 100%, $F$11)</f>
        <v>20.4984</v>
      </c>
      <c r="D665" s="8">
        <f>20.4785 * CHOOSE( CONTROL!$C$15, $D$11, 100%, $F$11)</f>
        <v>20.4785</v>
      </c>
      <c r="E665" s="12">
        <f>20.4852 * CHOOSE( CONTROL!$C$15, $D$11, 100%, $F$11)</f>
        <v>20.485199999999999</v>
      </c>
      <c r="F665" s="4">
        <f>21.1437 * CHOOSE(CONTROL!$C$15, $D$11, 100%, $F$11)</f>
        <v>21.143699999999999</v>
      </c>
      <c r="G665" s="8">
        <f>19.9998 * CHOOSE( CONTROL!$C$15, $D$11, 100%, $F$11)</f>
        <v>19.9998</v>
      </c>
      <c r="H665" s="4">
        <f>20.8859 * CHOOSE(CONTROL!$C$15, $D$11, 100%, $F$11)</f>
        <v>20.885899999999999</v>
      </c>
      <c r="I665" s="8">
        <f>19.7798 * CHOOSE(CONTROL!$C$15, $D$11, 100%, $F$11)</f>
        <v>19.779800000000002</v>
      </c>
      <c r="J665" s="4">
        <f>19.6483 * CHOOSE(CONTROL!$C$15, $D$11, 100%, $F$11)</f>
        <v>19.648299999999999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19.1702 * CHOOSE(CONTROL!$C$15, $D$11, 100%, $F$11)</f>
        <v>19.170200000000001</v>
      </c>
      <c r="C666" s="8">
        <f>19.1754 * CHOOSE(CONTROL!$C$15, $D$11, 100%, $F$11)</f>
        <v>19.1754</v>
      </c>
      <c r="D666" s="8">
        <f>19.1554 * CHOOSE( CONTROL!$C$15, $D$11, 100%, $F$11)</f>
        <v>19.1554</v>
      </c>
      <c r="E666" s="12">
        <f>19.1622 * CHOOSE( CONTROL!$C$15, $D$11, 100%, $F$11)</f>
        <v>19.162199999999999</v>
      </c>
      <c r="F666" s="4">
        <f>19.8206 * CHOOSE(CONTROL!$C$15, $D$11, 100%, $F$11)</f>
        <v>19.820599999999999</v>
      </c>
      <c r="G666" s="8">
        <f>18.7076 * CHOOSE( CONTROL!$C$15, $D$11, 100%, $F$11)</f>
        <v>18.707599999999999</v>
      </c>
      <c r="H666" s="4">
        <f>19.5937 * CHOOSE(CONTROL!$C$15, $D$11, 100%, $F$11)</f>
        <v>19.593699999999998</v>
      </c>
      <c r="I666" s="8">
        <f>18.5089 * CHOOSE(CONTROL!$C$15, $D$11, 100%, $F$11)</f>
        <v>18.508900000000001</v>
      </c>
      <c r="J666" s="4">
        <f>18.3781 * CHOOSE(CONTROL!$C$15, $D$11, 100%, $F$11)</f>
        <v>18.3781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18.7627 * CHOOSE(CONTROL!$C$15, $D$11, 100%, $F$11)</f>
        <v>18.762699999999999</v>
      </c>
      <c r="C667" s="8">
        <f>18.7679 * CHOOSE(CONTROL!$C$15, $D$11, 100%, $F$11)</f>
        <v>18.767900000000001</v>
      </c>
      <c r="D667" s="8">
        <f>18.7476 * CHOOSE( CONTROL!$C$15, $D$11, 100%, $F$11)</f>
        <v>18.747599999999998</v>
      </c>
      <c r="E667" s="12">
        <f>18.7545 * CHOOSE( CONTROL!$C$15, $D$11, 100%, $F$11)</f>
        <v>18.7545</v>
      </c>
      <c r="F667" s="4">
        <f>19.4132 * CHOOSE(CONTROL!$C$15, $D$11, 100%, $F$11)</f>
        <v>19.4132</v>
      </c>
      <c r="G667" s="8">
        <f>18.3093 * CHOOSE( CONTROL!$C$15, $D$11, 100%, $F$11)</f>
        <v>18.3093</v>
      </c>
      <c r="H667" s="4">
        <f>19.1957 * CHOOSE(CONTROL!$C$15, $D$11, 100%, $F$11)</f>
        <v>19.195699999999999</v>
      </c>
      <c r="I667" s="8">
        <f>18.1163 * CHOOSE(CONTROL!$C$15, $D$11, 100%, $F$11)</f>
        <v>18.116299999999999</v>
      </c>
      <c r="J667" s="4">
        <f>17.9869 * CHOOSE(CONTROL!$C$15, $D$11, 100%, $F$11)</f>
        <v>17.986899999999999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19.0482 * CHOOSE(CONTROL!$C$15, $D$11, 100%, $F$11)</f>
        <v>19.048200000000001</v>
      </c>
      <c r="C668" s="8">
        <f>19.0528 * CHOOSE(CONTROL!$C$15, $D$11, 100%, $F$11)</f>
        <v>19.052800000000001</v>
      </c>
      <c r="D668" s="8">
        <f>19.0837 * CHOOSE( CONTROL!$C$15, $D$11, 100%, $F$11)</f>
        <v>19.0837</v>
      </c>
      <c r="E668" s="12">
        <f>19.073 * CHOOSE( CONTROL!$C$15, $D$11, 100%, $F$11)</f>
        <v>19.073</v>
      </c>
      <c r="F668" s="4">
        <f>19.763 * CHOOSE(CONTROL!$C$15, $D$11, 100%, $F$11)</f>
        <v>19.763000000000002</v>
      </c>
      <c r="G668" s="8">
        <f>18.5895 * CHOOSE( CONTROL!$C$15, $D$11, 100%, $F$11)</f>
        <v>18.589500000000001</v>
      </c>
      <c r="H668" s="4">
        <f>19.5374 * CHOOSE(CONTROL!$C$15, $D$11, 100%, $F$11)</f>
        <v>19.537400000000002</v>
      </c>
      <c r="I668" s="8">
        <f>18.3832 * CHOOSE(CONTROL!$C$15, $D$11, 100%, $F$11)</f>
        <v>18.383199999999999</v>
      </c>
      <c r="J668" s="4">
        <f>18.2603 * CHOOSE(CONTROL!$C$15, $D$11, 100%, $F$11)</f>
        <v>18.260300000000001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19.5597, 19.5563) * CHOOSE(CONTROL!$C$15, $D$11, 100%, $F$11)</f>
        <v>19.559699999999999</v>
      </c>
      <c r="C669" s="8">
        <f>CHOOSE( CONTROL!$C$32, 19.5678, 19.5644) * CHOOSE(CONTROL!$C$15, $D$11, 100%, $F$11)</f>
        <v>19.567799999999998</v>
      </c>
      <c r="D669" s="8">
        <f>CHOOSE( CONTROL!$C$32, 19.5934, 19.59) * CHOOSE( CONTROL!$C$15, $D$11, 100%, $F$11)</f>
        <v>19.593399999999999</v>
      </c>
      <c r="E669" s="12">
        <f>CHOOSE( CONTROL!$C$32, 19.5829, 19.5795) * CHOOSE( CONTROL!$C$15, $D$11, 100%, $F$11)</f>
        <v>19.582899999999999</v>
      </c>
      <c r="F669" s="4">
        <f>CHOOSE( CONTROL!$C$32, 20.2732, 20.2698) * CHOOSE(CONTROL!$C$15, $D$11, 100%, $F$11)</f>
        <v>20.273199999999999</v>
      </c>
      <c r="G669" s="8">
        <f>CHOOSE( CONTROL!$C$32, 19.0885, 19.0852) * CHOOSE( CONTROL!$C$15, $D$11, 100%, $F$11)</f>
        <v>19.0885</v>
      </c>
      <c r="H669" s="4">
        <f>CHOOSE( CONTROL!$C$32, 20.0357, 20.0323) * CHOOSE(CONTROL!$C$15, $D$11, 100%, $F$11)</f>
        <v>20.035699999999999</v>
      </c>
      <c r="I669" s="8">
        <f>CHOOSE( CONTROL!$C$32, 18.8734, 18.8701) * CHOOSE(CONTROL!$C$15, $D$11, 100%, $F$11)</f>
        <v>18.8734</v>
      </c>
      <c r="J669" s="4">
        <f>CHOOSE( CONTROL!$C$32, 18.7501, 18.7468) * CHOOSE(CONTROL!$C$15, $D$11, 100%, $F$11)</f>
        <v>18.7501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19.2458, 19.2424) * CHOOSE(CONTROL!$C$15, $D$11, 100%, $F$11)</f>
        <v>19.245799999999999</v>
      </c>
      <c r="C670" s="8">
        <f>CHOOSE( CONTROL!$C$32, 19.2539, 19.2505) * CHOOSE(CONTROL!$C$15, $D$11, 100%, $F$11)</f>
        <v>19.253900000000002</v>
      </c>
      <c r="D670" s="8">
        <f>CHOOSE( CONTROL!$C$32, 19.2797, 19.2763) * CHOOSE( CONTROL!$C$15, $D$11, 100%, $F$11)</f>
        <v>19.279699999999998</v>
      </c>
      <c r="E670" s="12">
        <f>CHOOSE( CONTROL!$C$32, 19.2691, 19.2657) * CHOOSE( CONTROL!$C$15, $D$11, 100%, $F$11)</f>
        <v>19.269100000000002</v>
      </c>
      <c r="F670" s="4">
        <f>CHOOSE( CONTROL!$C$32, 19.9592, 19.9558) * CHOOSE(CONTROL!$C$15, $D$11, 100%, $F$11)</f>
        <v>19.959199999999999</v>
      </c>
      <c r="G670" s="8">
        <f>CHOOSE( CONTROL!$C$32, 18.7822, 18.7789) * CHOOSE( CONTROL!$C$15, $D$11, 100%, $F$11)</f>
        <v>18.7822</v>
      </c>
      <c r="H670" s="4">
        <f>CHOOSE( CONTROL!$C$32, 19.729, 19.7257) * CHOOSE(CONTROL!$C$15, $D$11, 100%, $F$11)</f>
        <v>19.728999999999999</v>
      </c>
      <c r="I670" s="8">
        <f>CHOOSE( CONTROL!$C$32, 18.5728, 18.5695) * CHOOSE(CONTROL!$C$15, $D$11, 100%, $F$11)</f>
        <v>18.572800000000001</v>
      </c>
      <c r="J670" s="4">
        <f>CHOOSE( CONTROL!$C$32, 18.4487, 18.4454) * CHOOSE(CONTROL!$C$15, $D$11, 100%, $F$11)</f>
        <v>18.448699999999999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20.0725, 20.0691) * CHOOSE(CONTROL!$C$15, $D$11, 100%, $F$11)</f>
        <v>20.072500000000002</v>
      </c>
      <c r="C671" s="8">
        <f>CHOOSE( CONTROL!$C$32, 20.0806, 20.0772) * CHOOSE(CONTROL!$C$15, $D$11, 100%, $F$11)</f>
        <v>20.0806</v>
      </c>
      <c r="D671" s="8">
        <f>CHOOSE( CONTROL!$C$32, 20.1066, 20.1032) * CHOOSE( CONTROL!$C$15, $D$11, 100%, $F$11)</f>
        <v>20.1066</v>
      </c>
      <c r="E671" s="12">
        <f>CHOOSE( CONTROL!$C$32, 20.0959, 20.0925) * CHOOSE( CONTROL!$C$15, $D$11, 100%, $F$11)</f>
        <v>20.0959</v>
      </c>
      <c r="F671" s="4">
        <f>CHOOSE( CONTROL!$C$32, 20.7859, 20.7825) * CHOOSE(CONTROL!$C$15, $D$11, 100%, $F$11)</f>
        <v>20.785900000000002</v>
      </c>
      <c r="G671" s="8">
        <f>CHOOSE( CONTROL!$C$32, 19.59, 19.5866) * CHOOSE( CONTROL!$C$15, $D$11, 100%, $F$11)</f>
        <v>19.59</v>
      </c>
      <c r="H671" s="4">
        <f>CHOOSE( CONTROL!$C$32, 20.5365, 20.5332) * CHOOSE(CONTROL!$C$15, $D$11, 100%, $F$11)</f>
        <v>20.5365</v>
      </c>
      <c r="I671" s="8">
        <f>CHOOSE( CONTROL!$C$32, 19.368, 19.3647) * CHOOSE(CONTROL!$C$15, $D$11, 100%, $F$11)</f>
        <v>19.367999999999999</v>
      </c>
      <c r="J671" s="4">
        <f>CHOOSE( CONTROL!$C$32, 19.2424, 19.2391) * CHOOSE(CONTROL!$C$15, $D$11, 100%, $F$11)</f>
        <v>19.2424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18.5257, 18.5223) * CHOOSE(CONTROL!$C$15, $D$11, 100%, $F$11)</f>
        <v>18.525700000000001</v>
      </c>
      <c r="C672" s="8">
        <f>CHOOSE( CONTROL!$C$32, 18.5338, 18.5304) * CHOOSE(CONTROL!$C$15, $D$11, 100%, $F$11)</f>
        <v>18.533799999999999</v>
      </c>
      <c r="D672" s="8">
        <f>CHOOSE( CONTROL!$C$32, 18.5599, 18.5565) * CHOOSE( CONTROL!$C$15, $D$11, 100%, $F$11)</f>
        <v>18.559899999999999</v>
      </c>
      <c r="E672" s="12">
        <f>CHOOSE( CONTROL!$C$32, 18.5492, 18.5458) * CHOOSE( CONTROL!$C$15, $D$11, 100%, $F$11)</f>
        <v>18.549199999999999</v>
      </c>
      <c r="F672" s="4">
        <f>CHOOSE( CONTROL!$C$32, 19.2391, 19.2357) * CHOOSE(CONTROL!$C$15, $D$11, 100%, $F$11)</f>
        <v>19.239100000000001</v>
      </c>
      <c r="G672" s="8">
        <f>CHOOSE( CONTROL!$C$32, 18.0793, 18.076) * CHOOSE( CONTROL!$C$15, $D$11, 100%, $F$11)</f>
        <v>18.0793</v>
      </c>
      <c r="H672" s="4">
        <f>CHOOSE( CONTROL!$C$32, 19.0257, 19.0223) * CHOOSE(CONTROL!$C$15, $D$11, 100%, $F$11)</f>
        <v>19.025700000000001</v>
      </c>
      <c r="I672" s="8">
        <f>CHOOSE( CONTROL!$C$32, 17.8826, 17.8793) * CHOOSE(CONTROL!$C$15, $D$11, 100%, $F$11)</f>
        <v>17.8826</v>
      </c>
      <c r="J672" s="4">
        <f>CHOOSE( CONTROL!$C$32, 17.7573, 17.754) * CHOOSE(CONTROL!$C$15, $D$11, 100%, $F$11)</f>
        <v>17.757300000000001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18.1383, 18.1349) * CHOOSE(CONTROL!$C$15, $D$11, 100%, $F$11)</f>
        <v>18.138300000000001</v>
      </c>
      <c r="C673" s="8">
        <f>CHOOSE( CONTROL!$C$32, 18.1464, 18.143) * CHOOSE(CONTROL!$C$15, $D$11, 100%, $F$11)</f>
        <v>18.1464</v>
      </c>
      <c r="D673" s="8">
        <f>CHOOSE( CONTROL!$C$32, 18.1725, 18.1691) * CHOOSE( CONTROL!$C$15, $D$11, 100%, $F$11)</f>
        <v>18.172499999999999</v>
      </c>
      <c r="E673" s="12">
        <f>CHOOSE( CONTROL!$C$32, 18.1618, 18.1584) * CHOOSE( CONTROL!$C$15, $D$11, 100%, $F$11)</f>
        <v>18.161799999999999</v>
      </c>
      <c r="F673" s="4">
        <f>CHOOSE( CONTROL!$C$32, 18.8518, 18.8484) * CHOOSE(CONTROL!$C$15, $D$11, 100%, $F$11)</f>
        <v>18.851800000000001</v>
      </c>
      <c r="G673" s="8">
        <f>CHOOSE( CONTROL!$C$32, 17.7009, 17.6976) * CHOOSE( CONTROL!$C$15, $D$11, 100%, $F$11)</f>
        <v>17.700900000000001</v>
      </c>
      <c r="H673" s="4">
        <f>CHOOSE( CONTROL!$C$32, 18.6474, 18.644) * CHOOSE(CONTROL!$C$15, $D$11, 100%, $F$11)</f>
        <v>18.647400000000001</v>
      </c>
      <c r="I673" s="8">
        <f>CHOOSE( CONTROL!$C$32, 17.5104, 17.5071) * CHOOSE(CONTROL!$C$15, $D$11, 100%, $F$11)</f>
        <v>17.510400000000001</v>
      </c>
      <c r="J673" s="4">
        <f>CHOOSE( CONTROL!$C$32, 17.3854, 17.3821) * CHOOSE(CONTROL!$C$15, $D$11, 100%, $F$11)</f>
        <v>17.385400000000001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18.9375 * CHOOSE(CONTROL!$C$15, $D$11, 100%, $F$11)</f>
        <v>18.9375</v>
      </c>
      <c r="C674" s="8">
        <f>18.9429 * CHOOSE(CONTROL!$C$15, $D$11, 100%, $F$11)</f>
        <v>18.942900000000002</v>
      </c>
      <c r="D674" s="8">
        <f>18.974 * CHOOSE( CONTROL!$C$15, $D$11, 100%, $F$11)</f>
        <v>18.974</v>
      </c>
      <c r="E674" s="12">
        <f>18.9632 * CHOOSE( CONTROL!$C$15, $D$11, 100%, $F$11)</f>
        <v>18.963200000000001</v>
      </c>
      <c r="F674" s="4">
        <f>19.6526 * CHOOSE(CONTROL!$C$15, $D$11, 100%, $F$11)</f>
        <v>19.6526</v>
      </c>
      <c r="G674" s="8">
        <f>18.4827 * CHOOSE( CONTROL!$C$15, $D$11, 100%, $F$11)</f>
        <v>18.482700000000001</v>
      </c>
      <c r="H674" s="4">
        <f>19.4296 * CHOOSE(CONTROL!$C$15, $D$11, 100%, $F$11)</f>
        <v>19.429600000000001</v>
      </c>
      <c r="I674" s="8">
        <f>18.2805 * CHOOSE(CONTROL!$C$15, $D$11, 100%, $F$11)</f>
        <v>18.2805</v>
      </c>
      <c r="J674" s="4">
        <f>18.1543 * CHOOSE(CONTROL!$C$15, $D$11, 100%, $F$11)</f>
        <v>18.154299999999999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20.4216 * CHOOSE(CONTROL!$C$15, $D$11, 100%, $F$11)</f>
        <v>20.421600000000002</v>
      </c>
      <c r="C675" s="8">
        <f>20.4268 * CHOOSE(CONTROL!$C$15, $D$11, 100%, $F$11)</f>
        <v>20.4268</v>
      </c>
      <c r="D675" s="8">
        <f>20.4196 * CHOOSE( CONTROL!$C$15, $D$11, 100%, $F$11)</f>
        <v>20.419599999999999</v>
      </c>
      <c r="E675" s="12">
        <f>20.4217 * CHOOSE( CONTROL!$C$15, $D$11, 100%, $F$11)</f>
        <v>20.421700000000001</v>
      </c>
      <c r="F675" s="4">
        <f>21.072 * CHOOSE(CONTROL!$C$15, $D$11, 100%, $F$11)</f>
        <v>21.071999999999999</v>
      </c>
      <c r="G675" s="8">
        <f>19.9456 * CHOOSE( CONTROL!$C$15, $D$11, 100%, $F$11)</f>
        <v>19.945599999999999</v>
      </c>
      <c r="H675" s="4">
        <f>20.8159 * CHOOSE(CONTROL!$C$15, $D$11, 100%, $F$11)</f>
        <v>20.815899999999999</v>
      </c>
      <c r="I675" s="8">
        <f>19.7499 * CHOOSE(CONTROL!$C$15, $D$11, 100%, $F$11)</f>
        <v>19.7499</v>
      </c>
      <c r="J675" s="4">
        <f>19.5796 * CHOOSE(CONTROL!$C$15, $D$11, 100%, $F$11)</f>
        <v>19.579599999999999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20.3845 * CHOOSE(CONTROL!$C$15, $D$11, 100%, $F$11)</f>
        <v>20.384499999999999</v>
      </c>
      <c r="C676" s="8">
        <f>20.3897 * CHOOSE(CONTROL!$C$15, $D$11, 100%, $F$11)</f>
        <v>20.389700000000001</v>
      </c>
      <c r="D676" s="8">
        <f>20.384 * CHOOSE( CONTROL!$C$15, $D$11, 100%, $F$11)</f>
        <v>20.384</v>
      </c>
      <c r="E676" s="12">
        <f>20.3855 * CHOOSE( CONTROL!$C$15, $D$11, 100%, $F$11)</f>
        <v>20.3855</v>
      </c>
      <c r="F676" s="4">
        <f>21.0349 * CHOOSE(CONTROL!$C$15, $D$11, 100%, $F$11)</f>
        <v>21.0349</v>
      </c>
      <c r="G676" s="8">
        <f>19.9105 * CHOOSE( CONTROL!$C$15, $D$11, 100%, $F$11)</f>
        <v>19.910499999999999</v>
      </c>
      <c r="H676" s="4">
        <f>20.7797 * CHOOSE(CONTROL!$C$15, $D$11, 100%, $F$11)</f>
        <v>20.779699999999998</v>
      </c>
      <c r="I676" s="8">
        <f>19.7189 * CHOOSE(CONTROL!$C$15, $D$11, 100%, $F$11)</f>
        <v>19.718900000000001</v>
      </c>
      <c r="J676" s="4">
        <f>19.544 * CHOOSE(CONTROL!$C$15, $D$11, 100%, $F$11)</f>
        <v>19.544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20.9849 * CHOOSE(CONTROL!$C$15, $D$11, 100%, $F$11)</f>
        <v>20.9849</v>
      </c>
      <c r="C677" s="8">
        <f>20.9901 * CHOOSE(CONTROL!$C$15, $D$11, 100%, $F$11)</f>
        <v>20.990100000000002</v>
      </c>
      <c r="D677" s="8">
        <f>20.9702 * CHOOSE( CONTROL!$C$15, $D$11, 100%, $F$11)</f>
        <v>20.970199999999998</v>
      </c>
      <c r="E677" s="12">
        <f>20.9769 * CHOOSE( CONTROL!$C$15, $D$11, 100%, $F$11)</f>
        <v>20.976900000000001</v>
      </c>
      <c r="F677" s="4">
        <f>21.6354 * CHOOSE(CONTROL!$C$15, $D$11, 100%, $F$11)</f>
        <v>21.635400000000001</v>
      </c>
      <c r="G677" s="8">
        <f>20.4801 * CHOOSE( CONTROL!$C$15, $D$11, 100%, $F$11)</f>
        <v>20.4801</v>
      </c>
      <c r="H677" s="4">
        <f>21.3661 * CHOOSE(CONTROL!$C$15, $D$11, 100%, $F$11)</f>
        <v>21.366099999999999</v>
      </c>
      <c r="I677" s="8">
        <f>20.2521 * CHOOSE(CONTROL!$C$15, $D$11, 100%, $F$11)</f>
        <v>20.252099999999999</v>
      </c>
      <c r="J677" s="4">
        <f>20.1204 * CHOOSE(CONTROL!$C$15, $D$11, 100%, $F$11)</f>
        <v>20.1204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19.6301 * CHOOSE(CONTROL!$C$15, $D$11, 100%, $F$11)</f>
        <v>19.630099999999999</v>
      </c>
      <c r="C678" s="8">
        <f>19.6353 * CHOOSE(CONTROL!$C$15, $D$11, 100%, $F$11)</f>
        <v>19.635300000000001</v>
      </c>
      <c r="D678" s="8">
        <f>19.6154 * CHOOSE( CONTROL!$C$15, $D$11, 100%, $F$11)</f>
        <v>19.615400000000001</v>
      </c>
      <c r="E678" s="12">
        <f>19.6221 * CHOOSE( CONTROL!$C$15, $D$11, 100%, $F$11)</f>
        <v>19.6221</v>
      </c>
      <c r="F678" s="4">
        <f>20.2806 * CHOOSE(CONTROL!$C$15, $D$11, 100%, $F$11)</f>
        <v>20.2806</v>
      </c>
      <c r="G678" s="8">
        <f>19.1568 * CHOOSE( CONTROL!$C$15, $D$11, 100%, $F$11)</f>
        <v>19.1568</v>
      </c>
      <c r="H678" s="4">
        <f>20.0429 * CHOOSE(CONTROL!$C$15, $D$11, 100%, $F$11)</f>
        <v>20.042899999999999</v>
      </c>
      <c r="I678" s="8">
        <f>18.9507 * CHOOSE(CONTROL!$C$15, $D$11, 100%, $F$11)</f>
        <v>18.950700000000001</v>
      </c>
      <c r="J678" s="4">
        <f>18.8197 * CHOOSE(CONTROL!$C$15, $D$11, 100%, $F$11)</f>
        <v>18.819700000000001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19.2128 * CHOOSE(CONTROL!$C$15, $D$11, 100%, $F$11)</f>
        <v>19.212800000000001</v>
      </c>
      <c r="C679" s="8">
        <f>19.218 * CHOOSE(CONTROL!$C$15, $D$11, 100%, $F$11)</f>
        <v>19.218</v>
      </c>
      <c r="D679" s="8">
        <f>19.1977 * CHOOSE( CONTROL!$C$15, $D$11, 100%, $F$11)</f>
        <v>19.197700000000001</v>
      </c>
      <c r="E679" s="12">
        <f>19.2046 * CHOOSE( CONTROL!$C$15, $D$11, 100%, $F$11)</f>
        <v>19.204599999999999</v>
      </c>
      <c r="F679" s="4">
        <f>19.8633 * CHOOSE(CONTROL!$C$15, $D$11, 100%, $F$11)</f>
        <v>19.863299999999999</v>
      </c>
      <c r="G679" s="8">
        <f>18.749 * CHOOSE( CONTROL!$C$15, $D$11, 100%, $F$11)</f>
        <v>18.748999999999999</v>
      </c>
      <c r="H679" s="4">
        <f>19.6353 * CHOOSE(CONTROL!$C$15, $D$11, 100%, $F$11)</f>
        <v>19.635300000000001</v>
      </c>
      <c r="I679" s="8">
        <f>18.5487 * CHOOSE(CONTROL!$C$15, $D$11, 100%, $F$11)</f>
        <v>18.5487</v>
      </c>
      <c r="J679" s="4">
        <f>18.4191 * CHOOSE(CONTROL!$C$15, $D$11, 100%, $F$11)</f>
        <v>18.4191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19.5052 * CHOOSE(CONTROL!$C$15, $D$11, 100%, $F$11)</f>
        <v>19.505199999999999</v>
      </c>
      <c r="C680" s="8">
        <f>19.5098 * CHOOSE(CONTROL!$C$15, $D$11, 100%, $F$11)</f>
        <v>19.509799999999998</v>
      </c>
      <c r="D680" s="8">
        <f>19.5407 * CHOOSE( CONTROL!$C$15, $D$11, 100%, $F$11)</f>
        <v>19.540700000000001</v>
      </c>
      <c r="E680" s="12">
        <f>19.53 * CHOOSE( CONTROL!$C$15, $D$11, 100%, $F$11)</f>
        <v>19.53</v>
      </c>
      <c r="F680" s="4">
        <f>20.22 * CHOOSE(CONTROL!$C$15, $D$11, 100%, $F$11)</f>
        <v>20.22</v>
      </c>
      <c r="G680" s="8">
        <f>19.0358 * CHOOSE( CONTROL!$C$15, $D$11, 100%, $F$11)</f>
        <v>19.035799999999998</v>
      </c>
      <c r="H680" s="4">
        <f>19.9837 * CHOOSE(CONTROL!$C$15, $D$11, 100%, $F$11)</f>
        <v>19.983699999999999</v>
      </c>
      <c r="I680" s="8">
        <f>18.8222 * CHOOSE(CONTROL!$C$15, $D$11, 100%, $F$11)</f>
        <v>18.822199999999999</v>
      </c>
      <c r="J680" s="4">
        <f>18.699 * CHOOSE(CONTROL!$C$15, $D$11, 100%, $F$11)</f>
        <v>18.699000000000002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20.0289, 20.0255) * CHOOSE(CONTROL!$C$15, $D$11, 100%, $F$11)</f>
        <v>20.0289</v>
      </c>
      <c r="C681" s="8">
        <f>CHOOSE( CONTROL!$C$32, 20.037, 20.0336) * CHOOSE(CONTROL!$C$15, $D$11, 100%, $F$11)</f>
        <v>20.036999999999999</v>
      </c>
      <c r="D681" s="8">
        <f>CHOOSE( CONTROL!$C$32, 20.0626, 20.0592) * CHOOSE( CONTROL!$C$15, $D$11, 100%, $F$11)</f>
        <v>20.0626</v>
      </c>
      <c r="E681" s="12">
        <f>CHOOSE( CONTROL!$C$32, 20.0521, 20.0487) * CHOOSE( CONTROL!$C$15, $D$11, 100%, $F$11)</f>
        <v>20.052099999999999</v>
      </c>
      <c r="F681" s="4">
        <f>CHOOSE( CONTROL!$C$32, 20.7423, 20.7389) * CHOOSE(CONTROL!$C$15, $D$11, 100%, $F$11)</f>
        <v>20.7423</v>
      </c>
      <c r="G681" s="8">
        <f>CHOOSE( CONTROL!$C$32, 19.5467, 19.5434) * CHOOSE( CONTROL!$C$15, $D$11, 100%, $F$11)</f>
        <v>19.546700000000001</v>
      </c>
      <c r="H681" s="4">
        <f>CHOOSE( CONTROL!$C$32, 20.4939, 20.4906) * CHOOSE(CONTROL!$C$15, $D$11, 100%, $F$11)</f>
        <v>20.4939</v>
      </c>
      <c r="I681" s="8">
        <f>CHOOSE( CONTROL!$C$32, 19.3241, 19.3208) * CHOOSE(CONTROL!$C$15, $D$11, 100%, $F$11)</f>
        <v>19.324100000000001</v>
      </c>
      <c r="J681" s="4">
        <f>CHOOSE( CONTROL!$C$32, 19.2005, 19.1973) * CHOOSE(CONTROL!$C$15, $D$11, 100%, $F$11)</f>
        <v>19.200500000000002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19.7074, 19.704) * CHOOSE(CONTROL!$C$15, $D$11, 100%, $F$11)</f>
        <v>19.7074</v>
      </c>
      <c r="C682" s="8">
        <f>CHOOSE( CONTROL!$C$32, 19.7155, 19.7121) * CHOOSE(CONTROL!$C$15, $D$11, 100%, $F$11)</f>
        <v>19.715499999999999</v>
      </c>
      <c r="D682" s="8">
        <f>CHOOSE( CONTROL!$C$32, 19.7413, 19.7379) * CHOOSE( CONTROL!$C$15, $D$11, 100%, $F$11)</f>
        <v>19.741299999999999</v>
      </c>
      <c r="E682" s="12">
        <f>CHOOSE( CONTROL!$C$32, 19.7307, 19.7273) * CHOOSE( CONTROL!$C$15, $D$11, 100%, $F$11)</f>
        <v>19.730699999999999</v>
      </c>
      <c r="F682" s="4">
        <f>CHOOSE( CONTROL!$C$32, 20.4209, 20.4175) * CHOOSE(CONTROL!$C$15, $D$11, 100%, $F$11)</f>
        <v>20.4209</v>
      </c>
      <c r="G682" s="8">
        <f>CHOOSE( CONTROL!$C$32, 19.233, 19.2297) * CHOOSE( CONTROL!$C$15, $D$11, 100%, $F$11)</f>
        <v>19.233000000000001</v>
      </c>
      <c r="H682" s="4">
        <f>CHOOSE( CONTROL!$C$32, 20.1799, 20.1766) * CHOOSE(CONTROL!$C$15, $D$11, 100%, $F$11)</f>
        <v>20.1799</v>
      </c>
      <c r="I682" s="8">
        <f>CHOOSE( CONTROL!$C$32, 19.0162, 19.0129) * CHOOSE(CONTROL!$C$15, $D$11, 100%, $F$11)</f>
        <v>19.016200000000001</v>
      </c>
      <c r="J682" s="4">
        <f>CHOOSE( CONTROL!$C$32, 18.8919, 18.8886) * CHOOSE(CONTROL!$C$15, $D$11, 100%, $F$11)</f>
        <v>18.8919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20.554, 20.5506) * CHOOSE(CONTROL!$C$15, $D$11, 100%, $F$11)</f>
        <v>20.553999999999998</v>
      </c>
      <c r="C683" s="8">
        <f>CHOOSE( CONTROL!$C$32, 20.5621, 20.5587) * CHOOSE(CONTROL!$C$15, $D$11, 100%, $F$11)</f>
        <v>20.562100000000001</v>
      </c>
      <c r="D683" s="8">
        <f>CHOOSE( CONTROL!$C$32, 20.5881, 20.5847) * CHOOSE( CONTROL!$C$15, $D$11, 100%, $F$11)</f>
        <v>20.588100000000001</v>
      </c>
      <c r="E683" s="12">
        <f>CHOOSE( CONTROL!$C$32, 20.5774, 20.574) * CHOOSE( CONTROL!$C$15, $D$11, 100%, $F$11)</f>
        <v>20.577400000000001</v>
      </c>
      <c r="F683" s="4">
        <f>CHOOSE( CONTROL!$C$32, 21.2674, 21.264) * CHOOSE(CONTROL!$C$15, $D$11, 100%, $F$11)</f>
        <v>21.267399999999999</v>
      </c>
      <c r="G683" s="8">
        <f>CHOOSE( CONTROL!$C$32, 20.0602, 20.0569) * CHOOSE( CONTROL!$C$15, $D$11, 100%, $F$11)</f>
        <v>20.060199999999998</v>
      </c>
      <c r="H683" s="4">
        <f>CHOOSE( CONTROL!$C$32, 21.0067, 21.0034) * CHOOSE(CONTROL!$C$15, $D$11, 100%, $F$11)</f>
        <v>21.006699999999999</v>
      </c>
      <c r="I683" s="8">
        <f>CHOOSE( CONTROL!$C$32, 19.8305, 19.8272) * CHOOSE(CONTROL!$C$15, $D$11, 100%, $F$11)</f>
        <v>19.830500000000001</v>
      </c>
      <c r="J683" s="4">
        <f>CHOOSE( CONTROL!$C$32, 19.7047, 19.7014) * CHOOSE(CONTROL!$C$15, $D$11, 100%, $F$11)</f>
        <v>19.704699999999999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18.97, 18.9666) * CHOOSE(CONTROL!$C$15, $D$11, 100%, $F$11)</f>
        <v>18.97</v>
      </c>
      <c r="C684" s="8">
        <f>CHOOSE( CONTROL!$C$32, 18.9781, 18.9747) * CHOOSE(CONTROL!$C$15, $D$11, 100%, $F$11)</f>
        <v>18.978100000000001</v>
      </c>
      <c r="D684" s="8">
        <f>CHOOSE( CONTROL!$C$32, 19.0042, 19.0008) * CHOOSE( CONTROL!$C$15, $D$11, 100%, $F$11)</f>
        <v>19.004200000000001</v>
      </c>
      <c r="E684" s="12">
        <f>CHOOSE( CONTROL!$C$32, 18.9935, 18.9901) * CHOOSE( CONTROL!$C$15, $D$11, 100%, $F$11)</f>
        <v>18.993500000000001</v>
      </c>
      <c r="F684" s="4">
        <f>CHOOSE( CONTROL!$C$32, 19.6834, 19.68) * CHOOSE(CONTROL!$C$15, $D$11, 100%, $F$11)</f>
        <v>19.683399999999999</v>
      </c>
      <c r="G684" s="8">
        <f>CHOOSE( CONTROL!$C$32, 18.5133, 18.5099) * CHOOSE( CONTROL!$C$15, $D$11, 100%, $F$11)</f>
        <v>18.513300000000001</v>
      </c>
      <c r="H684" s="4">
        <f>CHOOSE( CONTROL!$C$32, 19.4596, 19.4563) * CHOOSE(CONTROL!$C$15, $D$11, 100%, $F$11)</f>
        <v>19.459599999999998</v>
      </c>
      <c r="I684" s="8">
        <f>CHOOSE( CONTROL!$C$32, 18.3094, 18.3061) * CHOOSE(CONTROL!$C$15, $D$11, 100%, $F$11)</f>
        <v>18.3094</v>
      </c>
      <c r="J684" s="4">
        <f>CHOOSE( CONTROL!$C$32, 18.1839, 18.1806) * CHOOSE(CONTROL!$C$15, $D$11, 100%, $F$11)</f>
        <v>18.183900000000001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18.5733, 18.5699) * CHOOSE(CONTROL!$C$15, $D$11, 100%, $F$11)</f>
        <v>18.5733</v>
      </c>
      <c r="C685" s="8">
        <f>CHOOSE( CONTROL!$C$32, 18.5814, 18.578) * CHOOSE(CONTROL!$C$15, $D$11, 100%, $F$11)</f>
        <v>18.581399999999999</v>
      </c>
      <c r="D685" s="8">
        <f>CHOOSE( CONTROL!$C$32, 18.6075, 18.6041) * CHOOSE( CONTROL!$C$15, $D$11, 100%, $F$11)</f>
        <v>18.607500000000002</v>
      </c>
      <c r="E685" s="12">
        <f>CHOOSE( CONTROL!$C$32, 18.5968, 18.5934) * CHOOSE( CONTROL!$C$15, $D$11, 100%, $F$11)</f>
        <v>18.596800000000002</v>
      </c>
      <c r="F685" s="4">
        <f>CHOOSE( CONTROL!$C$32, 19.2868, 19.2834) * CHOOSE(CONTROL!$C$15, $D$11, 100%, $F$11)</f>
        <v>19.286799999999999</v>
      </c>
      <c r="G685" s="8">
        <f>CHOOSE( CONTROL!$C$32, 18.1258, 18.1225) * CHOOSE( CONTROL!$C$15, $D$11, 100%, $F$11)</f>
        <v>18.125800000000002</v>
      </c>
      <c r="H685" s="4">
        <f>CHOOSE( CONTROL!$C$32, 19.0722, 19.0689) * CHOOSE(CONTROL!$C$15, $D$11, 100%, $F$11)</f>
        <v>19.072199999999999</v>
      </c>
      <c r="I685" s="8">
        <f>CHOOSE( CONTROL!$C$32, 17.9282, 17.9249) * CHOOSE(CONTROL!$C$15, $D$11, 100%, $F$11)</f>
        <v>17.9282</v>
      </c>
      <c r="J685" s="4">
        <f>CHOOSE( CONTROL!$C$32, 17.803, 17.7998) * CHOOSE(CONTROL!$C$15, $D$11, 100%, $F$11)</f>
        <v>17.803000000000001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19.3918 * CHOOSE(CONTROL!$C$15, $D$11, 100%, $F$11)</f>
        <v>19.3918</v>
      </c>
      <c r="C686" s="8">
        <f>19.3972 * CHOOSE(CONTROL!$C$15, $D$11, 100%, $F$11)</f>
        <v>19.397200000000002</v>
      </c>
      <c r="D686" s="8">
        <f>19.4283 * CHOOSE( CONTROL!$C$15, $D$11, 100%, $F$11)</f>
        <v>19.4283</v>
      </c>
      <c r="E686" s="12">
        <f>19.4175 * CHOOSE( CONTROL!$C$15, $D$11, 100%, $F$11)</f>
        <v>19.4175</v>
      </c>
      <c r="F686" s="4">
        <f>20.1069 * CHOOSE(CONTROL!$C$15, $D$11, 100%, $F$11)</f>
        <v>20.1069</v>
      </c>
      <c r="G686" s="8">
        <f>18.9264 * CHOOSE( CONTROL!$C$15, $D$11, 100%, $F$11)</f>
        <v>18.926400000000001</v>
      </c>
      <c r="H686" s="4">
        <f>19.8733 * CHOOSE(CONTROL!$C$15, $D$11, 100%, $F$11)</f>
        <v>19.8733</v>
      </c>
      <c r="I686" s="8">
        <f>18.7169 * CHOOSE(CONTROL!$C$15, $D$11, 100%, $F$11)</f>
        <v>18.716899999999999</v>
      </c>
      <c r="J686" s="4">
        <f>18.5905 * CHOOSE(CONTROL!$C$15, $D$11, 100%, $F$11)</f>
        <v>18.590499999999999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20.9116 * CHOOSE(CONTROL!$C$15, $D$11, 100%, $F$11)</f>
        <v>20.9116</v>
      </c>
      <c r="C687" s="8">
        <f>20.9168 * CHOOSE(CONTROL!$C$15, $D$11, 100%, $F$11)</f>
        <v>20.916799999999999</v>
      </c>
      <c r="D687" s="8">
        <f>20.9096 * CHOOSE( CONTROL!$C$15, $D$11, 100%, $F$11)</f>
        <v>20.909600000000001</v>
      </c>
      <c r="E687" s="12">
        <f>20.9117 * CHOOSE( CONTROL!$C$15, $D$11, 100%, $F$11)</f>
        <v>20.9117</v>
      </c>
      <c r="F687" s="4">
        <f>21.562 * CHOOSE(CONTROL!$C$15, $D$11, 100%, $F$11)</f>
        <v>21.562000000000001</v>
      </c>
      <c r="G687" s="8">
        <f>20.4242 * CHOOSE( CONTROL!$C$15, $D$11, 100%, $F$11)</f>
        <v>20.424199999999999</v>
      </c>
      <c r="H687" s="4">
        <f>21.2945 * CHOOSE(CONTROL!$C$15, $D$11, 100%, $F$11)</f>
        <v>21.294499999999999</v>
      </c>
      <c r="I687" s="8">
        <f>20.2206 * CHOOSE(CONTROL!$C$15, $D$11, 100%, $F$11)</f>
        <v>20.220600000000001</v>
      </c>
      <c r="J687" s="4">
        <f>20.05 * CHOOSE(CONTROL!$C$15, $D$11, 100%, $F$11)</f>
        <v>20.05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20.8736 * CHOOSE(CONTROL!$C$15, $D$11, 100%, $F$11)</f>
        <v>20.8736</v>
      </c>
      <c r="C688" s="8">
        <f>20.8788 * CHOOSE(CONTROL!$C$15, $D$11, 100%, $F$11)</f>
        <v>20.878799999999998</v>
      </c>
      <c r="D688" s="8">
        <f>20.8731 * CHOOSE( CONTROL!$C$15, $D$11, 100%, $F$11)</f>
        <v>20.873100000000001</v>
      </c>
      <c r="E688" s="12">
        <f>20.8746 * CHOOSE( CONTROL!$C$15, $D$11, 100%, $F$11)</f>
        <v>20.874600000000001</v>
      </c>
      <c r="F688" s="4">
        <f>21.5241 * CHOOSE(CONTROL!$C$15, $D$11, 100%, $F$11)</f>
        <v>21.524100000000001</v>
      </c>
      <c r="G688" s="8">
        <f>20.3882 * CHOOSE( CONTROL!$C$15, $D$11, 100%, $F$11)</f>
        <v>20.388200000000001</v>
      </c>
      <c r="H688" s="4">
        <f>21.2574 * CHOOSE(CONTROL!$C$15, $D$11, 100%, $F$11)</f>
        <v>21.257400000000001</v>
      </c>
      <c r="I688" s="8">
        <f>20.1887 * CHOOSE(CONTROL!$C$15, $D$11, 100%, $F$11)</f>
        <v>20.188700000000001</v>
      </c>
      <c r="J688" s="4">
        <f>20.0135 * CHOOSE(CONTROL!$C$15, $D$11, 100%, $F$11)</f>
        <v>20.013500000000001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21.4885 * CHOOSE(CONTROL!$C$15, $D$11, 100%, $F$11)</f>
        <v>21.488499999999998</v>
      </c>
      <c r="C689" s="8">
        <f>21.4936 * CHOOSE(CONTROL!$C$15, $D$11, 100%, $F$11)</f>
        <v>21.493600000000001</v>
      </c>
      <c r="D689" s="8">
        <f>21.4737 * CHOOSE( CONTROL!$C$15, $D$11, 100%, $F$11)</f>
        <v>21.473700000000001</v>
      </c>
      <c r="E689" s="12">
        <f>21.4804 * CHOOSE( CONTROL!$C$15, $D$11, 100%, $F$11)</f>
        <v>21.480399999999999</v>
      </c>
      <c r="F689" s="4">
        <f>22.1389 * CHOOSE(CONTROL!$C$15, $D$11, 100%, $F$11)</f>
        <v>22.1389</v>
      </c>
      <c r="G689" s="8">
        <f>20.9719 * CHOOSE( CONTROL!$C$15, $D$11, 100%, $F$11)</f>
        <v>20.971900000000002</v>
      </c>
      <c r="H689" s="4">
        <f>21.8579 * CHOOSE(CONTROL!$C$15, $D$11, 100%, $F$11)</f>
        <v>21.857900000000001</v>
      </c>
      <c r="I689" s="8">
        <f>20.7358 * CHOOSE(CONTROL!$C$15, $D$11, 100%, $F$11)</f>
        <v>20.735800000000001</v>
      </c>
      <c r="J689" s="4">
        <f>20.6039 * CHOOSE(CONTROL!$C$15, $D$11, 100%, $F$11)</f>
        <v>20.603899999999999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20.1011 * CHOOSE(CONTROL!$C$15, $D$11, 100%, $F$11)</f>
        <v>20.101099999999999</v>
      </c>
      <c r="C690" s="8">
        <f>20.1063 * CHOOSE(CONTROL!$C$15, $D$11, 100%, $F$11)</f>
        <v>20.106300000000001</v>
      </c>
      <c r="D690" s="8">
        <f>20.0864 * CHOOSE( CONTROL!$C$15, $D$11, 100%, $F$11)</f>
        <v>20.086400000000001</v>
      </c>
      <c r="E690" s="12">
        <f>20.0931 * CHOOSE( CONTROL!$C$15, $D$11, 100%, $F$11)</f>
        <v>20.0931</v>
      </c>
      <c r="F690" s="4">
        <f>20.7516 * CHOOSE(CONTROL!$C$15, $D$11, 100%, $F$11)</f>
        <v>20.7516</v>
      </c>
      <c r="G690" s="8">
        <f>19.6168 * CHOOSE( CONTROL!$C$15, $D$11, 100%, $F$11)</f>
        <v>19.616800000000001</v>
      </c>
      <c r="H690" s="4">
        <f>20.5029 * CHOOSE(CONTROL!$C$15, $D$11, 100%, $F$11)</f>
        <v>20.5029</v>
      </c>
      <c r="I690" s="8">
        <f>19.4031 * CHOOSE(CONTROL!$C$15, $D$11, 100%, $F$11)</f>
        <v>19.403099999999998</v>
      </c>
      <c r="J690" s="4">
        <f>19.2719 * CHOOSE(CONTROL!$C$15, $D$11, 100%, $F$11)</f>
        <v>19.271899999999999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19.6738 * CHOOSE(CONTROL!$C$15, $D$11, 100%, $F$11)</f>
        <v>19.6738</v>
      </c>
      <c r="C691" s="8">
        <f>19.679 * CHOOSE(CONTROL!$C$15, $D$11, 100%, $F$11)</f>
        <v>19.678999999999998</v>
      </c>
      <c r="D691" s="8">
        <f>19.6587 * CHOOSE( CONTROL!$C$15, $D$11, 100%, $F$11)</f>
        <v>19.6587</v>
      </c>
      <c r="E691" s="12">
        <f>19.6656 * CHOOSE( CONTROL!$C$15, $D$11, 100%, $F$11)</f>
        <v>19.665600000000001</v>
      </c>
      <c r="F691" s="4">
        <f>20.3243 * CHOOSE(CONTROL!$C$15, $D$11, 100%, $F$11)</f>
        <v>20.324300000000001</v>
      </c>
      <c r="G691" s="8">
        <f>19.1992 * CHOOSE( CONTROL!$C$15, $D$11, 100%, $F$11)</f>
        <v>19.199200000000001</v>
      </c>
      <c r="H691" s="4">
        <f>20.0855 * CHOOSE(CONTROL!$C$15, $D$11, 100%, $F$11)</f>
        <v>20.0855</v>
      </c>
      <c r="I691" s="8">
        <f>18.9915 * CHOOSE(CONTROL!$C$15, $D$11, 100%, $F$11)</f>
        <v>18.991499999999998</v>
      </c>
      <c r="J691" s="4">
        <f>18.8616 * CHOOSE(CONTROL!$C$15, $D$11, 100%, $F$11)</f>
        <v>18.861599999999999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19.9731 * CHOOSE(CONTROL!$C$15, $D$11, 100%, $F$11)</f>
        <v>19.973099999999999</v>
      </c>
      <c r="C692" s="8">
        <f>19.9778 * CHOOSE(CONTROL!$C$15, $D$11, 100%, $F$11)</f>
        <v>19.977799999999998</v>
      </c>
      <c r="D692" s="8">
        <f>20.0087 * CHOOSE( CONTROL!$C$15, $D$11, 100%, $F$11)</f>
        <v>20.008700000000001</v>
      </c>
      <c r="E692" s="12">
        <f>19.998 * CHOOSE( CONTROL!$C$15, $D$11, 100%, $F$11)</f>
        <v>19.998000000000001</v>
      </c>
      <c r="F692" s="4">
        <f>20.6879 * CHOOSE(CONTROL!$C$15, $D$11, 100%, $F$11)</f>
        <v>20.687899999999999</v>
      </c>
      <c r="G692" s="8">
        <f>19.4929 * CHOOSE( CONTROL!$C$15, $D$11, 100%, $F$11)</f>
        <v>19.492899999999999</v>
      </c>
      <c r="H692" s="4">
        <f>20.4408 * CHOOSE(CONTROL!$C$15, $D$11, 100%, $F$11)</f>
        <v>20.440799999999999</v>
      </c>
      <c r="I692" s="8">
        <f>19.2717 * CHOOSE(CONTROL!$C$15, $D$11, 100%, $F$11)</f>
        <v>19.271699999999999</v>
      </c>
      <c r="J692" s="4">
        <f>19.1483 * CHOOSE(CONTROL!$C$15, $D$11, 100%, $F$11)</f>
        <v>19.148299999999999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20.5093, 20.5059) * CHOOSE(CONTROL!$C$15, $D$11, 100%, $F$11)</f>
        <v>20.5093</v>
      </c>
      <c r="C693" s="8">
        <f>CHOOSE( CONTROL!$C$32, 20.5174, 20.514) * CHOOSE(CONTROL!$C$15, $D$11, 100%, $F$11)</f>
        <v>20.517399999999999</v>
      </c>
      <c r="D693" s="8">
        <f>CHOOSE( CONTROL!$C$32, 20.543, 20.5396) * CHOOSE( CONTROL!$C$15, $D$11, 100%, $F$11)</f>
        <v>20.542999999999999</v>
      </c>
      <c r="E693" s="12">
        <f>CHOOSE( CONTROL!$C$32, 20.5325, 20.5291) * CHOOSE( CONTROL!$C$15, $D$11, 100%, $F$11)</f>
        <v>20.532499999999999</v>
      </c>
      <c r="F693" s="4">
        <f>CHOOSE( CONTROL!$C$32, 21.2228, 21.2194) * CHOOSE(CONTROL!$C$15, $D$11, 100%, $F$11)</f>
        <v>21.222799999999999</v>
      </c>
      <c r="G693" s="8">
        <f>CHOOSE( CONTROL!$C$32, 20.016, 20.0126) * CHOOSE( CONTROL!$C$15, $D$11, 100%, $F$11)</f>
        <v>20.015999999999998</v>
      </c>
      <c r="H693" s="4">
        <f>CHOOSE( CONTROL!$C$32, 20.9631, 20.9598) * CHOOSE(CONTROL!$C$15, $D$11, 100%, $F$11)</f>
        <v>20.963100000000001</v>
      </c>
      <c r="I693" s="8">
        <f>CHOOSE( CONTROL!$C$32, 19.7856, 19.7823) * CHOOSE(CONTROL!$C$15, $D$11, 100%, $F$11)</f>
        <v>19.785599999999999</v>
      </c>
      <c r="J693" s="4">
        <f>CHOOSE( CONTROL!$C$32, 19.6618, 19.6585) * CHOOSE(CONTROL!$C$15, $D$11, 100%, $F$11)</f>
        <v>19.661799999999999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20.1801, 20.1767) * CHOOSE(CONTROL!$C$15, $D$11, 100%, $F$11)</f>
        <v>20.180099999999999</v>
      </c>
      <c r="C694" s="8">
        <f>CHOOSE( CONTROL!$C$32, 20.1882, 20.1848) * CHOOSE(CONTROL!$C$15, $D$11, 100%, $F$11)</f>
        <v>20.188199999999998</v>
      </c>
      <c r="D694" s="8">
        <f>CHOOSE( CONTROL!$C$32, 20.214, 20.2106) * CHOOSE( CONTROL!$C$15, $D$11, 100%, $F$11)</f>
        <v>20.213999999999999</v>
      </c>
      <c r="E694" s="12">
        <f>CHOOSE( CONTROL!$C$32, 20.2034, 20.2) * CHOOSE( CONTROL!$C$15, $D$11, 100%, $F$11)</f>
        <v>20.203399999999998</v>
      </c>
      <c r="F694" s="4">
        <f>CHOOSE( CONTROL!$C$32, 20.8936, 20.8902) * CHOOSE(CONTROL!$C$15, $D$11, 100%, $F$11)</f>
        <v>20.893599999999999</v>
      </c>
      <c r="G694" s="8">
        <f>CHOOSE( CONTROL!$C$32, 19.6947, 19.6914) * CHOOSE( CONTROL!$C$15, $D$11, 100%, $F$11)</f>
        <v>19.694700000000001</v>
      </c>
      <c r="H694" s="4">
        <f>CHOOSE( CONTROL!$C$32, 20.6416, 20.6383) * CHOOSE(CONTROL!$C$15, $D$11, 100%, $F$11)</f>
        <v>20.6416</v>
      </c>
      <c r="I694" s="8">
        <f>CHOOSE( CONTROL!$C$32, 19.4703, 19.467) * CHOOSE(CONTROL!$C$15, $D$11, 100%, $F$11)</f>
        <v>19.470300000000002</v>
      </c>
      <c r="J694" s="4">
        <f>CHOOSE( CONTROL!$C$32, 19.3457, 19.3425) * CHOOSE(CONTROL!$C$15, $D$11, 100%, $F$11)</f>
        <v>19.345700000000001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21.047, 21.0436) * CHOOSE(CONTROL!$C$15, $D$11, 100%, $F$11)</f>
        <v>21.047000000000001</v>
      </c>
      <c r="C695" s="8">
        <f>CHOOSE( CONTROL!$C$32, 21.0551, 21.0517) * CHOOSE(CONTROL!$C$15, $D$11, 100%, $F$11)</f>
        <v>21.055099999999999</v>
      </c>
      <c r="D695" s="8">
        <f>CHOOSE( CONTROL!$C$32, 21.0812, 21.0778) * CHOOSE( CONTROL!$C$15, $D$11, 100%, $F$11)</f>
        <v>21.081199999999999</v>
      </c>
      <c r="E695" s="12">
        <f>CHOOSE( CONTROL!$C$32, 21.0705, 21.0671) * CHOOSE( CONTROL!$C$15, $D$11, 100%, $F$11)</f>
        <v>21.070499999999999</v>
      </c>
      <c r="F695" s="4">
        <f>CHOOSE( CONTROL!$C$32, 21.7605, 21.7571) * CHOOSE(CONTROL!$C$15, $D$11, 100%, $F$11)</f>
        <v>21.7605</v>
      </c>
      <c r="G695" s="8">
        <f>CHOOSE( CONTROL!$C$32, 20.5418, 20.5385) * CHOOSE( CONTROL!$C$15, $D$11, 100%, $F$11)</f>
        <v>20.541799999999999</v>
      </c>
      <c r="H695" s="4">
        <f>CHOOSE( CONTROL!$C$32, 21.4883, 21.485) * CHOOSE(CONTROL!$C$15, $D$11, 100%, $F$11)</f>
        <v>21.488299999999999</v>
      </c>
      <c r="I695" s="8">
        <f>CHOOSE( CONTROL!$C$32, 20.3041, 20.3008) * CHOOSE(CONTROL!$C$15, $D$11, 100%, $F$11)</f>
        <v>20.304099999999998</v>
      </c>
      <c r="J695" s="4">
        <f>CHOOSE( CONTROL!$C$32, 20.178, 20.1748) * CHOOSE(CONTROL!$C$15, $D$11, 100%, $F$11)</f>
        <v>20.178000000000001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19.425, 19.4216) * CHOOSE(CONTROL!$C$15, $D$11, 100%, $F$11)</f>
        <v>19.425000000000001</v>
      </c>
      <c r="C696" s="8">
        <f>CHOOSE( CONTROL!$C$32, 19.4331, 19.4297) * CHOOSE(CONTROL!$C$15, $D$11, 100%, $F$11)</f>
        <v>19.4331</v>
      </c>
      <c r="D696" s="8">
        <f>CHOOSE( CONTROL!$C$32, 19.4592, 19.4558) * CHOOSE( CONTROL!$C$15, $D$11, 100%, $F$11)</f>
        <v>19.459199999999999</v>
      </c>
      <c r="E696" s="12">
        <f>CHOOSE( CONTROL!$C$32, 19.4485, 19.4451) * CHOOSE( CONTROL!$C$15, $D$11, 100%, $F$11)</f>
        <v>19.448499999999999</v>
      </c>
      <c r="F696" s="4">
        <f>CHOOSE( CONTROL!$C$32, 20.1384, 20.135) * CHOOSE(CONTROL!$C$15, $D$11, 100%, $F$11)</f>
        <v>20.138400000000001</v>
      </c>
      <c r="G696" s="8">
        <f>CHOOSE( CONTROL!$C$32, 18.9576, 18.9543) * CHOOSE( CONTROL!$C$15, $D$11, 100%, $F$11)</f>
        <v>18.957599999999999</v>
      </c>
      <c r="H696" s="4">
        <f>CHOOSE( CONTROL!$C$32, 19.904, 19.9007) * CHOOSE(CONTROL!$C$15, $D$11, 100%, $F$11)</f>
        <v>19.904</v>
      </c>
      <c r="I696" s="8">
        <f>CHOOSE( CONTROL!$C$32, 18.7464, 18.7432) * CHOOSE(CONTROL!$C$15, $D$11, 100%, $F$11)</f>
        <v>18.746400000000001</v>
      </c>
      <c r="J696" s="4">
        <f>CHOOSE( CONTROL!$C$32, 18.6207, 18.6174) * CHOOSE(CONTROL!$C$15, $D$11, 100%, $F$11)</f>
        <v>18.620699999999999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19.0188, 19.0154) * CHOOSE(CONTROL!$C$15, $D$11, 100%, $F$11)</f>
        <v>19.018799999999999</v>
      </c>
      <c r="C697" s="8">
        <f>CHOOSE( CONTROL!$C$32, 19.0269, 19.0235) * CHOOSE(CONTROL!$C$15, $D$11, 100%, $F$11)</f>
        <v>19.026900000000001</v>
      </c>
      <c r="D697" s="8">
        <f>CHOOSE( CONTROL!$C$32, 19.053, 19.0496) * CHOOSE( CONTROL!$C$15, $D$11, 100%, $F$11)</f>
        <v>19.053000000000001</v>
      </c>
      <c r="E697" s="12">
        <f>CHOOSE( CONTROL!$C$32, 19.0423, 19.0389) * CHOOSE( CONTROL!$C$15, $D$11, 100%, $F$11)</f>
        <v>19.042300000000001</v>
      </c>
      <c r="F697" s="4">
        <f>CHOOSE( CONTROL!$C$32, 19.7322, 19.7288) * CHOOSE(CONTROL!$C$15, $D$11, 100%, $F$11)</f>
        <v>19.732199999999999</v>
      </c>
      <c r="G697" s="8">
        <f>CHOOSE( CONTROL!$C$32, 18.5609, 18.5575) * CHOOSE( CONTROL!$C$15, $D$11, 100%, $F$11)</f>
        <v>18.5609</v>
      </c>
      <c r="H697" s="4">
        <f>CHOOSE( CONTROL!$C$32, 19.5073, 19.504) * CHOOSE(CONTROL!$C$15, $D$11, 100%, $F$11)</f>
        <v>19.507300000000001</v>
      </c>
      <c r="I697" s="8">
        <f>CHOOSE( CONTROL!$C$32, 18.3561, 18.3528) * CHOOSE(CONTROL!$C$15, $D$11, 100%, $F$11)</f>
        <v>18.356100000000001</v>
      </c>
      <c r="J697" s="4">
        <f>CHOOSE( CONTROL!$C$32, 18.2307, 18.2274) * CHOOSE(CONTROL!$C$15, $D$11, 100%, $F$11)</f>
        <v>18.230699999999999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19.857 * CHOOSE(CONTROL!$C$15, $D$11, 100%, $F$11)</f>
        <v>19.856999999999999</v>
      </c>
      <c r="C698" s="8">
        <f>19.8625 * CHOOSE(CONTROL!$C$15, $D$11, 100%, $F$11)</f>
        <v>19.862500000000001</v>
      </c>
      <c r="D698" s="8">
        <f>19.8936 * CHOOSE( CONTROL!$C$15, $D$11, 100%, $F$11)</f>
        <v>19.893599999999999</v>
      </c>
      <c r="E698" s="12">
        <f>19.8827 * CHOOSE( CONTROL!$C$15, $D$11, 100%, $F$11)</f>
        <v>19.8827</v>
      </c>
      <c r="F698" s="4">
        <f>20.5722 * CHOOSE(CONTROL!$C$15, $D$11, 100%, $F$11)</f>
        <v>20.572199999999999</v>
      </c>
      <c r="G698" s="8">
        <f>19.3808 * CHOOSE( CONTROL!$C$15, $D$11, 100%, $F$11)</f>
        <v>19.380800000000001</v>
      </c>
      <c r="H698" s="4">
        <f>20.3277 * CHOOSE(CONTROL!$C$15, $D$11, 100%, $F$11)</f>
        <v>20.3277</v>
      </c>
      <c r="I698" s="8">
        <f>19.1638 * CHOOSE(CONTROL!$C$15, $D$11, 100%, $F$11)</f>
        <v>19.163799999999998</v>
      </c>
      <c r="J698" s="4">
        <f>19.0372 * CHOOSE(CONTROL!$C$15, $D$11, 100%, $F$11)</f>
        <v>19.037199999999999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21.4133 * CHOOSE(CONTROL!$C$15, $D$11, 100%, $F$11)</f>
        <v>21.4133</v>
      </c>
      <c r="C699" s="8">
        <f>21.4185 * CHOOSE(CONTROL!$C$15, $D$11, 100%, $F$11)</f>
        <v>21.418500000000002</v>
      </c>
      <c r="D699" s="8">
        <f>21.4114 * CHOOSE( CONTROL!$C$15, $D$11, 100%, $F$11)</f>
        <v>21.4114</v>
      </c>
      <c r="E699" s="12">
        <f>21.4134 * CHOOSE( CONTROL!$C$15, $D$11, 100%, $F$11)</f>
        <v>21.413399999999999</v>
      </c>
      <c r="F699" s="4">
        <f>22.0638 * CHOOSE(CONTROL!$C$15, $D$11, 100%, $F$11)</f>
        <v>22.063800000000001</v>
      </c>
      <c r="G699" s="8">
        <f>20.9143 * CHOOSE( CONTROL!$C$15, $D$11, 100%, $F$11)</f>
        <v>20.914300000000001</v>
      </c>
      <c r="H699" s="4">
        <f>21.7846 * CHOOSE(CONTROL!$C$15, $D$11, 100%, $F$11)</f>
        <v>21.784600000000001</v>
      </c>
      <c r="I699" s="8">
        <f>20.7026 * CHOOSE(CONTROL!$C$15, $D$11, 100%, $F$11)</f>
        <v>20.7026</v>
      </c>
      <c r="J699" s="4">
        <f>20.5318 * CHOOSE(CONTROL!$C$15, $D$11, 100%, $F$11)</f>
        <v>20.5318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21.3744 * CHOOSE(CONTROL!$C$15, $D$11, 100%, $F$11)</f>
        <v>21.374400000000001</v>
      </c>
      <c r="C700" s="8">
        <f>21.3796 * CHOOSE(CONTROL!$C$15, $D$11, 100%, $F$11)</f>
        <v>21.3796</v>
      </c>
      <c r="D700" s="8">
        <f>21.3739 * CHOOSE( CONTROL!$C$15, $D$11, 100%, $F$11)</f>
        <v>21.373899999999999</v>
      </c>
      <c r="E700" s="12">
        <f>21.3754 * CHOOSE( CONTROL!$C$15, $D$11, 100%, $F$11)</f>
        <v>21.375399999999999</v>
      </c>
      <c r="F700" s="4">
        <f>22.0249 * CHOOSE(CONTROL!$C$15, $D$11, 100%, $F$11)</f>
        <v>22.024899999999999</v>
      </c>
      <c r="G700" s="8">
        <f>20.8774 * CHOOSE( CONTROL!$C$15, $D$11, 100%, $F$11)</f>
        <v>20.877400000000002</v>
      </c>
      <c r="H700" s="4">
        <f>21.7466 * CHOOSE(CONTROL!$C$15, $D$11, 100%, $F$11)</f>
        <v>21.746600000000001</v>
      </c>
      <c r="I700" s="8">
        <f>20.6698 * CHOOSE(CONTROL!$C$15, $D$11, 100%, $F$11)</f>
        <v>20.669799999999999</v>
      </c>
      <c r="J700" s="4">
        <f>20.4944 * CHOOSE(CONTROL!$C$15, $D$11, 100%, $F$11)</f>
        <v>20.494399999999999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22.0041 * CHOOSE(CONTROL!$C$15, $D$11, 100%, $F$11)</f>
        <v>22.004100000000001</v>
      </c>
      <c r="C701" s="8">
        <f>22.0093 * CHOOSE(CONTROL!$C$15, $D$11, 100%, $F$11)</f>
        <v>22.0093</v>
      </c>
      <c r="D701" s="8">
        <f>21.9894 * CHOOSE( CONTROL!$C$15, $D$11, 100%, $F$11)</f>
        <v>21.9894</v>
      </c>
      <c r="E701" s="12">
        <f>21.9961 * CHOOSE( CONTROL!$C$15, $D$11, 100%, $F$11)</f>
        <v>21.996099999999998</v>
      </c>
      <c r="F701" s="4">
        <f>22.6546 * CHOOSE(CONTROL!$C$15, $D$11, 100%, $F$11)</f>
        <v>22.654599999999999</v>
      </c>
      <c r="G701" s="8">
        <f>21.4755 * CHOOSE( CONTROL!$C$15, $D$11, 100%, $F$11)</f>
        <v>21.4755</v>
      </c>
      <c r="H701" s="4">
        <f>22.3616 * CHOOSE(CONTROL!$C$15, $D$11, 100%, $F$11)</f>
        <v>22.361599999999999</v>
      </c>
      <c r="I701" s="8">
        <f>21.2311 * CHOOSE(CONTROL!$C$15, $D$11, 100%, $F$11)</f>
        <v>21.231100000000001</v>
      </c>
      <c r="J701" s="4">
        <f>21.0989 * CHOOSE(CONTROL!$C$15, $D$11, 100%, $F$11)</f>
        <v>21.0989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20.5834 * CHOOSE(CONTROL!$C$15, $D$11, 100%, $F$11)</f>
        <v>20.583400000000001</v>
      </c>
      <c r="C702" s="8">
        <f>20.5886 * CHOOSE(CONTROL!$C$15, $D$11, 100%, $F$11)</f>
        <v>20.5886</v>
      </c>
      <c r="D702" s="8">
        <f>20.5687 * CHOOSE( CONTROL!$C$15, $D$11, 100%, $F$11)</f>
        <v>20.5687</v>
      </c>
      <c r="E702" s="12">
        <f>20.5754 * CHOOSE( CONTROL!$C$15, $D$11, 100%, $F$11)</f>
        <v>20.575399999999998</v>
      </c>
      <c r="F702" s="4">
        <f>21.2339 * CHOOSE(CONTROL!$C$15, $D$11, 100%, $F$11)</f>
        <v>21.233899999999998</v>
      </c>
      <c r="G702" s="8">
        <f>20.0879 * CHOOSE( CONTROL!$C$15, $D$11, 100%, $F$11)</f>
        <v>20.087900000000001</v>
      </c>
      <c r="H702" s="4">
        <f>20.974 * CHOOSE(CONTROL!$C$15, $D$11, 100%, $F$11)</f>
        <v>20.974</v>
      </c>
      <c r="I702" s="8">
        <f>19.8664 * CHOOSE(CONTROL!$C$15, $D$11, 100%, $F$11)</f>
        <v>19.866399999999999</v>
      </c>
      <c r="J702" s="4">
        <f>19.7349 * CHOOSE(CONTROL!$C$15, $D$11, 100%, $F$11)</f>
        <v>19.7349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20.1458 * CHOOSE(CONTROL!$C$15, $D$11, 100%, $F$11)</f>
        <v>20.145800000000001</v>
      </c>
      <c r="C703" s="8">
        <f>20.151 * CHOOSE(CONTROL!$C$15, $D$11, 100%, $F$11)</f>
        <v>20.151</v>
      </c>
      <c r="D703" s="8">
        <f>20.1307 * CHOOSE( CONTROL!$C$15, $D$11, 100%, $F$11)</f>
        <v>20.130700000000001</v>
      </c>
      <c r="E703" s="12">
        <f>20.1376 * CHOOSE( CONTROL!$C$15, $D$11, 100%, $F$11)</f>
        <v>20.137599999999999</v>
      </c>
      <c r="F703" s="4">
        <f>20.7963 * CHOOSE(CONTROL!$C$15, $D$11, 100%, $F$11)</f>
        <v>20.796299999999999</v>
      </c>
      <c r="G703" s="8">
        <f>19.6602 * CHOOSE( CONTROL!$C$15, $D$11, 100%, $F$11)</f>
        <v>19.6602</v>
      </c>
      <c r="H703" s="4">
        <f>20.5466 * CHOOSE(CONTROL!$C$15, $D$11, 100%, $F$11)</f>
        <v>20.546600000000002</v>
      </c>
      <c r="I703" s="8">
        <f>19.4449 * CHOOSE(CONTROL!$C$15, $D$11, 100%, $F$11)</f>
        <v>19.444900000000001</v>
      </c>
      <c r="J703" s="4">
        <f>19.3148 * CHOOSE(CONTROL!$C$15, $D$11, 100%, $F$11)</f>
        <v>19.314800000000002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20.4523 * CHOOSE(CONTROL!$C$15, $D$11, 100%, $F$11)</f>
        <v>20.452300000000001</v>
      </c>
      <c r="C704" s="8">
        <f>20.457 * CHOOSE(CONTROL!$C$15, $D$11, 100%, $F$11)</f>
        <v>20.457000000000001</v>
      </c>
      <c r="D704" s="8">
        <f>20.4879 * CHOOSE( CONTROL!$C$15, $D$11, 100%, $F$11)</f>
        <v>20.4879</v>
      </c>
      <c r="E704" s="12">
        <f>20.4772 * CHOOSE( CONTROL!$C$15, $D$11, 100%, $F$11)</f>
        <v>20.4772</v>
      </c>
      <c r="F704" s="4">
        <f>21.1671 * CHOOSE(CONTROL!$C$15, $D$11, 100%, $F$11)</f>
        <v>21.167100000000001</v>
      </c>
      <c r="G704" s="8">
        <f>19.9609 * CHOOSE( CONTROL!$C$15, $D$11, 100%, $F$11)</f>
        <v>19.960899999999999</v>
      </c>
      <c r="H704" s="4">
        <f>20.9088 * CHOOSE(CONTROL!$C$15, $D$11, 100%, $F$11)</f>
        <v>20.908799999999999</v>
      </c>
      <c r="I704" s="8">
        <f>19.732 * CHOOSE(CONTROL!$C$15, $D$11, 100%, $F$11)</f>
        <v>19.731999999999999</v>
      </c>
      <c r="J704" s="4">
        <f>19.6084 * CHOOSE(CONTROL!$C$15, $D$11, 100%, $F$11)</f>
        <v>19.6084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21.0013, 20.9979) * CHOOSE(CONTROL!$C$15, $D$11, 100%, $F$11)</f>
        <v>21.001300000000001</v>
      </c>
      <c r="C705" s="8">
        <f>CHOOSE( CONTROL!$C$32, 21.0094, 21.006) * CHOOSE(CONTROL!$C$15, $D$11, 100%, $F$11)</f>
        <v>21.009399999999999</v>
      </c>
      <c r="D705" s="8">
        <f>CHOOSE( CONTROL!$C$32, 21.035, 21.0316) * CHOOSE( CONTROL!$C$15, $D$11, 100%, $F$11)</f>
        <v>21.035</v>
      </c>
      <c r="E705" s="12">
        <f>CHOOSE( CONTROL!$C$32, 21.0245, 21.0211) * CHOOSE( CONTROL!$C$15, $D$11, 100%, $F$11)</f>
        <v>21.0245</v>
      </c>
      <c r="F705" s="4">
        <f>CHOOSE( CONTROL!$C$32, 21.7147, 21.7113) * CHOOSE(CONTROL!$C$15, $D$11, 100%, $F$11)</f>
        <v>21.714700000000001</v>
      </c>
      <c r="G705" s="8">
        <f>CHOOSE( CONTROL!$C$32, 20.4965, 20.4932) * CHOOSE( CONTROL!$C$15, $D$11, 100%, $F$11)</f>
        <v>20.496500000000001</v>
      </c>
      <c r="H705" s="4">
        <f>CHOOSE( CONTROL!$C$32, 21.4436, 21.4403) * CHOOSE(CONTROL!$C$15, $D$11, 100%, $F$11)</f>
        <v>21.4436</v>
      </c>
      <c r="I705" s="8">
        <f>CHOOSE( CONTROL!$C$32, 20.2581, 20.2549) * CHOOSE(CONTROL!$C$15, $D$11, 100%, $F$11)</f>
        <v>20.258099999999999</v>
      </c>
      <c r="J705" s="4">
        <f>CHOOSE( CONTROL!$C$32, 20.1341, 20.1309) * CHOOSE(CONTROL!$C$15, $D$11, 100%, $F$11)</f>
        <v>20.1341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20.6642, 20.6608) * CHOOSE(CONTROL!$C$15, $D$11, 100%, $F$11)</f>
        <v>20.664200000000001</v>
      </c>
      <c r="C706" s="8">
        <f>CHOOSE( CONTROL!$C$32, 20.6723, 20.6689) * CHOOSE(CONTROL!$C$15, $D$11, 100%, $F$11)</f>
        <v>20.6723</v>
      </c>
      <c r="D706" s="8">
        <f>CHOOSE( CONTROL!$C$32, 20.6981, 20.6947) * CHOOSE( CONTROL!$C$15, $D$11, 100%, $F$11)</f>
        <v>20.6981</v>
      </c>
      <c r="E706" s="12">
        <f>CHOOSE( CONTROL!$C$32, 20.6875, 20.6841) * CHOOSE( CONTROL!$C$15, $D$11, 100%, $F$11)</f>
        <v>20.6875</v>
      </c>
      <c r="F706" s="4">
        <f>CHOOSE( CONTROL!$C$32, 21.3776, 21.3742) * CHOOSE(CONTROL!$C$15, $D$11, 100%, $F$11)</f>
        <v>21.377600000000001</v>
      </c>
      <c r="G706" s="8">
        <f>CHOOSE( CONTROL!$C$32, 20.1675, 20.1642) * CHOOSE( CONTROL!$C$15, $D$11, 100%, $F$11)</f>
        <v>20.1675</v>
      </c>
      <c r="H706" s="4">
        <f>CHOOSE( CONTROL!$C$32, 21.1144, 21.1111) * CHOOSE(CONTROL!$C$15, $D$11, 100%, $F$11)</f>
        <v>21.1144</v>
      </c>
      <c r="I706" s="8">
        <f>CHOOSE( CONTROL!$C$32, 19.9353, 19.932) * CHOOSE(CONTROL!$C$15, $D$11, 100%, $F$11)</f>
        <v>19.935300000000002</v>
      </c>
      <c r="J706" s="4">
        <f>CHOOSE( CONTROL!$C$32, 19.8105, 19.8072) * CHOOSE(CONTROL!$C$15, $D$11, 100%, $F$11)</f>
        <v>19.810500000000001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21.5519, 21.5485) * CHOOSE(CONTROL!$C$15, $D$11, 100%, $F$11)</f>
        <v>21.5519</v>
      </c>
      <c r="C707" s="8">
        <f>CHOOSE( CONTROL!$C$32, 21.56, 21.5566) * CHOOSE(CONTROL!$C$15, $D$11, 100%, $F$11)</f>
        <v>21.56</v>
      </c>
      <c r="D707" s="8">
        <f>CHOOSE( CONTROL!$C$32, 21.5861, 21.5826) * CHOOSE( CONTROL!$C$15, $D$11, 100%, $F$11)</f>
        <v>21.586099999999998</v>
      </c>
      <c r="E707" s="12">
        <f>CHOOSE( CONTROL!$C$32, 21.5754, 21.5719) * CHOOSE( CONTROL!$C$15, $D$11, 100%, $F$11)</f>
        <v>21.575399999999998</v>
      </c>
      <c r="F707" s="4">
        <f>CHOOSE( CONTROL!$C$32, 22.2654, 22.262) * CHOOSE(CONTROL!$C$15, $D$11, 100%, $F$11)</f>
        <v>22.2654</v>
      </c>
      <c r="G707" s="8">
        <f>CHOOSE( CONTROL!$C$32, 21.0349, 21.0316) * CHOOSE( CONTROL!$C$15, $D$11, 100%, $F$11)</f>
        <v>21.0349</v>
      </c>
      <c r="H707" s="4">
        <f>CHOOSE( CONTROL!$C$32, 21.9814, 21.9781) * CHOOSE(CONTROL!$C$15, $D$11, 100%, $F$11)</f>
        <v>21.981400000000001</v>
      </c>
      <c r="I707" s="8">
        <f>CHOOSE( CONTROL!$C$32, 20.7891, 20.7858) * CHOOSE(CONTROL!$C$15, $D$11, 100%, $F$11)</f>
        <v>20.789100000000001</v>
      </c>
      <c r="J707" s="4">
        <f>CHOOSE( CONTROL!$C$32, 20.6628, 20.6595) * CHOOSE(CONTROL!$C$15, $D$11, 100%, $F$11)</f>
        <v>20.662800000000001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19.8909, 19.8875) * CHOOSE(CONTROL!$C$15, $D$11, 100%, $F$11)</f>
        <v>19.890899999999998</v>
      </c>
      <c r="C708" s="8">
        <f>CHOOSE( CONTROL!$C$32, 19.899, 19.8956) * CHOOSE(CONTROL!$C$15, $D$11, 100%, $F$11)</f>
        <v>19.899000000000001</v>
      </c>
      <c r="D708" s="8">
        <f>CHOOSE( CONTROL!$C$32, 19.9251, 19.9217) * CHOOSE( CONTROL!$C$15, $D$11, 100%, $F$11)</f>
        <v>19.9251</v>
      </c>
      <c r="E708" s="12">
        <f>CHOOSE( CONTROL!$C$32, 19.9144, 19.911) * CHOOSE( CONTROL!$C$15, $D$11, 100%, $F$11)</f>
        <v>19.914400000000001</v>
      </c>
      <c r="F708" s="4">
        <f>CHOOSE( CONTROL!$C$32, 20.6043, 20.6009) * CHOOSE(CONTROL!$C$15, $D$11, 100%, $F$11)</f>
        <v>20.604299999999999</v>
      </c>
      <c r="G708" s="8">
        <f>CHOOSE( CONTROL!$C$32, 19.4127, 19.4094) * CHOOSE( CONTROL!$C$15, $D$11, 100%, $F$11)</f>
        <v>19.412700000000001</v>
      </c>
      <c r="H708" s="4">
        <f>CHOOSE( CONTROL!$C$32, 20.3591, 20.3558) * CHOOSE(CONTROL!$C$15, $D$11, 100%, $F$11)</f>
        <v>20.359100000000002</v>
      </c>
      <c r="I708" s="8">
        <f>CHOOSE( CONTROL!$C$32, 19.194, 19.1907) * CHOOSE(CONTROL!$C$15, $D$11, 100%, $F$11)</f>
        <v>19.193999999999999</v>
      </c>
      <c r="J708" s="4">
        <f>CHOOSE( CONTROL!$C$32, 19.068, 19.0648) * CHOOSE(CONTROL!$C$15, $D$11, 100%, $F$11)</f>
        <v>19.068000000000001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19.4749, 19.4715) * CHOOSE(CONTROL!$C$15, $D$11, 100%, $F$11)</f>
        <v>19.474900000000002</v>
      </c>
      <c r="C709" s="8">
        <f>CHOOSE( CONTROL!$C$32, 19.483, 19.4796) * CHOOSE(CONTROL!$C$15, $D$11, 100%, $F$11)</f>
        <v>19.483000000000001</v>
      </c>
      <c r="D709" s="8">
        <f>CHOOSE( CONTROL!$C$32, 19.5091, 19.5057) * CHOOSE( CONTROL!$C$15, $D$11, 100%, $F$11)</f>
        <v>19.5091</v>
      </c>
      <c r="E709" s="12">
        <f>CHOOSE( CONTROL!$C$32, 19.4984, 19.495) * CHOOSE( CONTROL!$C$15, $D$11, 100%, $F$11)</f>
        <v>19.4984</v>
      </c>
      <c r="F709" s="4">
        <f>CHOOSE( CONTROL!$C$32, 20.1884, 20.185) * CHOOSE(CONTROL!$C$15, $D$11, 100%, $F$11)</f>
        <v>20.188400000000001</v>
      </c>
      <c r="G709" s="8">
        <f>CHOOSE( CONTROL!$C$32, 19.0064, 19.0031) * CHOOSE( CONTROL!$C$15, $D$11, 100%, $F$11)</f>
        <v>19.006399999999999</v>
      </c>
      <c r="H709" s="4">
        <f>CHOOSE( CONTROL!$C$32, 19.9528, 19.9495) * CHOOSE(CONTROL!$C$15, $D$11, 100%, $F$11)</f>
        <v>19.9528</v>
      </c>
      <c r="I709" s="8">
        <f>CHOOSE( CONTROL!$C$32, 18.7943, 18.791) * CHOOSE(CONTROL!$C$15, $D$11, 100%, $F$11)</f>
        <v>18.7943</v>
      </c>
      <c r="J709" s="4">
        <f>CHOOSE( CONTROL!$C$32, 18.6687, 18.6654) * CHOOSE(CONTROL!$C$15, $D$11, 100%, $F$11)</f>
        <v>18.668700000000001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20.3335 * CHOOSE(CONTROL!$C$15, $D$11, 100%, $F$11)</f>
        <v>20.333500000000001</v>
      </c>
      <c r="C710" s="8">
        <f>20.3389 * CHOOSE(CONTROL!$C$15, $D$11, 100%, $F$11)</f>
        <v>20.338899999999999</v>
      </c>
      <c r="D710" s="8">
        <f>20.37 * CHOOSE( CONTROL!$C$15, $D$11, 100%, $F$11)</f>
        <v>20.37</v>
      </c>
      <c r="E710" s="12">
        <f>20.3592 * CHOOSE( CONTROL!$C$15, $D$11, 100%, $F$11)</f>
        <v>20.359200000000001</v>
      </c>
      <c r="F710" s="4">
        <f>21.0486 * CHOOSE(CONTROL!$C$15, $D$11, 100%, $F$11)</f>
        <v>21.0486</v>
      </c>
      <c r="G710" s="8">
        <f>19.8462 * CHOOSE( CONTROL!$C$15, $D$11, 100%, $F$11)</f>
        <v>19.8462</v>
      </c>
      <c r="H710" s="4">
        <f>20.793 * CHOOSE(CONTROL!$C$15, $D$11, 100%, $F$11)</f>
        <v>20.792999999999999</v>
      </c>
      <c r="I710" s="8">
        <f>19.6214 * CHOOSE(CONTROL!$C$15, $D$11, 100%, $F$11)</f>
        <v>19.621400000000001</v>
      </c>
      <c r="J710" s="4">
        <f>19.4946 * CHOOSE(CONTROL!$C$15, $D$11, 100%, $F$11)</f>
        <v>19.494599999999998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21.9272 * CHOOSE(CONTROL!$C$15, $D$11, 100%, $F$11)</f>
        <v>21.927199999999999</v>
      </c>
      <c r="C711" s="8">
        <f>21.9324 * CHOOSE(CONTROL!$C$15, $D$11, 100%, $F$11)</f>
        <v>21.932400000000001</v>
      </c>
      <c r="D711" s="8">
        <f>21.9252 * CHOOSE( CONTROL!$C$15, $D$11, 100%, $F$11)</f>
        <v>21.9252</v>
      </c>
      <c r="E711" s="12">
        <f>21.9273 * CHOOSE( CONTROL!$C$15, $D$11, 100%, $F$11)</f>
        <v>21.927299999999999</v>
      </c>
      <c r="F711" s="4">
        <f>22.5776 * CHOOSE(CONTROL!$C$15, $D$11, 100%, $F$11)</f>
        <v>22.5776</v>
      </c>
      <c r="G711" s="8">
        <f>21.4161 * CHOOSE( CONTROL!$C$15, $D$11, 100%, $F$11)</f>
        <v>21.4161</v>
      </c>
      <c r="H711" s="4">
        <f>22.2864 * CHOOSE(CONTROL!$C$15, $D$11, 100%, $F$11)</f>
        <v>22.2864</v>
      </c>
      <c r="I711" s="8">
        <f>21.1962 * CHOOSE(CONTROL!$C$15, $D$11, 100%, $F$11)</f>
        <v>21.196200000000001</v>
      </c>
      <c r="J711" s="4">
        <f>21.0251 * CHOOSE(CONTROL!$C$15, $D$11, 100%, $F$11)</f>
        <v>21.025099999999998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21.8873 * CHOOSE(CONTROL!$C$15, $D$11, 100%, $F$11)</f>
        <v>21.8873</v>
      </c>
      <c r="C712" s="8">
        <f>21.8925 * CHOOSE(CONTROL!$C$15, $D$11, 100%, $F$11)</f>
        <v>21.892499999999998</v>
      </c>
      <c r="D712" s="8">
        <f>21.8868 * CHOOSE( CONTROL!$C$15, $D$11, 100%, $F$11)</f>
        <v>21.886800000000001</v>
      </c>
      <c r="E712" s="12">
        <f>21.8883 * CHOOSE( CONTROL!$C$15, $D$11, 100%, $F$11)</f>
        <v>21.888300000000001</v>
      </c>
      <c r="F712" s="4">
        <f>22.5378 * CHOOSE(CONTROL!$C$15, $D$11, 100%, $F$11)</f>
        <v>22.537800000000001</v>
      </c>
      <c r="G712" s="8">
        <f>21.3783 * CHOOSE( CONTROL!$C$15, $D$11, 100%, $F$11)</f>
        <v>21.378299999999999</v>
      </c>
      <c r="H712" s="4">
        <f>22.2475 * CHOOSE(CONTROL!$C$15, $D$11, 100%, $F$11)</f>
        <v>22.247499999999999</v>
      </c>
      <c r="I712" s="8">
        <f>21.1625 * CHOOSE(CONTROL!$C$15, $D$11, 100%, $F$11)</f>
        <v>21.162500000000001</v>
      </c>
      <c r="J712" s="4">
        <f>20.9869 * CHOOSE(CONTROL!$C$15, $D$11, 100%, $F$11)</f>
        <v>20.986899999999999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22.5321 * CHOOSE(CONTROL!$C$15, $D$11, 100%, $F$11)</f>
        <v>22.5321</v>
      </c>
      <c r="C713" s="8">
        <f>22.5373 * CHOOSE(CONTROL!$C$15, $D$11, 100%, $F$11)</f>
        <v>22.537299999999998</v>
      </c>
      <c r="D713" s="8">
        <f>22.5174 * CHOOSE( CONTROL!$C$15, $D$11, 100%, $F$11)</f>
        <v>22.517399999999999</v>
      </c>
      <c r="E713" s="12">
        <f>22.5241 * CHOOSE( CONTROL!$C$15, $D$11, 100%, $F$11)</f>
        <v>22.524100000000001</v>
      </c>
      <c r="F713" s="4">
        <f>23.1826 * CHOOSE(CONTROL!$C$15, $D$11, 100%, $F$11)</f>
        <v>23.182600000000001</v>
      </c>
      <c r="G713" s="8">
        <f>21.9912 * CHOOSE( CONTROL!$C$15, $D$11, 100%, $F$11)</f>
        <v>21.991199999999999</v>
      </c>
      <c r="H713" s="4">
        <f>22.8773 * CHOOSE(CONTROL!$C$15, $D$11, 100%, $F$11)</f>
        <v>22.877300000000002</v>
      </c>
      <c r="I713" s="8">
        <f>21.7383 * CHOOSE(CONTROL!$C$15, $D$11, 100%, $F$11)</f>
        <v>21.738299999999999</v>
      </c>
      <c r="J713" s="4">
        <f>21.6059 * CHOOSE(CONTROL!$C$15, $D$11, 100%, $F$11)</f>
        <v>21.605899999999998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21.0773 * CHOOSE(CONTROL!$C$15, $D$11, 100%, $F$11)</f>
        <v>21.077300000000001</v>
      </c>
      <c r="C714" s="8">
        <f>21.0825 * CHOOSE(CONTROL!$C$15, $D$11, 100%, $F$11)</f>
        <v>21.0825</v>
      </c>
      <c r="D714" s="8">
        <f>21.0625 * CHOOSE( CONTROL!$C$15, $D$11, 100%, $F$11)</f>
        <v>21.0625</v>
      </c>
      <c r="E714" s="12">
        <f>21.0693 * CHOOSE( CONTROL!$C$15, $D$11, 100%, $F$11)</f>
        <v>21.069299999999998</v>
      </c>
      <c r="F714" s="4">
        <f>21.7277 * CHOOSE(CONTROL!$C$15, $D$11, 100%, $F$11)</f>
        <v>21.727699999999999</v>
      </c>
      <c r="G714" s="8">
        <f>20.5703 * CHOOSE( CONTROL!$C$15, $D$11, 100%, $F$11)</f>
        <v>20.5703</v>
      </c>
      <c r="H714" s="4">
        <f>21.4563 * CHOOSE(CONTROL!$C$15, $D$11, 100%, $F$11)</f>
        <v>21.456299999999999</v>
      </c>
      <c r="I714" s="8">
        <f>20.3408 * CHOOSE(CONTROL!$C$15, $D$11, 100%, $F$11)</f>
        <v>20.340800000000002</v>
      </c>
      <c r="J714" s="4">
        <f>20.2091 * CHOOSE(CONTROL!$C$15, $D$11, 100%, $F$11)</f>
        <v>20.209099999999999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20.6292 * CHOOSE(CONTROL!$C$15, $D$11, 100%, $F$11)</f>
        <v>20.629200000000001</v>
      </c>
      <c r="C715" s="8">
        <f>20.6344 * CHOOSE(CONTROL!$C$15, $D$11, 100%, $F$11)</f>
        <v>20.634399999999999</v>
      </c>
      <c r="D715" s="8">
        <f>20.6141 * CHOOSE( CONTROL!$C$15, $D$11, 100%, $F$11)</f>
        <v>20.614100000000001</v>
      </c>
      <c r="E715" s="12">
        <f>20.621 * CHOOSE( CONTROL!$C$15, $D$11, 100%, $F$11)</f>
        <v>20.620999999999999</v>
      </c>
      <c r="F715" s="4">
        <f>21.2797 * CHOOSE(CONTROL!$C$15, $D$11, 100%, $F$11)</f>
        <v>21.279699999999998</v>
      </c>
      <c r="G715" s="8">
        <f>20.1324 * CHOOSE( CONTROL!$C$15, $D$11, 100%, $F$11)</f>
        <v>20.132400000000001</v>
      </c>
      <c r="H715" s="4">
        <f>21.0187 * CHOOSE(CONTROL!$C$15, $D$11, 100%, $F$11)</f>
        <v>21.018699999999999</v>
      </c>
      <c r="I715" s="8">
        <f>19.9092 * CHOOSE(CONTROL!$C$15, $D$11, 100%, $F$11)</f>
        <v>19.909199999999998</v>
      </c>
      <c r="J715" s="4">
        <f>19.7789 * CHOOSE(CONTROL!$C$15, $D$11, 100%, $F$11)</f>
        <v>19.7789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20.9431 * CHOOSE(CONTROL!$C$15, $D$11, 100%, $F$11)</f>
        <v>20.943100000000001</v>
      </c>
      <c r="C716" s="8">
        <f>20.9477 * CHOOSE(CONTROL!$C$15, $D$11, 100%, $F$11)</f>
        <v>20.947700000000001</v>
      </c>
      <c r="D716" s="8">
        <f>20.9786 * CHOOSE( CONTROL!$C$15, $D$11, 100%, $F$11)</f>
        <v>20.9786</v>
      </c>
      <c r="E716" s="12">
        <f>20.9679 * CHOOSE( CONTROL!$C$15, $D$11, 100%, $F$11)</f>
        <v>20.9679</v>
      </c>
      <c r="F716" s="4">
        <f>21.6579 * CHOOSE(CONTROL!$C$15, $D$11, 100%, $F$11)</f>
        <v>21.657900000000001</v>
      </c>
      <c r="G716" s="8">
        <f>20.4402 * CHOOSE( CONTROL!$C$15, $D$11, 100%, $F$11)</f>
        <v>20.440200000000001</v>
      </c>
      <c r="H716" s="4">
        <f>21.3881 * CHOOSE(CONTROL!$C$15, $D$11, 100%, $F$11)</f>
        <v>21.388100000000001</v>
      </c>
      <c r="I716" s="8">
        <f>20.2034 * CHOOSE(CONTROL!$C$15, $D$11, 100%, $F$11)</f>
        <v>20.203399999999998</v>
      </c>
      <c r="J716" s="4">
        <f>20.0795 * CHOOSE(CONTROL!$C$15, $D$11, 100%, $F$11)</f>
        <v>20.079499999999999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21.5051, 21.5017) * CHOOSE(CONTROL!$C$15, $D$11, 100%, $F$11)</f>
        <v>21.505099999999999</v>
      </c>
      <c r="C717" s="8">
        <f>CHOOSE( CONTROL!$C$32, 21.5132, 21.5098) * CHOOSE(CONTROL!$C$15, $D$11, 100%, $F$11)</f>
        <v>21.513200000000001</v>
      </c>
      <c r="D717" s="8">
        <f>CHOOSE( CONTROL!$C$32, 21.5388, 21.5354) * CHOOSE( CONTROL!$C$15, $D$11, 100%, $F$11)</f>
        <v>21.538799999999998</v>
      </c>
      <c r="E717" s="12">
        <f>CHOOSE( CONTROL!$C$32, 21.5283, 21.5249) * CHOOSE( CONTROL!$C$15, $D$11, 100%, $F$11)</f>
        <v>21.528300000000002</v>
      </c>
      <c r="F717" s="4">
        <f>CHOOSE( CONTROL!$C$32, 22.2185, 22.2151) * CHOOSE(CONTROL!$C$15, $D$11, 100%, $F$11)</f>
        <v>22.218499999999999</v>
      </c>
      <c r="G717" s="8">
        <f>CHOOSE( CONTROL!$C$32, 20.9885, 20.9852) * CHOOSE( CONTROL!$C$15, $D$11, 100%, $F$11)</f>
        <v>20.988499999999998</v>
      </c>
      <c r="H717" s="4">
        <f>CHOOSE( CONTROL!$C$32, 21.9357, 21.9324) * CHOOSE(CONTROL!$C$15, $D$11, 100%, $F$11)</f>
        <v>21.935700000000001</v>
      </c>
      <c r="I717" s="8">
        <f>CHOOSE( CONTROL!$C$32, 20.7421, 20.7388) * CHOOSE(CONTROL!$C$15, $D$11, 100%, $F$11)</f>
        <v>20.742100000000001</v>
      </c>
      <c r="J717" s="4">
        <f>CHOOSE( CONTROL!$C$32, 20.6178, 20.6146) * CHOOSE(CONTROL!$C$15, $D$11, 100%, $F$11)</f>
        <v>20.617799999999999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21.1599, 21.1565) * CHOOSE(CONTROL!$C$15, $D$11, 100%, $F$11)</f>
        <v>21.1599</v>
      </c>
      <c r="C718" s="8">
        <f>CHOOSE( CONTROL!$C$32, 21.168, 21.1646) * CHOOSE(CONTROL!$C$15, $D$11, 100%, $F$11)</f>
        <v>21.167999999999999</v>
      </c>
      <c r="D718" s="8">
        <f>CHOOSE( CONTROL!$C$32, 21.1938, 21.1904) * CHOOSE( CONTROL!$C$15, $D$11, 100%, $F$11)</f>
        <v>21.1938</v>
      </c>
      <c r="E718" s="12">
        <f>CHOOSE( CONTROL!$C$32, 21.1832, 21.1798) * CHOOSE( CONTROL!$C$15, $D$11, 100%, $F$11)</f>
        <v>21.183199999999999</v>
      </c>
      <c r="F718" s="4">
        <f>CHOOSE( CONTROL!$C$32, 21.8733, 21.8699) * CHOOSE(CONTROL!$C$15, $D$11, 100%, $F$11)</f>
        <v>21.8733</v>
      </c>
      <c r="G718" s="8">
        <f>CHOOSE( CONTROL!$C$32, 20.6517, 20.6483) * CHOOSE( CONTROL!$C$15, $D$11, 100%, $F$11)</f>
        <v>20.651700000000002</v>
      </c>
      <c r="H718" s="4">
        <f>CHOOSE( CONTROL!$C$32, 21.5985, 21.5952) * CHOOSE(CONTROL!$C$15, $D$11, 100%, $F$11)</f>
        <v>21.598500000000001</v>
      </c>
      <c r="I718" s="8">
        <f>CHOOSE( CONTROL!$C$32, 20.4114, 20.4082) * CHOOSE(CONTROL!$C$15, $D$11, 100%, $F$11)</f>
        <v>20.4114</v>
      </c>
      <c r="J718" s="4">
        <f>CHOOSE( CONTROL!$C$32, 20.2864, 20.2831) * CHOOSE(CONTROL!$C$15, $D$11, 100%, $F$11)</f>
        <v>20.2864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22.069, 22.0656) * CHOOSE(CONTROL!$C$15, $D$11, 100%, $F$11)</f>
        <v>22.068999999999999</v>
      </c>
      <c r="C719" s="8">
        <f>CHOOSE( CONTROL!$C$32, 22.077, 22.0736) * CHOOSE(CONTROL!$C$15, $D$11, 100%, $F$11)</f>
        <v>22.077000000000002</v>
      </c>
      <c r="D719" s="8">
        <f>CHOOSE( CONTROL!$C$32, 22.1031, 22.0997) * CHOOSE( CONTROL!$C$15, $D$11, 100%, $F$11)</f>
        <v>22.103100000000001</v>
      </c>
      <c r="E719" s="12">
        <f>CHOOSE( CONTROL!$C$32, 22.0924, 22.089) * CHOOSE( CONTROL!$C$15, $D$11, 100%, $F$11)</f>
        <v>22.092400000000001</v>
      </c>
      <c r="F719" s="4">
        <f>CHOOSE( CONTROL!$C$32, 22.7824, 22.779) * CHOOSE(CONTROL!$C$15, $D$11, 100%, $F$11)</f>
        <v>22.782399999999999</v>
      </c>
      <c r="G719" s="8">
        <f>CHOOSE( CONTROL!$C$32, 21.5399, 21.5366) * CHOOSE( CONTROL!$C$15, $D$11, 100%, $F$11)</f>
        <v>21.539899999999999</v>
      </c>
      <c r="H719" s="4">
        <f>CHOOSE( CONTROL!$C$32, 22.4864, 22.4831) * CHOOSE(CONTROL!$C$15, $D$11, 100%, $F$11)</f>
        <v>22.4864</v>
      </c>
      <c r="I719" s="8">
        <f>CHOOSE( CONTROL!$C$32, 21.2858, 21.2825) * CHOOSE(CONTROL!$C$15, $D$11, 100%, $F$11)</f>
        <v>21.285799999999998</v>
      </c>
      <c r="J719" s="4">
        <f>CHOOSE( CONTROL!$C$32, 21.1592, 21.1559) * CHOOSE(CONTROL!$C$15, $D$11, 100%, $F$11)</f>
        <v>21.159199999999998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20.368, 20.3646) * CHOOSE(CONTROL!$C$15, $D$11, 100%, $F$11)</f>
        <v>20.367999999999999</v>
      </c>
      <c r="C720" s="8">
        <f>CHOOSE( CONTROL!$C$32, 20.3761, 20.3727) * CHOOSE(CONTROL!$C$15, $D$11, 100%, $F$11)</f>
        <v>20.376100000000001</v>
      </c>
      <c r="D720" s="8">
        <f>CHOOSE( CONTROL!$C$32, 20.4022, 20.3988) * CHOOSE( CONTROL!$C$15, $D$11, 100%, $F$11)</f>
        <v>20.402200000000001</v>
      </c>
      <c r="E720" s="12">
        <f>CHOOSE( CONTROL!$C$32, 20.3915, 20.3881) * CHOOSE( CONTROL!$C$15, $D$11, 100%, $F$11)</f>
        <v>20.391500000000001</v>
      </c>
      <c r="F720" s="4">
        <f>CHOOSE( CONTROL!$C$32, 21.0814, 21.078) * CHOOSE(CONTROL!$C$15, $D$11, 100%, $F$11)</f>
        <v>21.081399999999999</v>
      </c>
      <c r="G720" s="8">
        <f>CHOOSE( CONTROL!$C$32, 19.8787, 19.8754) * CHOOSE( CONTROL!$C$15, $D$11, 100%, $F$11)</f>
        <v>19.878699999999998</v>
      </c>
      <c r="H720" s="4">
        <f>CHOOSE( CONTROL!$C$32, 20.8251, 20.8218) * CHOOSE(CONTROL!$C$15, $D$11, 100%, $F$11)</f>
        <v>20.825099999999999</v>
      </c>
      <c r="I720" s="8">
        <f>CHOOSE( CONTROL!$C$32, 19.6523, 19.649) * CHOOSE(CONTROL!$C$15, $D$11, 100%, $F$11)</f>
        <v>19.6523</v>
      </c>
      <c r="J720" s="4">
        <f>CHOOSE( CONTROL!$C$32, 19.5261, 19.5228) * CHOOSE(CONTROL!$C$15, $D$11, 100%, $F$11)</f>
        <v>19.5261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19.9421, 19.9387) * CHOOSE(CONTROL!$C$15, $D$11, 100%, $F$11)</f>
        <v>19.9421</v>
      </c>
      <c r="C721" s="8">
        <f>CHOOSE( CONTROL!$C$32, 19.9502, 19.9468) * CHOOSE(CONTROL!$C$15, $D$11, 100%, $F$11)</f>
        <v>19.950199999999999</v>
      </c>
      <c r="D721" s="8">
        <f>CHOOSE( CONTROL!$C$32, 19.9763, 19.9728) * CHOOSE( CONTROL!$C$15, $D$11, 100%, $F$11)</f>
        <v>19.976299999999998</v>
      </c>
      <c r="E721" s="12">
        <f>CHOOSE( CONTROL!$C$32, 19.9656, 19.9621) * CHOOSE( CONTROL!$C$15, $D$11, 100%, $F$11)</f>
        <v>19.965599999999998</v>
      </c>
      <c r="F721" s="4">
        <f>CHOOSE( CONTROL!$C$32, 20.6555, 20.6521) * CHOOSE(CONTROL!$C$15, $D$11, 100%, $F$11)</f>
        <v>20.6555</v>
      </c>
      <c r="G721" s="8">
        <f>CHOOSE( CONTROL!$C$32, 19.4626, 19.4593) * CHOOSE( CONTROL!$C$15, $D$11, 100%, $F$11)</f>
        <v>19.462599999999998</v>
      </c>
      <c r="H721" s="4">
        <f>CHOOSE( CONTROL!$C$32, 20.4091, 20.4057) * CHOOSE(CONTROL!$C$15, $D$11, 100%, $F$11)</f>
        <v>20.409099999999999</v>
      </c>
      <c r="I721" s="8">
        <f>CHOOSE( CONTROL!$C$32, 19.243, 19.2397) * CHOOSE(CONTROL!$C$15, $D$11, 100%, $F$11)</f>
        <v>19.242999999999999</v>
      </c>
      <c r="J721" s="4">
        <f>CHOOSE( CONTROL!$C$32, 19.1172, 19.1139) * CHOOSE(CONTROL!$C$15, $D$11, 100%, $F$11)</f>
        <v>19.1172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20.8213 * CHOOSE(CONTROL!$C$15, $D$11, 100%, $F$11)</f>
        <v>20.821300000000001</v>
      </c>
      <c r="C722" s="8">
        <f>20.8268 * CHOOSE(CONTROL!$C$15, $D$11, 100%, $F$11)</f>
        <v>20.826799999999999</v>
      </c>
      <c r="D722" s="8">
        <f>20.8579 * CHOOSE( CONTROL!$C$15, $D$11, 100%, $F$11)</f>
        <v>20.857900000000001</v>
      </c>
      <c r="E722" s="12">
        <f>20.847 * CHOOSE( CONTROL!$C$15, $D$11, 100%, $F$11)</f>
        <v>20.847000000000001</v>
      </c>
      <c r="F722" s="4">
        <f>21.5365 * CHOOSE(CONTROL!$C$15, $D$11, 100%, $F$11)</f>
        <v>21.5365</v>
      </c>
      <c r="G722" s="8">
        <f>20.3227 * CHOOSE( CONTROL!$C$15, $D$11, 100%, $F$11)</f>
        <v>20.322700000000001</v>
      </c>
      <c r="H722" s="4">
        <f>21.2695 * CHOOSE(CONTROL!$C$15, $D$11, 100%, $F$11)</f>
        <v>21.269500000000001</v>
      </c>
      <c r="I722" s="8">
        <f>20.0901 * CHOOSE(CONTROL!$C$15, $D$11, 100%, $F$11)</f>
        <v>20.0901</v>
      </c>
      <c r="J722" s="4">
        <f>19.963 * CHOOSE(CONTROL!$C$15, $D$11, 100%, $F$11)</f>
        <v>19.963000000000001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22.4533 * CHOOSE(CONTROL!$C$15, $D$11, 100%, $F$11)</f>
        <v>22.453299999999999</v>
      </c>
      <c r="C723" s="8">
        <f>22.4585 * CHOOSE(CONTROL!$C$15, $D$11, 100%, $F$11)</f>
        <v>22.458500000000001</v>
      </c>
      <c r="D723" s="8">
        <f>22.4514 * CHOOSE( CONTROL!$C$15, $D$11, 100%, $F$11)</f>
        <v>22.4514</v>
      </c>
      <c r="E723" s="12">
        <f>22.4534 * CHOOSE( CONTROL!$C$15, $D$11, 100%, $F$11)</f>
        <v>22.453399999999998</v>
      </c>
      <c r="F723" s="4">
        <f>23.1038 * CHOOSE(CONTROL!$C$15, $D$11, 100%, $F$11)</f>
        <v>23.1038</v>
      </c>
      <c r="G723" s="8">
        <f>21.9301 * CHOOSE( CONTROL!$C$15, $D$11, 100%, $F$11)</f>
        <v>21.930099999999999</v>
      </c>
      <c r="H723" s="4">
        <f>22.8003 * CHOOSE(CONTROL!$C$15, $D$11, 100%, $F$11)</f>
        <v>22.8003</v>
      </c>
      <c r="I723" s="8">
        <f>21.7016 * CHOOSE(CONTROL!$C$15, $D$11, 100%, $F$11)</f>
        <v>21.701599999999999</v>
      </c>
      <c r="J723" s="4">
        <f>21.5303 * CHOOSE(CONTROL!$C$15, $D$11, 100%, $F$11)</f>
        <v>21.5303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22.4126 * CHOOSE(CONTROL!$C$15, $D$11, 100%, $F$11)</f>
        <v>22.412600000000001</v>
      </c>
      <c r="C724" s="8">
        <f>22.4177 * CHOOSE(CONTROL!$C$15, $D$11, 100%, $F$11)</f>
        <v>22.4177</v>
      </c>
      <c r="D724" s="8">
        <f>22.412 * CHOOSE( CONTROL!$C$15, $D$11, 100%, $F$11)</f>
        <v>22.411999999999999</v>
      </c>
      <c r="E724" s="12">
        <f>22.4135 * CHOOSE( CONTROL!$C$15, $D$11, 100%, $F$11)</f>
        <v>22.413499999999999</v>
      </c>
      <c r="F724" s="4">
        <f>23.063 * CHOOSE(CONTROL!$C$15, $D$11, 100%, $F$11)</f>
        <v>23.062999999999999</v>
      </c>
      <c r="G724" s="8">
        <f>21.8913 * CHOOSE( CONTROL!$C$15, $D$11, 100%, $F$11)</f>
        <v>21.891300000000001</v>
      </c>
      <c r="H724" s="4">
        <f>22.7605 * CHOOSE(CONTROL!$C$15, $D$11, 100%, $F$11)</f>
        <v>22.7605</v>
      </c>
      <c r="I724" s="8">
        <f>21.667 * CHOOSE(CONTROL!$C$15, $D$11, 100%, $F$11)</f>
        <v>21.667000000000002</v>
      </c>
      <c r="J724" s="4">
        <f>21.4911 * CHOOSE(CONTROL!$C$15, $D$11, 100%, $F$11)</f>
        <v>21.491099999999999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23.0728 * CHOOSE(CONTROL!$C$15, $D$11, 100%, $F$11)</f>
        <v>23.072800000000001</v>
      </c>
      <c r="C725" s="8">
        <f>23.078 * CHOOSE(CONTROL!$C$15, $D$11, 100%, $F$11)</f>
        <v>23.077999999999999</v>
      </c>
      <c r="D725" s="8">
        <f>23.0581 * CHOOSE( CONTROL!$C$15, $D$11, 100%, $F$11)</f>
        <v>23.0581</v>
      </c>
      <c r="E725" s="12">
        <f>23.0648 * CHOOSE( CONTROL!$C$15, $D$11, 100%, $F$11)</f>
        <v>23.064800000000002</v>
      </c>
      <c r="F725" s="4">
        <f>23.7233 * CHOOSE(CONTROL!$C$15, $D$11, 100%, $F$11)</f>
        <v>23.723299999999998</v>
      </c>
      <c r="G725" s="8">
        <f>22.5193 * CHOOSE( CONTROL!$C$15, $D$11, 100%, $F$11)</f>
        <v>22.519300000000001</v>
      </c>
      <c r="H725" s="4">
        <f>23.4054 * CHOOSE(CONTROL!$C$15, $D$11, 100%, $F$11)</f>
        <v>23.4054</v>
      </c>
      <c r="I725" s="8">
        <f>22.2577 * CHOOSE(CONTROL!$C$15, $D$11, 100%, $F$11)</f>
        <v>22.2577</v>
      </c>
      <c r="J725" s="4">
        <f>22.125 * CHOOSE(CONTROL!$C$15, $D$11, 100%, $F$11)</f>
        <v>22.125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21.583 * CHOOSE(CONTROL!$C$15, $D$11, 100%, $F$11)</f>
        <v>21.582999999999998</v>
      </c>
      <c r="C726" s="8">
        <f>21.5882 * CHOOSE(CONTROL!$C$15, $D$11, 100%, $F$11)</f>
        <v>21.588200000000001</v>
      </c>
      <c r="D726" s="8">
        <f>21.5683 * CHOOSE( CONTROL!$C$15, $D$11, 100%, $F$11)</f>
        <v>21.568300000000001</v>
      </c>
      <c r="E726" s="12">
        <f>21.575 * CHOOSE( CONTROL!$C$15, $D$11, 100%, $F$11)</f>
        <v>21.574999999999999</v>
      </c>
      <c r="F726" s="4">
        <f>22.2335 * CHOOSE(CONTROL!$C$15, $D$11, 100%, $F$11)</f>
        <v>22.233499999999999</v>
      </c>
      <c r="G726" s="8">
        <f>21.0642 * CHOOSE( CONTROL!$C$15, $D$11, 100%, $F$11)</f>
        <v>21.0642</v>
      </c>
      <c r="H726" s="4">
        <f>21.9503 * CHOOSE(CONTROL!$C$15, $D$11, 100%, $F$11)</f>
        <v>21.950299999999999</v>
      </c>
      <c r="I726" s="8">
        <f>20.8266 * CHOOSE(CONTROL!$C$15, $D$11, 100%, $F$11)</f>
        <v>20.826599999999999</v>
      </c>
      <c r="J726" s="4">
        <f>20.6947 * CHOOSE(CONTROL!$C$15, $D$11, 100%, $F$11)</f>
        <v>20.694700000000001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21.1242 * CHOOSE(CONTROL!$C$15, $D$11, 100%, $F$11)</f>
        <v>21.124199999999998</v>
      </c>
      <c r="C727" s="8">
        <f>21.1294 * CHOOSE(CONTROL!$C$15, $D$11, 100%, $F$11)</f>
        <v>21.1294</v>
      </c>
      <c r="D727" s="8">
        <f>21.1091 * CHOOSE( CONTROL!$C$15, $D$11, 100%, $F$11)</f>
        <v>21.109100000000002</v>
      </c>
      <c r="E727" s="12">
        <f>21.116 * CHOOSE( CONTROL!$C$15, $D$11, 100%, $F$11)</f>
        <v>21.116</v>
      </c>
      <c r="F727" s="4">
        <f>21.7746 * CHOOSE(CONTROL!$C$15, $D$11, 100%, $F$11)</f>
        <v>21.7746</v>
      </c>
      <c r="G727" s="8">
        <f>20.6158 * CHOOSE( CONTROL!$C$15, $D$11, 100%, $F$11)</f>
        <v>20.6158</v>
      </c>
      <c r="H727" s="4">
        <f>21.5021 * CHOOSE(CONTROL!$C$15, $D$11, 100%, $F$11)</f>
        <v>21.502099999999999</v>
      </c>
      <c r="I727" s="8">
        <f>20.3847 * CHOOSE(CONTROL!$C$15, $D$11, 100%, $F$11)</f>
        <v>20.384699999999999</v>
      </c>
      <c r="J727" s="4">
        <f>20.2541 * CHOOSE(CONTROL!$C$15, $D$11, 100%, $F$11)</f>
        <v>20.254100000000001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21.4456 * CHOOSE(CONTROL!$C$15, $D$11, 100%, $F$11)</f>
        <v>21.445599999999999</v>
      </c>
      <c r="C728" s="8">
        <f>21.4502 * CHOOSE(CONTROL!$C$15, $D$11, 100%, $F$11)</f>
        <v>21.450199999999999</v>
      </c>
      <c r="D728" s="8">
        <f>21.4811 * CHOOSE( CONTROL!$C$15, $D$11, 100%, $F$11)</f>
        <v>21.481100000000001</v>
      </c>
      <c r="E728" s="12">
        <f>21.4704 * CHOOSE( CONTROL!$C$15, $D$11, 100%, $F$11)</f>
        <v>21.470400000000001</v>
      </c>
      <c r="F728" s="4">
        <f>22.1604 * CHOOSE(CONTROL!$C$15, $D$11, 100%, $F$11)</f>
        <v>22.160399999999999</v>
      </c>
      <c r="G728" s="8">
        <f>20.931 * CHOOSE( CONTROL!$C$15, $D$11, 100%, $F$11)</f>
        <v>20.931000000000001</v>
      </c>
      <c r="H728" s="4">
        <f>21.8789 * CHOOSE(CONTROL!$C$15, $D$11, 100%, $F$11)</f>
        <v>21.878900000000002</v>
      </c>
      <c r="I728" s="8">
        <f>20.6861 * CHOOSE(CONTROL!$C$15, $D$11, 100%, $F$11)</f>
        <v>20.6861</v>
      </c>
      <c r="J728" s="4">
        <f>20.562 * CHOOSE(CONTROL!$C$15, $D$11, 100%, $F$11)</f>
        <v>20.562000000000001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22.021, 22.0176) * CHOOSE(CONTROL!$C$15, $D$11, 100%, $F$11)</f>
        <v>22.021000000000001</v>
      </c>
      <c r="C729" s="8">
        <f>CHOOSE( CONTROL!$C$32, 22.0291, 22.0257) * CHOOSE(CONTROL!$C$15, $D$11, 100%, $F$11)</f>
        <v>22.0291</v>
      </c>
      <c r="D729" s="8">
        <f>CHOOSE( CONTROL!$C$32, 22.0547, 22.0513) * CHOOSE( CONTROL!$C$15, $D$11, 100%, $F$11)</f>
        <v>22.0547</v>
      </c>
      <c r="E729" s="12">
        <f>CHOOSE( CONTROL!$C$32, 22.0442, 22.0408) * CHOOSE( CONTROL!$C$15, $D$11, 100%, $F$11)</f>
        <v>22.0442</v>
      </c>
      <c r="F729" s="4">
        <f>CHOOSE( CONTROL!$C$32, 22.7344, 22.731) * CHOOSE(CONTROL!$C$15, $D$11, 100%, $F$11)</f>
        <v>22.734400000000001</v>
      </c>
      <c r="G729" s="8">
        <f>CHOOSE( CONTROL!$C$32, 21.4924, 21.4891) * CHOOSE( CONTROL!$C$15, $D$11, 100%, $F$11)</f>
        <v>21.4924</v>
      </c>
      <c r="H729" s="4">
        <f>CHOOSE( CONTROL!$C$32, 22.4396, 22.4362) * CHOOSE(CONTROL!$C$15, $D$11, 100%, $F$11)</f>
        <v>22.439599999999999</v>
      </c>
      <c r="I729" s="8">
        <f>CHOOSE( CONTROL!$C$32, 21.2376, 21.2344) * CHOOSE(CONTROL!$C$15, $D$11, 100%, $F$11)</f>
        <v>21.2376</v>
      </c>
      <c r="J729" s="4">
        <f>CHOOSE( CONTROL!$C$32, 21.1131, 21.1099) * CHOOSE(CONTROL!$C$15, $D$11, 100%, $F$11)</f>
        <v>21.113099999999999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21.6675, 21.6641) * CHOOSE(CONTROL!$C$15, $D$11, 100%, $F$11)</f>
        <v>21.6675</v>
      </c>
      <c r="C730" s="8">
        <f>CHOOSE( CONTROL!$C$32, 21.6756, 21.6722) * CHOOSE(CONTROL!$C$15, $D$11, 100%, $F$11)</f>
        <v>21.675599999999999</v>
      </c>
      <c r="D730" s="8">
        <f>CHOOSE( CONTROL!$C$32, 21.7014, 21.698) * CHOOSE( CONTROL!$C$15, $D$11, 100%, $F$11)</f>
        <v>21.7014</v>
      </c>
      <c r="E730" s="12">
        <f>CHOOSE( CONTROL!$C$32, 21.6908, 21.6874) * CHOOSE( CONTROL!$C$15, $D$11, 100%, $F$11)</f>
        <v>21.690799999999999</v>
      </c>
      <c r="F730" s="4">
        <f>CHOOSE( CONTROL!$C$32, 22.3809, 22.3775) * CHOOSE(CONTROL!$C$15, $D$11, 100%, $F$11)</f>
        <v>22.3809</v>
      </c>
      <c r="G730" s="8">
        <f>CHOOSE( CONTROL!$C$32, 21.1474, 21.1441) * CHOOSE( CONTROL!$C$15, $D$11, 100%, $F$11)</f>
        <v>21.147400000000001</v>
      </c>
      <c r="H730" s="4">
        <f>CHOOSE( CONTROL!$C$32, 22.0943, 22.091) * CHOOSE(CONTROL!$C$15, $D$11, 100%, $F$11)</f>
        <v>22.0943</v>
      </c>
      <c r="I730" s="8">
        <f>CHOOSE( CONTROL!$C$32, 20.899, 20.8958) * CHOOSE(CONTROL!$C$15, $D$11, 100%, $F$11)</f>
        <v>20.899000000000001</v>
      </c>
      <c r="J730" s="4">
        <f>CHOOSE( CONTROL!$C$32, 20.7737, 20.7705) * CHOOSE(CONTROL!$C$15, $D$11, 100%, $F$11)</f>
        <v>20.773700000000002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22.5984, 22.595) * CHOOSE(CONTROL!$C$15, $D$11, 100%, $F$11)</f>
        <v>22.598400000000002</v>
      </c>
      <c r="C731" s="8">
        <f>CHOOSE( CONTROL!$C$32, 22.6065, 22.6031) * CHOOSE(CONTROL!$C$15, $D$11, 100%, $F$11)</f>
        <v>22.6065</v>
      </c>
      <c r="D731" s="8">
        <f>CHOOSE( CONTROL!$C$32, 22.6325, 22.6291) * CHOOSE( CONTROL!$C$15, $D$11, 100%, $F$11)</f>
        <v>22.6325</v>
      </c>
      <c r="E731" s="12">
        <f>CHOOSE( CONTROL!$C$32, 22.6218, 22.6184) * CHOOSE( CONTROL!$C$15, $D$11, 100%, $F$11)</f>
        <v>22.6218</v>
      </c>
      <c r="F731" s="4">
        <f>CHOOSE( CONTROL!$C$32, 23.3118, 23.3084) * CHOOSE(CONTROL!$C$15, $D$11, 100%, $F$11)</f>
        <v>23.311800000000002</v>
      </c>
      <c r="G731" s="8">
        <f>CHOOSE( CONTROL!$C$32, 22.057, 22.0537) * CHOOSE( CONTROL!$C$15, $D$11, 100%, $F$11)</f>
        <v>22.056999999999999</v>
      </c>
      <c r="H731" s="4">
        <f>CHOOSE( CONTROL!$C$32, 23.0035, 23.0002) * CHOOSE(CONTROL!$C$15, $D$11, 100%, $F$11)</f>
        <v>23.003499999999999</v>
      </c>
      <c r="I731" s="8">
        <f>CHOOSE( CONTROL!$C$32, 21.7943, 21.7911) * CHOOSE(CONTROL!$C$15, $D$11, 100%, $F$11)</f>
        <v>21.7943</v>
      </c>
      <c r="J731" s="4">
        <f>CHOOSE( CONTROL!$C$32, 21.6675, 21.6642) * CHOOSE(CONTROL!$C$15, $D$11, 100%, $F$11)</f>
        <v>21.6675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20.8566, 20.8532) * CHOOSE(CONTROL!$C$15, $D$11, 100%, $F$11)</f>
        <v>20.8566</v>
      </c>
      <c r="C732" s="8">
        <f>CHOOSE( CONTROL!$C$32, 20.8647, 20.8613) * CHOOSE(CONTROL!$C$15, $D$11, 100%, $F$11)</f>
        <v>20.864699999999999</v>
      </c>
      <c r="D732" s="8">
        <f>CHOOSE( CONTROL!$C$32, 20.8908, 20.8874) * CHOOSE( CONTROL!$C$15, $D$11, 100%, $F$11)</f>
        <v>20.890799999999999</v>
      </c>
      <c r="E732" s="12">
        <f>CHOOSE( CONTROL!$C$32, 20.8801, 20.8767) * CHOOSE( CONTROL!$C$15, $D$11, 100%, $F$11)</f>
        <v>20.880099999999999</v>
      </c>
      <c r="F732" s="4">
        <f>CHOOSE( CONTROL!$C$32, 21.57, 21.5666) * CHOOSE(CONTROL!$C$15, $D$11, 100%, $F$11)</f>
        <v>21.57</v>
      </c>
      <c r="G732" s="8">
        <f>CHOOSE( CONTROL!$C$32, 20.3559, 20.3526) * CHOOSE( CONTROL!$C$15, $D$11, 100%, $F$11)</f>
        <v>20.355899999999998</v>
      </c>
      <c r="H732" s="4">
        <f>CHOOSE( CONTROL!$C$32, 21.3023, 21.299) * CHOOSE(CONTROL!$C$15, $D$11, 100%, $F$11)</f>
        <v>21.302299999999999</v>
      </c>
      <c r="I732" s="8">
        <f>CHOOSE( CONTROL!$C$32, 20.1216, 20.1183) * CHOOSE(CONTROL!$C$15, $D$11, 100%, $F$11)</f>
        <v>20.121600000000001</v>
      </c>
      <c r="J732" s="4">
        <f>CHOOSE( CONTROL!$C$32, 19.9952, 19.9919) * CHOOSE(CONTROL!$C$15, $D$11, 100%, $F$11)</f>
        <v>19.995200000000001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20.4204, 20.417) * CHOOSE(CONTROL!$C$15, $D$11, 100%, $F$11)</f>
        <v>20.420400000000001</v>
      </c>
      <c r="C733" s="8">
        <f>CHOOSE( CONTROL!$C$32, 20.4285, 20.4251) * CHOOSE(CONTROL!$C$15, $D$11, 100%, $F$11)</f>
        <v>20.4285</v>
      </c>
      <c r="D733" s="8">
        <f>CHOOSE( CONTROL!$C$32, 20.4546, 20.4512) * CHOOSE( CONTROL!$C$15, $D$11, 100%, $F$11)</f>
        <v>20.454599999999999</v>
      </c>
      <c r="E733" s="12">
        <f>CHOOSE( CONTROL!$C$32, 20.4439, 20.4405) * CHOOSE( CONTROL!$C$15, $D$11, 100%, $F$11)</f>
        <v>20.443899999999999</v>
      </c>
      <c r="F733" s="4">
        <f>CHOOSE( CONTROL!$C$32, 21.1338, 21.1304) * CHOOSE(CONTROL!$C$15, $D$11, 100%, $F$11)</f>
        <v>21.133800000000001</v>
      </c>
      <c r="G733" s="8">
        <f>CHOOSE( CONTROL!$C$32, 19.9298, 19.9265) * CHOOSE( CONTROL!$C$15, $D$11, 100%, $F$11)</f>
        <v>19.9298</v>
      </c>
      <c r="H733" s="4">
        <f>CHOOSE( CONTROL!$C$32, 20.8763, 20.8729) * CHOOSE(CONTROL!$C$15, $D$11, 100%, $F$11)</f>
        <v>20.876300000000001</v>
      </c>
      <c r="I733" s="8">
        <f>CHOOSE( CONTROL!$C$32, 19.7025, 19.6992) * CHOOSE(CONTROL!$C$15, $D$11, 100%, $F$11)</f>
        <v>19.702500000000001</v>
      </c>
      <c r="J733" s="4">
        <f>CHOOSE( CONTROL!$C$32, 19.5764, 19.5731) * CHOOSE(CONTROL!$C$15, $D$11, 100%, $F$11)</f>
        <v>19.5764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21.3209 * CHOOSE(CONTROL!$C$15, $D$11, 100%, $F$11)</f>
        <v>21.320900000000002</v>
      </c>
      <c r="C734" s="8">
        <f>21.3264 * CHOOSE(CONTROL!$C$15, $D$11, 100%, $F$11)</f>
        <v>21.3264</v>
      </c>
      <c r="D734" s="8">
        <f>21.3575 * CHOOSE( CONTROL!$C$15, $D$11, 100%, $F$11)</f>
        <v>21.357500000000002</v>
      </c>
      <c r="E734" s="12">
        <f>21.3466 * CHOOSE( CONTROL!$C$15, $D$11, 100%, $F$11)</f>
        <v>21.346599999999999</v>
      </c>
      <c r="F734" s="4">
        <f>22.0361 * CHOOSE(CONTROL!$C$15, $D$11, 100%, $F$11)</f>
        <v>22.036100000000001</v>
      </c>
      <c r="G734" s="8">
        <f>20.8106 * CHOOSE( CONTROL!$C$15, $D$11, 100%, $F$11)</f>
        <v>20.810600000000001</v>
      </c>
      <c r="H734" s="4">
        <f>21.7575 * CHOOSE(CONTROL!$C$15, $D$11, 100%, $F$11)</f>
        <v>21.7575</v>
      </c>
      <c r="I734" s="8">
        <f>20.57 * CHOOSE(CONTROL!$C$15, $D$11, 100%, $F$11)</f>
        <v>20.57</v>
      </c>
      <c r="J734" s="4">
        <f>20.4427 * CHOOSE(CONTROL!$C$15, $D$11, 100%, $F$11)</f>
        <v>20.442699999999999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22.9922 * CHOOSE(CONTROL!$C$15, $D$11, 100%, $F$11)</f>
        <v>22.9922</v>
      </c>
      <c r="C735" s="8">
        <f>22.9973 * CHOOSE(CONTROL!$C$15, $D$11, 100%, $F$11)</f>
        <v>22.997299999999999</v>
      </c>
      <c r="D735" s="8">
        <f>22.9902 * CHOOSE( CONTROL!$C$15, $D$11, 100%, $F$11)</f>
        <v>22.990200000000002</v>
      </c>
      <c r="E735" s="12">
        <f>22.9923 * CHOOSE( CONTROL!$C$15, $D$11, 100%, $F$11)</f>
        <v>22.9923</v>
      </c>
      <c r="F735" s="4">
        <f>23.6426 * CHOOSE(CONTROL!$C$15, $D$11, 100%, $F$11)</f>
        <v>23.642600000000002</v>
      </c>
      <c r="G735" s="8">
        <f>22.4563 * CHOOSE( CONTROL!$C$15, $D$11, 100%, $F$11)</f>
        <v>22.456299999999999</v>
      </c>
      <c r="H735" s="4">
        <f>23.3266 * CHOOSE(CONTROL!$C$15, $D$11, 100%, $F$11)</f>
        <v>23.326599999999999</v>
      </c>
      <c r="I735" s="8">
        <f>22.2192 * CHOOSE(CONTROL!$C$15, $D$11, 100%, $F$11)</f>
        <v>22.219200000000001</v>
      </c>
      <c r="J735" s="4">
        <f>22.0476 * CHOOSE(CONTROL!$C$15, $D$11, 100%, $F$11)</f>
        <v>22.047599999999999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22.9504 * CHOOSE(CONTROL!$C$15, $D$11, 100%, $F$11)</f>
        <v>22.950399999999998</v>
      </c>
      <c r="C736" s="8">
        <f>22.9556 * CHOOSE(CONTROL!$C$15, $D$11, 100%, $F$11)</f>
        <v>22.9556</v>
      </c>
      <c r="D736" s="8">
        <f>22.9499 * CHOOSE( CONTROL!$C$15, $D$11, 100%, $F$11)</f>
        <v>22.9499</v>
      </c>
      <c r="E736" s="12">
        <f>22.9514 * CHOOSE( CONTROL!$C$15, $D$11, 100%, $F$11)</f>
        <v>22.9514</v>
      </c>
      <c r="F736" s="4">
        <f>23.6009 * CHOOSE(CONTROL!$C$15, $D$11, 100%, $F$11)</f>
        <v>23.600899999999999</v>
      </c>
      <c r="G736" s="8">
        <f>22.4166 * CHOOSE( CONTROL!$C$15, $D$11, 100%, $F$11)</f>
        <v>22.416599999999999</v>
      </c>
      <c r="H736" s="4">
        <f>23.2858 * CHOOSE(CONTROL!$C$15, $D$11, 100%, $F$11)</f>
        <v>23.285799999999998</v>
      </c>
      <c r="I736" s="8">
        <f>22.1837 * CHOOSE(CONTROL!$C$15, $D$11, 100%, $F$11)</f>
        <v>22.183700000000002</v>
      </c>
      <c r="J736" s="4">
        <f>22.0075 * CHOOSE(CONTROL!$C$15, $D$11, 100%, $F$11)</f>
        <v>22.0075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23.6265 * CHOOSE(CONTROL!$C$15, $D$11, 100%, $F$11)</f>
        <v>23.6265</v>
      </c>
      <c r="C737" s="8">
        <f>23.6317 * CHOOSE(CONTROL!$C$15, $D$11, 100%, $F$11)</f>
        <v>23.631699999999999</v>
      </c>
      <c r="D737" s="8">
        <f>23.6118 * CHOOSE( CONTROL!$C$15, $D$11, 100%, $F$11)</f>
        <v>23.611799999999999</v>
      </c>
      <c r="E737" s="12">
        <f>23.6185 * CHOOSE( CONTROL!$C$15, $D$11, 100%, $F$11)</f>
        <v>23.618500000000001</v>
      </c>
      <c r="F737" s="4">
        <f>24.277 * CHOOSE(CONTROL!$C$15, $D$11, 100%, $F$11)</f>
        <v>24.277000000000001</v>
      </c>
      <c r="G737" s="8">
        <f>23.0601 * CHOOSE( CONTROL!$C$15, $D$11, 100%, $F$11)</f>
        <v>23.060099999999998</v>
      </c>
      <c r="H737" s="4">
        <f>23.9462 * CHOOSE(CONTROL!$C$15, $D$11, 100%, $F$11)</f>
        <v>23.946200000000001</v>
      </c>
      <c r="I737" s="8">
        <f>22.7896 * CHOOSE(CONTROL!$C$15, $D$11, 100%, $F$11)</f>
        <v>22.7896</v>
      </c>
      <c r="J737" s="4">
        <f>22.6566 * CHOOSE(CONTROL!$C$15, $D$11, 100%, $F$11)</f>
        <v>22.656600000000001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22.1009 * CHOOSE(CONTROL!$C$15, $D$11, 100%, $F$11)</f>
        <v>22.100899999999999</v>
      </c>
      <c r="C738" s="8">
        <f>22.1061 * CHOOSE(CONTROL!$C$15, $D$11, 100%, $F$11)</f>
        <v>22.106100000000001</v>
      </c>
      <c r="D738" s="8">
        <f>22.0862 * CHOOSE( CONTROL!$C$15, $D$11, 100%, $F$11)</f>
        <v>22.086200000000002</v>
      </c>
      <c r="E738" s="12">
        <f>22.0929 * CHOOSE( CONTROL!$C$15, $D$11, 100%, $F$11)</f>
        <v>22.0929</v>
      </c>
      <c r="F738" s="4">
        <f>22.7514 * CHOOSE(CONTROL!$C$15, $D$11, 100%, $F$11)</f>
        <v>22.7514</v>
      </c>
      <c r="G738" s="8">
        <f>21.5701 * CHOOSE( CONTROL!$C$15, $D$11, 100%, $F$11)</f>
        <v>21.5701</v>
      </c>
      <c r="H738" s="4">
        <f>22.4561 * CHOOSE(CONTROL!$C$15, $D$11, 100%, $F$11)</f>
        <v>22.456099999999999</v>
      </c>
      <c r="I738" s="8">
        <f>21.3241 * CHOOSE(CONTROL!$C$15, $D$11, 100%, $F$11)</f>
        <v>21.324100000000001</v>
      </c>
      <c r="J738" s="4">
        <f>21.1919 * CHOOSE(CONTROL!$C$15, $D$11, 100%, $F$11)</f>
        <v>21.1919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21.6311 * CHOOSE(CONTROL!$C$15, $D$11, 100%, $F$11)</f>
        <v>21.6311</v>
      </c>
      <c r="C739" s="8">
        <f>21.6362 * CHOOSE(CONTROL!$C$15, $D$11, 100%, $F$11)</f>
        <v>21.636199999999999</v>
      </c>
      <c r="D739" s="8">
        <f>21.616 * CHOOSE( CONTROL!$C$15, $D$11, 100%, $F$11)</f>
        <v>21.616</v>
      </c>
      <c r="E739" s="12">
        <f>21.6228 * CHOOSE( CONTROL!$C$15, $D$11, 100%, $F$11)</f>
        <v>21.622800000000002</v>
      </c>
      <c r="F739" s="4">
        <f>22.2815 * CHOOSE(CONTROL!$C$15, $D$11, 100%, $F$11)</f>
        <v>22.281500000000001</v>
      </c>
      <c r="G739" s="8">
        <f>21.1109 * CHOOSE( CONTROL!$C$15, $D$11, 100%, $F$11)</f>
        <v>21.110900000000001</v>
      </c>
      <c r="H739" s="4">
        <f>21.9972 * CHOOSE(CONTROL!$C$15, $D$11, 100%, $F$11)</f>
        <v>21.997199999999999</v>
      </c>
      <c r="I739" s="8">
        <f>20.8716 * CHOOSE(CONTROL!$C$15, $D$11, 100%, $F$11)</f>
        <v>20.871600000000001</v>
      </c>
      <c r="J739" s="4">
        <f>20.7408 * CHOOSE(CONTROL!$C$15, $D$11, 100%, $F$11)</f>
        <v>20.7408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21.9602 * CHOOSE(CONTROL!$C$15, $D$11, 100%, $F$11)</f>
        <v>21.9602</v>
      </c>
      <c r="C740" s="8">
        <f>21.9648 * CHOOSE(CONTROL!$C$15, $D$11, 100%, $F$11)</f>
        <v>21.9648</v>
      </c>
      <c r="D740" s="8">
        <f>21.9957 * CHOOSE( CONTROL!$C$15, $D$11, 100%, $F$11)</f>
        <v>21.995699999999999</v>
      </c>
      <c r="E740" s="12">
        <f>21.985 * CHOOSE( CONTROL!$C$15, $D$11, 100%, $F$11)</f>
        <v>21.984999999999999</v>
      </c>
      <c r="F740" s="4">
        <f>22.675 * CHOOSE(CONTROL!$C$15, $D$11, 100%, $F$11)</f>
        <v>22.675000000000001</v>
      </c>
      <c r="G740" s="8">
        <f>21.4336 * CHOOSE( CONTROL!$C$15, $D$11, 100%, $F$11)</f>
        <v>21.433599999999998</v>
      </c>
      <c r="H740" s="4">
        <f>22.3815 * CHOOSE(CONTROL!$C$15, $D$11, 100%, $F$11)</f>
        <v>22.381499999999999</v>
      </c>
      <c r="I740" s="8">
        <f>21.1804 * CHOOSE(CONTROL!$C$15, $D$11, 100%, $F$11)</f>
        <v>21.180399999999999</v>
      </c>
      <c r="J740" s="4">
        <f>21.056 * CHOOSE(CONTROL!$C$15, $D$11, 100%, $F$11)</f>
        <v>21.056000000000001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22.5493, 22.5459) * CHOOSE(CONTROL!$C$15, $D$11, 100%, $F$11)</f>
        <v>22.549299999999999</v>
      </c>
      <c r="C741" s="8">
        <f>CHOOSE( CONTROL!$C$32, 22.5574, 22.554) * CHOOSE(CONTROL!$C$15, $D$11, 100%, $F$11)</f>
        <v>22.557400000000001</v>
      </c>
      <c r="D741" s="8">
        <f>CHOOSE( CONTROL!$C$32, 22.583, 22.5796) * CHOOSE( CONTROL!$C$15, $D$11, 100%, $F$11)</f>
        <v>22.582999999999998</v>
      </c>
      <c r="E741" s="12">
        <f>CHOOSE( CONTROL!$C$32, 22.5725, 22.5691) * CHOOSE( CONTROL!$C$15, $D$11, 100%, $F$11)</f>
        <v>22.572500000000002</v>
      </c>
      <c r="F741" s="4">
        <f>CHOOSE( CONTROL!$C$32, 23.2627, 23.2593) * CHOOSE(CONTROL!$C$15, $D$11, 100%, $F$11)</f>
        <v>23.262699999999999</v>
      </c>
      <c r="G741" s="8">
        <f>CHOOSE( CONTROL!$C$32, 22.0084, 22.0051) * CHOOSE( CONTROL!$C$15, $D$11, 100%, $F$11)</f>
        <v>22.008400000000002</v>
      </c>
      <c r="H741" s="4">
        <f>CHOOSE( CONTROL!$C$32, 22.9556, 22.9522) * CHOOSE(CONTROL!$C$15, $D$11, 100%, $F$11)</f>
        <v>22.9556</v>
      </c>
      <c r="I741" s="8">
        <f>CHOOSE( CONTROL!$C$32, 21.7451, 21.7418) * CHOOSE(CONTROL!$C$15, $D$11, 100%, $F$11)</f>
        <v>21.745100000000001</v>
      </c>
      <c r="J741" s="4">
        <f>CHOOSE( CONTROL!$C$32, 21.6204, 21.6171) * CHOOSE(CONTROL!$C$15, $D$11, 100%, $F$11)</f>
        <v>21.6204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22.1873, 22.1839) * CHOOSE(CONTROL!$C$15, $D$11, 100%, $F$11)</f>
        <v>22.1873</v>
      </c>
      <c r="C742" s="8">
        <f>CHOOSE( CONTROL!$C$32, 22.1954, 22.192) * CHOOSE(CONTROL!$C$15, $D$11, 100%, $F$11)</f>
        <v>22.195399999999999</v>
      </c>
      <c r="D742" s="8">
        <f>CHOOSE( CONTROL!$C$32, 22.2212, 22.2178) * CHOOSE( CONTROL!$C$15, $D$11, 100%, $F$11)</f>
        <v>22.2212</v>
      </c>
      <c r="E742" s="12">
        <f>CHOOSE( CONTROL!$C$32, 22.2106, 22.2072) * CHOOSE( CONTROL!$C$15, $D$11, 100%, $F$11)</f>
        <v>22.210599999999999</v>
      </c>
      <c r="F742" s="4">
        <f>CHOOSE( CONTROL!$C$32, 22.9007, 22.8973) * CHOOSE(CONTROL!$C$15, $D$11, 100%, $F$11)</f>
        <v>22.900700000000001</v>
      </c>
      <c r="G742" s="8">
        <f>CHOOSE( CONTROL!$C$32, 21.6551, 21.6518) * CHOOSE( CONTROL!$C$15, $D$11, 100%, $F$11)</f>
        <v>21.655100000000001</v>
      </c>
      <c r="H742" s="4">
        <f>CHOOSE( CONTROL!$C$32, 22.602, 22.5987) * CHOOSE(CONTROL!$C$15, $D$11, 100%, $F$11)</f>
        <v>22.602</v>
      </c>
      <c r="I742" s="8">
        <f>CHOOSE( CONTROL!$C$32, 21.3983, 21.3951) * CHOOSE(CONTROL!$C$15, $D$11, 100%, $F$11)</f>
        <v>21.398299999999999</v>
      </c>
      <c r="J742" s="4">
        <f>CHOOSE( CONTROL!$C$32, 21.2728, 21.2695) * CHOOSE(CONTROL!$C$15, $D$11, 100%, $F$11)</f>
        <v>21.2728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23.1406, 23.1372) * CHOOSE(CONTROL!$C$15, $D$11, 100%, $F$11)</f>
        <v>23.140599999999999</v>
      </c>
      <c r="C743" s="8">
        <f>CHOOSE( CONTROL!$C$32, 23.1487, 23.1453) * CHOOSE(CONTROL!$C$15, $D$11, 100%, $F$11)</f>
        <v>23.148700000000002</v>
      </c>
      <c r="D743" s="8">
        <f>CHOOSE( CONTROL!$C$32, 23.1747, 23.1713) * CHOOSE( CONTROL!$C$15, $D$11, 100%, $F$11)</f>
        <v>23.174700000000001</v>
      </c>
      <c r="E743" s="12">
        <f>CHOOSE( CONTROL!$C$32, 23.164, 23.1606) * CHOOSE( CONTROL!$C$15, $D$11, 100%, $F$11)</f>
        <v>23.164000000000001</v>
      </c>
      <c r="F743" s="4">
        <f>CHOOSE( CONTROL!$C$32, 23.854, 23.8506) * CHOOSE(CONTROL!$C$15, $D$11, 100%, $F$11)</f>
        <v>23.853999999999999</v>
      </c>
      <c r="G743" s="8">
        <f>CHOOSE( CONTROL!$C$32, 22.5865, 22.5832) * CHOOSE( CONTROL!$C$15, $D$11, 100%, $F$11)</f>
        <v>22.586500000000001</v>
      </c>
      <c r="H743" s="4">
        <f>CHOOSE( CONTROL!$C$32, 23.5331, 23.5297) * CHOOSE(CONTROL!$C$15, $D$11, 100%, $F$11)</f>
        <v>23.533100000000001</v>
      </c>
      <c r="I743" s="8">
        <f>CHOOSE( CONTROL!$C$32, 22.3151, 22.3119) * CHOOSE(CONTROL!$C$15, $D$11, 100%, $F$11)</f>
        <v>22.315100000000001</v>
      </c>
      <c r="J743" s="4">
        <f>CHOOSE( CONTROL!$C$32, 22.188, 22.1848) * CHOOSE(CONTROL!$C$15, $D$11, 100%, $F$11)</f>
        <v>22.187999999999999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21.3569, 21.3535) * CHOOSE(CONTROL!$C$15, $D$11, 100%, $F$11)</f>
        <v>21.3569</v>
      </c>
      <c r="C744" s="8">
        <f>CHOOSE( CONTROL!$C$32, 21.365, 21.3616) * CHOOSE(CONTROL!$C$15, $D$11, 100%, $F$11)</f>
        <v>21.364999999999998</v>
      </c>
      <c r="D744" s="8">
        <f>CHOOSE( CONTROL!$C$32, 21.3911, 21.3877) * CHOOSE( CONTROL!$C$15, $D$11, 100%, $F$11)</f>
        <v>21.391100000000002</v>
      </c>
      <c r="E744" s="12">
        <f>CHOOSE( CONTROL!$C$32, 21.3804, 21.377) * CHOOSE( CONTROL!$C$15, $D$11, 100%, $F$11)</f>
        <v>21.380400000000002</v>
      </c>
      <c r="F744" s="4">
        <f>CHOOSE( CONTROL!$C$32, 22.0703, 22.0669) * CHOOSE(CONTROL!$C$15, $D$11, 100%, $F$11)</f>
        <v>22.0703</v>
      </c>
      <c r="G744" s="8">
        <f>CHOOSE( CONTROL!$C$32, 20.8446, 20.8412) * CHOOSE( CONTROL!$C$15, $D$11, 100%, $F$11)</f>
        <v>20.8446</v>
      </c>
      <c r="H744" s="4">
        <f>CHOOSE( CONTROL!$C$32, 21.7909, 21.7876) * CHOOSE(CONTROL!$C$15, $D$11, 100%, $F$11)</f>
        <v>21.790900000000001</v>
      </c>
      <c r="I744" s="8">
        <f>CHOOSE( CONTROL!$C$32, 20.6022, 20.5989) * CHOOSE(CONTROL!$C$15, $D$11, 100%, $F$11)</f>
        <v>20.6022</v>
      </c>
      <c r="J744" s="4">
        <f>CHOOSE( CONTROL!$C$32, 20.4755, 20.4723) * CHOOSE(CONTROL!$C$15, $D$11, 100%, $F$11)</f>
        <v>20.4755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20.9103, 20.9068) * CHOOSE(CONTROL!$C$15, $D$11, 100%, $F$11)</f>
        <v>20.910299999999999</v>
      </c>
      <c r="C745" s="8">
        <f>CHOOSE( CONTROL!$C$32, 20.9183, 20.9149) * CHOOSE(CONTROL!$C$15, $D$11, 100%, $F$11)</f>
        <v>20.918299999999999</v>
      </c>
      <c r="D745" s="8">
        <f>CHOOSE( CONTROL!$C$32, 20.9444, 20.941) * CHOOSE( CONTROL!$C$15, $D$11, 100%, $F$11)</f>
        <v>20.944400000000002</v>
      </c>
      <c r="E745" s="12">
        <f>CHOOSE( CONTROL!$C$32, 20.9337, 20.9303) * CHOOSE( CONTROL!$C$15, $D$11, 100%, $F$11)</f>
        <v>20.933700000000002</v>
      </c>
      <c r="F745" s="4">
        <f>CHOOSE( CONTROL!$C$32, 21.6237, 21.6203) * CHOOSE(CONTROL!$C$15, $D$11, 100%, $F$11)</f>
        <v>21.623699999999999</v>
      </c>
      <c r="G745" s="8">
        <f>CHOOSE( CONTROL!$C$32, 20.4083, 20.4049) * CHOOSE( CONTROL!$C$15, $D$11, 100%, $F$11)</f>
        <v>20.408300000000001</v>
      </c>
      <c r="H745" s="4">
        <f>CHOOSE( CONTROL!$C$32, 21.3547, 21.3514) * CHOOSE(CONTROL!$C$15, $D$11, 100%, $F$11)</f>
        <v>21.354700000000001</v>
      </c>
      <c r="I745" s="8">
        <f>CHOOSE( CONTROL!$C$32, 20.173, 20.1697) * CHOOSE(CONTROL!$C$15, $D$11, 100%, $F$11)</f>
        <v>20.172999999999998</v>
      </c>
      <c r="J745" s="4">
        <f>CHOOSE( CONTROL!$C$32, 20.0467, 20.0434) * CHOOSE(CONTROL!$C$15, $D$11, 100%, $F$11)</f>
        <v>20.046700000000001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21.8325 * CHOOSE(CONTROL!$C$15, $D$11, 100%, $F$11)</f>
        <v>21.8325</v>
      </c>
      <c r="C746" s="8">
        <f>21.838 * CHOOSE(CONTROL!$C$15, $D$11, 100%, $F$11)</f>
        <v>21.838000000000001</v>
      </c>
      <c r="D746" s="8">
        <f>21.8691 * CHOOSE( CONTROL!$C$15, $D$11, 100%, $F$11)</f>
        <v>21.8691</v>
      </c>
      <c r="E746" s="12">
        <f>21.8582 * CHOOSE( CONTROL!$C$15, $D$11, 100%, $F$11)</f>
        <v>21.8582</v>
      </c>
      <c r="F746" s="4">
        <f>22.5477 * CHOOSE(CONTROL!$C$15, $D$11, 100%, $F$11)</f>
        <v>22.547699999999999</v>
      </c>
      <c r="G746" s="8">
        <f>21.3103 * CHOOSE( CONTROL!$C$15, $D$11, 100%, $F$11)</f>
        <v>21.310300000000002</v>
      </c>
      <c r="H746" s="4">
        <f>22.2572 * CHOOSE(CONTROL!$C$15, $D$11, 100%, $F$11)</f>
        <v>22.257200000000001</v>
      </c>
      <c r="I746" s="8">
        <f>21.0614 * CHOOSE(CONTROL!$C$15, $D$11, 100%, $F$11)</f>
        <v>21.061399999999999</v>
      </c>
      <c r="J746" s="4">
        <f>20.9338 * CHOOSE(CONTROL!$C$15, $D$11, 100%, $F$11)</f>
        <v>20.933800000000002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23.5439 * CHOOSE(CONTROL!$C$15, $D$11, 100%, $F$11)</f>
        <v>23.543900000000001</v>
      </c>
      <c r="C747" s="8">
        <f>23.5491 * CHOOSE(CONTROL!$C$15, $D$11, 100%, $F$11)</f>
        <v>23.549099999999999</v>
      </c>
      <c r="D747" s="8">
        <f>23.5419 * CHOOSE( CONTROL!$C$15, $D$11, 100%, $F$11)</f>
        <v>23.541899999999998</v>
      </c>
      <c r="E747" s="12">
        <f>23.544 * CHOOSE( CONTROL!$C$15, $D$11, 100%, $F$11)</f>
        <v>23.544</v>
      </c>
      <c r="F747" s="4">
        <f>24.1944 * CHOOSE(CONTROL!$C$15, $D$11, 100%, $F$11)</f>
        <v>24.194400000000002</v>
      </c>
      <c r="G747" s="8">
        <f>22.9952 * CHOOSE( CONTROL!$C$15, $D$11, 100%, $F$11)</f>
        <v>22.995200000000001</v>
      </c>
      <c r="H747" s="4">
        <f>23.8655 * CHOOSE(CONTROL!$C$15, $D$11, 100%, $F$11)</f>
        <v>23.865500000000001</v>
      </c>
      <c r="I747" s="8">
        <f>22.7492 * CHOOSE(CONTROL!$C$15, $D$11, 100%, $F$11)</f>
        <v>22.749199999999998</v>
      </c>
      <c r="J747" s="4">
        <f>22.5773 * CHOOSE(CONTROL!$C$15, $D$11, 100%, $F$11)</f>
        <v>22.577300000000001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23.5011 * CHOOSE(CONTROL!$C$15, $D$11, 100%, $F$11)</f>
        <v>23.501100000000001</v>
      </c>
      <c r="C748" s="8">
        <f>23.5063 * CHOOSE(CONTROL!$C$15, $D$11, 100%, $F$11)</f>
        <v>23.5063</v>
      </c>
      <c r="D748" s="8">
        <f>23.5006 * CHOOSE( CONTROL!$C$15, $D$11, 100%, $F$11)</f>
        <v>23.500599999999999</v>
      </c>
      <c r="E748" s="12">
        <f>23.5021 * CHOOSE( CONTROL!$C$15, $D$11, 100%, $F$11)</f>
        <v>23.502099999999999</v>
      </c>
      <c r="F748" s="4">
        <f>24.1516 * CHOOSE(CONTROL!$C$15, $D$11, 100%, $F$11)</f>
        <v>24.151599999999998</v>
      </c>
      <c r="G748" s="8">
        <f>22.9545 * CHOOSE( CONTROL!$C$15, $D$11, 100%, $F$11)</f>
        <v>22.954499999999999</v>
      </c>
      <c r="H748" s="4">
        <f>23.8237 * CHOOSE(CONTROL!$C$15, $D$11, 100%, $F$11)</f>
        <v>23.823699999999999</v>
      </c>
      <c r="I748" s="8">
        <f>22.7127 * CHOOSE(CONTROL!$C$15, $D$11, 100%, $F$11)</f>
        <v>22.712700000000002</v>
      </c>
      <c r="J748" s="4">
        <f>22.5363 * CHOOSE(CONTROL!$C$15, $D$11, 100%, $F$11)</f>
        <v>22.536300000000001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24.1935 * CHOOSE(CONTROL!$C$15, $D$11, 100%, $F$11)</f>
        <v>24.1935</v>
      </c>
      <c r="C749" s="8">
        <f>24.1987 * CHOOSE(CONTROL!$C$15, $D$11, 100%, $F$11)</f>
        <v>24.198699999999999</v>
      </c>
      <c r="D749" s="8">
        <f>24.1788 * CHOOSE( CONTROL!$C$15, $D$11, 100%, $F$11)</f>
        <v>24.178799999999999</v>
      </c>
      <c r="E749" s="12">
        <f>24.1855 * CHOOSE( CONTROL!$C$15, $D$11, 100%, $F$11)</f>
        <v>24.185500000000001</v>
      </c>
      <c r="F749" s="4">
        <f>24.844 * CHOOSE(CONTROL!$C$15, $D$11, 100%, $F$11)</f>
        <v>24.844000000000001</v>
      </c>
      <c r="G749" s="8">
        <f>23.6139 * CHOOSE( CONTROL!$C$15, $D$11, 100%, $F$11)</f>
        <v>23.613900000000001</v>
      </c>
      <c r="H749" s="4">
        <f>24.5 * CHOOSE(CONTROL!$C$15, $D$11, 100%, $F$11)</f>
        <v>24.5</v>
      </c>
      <c r="I749" s="8">
        <f>23.3343 * CHOOSE(CONTROL!$C$15, $D$11, 100%, $F$11)</f>
        <v>23.334299999999999</v>
      </c>
      <c r="J749" s="4">
        <f>23.201 * CHOOSE(CONTROL!$C$15, $D$11, 100%, $F$11)</f>
        <v>23.201000000000001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22.6313 * CHOOSE(CONTROL!$C$15, $D$11, 100%, $F$11)</f>
        <v>22.6313</v>
      </c>
      <c r="C750" s="8">
        <f>22.6365 * CHOOSE(CONTROL!$C$15, $D$11, 100%, $F$11)</f>
        <v>22.636500000000002</v>
      </c>
      <c r="D750" s="8">
        <f>22.6165 * CHOOSE( CONTROL!$C$15, $D$11, 100%, $F$11)</f>
        <v>22.616499999999998</v>
      </c>
      <c r="E750" s="12">
        <f>22.6233 * CHOOSE( CONTROL!$C$15, $D$11, 100%, $F$11)</f>
        <v>22.6233</v>
      </c>
      <c r="F750" s="4">
        <f>23.2817 * CHOOSE(CONTROL!$C$15, $D$11, 100%, $F$11)</f>
        <v>23.281700000000001</v>
      </c>
      <c r="G750" s="8">
        <f>22.0881 * CHOOSE( CONTROL!$C$15, $D$11, 100%, $F$11)</f>
        <v>22.088100000000001</v>
      </c>
      <c r="H750" s="4">
        <f>22.9741 * CHOOSE(CONTROL!$C$15, $D$11, 100%, $F$11)</f>
        <v>22.9741</v>
      </c>
      <c r="I750" s="8">
        <f>21.8336 * CHOOSE(CONTROL!$C$15, $D$11, 100%, $F$11)</f>
        <v>21.833600000000001</v>
      </c>
      <c r="J750" s="4">
        <f>21.7011 * CHOOSE(CONTROL!$C$15, $D$11, 100%, $F$11)</f>
        <v>21.7011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22.1501 * CHOOSE(CONTROL!$C$15, $D$11, 100%, $F$11)</f>
        <v>22.150099999999998</v>
      </c>
      <c r="C751" s="8">
        <f>22.1553 * CHOOSE(CONTROL!$C$15, $D$11, 100%, $F$11)</f>
        <v>22.1553</v>
      </c>
      <c r="D751" s="8">
        <f>22.135 * CHOOSE( CONTROL!$C$15, $D$11, 100%, $F$11)</f>
        <v>22.135000000000002</v>
      </c>
      <c r="E751" s="12">
        <f>22.1419 * CHOOSE( CONTROL!$C$15, $D$11, 100%, $F$11)</f>
        <v>22.1419</v>
      </c>
      <c r="F751" s="4">
        <f>22.8006 * CHOOSE(CONTROL!$C$15, $D$11, 100%, $F$11)</f>
        <v>22.800599999999999</v>
      </c>
      <c r="G751" s="8">
        <f>21.6178 * CHOOSE( CONTROL!$C$15, $D$11, 100%, $F$11)</f>
        <v>21.617799999999999</v>
      </c>
      <c r="H751" s="4">
        <f>22.5042 * CHOOSE(CONTROL!$C$15, $D$11, 100%, $F$11)</f>
        <v>22.504200000000001</v>
      </c>
      <c r="I751" s="8">
        <f>21.3702 * CHOOSE(CONTROL!$C$15, $D$11, 100%, $F$11)</f>
        <v>21.370200000000001</v>
      </c>
      <c r="J751" s="4">
        <f>21.2391 * CHOOSE(CONTROL!$C$15, $D$11, 100%, $F$11)</f>
        <v>21.239100000000001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22.4871 * CHOOSE(CONTROL!$C$15, $D$11, 100%, $F$11)</f>
        <v>22.487100000000002</v>
      </c>
      <c r="C752" s="8">
        <f>22.4917 * CHOOSE(CONTROL!$C$15, $D$11, 100%, $F$11)</f>
        <v>22.491700000000002</v>
      </c>
      <c r="D752" s="8">
        <f>22.5226 * CHOOSE( CONTROL!$C$15, $D$11, 100%, $F$11)</f>
        <v>22.522600000000001</v>
      </c>
      <c r="E752" s="12">
        <f>22.5119 * CHOOSE( CONTROL!$C$15, $D$11, 100%, $F$11)</f>
        <v>22.511900000000001</v>
      </c>
      <c r="F752" s="4">
        <f>23.2019 * CHOOSE(CONTROL!$C$15, $D$11, 100%, $F$11)</f>
        <v>23.201899999999998</v>
      </c>
      <c r="G752" s="8">
        <f>21.9483 * CHOOSE( CONTROL!$C$15, $D$11, 100%, $F$11)</f>
        <v>21.9483</v>
      </c>
      <c r="H752" s="4">
        <f>22.8962 * CHOOSE(CONTROL!$C$15, $D$11, 100%, $F$11)</f>
        <v>22.8962</v>
      </c>
      <c r="I752" s="8">
        <f>21.6865 * CHOOSE(CONTROL!$C$15, $D$11, 100%, $F$11)</f>
        <v>21.686499999999999</v>
      </c>
      <c r="J752" s="4">
        <f>21.562 * CHOOSE(CONTROL!$C$15, $D$11, 100%, $F$11)</f>
        <v>21.562000000000001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23.0903, 23.0869) * CHOOSE(CONTROL!$C$15, $D$11, 100%, $F$11)</f>
        <v>23.090299999999999</v>
      </c>
      <c r="C753" s="8">
        <f>CHOOSE( CONTROL!$C$32, 23.0984, 23.095) * CHOOSE(CONTROL!$C$15, $D$11, 100%, $F$11)</f>
        <v>23.098400000000002</v>
      </c>
      <c r="D753" s="8">
        <f>CHOOSE( CONTROL!$C$32, 23.124, 23.1206) * CHOOSE( CONTROL!$C$15, $D$11, 100%, $F$11)</f>
        <v>23.123999999999999</v>
      </c>
      <c r="E753" s="12">
        <f>CHOOSE( CONTROL!$C$32, 23.1135, 23.1101) * CHOOSE( CONTROL!$C$15, $D$11, 100%, $F$11)</f>
        <v>23.113499999999998</v>
      </c>
      <c r="F753" s="4">
        <f>CHOOSE( CONTROL!$C$32, 23.8037, 23.8003) * CHOOSE(CONTROL!$C$15, $D$11, 100%, $F$11)</f>
        <v>23.803699999999999</v>
      </c>
      <c r="G753" s="8">
        <f>CHOOSE( CONTROL!$C$32, 22.5368, 22.5335) * CHOOSE( CONTROL!$C$15, $D$11, 100%, $F$11)</f>
        <v>22.536799999999999</v>
      </c>
      <c r="H753" s="4">
        <f>CHOOSE( CONTROL!$C$32, 23.484, 23.4806) * CHOOSE(CONTROL!$C$15, $D$11, 100%, $F$11)</f>
        <v>23.484000000000002</v>
      </c>
      <c r="I753" s="8">
        <f>CHOOSE( CONTROL!$C$32, 22.2648, 22.2615) * CHOOSE(CONTROL!$C$15, $D$11, 100%, $F$11)</f>
        <v>22.264800000000001</v>
      </c>
      <c r="J753" s="4">
        <f>CHOOSE( CONTROL!$C$32, 22.1398, 22.1365) * CHOOSE(CONTROL!$C$15, $D$11, 100%, $F$11)</f>
        <v>22.139800000000001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22.7196, 22.7162) * CHOOSE(CONTROL!$C$15, $D$11, 100%, $F$11)</f>
        <v>22.7196</v>
      </c>
      <c r="C754" s="8">
        <f>CHOOSE( CONTROL!$C$32, 22.7277, 22.7243) * CHOOSE(CONTROL!$C$15, $D$11, 100%, $F$11)</f>
        <v>22.727699999999999</v>
      </c>
      <c r="D754" s="8">
        <f>CHOOSE( CONTROL!$C$32, 22.7535, 22.7501) * CHOOSE( CONTROL!$C$15, $D$11, 100%, $F$11)</f>
        <v>22.753499999999999</v>
      </c>
      <c r="E754" s="12">
        <f>CHOOSE( CONTROL!$C$32, 22.7429, 22.7395) * CHOOSE( CONTROL!$C$15, $D$11, 100%, $F$11)</f>
        <v>22.742899999999999</v>
      </c>
      <c r="F754" s="4">
        <f>CHOOSE( CONTROL!$C$32, 23.433, 23.4296) * CHOOSE(CONTROL!$C$15, $D$11, 100%, $F$11)</f>
        <v>23.433</v>
      </c>
      <c r="G754" s="8">
        <f>CHOOSE( CONTROL!$C$32, 22.175, 22.1717) * CHOOSE( CONTROL!$C$15, $D$11, 100%, $F$11)</f>
        <v>22.175000000000001</v>
      </c>
      <c r="H754" s="4">
        <f>CHOOSE( CONTROL!$C$32, 23.1219, 23.1186) * CHOOSE(CONTROL!$C$15, $D$11, 100%, $F$11)</f>
        <v>23.1219</v>
      </c>
      <c r="I754" s="8">
        <f>CHOOSE( CONTROL!$C$32, 21.9096, 21.9064) * CHOOSE(CONTROL!$C$15, $D$11, 100%, $F$11)</f>
        <v>21.909600000000001</v>
      </c>
      <c r="J754" s="4">
        <f>CHOOSE( CONTROL!$C$32, 21.7839, 21.7806) * CHOOSE(CONTROL!$C$15, $D$11, 100%, $F$11)</f>
        <v>21.783899999999999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23.6958, 23.6924) * CHOOSE(CONTROL!$C$15, $D$11, 100%, $F$11)</f>
        <v>23.695799999999998</v>
      </c>
      <c r="C755" s="8">
        <f>CHOOSE( CONTROL!$C$32, 23.7039, 23.7005) * CHOOSE(CONTROL!$C$15, $D$11, 100%, $F$11)</f>
        <v>23.703900000000001</v>
      </c>
      <c r="D755" s="8">
        <f>CHOOSE( CONTROL!$C$32, 23.7299, 23.7265) * CHOOSE( CONTROL!$C$15, $D$11, 100%, $F$11)</f>
        <v>23.729900000000001</v>
      </c>
      <c r="E755" s="12">
        <f>CHOOSE( CONTROL!$C$32, 23.7192, 23.7158) * CHOOSE( CONTROL!$C$15, $D$11, 100%, $F$11)</f>
        <v>23.719200000000001</v>
      </c>
      <c r="F755" s="4">
        <f>CHOOSE( CONTROL!$C$32, 24.4092, 24.4058) * CHOOSE(CONTROL!$C$15, $D$11, 100%, $F$11)</f>
        <v>24.409199999999998</v>
      </c>
      <c r="G755" s="8">
        <f>CHOOSE( CONTROL!$C$32, 23.1288, 23.1255) * CHOOSE( CONTROL!$C$15, $D$11, 100%, $F$11)</f>
        <v>23.128799999999998</v>
      </c>
      <c r="H755" s="4">
        <f>CHOOSE( CONTROL!$C$32, 24.0753, 24.072) * CHOOSE(CONTROL!$C$15, $D$11, 100%, $F$11)</f>
        <v>24.075299999999999</v>
      </c>
      <c r="I755" s="8">
        <f>CHOOSE( CONTROL!$C$32, 22.8484, 22.8452) * CHOOSE(CONTROL!$C$15, $D$11, 100%, $F$11)</f>
        <v>22.848400000000002</v>
      </c>
      <c r="J755" s="4">
        <f>CHOOSE( CONTROL!$C$32, 22.7211, 22.7178) * CHOOSE(CONTROL!$C$15, $D$11, 100%, $F$11)</f>
        <v>22.7211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21.8692, 21.8658) * CHOOSE(CONTROL!$C$15, $D$11, 100%, $F$11)</f>
        <v>21.869199999999999</v>
      </c>
      <c r="C756" s="8">
        <f>CHOOSE( CONTROL!$C$32, 21.8773, 21.8739) * CHOOSE(CONTROL!$C$15, $D$11, 100%, $F$11)</f>
        <v>21.877300000000002</v>
      </c>
      <c r="D756" s="8">
        <f>CHOOSE( CONTROL!$C$32, 21.9035, 21.9) * CHOOSE( CONTROL!$C$15, $D$11, 100%, $F$11)</f>
        <v>21.903500000000001</v>
      </c>
      <c r="E756" s="12">
        <f>CHOOSE( CONTROL!$C$32, 21.8928, 21.8893) * CHOOSE( CONTROL!$C$15, $D$11, 100%, $F$11)</f>
        <v>21.892800000000001</v>
      </c>
      <c r="F756" s="4">
        <f>CHOOSE( CONTROL!$C$32, 22.5827, 22.5793) * CHOOSE(CONTROL!$C$15, $D$11, 100%, $F$11)</f>
        <v>22.582699999999999</v>
      </c>
      <c r="G756" s="8">
        <f>CHOOSE( CONTROL!$C$32, 21.345, 21.3416) * CHOOSE( CONTROL!$C$15, $D$11, 100%, $F$11)</f>
        <v>21.344999999999999</v>
      </c>
      <c r="H756" s="4">
        <f>CHOOSE( CONTROL!$C$32, 22.2913, 22.288) * CHOOSE(CONTROL!$C$15, $D$11, 100%, $F$11)</f>
        <v>22.2913</v>
      </c>
      <c r="I756" s="8">
        <f>CHOOSE( CONTROL!$C$32, 21.0943, 21.0911) * CHOOSE(CONTROL!$C$15, $D$11, 100%, $F$11)</f>
        <v>21.0943</v>
      </c>
      <c r="J756" s="4">
        <f>CHOOSE( CONTROL!$C$32, 20.9674, 20.9642) * CHOOSE(CONTROL!$C$15, $D$11, 100%, $F$11)</f>
        <v>20.967400000000001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21.4119, 21.4085) * CHOOSE(CONTROL!$C$15, $D$11, 100%, $F$11)</f>
        <v>21.411899999999999</v>
      </c>
      <c r="C757" s="8">
        <f>CHOOSE( CONTROL!$C$32, 21.4199, 21.4165) * CHOOSE(CONTROL!$C$15, $D$11, 100%, $F$11)</f>
        <v>21.419899999999998</v>
      </c>
      <c r="D757" s="8">
        <f>CHOOSE( CONTROL!$C$32, 21.446, 21.4426) * CHOOSE( CONTROL!$C$15, $D$11, 100%, $F$11)</f>
        <v>21.446000000000002</v>
      </c>
      <c r="E757" s="12">
        <f>CHOOSE( CONTROL!$C$32, 21.4353, 21.4319) * CHOOSE( CONTROL!$C$15, $D$11, 100%, $F$11)</f>
        <v>21.435300000000002</v>
      </c>
      <c r="F757" s="4">
        <f>CHOOSE( CONTROL!$C$32, 22.1253, 22.1219) * CHOOSE(CONTROL!$C$15, $D$11, 100%, $F$11)</f>
        <v>22.125299999999999</v>
      </c>
      <c r="G757" s="8">
        <f>CHOOSE( CONTROL!$C$32, 20.8982, 20.8949) * CHOOSE( CONTROL!$C$15, $D$11, 100%, $F$11)</f>
        <v>20.898199999999999</v>
      </c>
      <c r="H757" s="4">
        <f>CHOOSE( CONTROL!$C$32, 21.8446, 21.8413) * CHOOSE(CONTROL!$C$15, $D$11, 100%, $F$11)</f>
        <v>21.8446</v>
      </c>
      <c r="I757" s="8">
        <f>CHOOSE( CONTROL!$C$32, 20.6548, 20.6516) * CHOOSE(CONTROL!$C$15, $D$11, 100%, $F$11)</f>
        <v>20.654800000000002</v>
      </c>
      <c r="J757" s="4">
        <f>CHOOSE( CONTROL!$C$32, 20.5283, 20.525) * CHOOSE(CONTROL!$C$15, $D$11, 100%, $F$11)</f>
        <v>20.528300000000002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22.3564 * CHOOSE(CONTROL!$C$15, $D$11, 100%, $F$11)</f>
        <v>22.356400000000001</v>
      </c>
      <c r="C758" s="8">
        <f>22.3619 * CHOOSE(CONTROL!$C$15, $D$11, 100%, $F$11)</f>
        <v>22.361899999999999</v>
      </c>
      <c r="D758" s="8">
        <f>22.3929 * CHOOSE( CONTROL!$C$15, $D$11, 100%, $F$11)</f>
        <v>22.392900000000001</v>
      </c>
      <c r="E758" s="12">
        <f>22.3821 * CHOOSE( CONTROL!$C$15, $D$11, 100%, $F$11)</f>
        <v>22.382100000000001</v>
      </c>
      <c r="F758" s="4">
        <f>23.0716 * CHOOSE(CONTROL!$C$15, $D$11, 100%, $F$11)</f>
        <v>23.0716</v>
      </c>
      <c r="G758" s="8">
        <f>21.822 * CHOOSE( CONTROL!$C$15, $D$11, 100%, $F$11)</f>
        <v>21.821999999999999</v>
      </c>
      <c r="H758" s="4">
        <f>22.7689 * CHOOSE(CONTROL!$C$15, $D$11, 100%, $F$11)</f>
        <v>22.768899999999999</v>
      </c>
      <c r="I758" s="8">
        <f>21.5647 * CHOOSE(CONTROL!$C$15, $D$11, 100%, $F$11)</f>
        <v>21.564699999999998</v>
      </c>
      <c r="J758" s="4">
        <f>21.4368 * CHOOSE(CONTROL!$C$15, $D$11, 100%, $F$11)</f>
        <v>21.436800000000002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24.1089 * CHOOSE(CONTROL!$C$15, $D$11, 100%, $F$11)</f>
        <v>24.108899999999998</v>
      </c>
      <c r="C759" s="8">
        <f>24.1141 * CHOOSE(CONTROL!$C$15, $D$11, 100%, $F$11)</f>
        <v>24.114100000000001</v>
      </c>
      <c r="D759" s="8">
        <f>24.107 * CHOOSE( CONTROL!$C$15, $D$11, 100%, $F$11)</f>
        <v>24.106999999999999</v>
      </c>
      <c r="E759" s="12">
        <f>24.109 * CHOOSE( CONTROL!$C$15, $D$11, 100%, $F$11)</f>
        <v>24.109000000000002</v>
      </c>
      <c r="F759" s="4">
        <f>24.7594 * CHOOSE(CONTROL!$C$15, $D$11, 100%, $F$11)</f>
        <v>24.759399999999999</v>
      </c>
      <c r="G759" s="8">
        <f>23.5471 * CHOOSE( CONTROL!$C$15, $D$11, 100%, $F$11)</f>
        <v>23.5471</v>
      </c>
      <c r="H759" s="4">
        <f>24.4174 * CHOOSE(CONTROL!$C$15, $D$11, 100%, $F$11)</f>
        <v>24.417400000000001</v>
      </c>
      <c r="I759" s="8">
        <f>23.2919 * CHOOSE(CONTROL!$C$15, $D$11, 100%, $F$11)</f>
        <v>23.291899999999998</v>
      </c>
      <c r="J759" s="4">
        <f>23.1198 * CHOOSE(CONTROL!$C$15, $D$11, 100%, $F$11)</f>
        <v>23.119800000000001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24.0651 * CHOOSE(CONTROL!$C$15, $D$11, 100%, $F$11)</f>
        <v>24.065100000000001</v>
      </c>
      <c r="C760" s="8">
        <f>24.0703 * CHOOSE(CONTROL!$C$15, $D$11, 100%, $F$11)</f>
        <v>24.0703</v>
      </c>
      <c r="D760" s="8">
        <f>24.0646 * CHOOSE( CONTROL!$C$15, $D$11, 100%, $F$11)</f>
        <v>24.064599999999999</v>
      </c>
      <c r="E760" s="12">
        <f>24.0661 * CHOOSE( CONTROL!$C$15, $D$11, 100%, $F$11)</f>
        <v>24.066099999999999</v>
      </c>
      <c r="F760" s="4">
        <f>24.7156 * CHOOSE(CONTROL!$C$15, $D$11, 100%, $F$11)</f>
        <v>24.715599999999998</v>
      </c>
      <c r="G760" s="8">
        <f>23.5054 * CHOOSE( CONTROL!$C$15, $D$11, 100%, $F$11)</f>
        <v>23.505400000000002</v>
      </c>
      <c r="H760" s="4">
        <f>24.3746 * CHOOSE(CONTROL!$C$15, $D$11, 100%, $F$11)</f>
        <v>24.374600000000001</v>
      </c>
      <c r="I760" s="8">
        <f>23.2545 * CHOOSE(CONTROL!$C$15, $D$11, 100%, $F$11)</f>
        <v>23.2545</v>
      </c>
      <c r="J760" s="4">
        <f>23.0778 * CHOOSE(CONTROL!$C$15, $D$11, 100%, $F$11)</f>
        <v>23.0778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24.7742 * CHOOSE(CONTROL!$C$15, $D$11, 100%, $F$11)</f>
        <v>24.7742</v>
      </c>
      <c r="C761" s="8">
        <f>24.7793 * CHOOSE(CONTROL!$C$15, $D$11, 100%, $F$11)</f>
        <v>24.779299999999999</v>
      </c>
      <c r="D761" s="8">
        <f>24.7594 * CHOOSE( CONTROL!$C$15, $D$11, 100%, $F$11)</f>
        <v>24.759399999999999</v>
      </c>
      <c r="E761" s="12">
        <f>24.7661 * CHOOSE( CONTROL!$C$15, $D$11, 100%, $F$11)</f>
        <v>24.766100000000002</v>
      </c>
      <c r="F761" s="4">
        <f>25.4246 * CHOOSE(CONTROL!$C$15, $D$11, 100%, $F$11)</f>
        <v>25.424600000000002</v>
      </c>
      <c r="G761" s="8">
        <f>24.181 * CHOOSE( CONTROL!$C$15, $D$11, 100%, $F$11)</f>
        <v>24.181000000000001</v>
      </c>
      <c r="H761" s="4">
        <f>25.0671 * CHOOSE(CONTROL!$C$15, $D$11, 100%, $F$11)</f>
        <v>25.0671</v>
      </c>
      <c r="I761" s="8">
        <f>23.892 * CHOOSE(CONTROL!$C$15, $D$11, 100%, $F$11)</f>
        <v>23.891999999999999</v>
      </c>
      <c r="J761" s="4">
        <f>23.7585 * CHOOSE(CONTROL!$C$15, $D$11, 100%, $F$11)</f>
        <v>23.758500000000002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23.1744 * CHOOSE(CONTROL!$C$15, $D$11, 100%, $F$11)</f>
        <v>23.174399999999999</v>
      </c>
      <c r="C762" s="8">
        <f>23.1796 * CHOOSE(CONTROL!$C$15, $D$11, 100%, $F$11)</f>
        <v>23.179600000000001</v>
      </c>
      <c r="D762" s="8">
        <f>23.1596 * CHOOSE( CONTROL!$C$15, $D$11, 100%, $F$11)</f>
        <v>23.159600000000001</v>
      </c>
      <c r="E762" s="12">
        <f>23.1664 * CHOOSE( CONTROL!$C$15, $D$11, 100%, $F$11)</f>
        <v>23.166399999999999</v>
      </c>
      <c r="F762" s="4">
        <f>23.8248 * CHOOSE(CONTROL!$C$15, $D$11, 100%, $F$11)</f>
        <v>23.8248</v>
      </c>
      <c r="G762" s="8">
        <f>22.6185 * CHOOSE( CONTROL!$C$15, $D$11, 100%, $F$11)</f>
        <v>22.618500000000001</v>
      </c>
      <c r="H762" s="4">
        <f>23.5046 * CHOOSE(CONTROL!$C$15, $D$11, 100%, $F$11)</f>
        <v>23.5046</v>
      </c>
      <c r="I762" s="8">
        <f>22.3552 * CHOOSE(CONTROL!$C$15, $D$11, 100%, $F$11)</f>
        <v>22.3552</v>
      </c>
      <c r="J762" s="4">
        <f>22.2225 * CHOOSE(CONTROL!$C$15, $D$11, 100%, $F$11)</f>
        <v>22.2225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22.6816 * CHOOSE(CONTROL!$C$15, $D$11, 100%, $F$11)</f>
        <v>22.6816</v>
      </c>
      <c r="C763" s="8">
        <f>22.6868 * CHOOSE(CONTROL!$C$15, $D$11, 100%, $F$11)</f>
        <v>22.686800000000002</v>
      </c>
      <c r="D763" s="8">
        <f>22.6665 * CHOOSE( CONTROL!$C$15, $D$11, 100%, $F$11)</f>
        <v>22.666499999999999</v>
      </c>
      <c r="E763" s="12">
        <f>22.6734 * CHOOSE( CONTROL!$C$15, $D$11, 100%, $F$11)</f>
        <v>22.673400000000001</v>
      </c>
      <c r="F763" s="4">
        <f>23.3321 * CHOOSE(CONTROL!$C$15, $D$11, 100%, $F$11)</f>
        <v>23.332100000000001</v>
      </c>
      <c r="G763" s="8">
        <f>22.137 * CHOOSE( CONTROL!$C$15, $D$11, 100%, $F$11)</f>
        <v>22.137</v>
      </c>
      <c r="H763" s="4">
        <f>23.0233 * CHOOSE(CONTROL!$C$15, $D$11, 100%, $F$11)</f>
        <v>23.023299999999999</v>
      </c>
      <c r="I763" s="8">
        <f>21.8808 * CHOOSE(CONTROL!$C$15, $D$11, 100%, $F$11)</f>
        <v>21.880800000000001</v>
      </c>
      <c r="J763" s="4">
        <f>21.7495 * CHOOSE(CONTROL!$C$15, $D$11, 100%, $F$11)</f>
        <v>21.749500000000001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23.0267 * CHOOSE(CONTROL!$C$15, $D$11, 100%, $F$11)</f>
        <v>23.026700000000002</v>
      </c>
      <c r="C764" s="8">
        <f>23.0313 * CHOOSE(CONTROL!$C$15, $D$11, 100%, $F$11)</f>
        <v>23.031300000000002</v>
      </c>
      <c r="D764" s="8">
        <f>23.0622 * CHOOSE( CONTROL!$C$15, $D$11, 100%, $F$11)</f>
        <v>23.062200000000001</v>
      </c>
      <c r="E764" s="12">
        <f>23.0515 * CHOOSE( CONTROL!$C$15, $D$11, 100%, $F$11)</f>
        <v>23.051500000000001</v>
      </c>
      <c r="F764" s="4">
        <f>23.7415 * CHOOSE(CONTROL!$C$15, $D$11, 100%, $F$11)</f>
        <v>23.741499999999998</v>
      </c>
      <c r="G764" s="8">
        <f>22.4753 * CHOOSE( CONTROL!$C$15, $D$11, 100%, $F$11)</f>
        <v>22.475300000000001</v>
      </c>
      <c r="H764" s="4">
        <f>23.4232 * CHOOSE(CONTROL!$C$15, $D$11, 100%, $F$11)</f>
        <v>23.423200000000001</v>
      </c>
      <c r="I764" s="8">
        <f>22.2049 * CHOOSE(CONTROL!$C$15, $D$11, 100%, $F$11)</f>
        <v>22.204899999999999</v>
      </c>
      <c r="J764" s="4">
        <f>22.08 * CHOOSE(CONTROL!$C$15, $D$11, 100%, $F$11)</f>
        <v>22.08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23.6443, 23.6409) * CHOOSE(CONTROL!$C$15, $D$11, 100%, $F$11)</f>
        <v>23.644300000000001</v>
      </c>
      <c r="C765" s="8">
        <f>CHOOSE( CONTROL!$C$32, 23.6524, 23.649) * CHOOSE(CONTROL!$C$15, $D$11, 100%, $F$11)</f>
        <v>23.6524</v>
      </c>
      <c r="D765" s="8">
        <f>CHOOSE( CONTROL!$C$32, 23.678, 23.6746) * CHOOSE( CONTROL!$C$15, $D$11, 100%, $F$11)</f>
        <v>23.678000000000001</v>
      </c>
      <c r="E765" s="12">
        <f>CHOOSE( CONTROL!$C$32, 23.6675, 23.6641) * CHOOSE( CONTROL!$C$15, $D$11, 100%, $F$11)</f>
        <v>23.6675</v>
      </c>
      <c r="F765" s="4">
        <f>CHOOSE( CONTROL!$C$32, 24.3577, 24.3543) * CHOOSE(CONTROL!$C$15, $D$11, 100%, $F$11)</f>
        <v>24.357700000000001</v>
      </c>
      <c r="G765" s="8">
        <f>CHOOSE( CONTROL!$C$32, 23.0779, 23.0745) * CHOOSE( CONTROL!$C$15, $D$11, 100%, $F$11)</f>
        <v>23.0779</v>
      </c>
      <c r="H765" s="4">
        <f>CHOOSE( CONTROL!$C$32, 24.025, 24.0217) * CHOOSE(CONTROL!$C$15, $D$11, 100%, $F$11)</f>
        <v>24.024999999999999</v>
      </c>
      <c r="I765" s="8">
        <f>CHOOSE( CONTROL!$C$32, 22.7969, 22.7937) * CHOOSE(CONTROL!$C$15, $D$11, 100%, $F$11)</f>
        <v>22.796900000000001</v>
      </c>
      <c r="J765" s="4">
        <f>CHOOSE( CONTROL!$C$32, 22.6716, 22.6684) * CHOOSE(CONTROL!$C$15, $D$11, 100%, $F$11)</f>
        <v>22.671600000000002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23.2647, 23.2613) * CHOOSE(CONTROL!$C$15, $D$11, 100%, $F$11)</f>
        <v>23.264700000000001</v>
      </c>
      <c r="C766" s="8">
        <f>CHOOSE( CONTROL!$C$32, 23.2728, 23.2694) * CHOOSE(CONTROL!$C$15, $D$11, 100%, $F$11)</f>
        <v>23.2728</v>
      </c>
      <c r="D766" s="8">
        <f>CHOOSE( CONTROL!$C$32, 23.2986, 23.2952) * CHOOSE( CONTROL!$C$15, $D$11, 100%, $F$11)</f>
        <v>23.2986</v>
      </c>
      <c r="E766" s="12">
        <f>CHOOSE( CONTROL!$C$32, 23.288, 23.2846) * CHOOSE( CONTROL!$C$15, $D$11, 100%, $F$11)</f>
        <v>23.288</v>
      </c>
      <c r="F766" s="4">
        <f>CHOOSE( CONTROL!$C$32, 23.9781, 23.9747) * CHOOSE(CONTROL!$C$15, $D$11, 100%, $F$11)</f>
        <v>23.978100000000001</v>
      </c>
      <c r="G766" s="8">
        <f>CHOOSE( CONTROL!$C$32, 22.7074, 22.7041) * CHOOSE( CONTROL!$C$15, $D$11, 100%, $F$11)</f>
        <v>22.7074</v>
      </c>
      <c r="H766" s="4">
        <f>CHOOSE( CONTROL!$C$32, 23.6543, 23.6509) * CHOOSE(CONTROL!$C$15, $D$11, 100%, $F$11)</f>
        <v>23.654299999999999</v>
      </c>
      <c r="I766" s="8">
        <f>CHOOSE( CONTROL!$C$32, 22.4332, 22.43) * CHOOSE(CONTROL!$C$15, $D$11, 100%, $F$11)</f>
        <v>22.433199999999999</v>
      </c>
      <c r="J766" s="4">
        <f>CHOOSE( CONTROL!$C$32, 22.3072, 22.3039) * CHOOSE(CONTROL!$C$15, $D$11, 100%, $F$11)</f>
        <v>22.307200000000002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24.2643, 24.2609) * CHOOSE(CONTROL!$C$15, $D$11, 100%, $F$11)</f>
        <v>24.264299999999999</v>
      </c>
      <c r="C767" s="8">
        <f>CHOOSE( CONTROL!$C$32, 24.2724, 24.269) * CHOOSE(CONTROL!$C$15, $D$11, 100%, $F$11)</f>
        <v>24.272400000000001</v>
      </c>
      <c r="D767" s="8">
        <f>CHOOSE( CONTROL!$C$32, 24.2984, 24.295) * CHOOSE( CONTROL!$C$15, $D$11, 100%, $F$11)</f>
        <v>24.298400000000001</v>
      </c>
      <c r="E767" s="12">
        <f>CHOOSE( CONTROL!$C$32, 24.2877, 24.2843) * CHOOSE( CONTROL!$C$15, $D$11, 100%, $F$11)</f>
        <v>24.287700000000001</v>
      </c>
      <c r="F767" s="4">
        <f>CHOOSE( CONTROL!$C$32, 24.9777, 24.9743) * CHOOSE(CONTROL!$C$15, $D$11, 100%, $F$11)</f>
        <v>24.977699999999999</v>
      </c>
      <c r="G767" s="8">
        <f>CHOOSE( CONTROL!$C$32, 23.6841, 23.6808) * CHOOSE( CONTROL!$C$15, $D$11, 100%, $F$11)</f>
        <v>23.684100000000001</v>
      </c>
      <c r="H767" s="4">
        <f>CHOOSE( CONTROL!$C$32, 24.6306, 24.6273) * CHOOSE(CONTROL!$C$15, $D$11, 100%, $F$11)</f>
        <v>24.630600000000001</v>
      </c>
      <c r="I767" s="8">
        <f>CHOOSE( CONTROL!$C$32, 23.3946, 23.3913) * CHOOSE(CONTROL!$C$15, $D$11, 100%, $F$11)</f>
        <v>23.394600000000001</v>
      </c>
      <c r="J767" s="4">
        <f>CHOOSE( CONTROL!$C$32, 23.2669, 23.2637) * CHOOSE(CONTROL!$C$15, $D$11, 100%, $F$11)</f>
        <v>23.2669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22.3939, 22.3905) * CHOOSE(CONTROL!$C$15, $D$11, 100%, $F$11)</f>
        <v>22.393899999999999</v>
      </c>
      <c r="C768" s="8">
        <f>CHOOSE( CONTROL!$C$32, 22.402, 22.3986) * CHOOSE(CONTROL!$C$15, $D$11, 100%, $F$11)</f>
        <v>22.402000000000001</v>
      </c>
      <c r="D768" s="8">
        <f>CHOOSE( CONTROL!$C$32, 22.4281, 22.4247) * CHOOSE( CONTROL!$C$15, $D$11, 100%, $F$11)</f>
        <v>22.428100000000001</v>
      </c>
      <c r="E768" s="12">
        <f>CHOOSE( CONTROL!$C$32, 22.4174, 22.414) * CHOOSE( CONTROL!$C$15, $D$11, 100%, $F$11)</f>
        <v>22.417400000000001</v>
      </c>
      <c r="F768" s="4">
        <f>CHOOSE( CONTROL!$C$32, 23.1073, 23.1039) * CHOOSE(CONTROL!$C$15, $D$11, 100%, $F$11)</f>
        <v>23.107299999999999</v>
      </c>
      <c r="G768" s="8">
        <f>CHOOSE( CONTROL!$C$32, 21.8574, 21.8541) * CHOOSE( CONTROL!$C$15, $D$11, 100%, $F$11)</f>
        <v>21.857399999999998</v>
      </c>
      <c r="H768" s="4">
        <f>CHOOSE( CONTROL!$C$32, 22.8038, 22.8005) * CHOOSE(CONTROL!$C$15, $D$11, 100%, $F$11)</f>
        <v>22.803799999999999</v>
      </c>
      <c r="I768" s="8">
        <f>CHOOSE( CONTROL!$C$32, 21.5983, 21.595) * CHOOSE(CONTROL!$C$15, $D$11, 100%, $F$11)</f>
        <v>21.598299999999998</v>
      </c>
      <c r="J768" s="4">
        <f>CHOOSE( CONTROL!$C$32, 21.4712, 21.4679) * CHOOSE(CONTROL!$C$15, $D$11, 100%, $F$11)</f>
        <v>21.4712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21.9255, 21.9221) * CHOOSE(CONTROL!$C$15, $D$11, 100%, $F$11)</f>
        <v>21.9255</v>
      </c>
      <c r="C769" s="8">
        <f>CHOOSE( CONTROL!$C$32, 21.9336, 21.9302) * CHOOSE(CONTROL!$C$15, $D$11, 100%, $F$11)</f>
        <v>21.933599999999998</v>
      </c>
      <c r="D769" s="8">
        <f>CHOOSE( CONTROL!$C$32, 21.9597, 21.9563) * CHOOSE( CONTROL!$C$15, $D$11, 100%, $F$11)</f>
        <v>21.959700000000002</v>
      </c>
      <c r="E769" s="12">
        <f>CHOOSE( CONTROL!$C$32, 21.949, 21.9456) * CHOOSE( CONTROL!$C$15, $D$11, 100%, $F$11)</f>
        <v>21.949000000000002</v>
      </c>
      <c r="F769" s="4">
        <f>CHOOSE( CONTROL!$C$32, 22.639, 22.6355) * CHOOSE(CONTROL!$C$15, $D$11, 100%, $F$11)</f>
        <v>22.638999999999999</v>
      </c>
      <c r="G769" s="8">
        <f>CHOOSE( CONTROL!$C$32, 21.3999, 21.3966) * CHOOSE( CONTROL!$C$15, $D$11, 100%, $F$11)</f>
        <v>21.399899999999999</v>
      </c>
      <c r="H769" s="4">
        <f>CHOOSE( CONTROL!$C$32, 22.3463, 22.343) * CHOOSE(CONTROL!$C$15, $D$11, 100%, $F$11)</f>
        <v>22.346299999999999</v>
      </c>
      <c r="I769" s="8">
        <f>CHOOSE( CONTROL!$C$32, 21.1483, 21.145) * CHOOSE(CONTROL!$C$15, $D$11, 100%, $F$11)</f>
        <v>21.148299999999999</v>
      </c>
      <c r="J769" s="4">
        <f>CHOOSE( CONTROL!$C$32, 21.0215, 21.0182) * CHOOSE(CONTROL!$C$15, $D$11, 100%, $F$11)</f>
        <v>21.0215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22.8929 * CHOOSE(CONTROL!$C$15, $D$11, 100%, $F$11)</f>
        <v>22.892900000000001</v>
      </c>
      <c r="C770" s="8">
        <f>22.8983 * CHOOSE(CONTROL!$C$15, $D$11, 100%, $F$11)</f>
        <v>22.898299999999999</v>
      </c>
      <c r="D770" s="8">
        <f>22.9294 * CHOOSE( CONTROL!$C$15, $D$11, 100%, $F$11)</f>
        <v>22.929400000000001</v>
      </c>
      <c r="E770" s="12">
        <f>22.9186 * CHOOSE( CONTROL!$C$15, $D$11, 100%, $F$11)</f>
        <v>22.918600000000001</v>
      </c>
      <c r="F770" s="4">
        <f>23.608 * CHOOSE(CONTROL!$C$15, $D$11, 100%, $F$11)</f>
        <v>23.608000000000001</v>
      </c>
      <c r="G770" s="8">
        <f>22.346 * CHOOSE( CONTROL!$C$15, $D$11, 100%, $F$11)</f>
        <v>22.346</v>
      </c>
      <c r="H770" s="4">
        <f>23.2928 * CHOOSE(CONTROL!$C$15, $D$11, 100%, $F$11)</f>
        <v>23.2928</v>
      </c>
      <c r="I770" s="8">
        <f>22.08 * CHOOSE(CONTROL!$C$15, $D$11, 100%, $F$11)</f>
        <v>22.08</v>
      </c>
      <c r="J770" s="4">
        <f>21.9519 * CHOOSE(CONTROL!$C$15, $D$11, 100%, $F$11)</f>
        <v>21.951899999999998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24.6875 * CHOOSE(CONTROL!$C$15, $D$11, 100%, $F$11)</f>
        <v>24.6875</v>
      </c>
      <c r="C771" s="8">
        <f>24.6927 * CHOOSE(CONTROL!$C$15, $D$11, 100%, $F$11)</f>
        <v>24.692699999999999</v>
      </c>
      <c r="D771" s="8">
        <f>24.6856 * CHOOSE( CONTROL!$C$15, $D$11, 100%, $F$11)</f>
        <v>24.685600000000001</v>
      </c>
      <c r="E771" s="12">
        <f>24.6876 * CHOOSE( CONTROL!$C$15, $D$11, 100%, $F$11)</f>
        <v>24.6876</v>
      </c>
      <c r="F771" s="4">
        <f>25.338 * CHOOSE(CONTROL!$C$15, $D$11, 100%, $F$11)</f>
        <v>25.338000000000001</v>
      </c>
      <c r="G771" s="8">
        <f>24.1122 * CHOOSE( CONTROL!$C$15, $D$11, 100%, $F$11)</f>
        <v>24.112200000000001</v>
      </c>
      <c r="H771" s="4">
        <f>24.9825 * CHOOSE(CONTROL!$C$15, $D$11, 100%, $F$11)</f>
        <v>24.982500000000002</v>
      </c>
      <c r="I771" s="8">
        <f>23.8477 * CHOOSE(CONTROL!$C$15, $D$11, 100%, $F$11)</f>
        <v>23.8477</v>
      </c>
      <c r="J771" s="4">
        <f>23.6753 * CHOOSE(CONTROL!$C$15, $D$11, 100%, $F$11)</f>
        <v>23.6753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24.6427 * CHOOSE(CONTROL!$C$15, $D$11, 100%, $F$11)</f>
        <v>24.642700000000001</v>
      </c>
      <c r="C772" s="8">
        <f>24.6479 * CHOOSE(CONTROL!$C$15, $D$11, 100%, $F$11)</f>
        <v>24.6479</v>
      </c>
      <c r="D772" s="8">
        <f>24.6422 * CHOOSE( CONTROL!$C$15, $D$11, 100%, $F$11)</f>
        <v>24.642199999999999</v>
      </c>
      <c r="E772" s="12">
        <f>24.6437 * CHOOSE( CONTROL!$C$15, $D$11, 100%, $F$11)</f>
        <v>24.643699999999999</v>
      </c>
      <c r="F772" s="4">
        <f>25.2932 * CHOOSE(CONTROL!$C$15, $D$11, 100%, $F$11)</f>
        <v>25.293199999999999</v>
      </c>
      <c r="G772" s="8">
        <f>24.0695 * CHOOSE( CONTROL!$C$15, $D$11, 100%, $F$11)</f>
        <v>24.069500000000001</v>
      </c>
      <c r="H772" s="4">
        <f>24.9387 * CHOOSE(CONTROL!$C$15, $D$11, 100%, $F$11)</f>
        <v>24.938700000000001</v>
      </c>
      <c r="I772" s="8">
        <f>23.8093 * CHOOSE(CONTROL!$C$15, $D$11, 100%, $F$11)</f>
        <v>23.8093</v>
      </c>
      <c r="J772" s="4">
        <f>23.6323 * CHOOSE(CONTROL!$C$15, $D$11, 100%, $F$11)</f>
        <v>23.632300000000001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25.3687 * CHOOSE(CONTROL!$C$15, $D$11, 100%, $F$11)</f>
        <v>25.3687</v>
      </c>
      <c r="C773" s="8">
        <f>25.3739 * CHOOSE(CONTROL!$C$15, $D$11, 100%, $F$11)</f>
        <v>25.373899999999999</v>
      </c>
      <c r="D773" s="8">
        <f>25.354 * CHOOSE( CONTROL!$C$15, $D$11, 100%, $F$11)</f>
        <v>25.353999999999999</v>
      </c>
      <c r="E773" s="12">
        <f>25.3607 * CHOOSE( CONTROL!$C$15, $D$11, 100%, $F$11)</f>
        <v>25.360700000000001</v>
      </c>
      <c r="F773" s="4">
        <f>26.0192 * CHOOSE(CONTROL!$C$15, $D$11, 100%, $F$11)</f>
        <v>26.019200000000001</v>
      </c>
      <c r="G773" s="8">
        <f>24.7618 * CHOOSE( CONTROL!$C$15, $D$11, 100%, $F$11)</f>
        <v>24.761800000000001</v>
      </c>
      <c r="H773" s="4">
        <f>25.6478 * CHOOSE(CONTROL!$C$15, $D$11, 100%, $F$11)</f>
        <v>25.6478</v>
      </c>
      <c r="I773" s="8">
        <f>24.4632 * CHOOSE(CONTROL!$C$15, $D$11, 100%, $F$11)</f>
        <v>24.463200000000001</v>
      </c>
      <c r="J773" s="4">
        <f>24.3293 * CHOOSE(CONTROL!$C$15, $D$11, 100%, $F$11)</f>
        <v>24.3293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23.7305 * CHOOSE(CONTROL!$C$15, $D$11, 100%, $F$11)</f>
        <v>23.730499999999999</v>
      </c>
      <c r="C774" s="8">
        <f>23.7357 * CHOOSE(CONTROL!$C$15, $D$11, 100%, $F$11)</f>
        <v>23.735700000000001</v>
      </c>
      <c r="D774" s="8">
        <f>23.7158 * CHOOSE( CONTROL!$C$15, $D$11, 100%, $F$11)</f>
        <v>23.715800000000002</v>
      </c>
      <c r="E774" s="12">
        <f>23.7225 * CHOOSE( CONTROL!$C$15, $D$11, 100%, $F$11)</f>
        <v>23.7225</v>
      </c>
      <c r="F774" s="4">
        <f>24.381 * CHOOSE(CONTROL!$C$15, $D$11, 100%, $F$11)</f>
        <v>24.381</v>
      </c>
      <c r="G774" s="8">
        <f>23.1617 * CHOOSE( CONTROL!$C$15, $D$11, 100%, $F$11)</f>
        <v>23.1617</v>
      </c>
      <c r="H774" s="4">
        <f>24.0478 * CHOOSE(CONTROL!$C$15, $D$11, 100%, $F$11)</f>
        <v>24.047799999999999</v>
      </c>
      <c r="I774" s="8">
        <f>22.8895 * CHOOSE(CONTROL!$C$15, $D$11, 100%, $F$11)</f>
        <v>22.889500000000002</v>
      </c>
      <c r="J774" s="4">
        <f>22.7565 * CHOOSE(CONTROL!$C$15, $D$11, 100%, $F$11)</f>
        <v>22.756499999999999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23.226 * CHOOSE(CONTROL!$C$15, $D$11, 100%, $F$11)</f>
        <v>23.225999999999999</v>
      </c>
      <c r="C775" s="8">
        <f>23.2311 * CHOOSE(CONTROL!$C$15, $D$11, 100%, $F$11)</f>
        <v>23.231100000000001</v>
      </c>
      <c r="D775" s="8">
        <f>23.2109 * CHOOSE( CONTROL!$C$15, $D$11, 100%, $F$11)</f>
        <v>23.210899999999999</v>
      </c>
      <c r="E775" s="12">
        <f>23.2177 * CHOOSE( CONTROL!$C$15, $D$11, 100%, $F$11)</f>
        <v>23.217700000000001</v>
      </c>
      <c r="F775" s="4">
        <f>23.8764 * CHOOSE(CONTROL!$C$15, $D$11, 100%, $F$11)</f>
        <v>23.8764</v>
      </c>
      <c r="G775" s="8">
        <f>22.6686 * CHOOSE( CONTROL!$C$15, $D$11, 100%, $F$11)</f>
        <v>22.668600000000001</v>
      </c>
      <c r="H775" s="4">
        <f>23.555 * CHOOSE(CONTROL!$C$15, $D$11, 100%, $F$11)</f>
        <v>23.555</v>
      </c>
      <c r="I775" s="8">
        <f>22.4036 * CHOOSE(CONTROL!$C$15, $D$11, 100%, $F$11)</f>
        <v>22.403600000000001</v>
      </c>
      <c r="J775" s="4">
        <f>22.2721 * CHOOSE(CONTROL!$C$15, $D$11, 100%, $F$11)</f>
        <v>22.272099999999998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23.5793 * CHOOSE(CONTROL!$C$15, $D$11, 100%, $F$11)</f>
        <v>23.5793</v>
      </c>
      <c r="C776" s="8">
        <f>23.5839 * CHOOSE(CONTROL!$C$15, $D$11, 100%, $F$11)</f>
        <v>23.5839</v>
      </c>
      <c r="D776" s="8">
        <f>23.6148 * CHOOSE( CONTROL!$C$15, $D$11, 100%, $F$11)</f>
        <v>23.614799999999999</v>
      </c>
      <c r="E776" s="12">
        <f>23.6041 * CHOOSE( CONTROL!$C$15, $D$11, 100%, $F$11)</f>
        <v>23.604099999999999</v>
      </c>
      <c r="F776" s="4">
        <f>24.2941 * CHOOSE(CONTROL!$C$15, $D$11, 100%, $F$11)</f>
        <v>24.2941</v>
      </c>
      <c r="G776" s="8">
        <f>23.015 * CHOOSE( CONTROL!$C$15, $D$11, 100%, $F$11)</f>
        <v>23.015000000000001</v>
      </c>
      <c r="H776" s="4">
        <f>23.9629 * CHOOSE(CONTROL!$C$15, $D$11, 100%, $F$11)</f>
        <v>23.962900000000001</v>
      </c>
      <c r="I776" s="8">
        <f>22.7357 * CHOOSE(CONTROL!$C$15, $D$11, 100%, $F$11)</f>
        <v>22.735700000000001</v>
      </c>
      <c r="J776" s="4">
        <f>22.6106 * CHOOSE(CONTROL!$C$15, $D$11, 100%, $F$11)</f>
        <v>22.610600000000002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24.2116, 24.2082) * CHOOSE(CONTROL!$C$15, $D$11, 100%, $F$11)</f>
        <v>24.211600000000001</v>
      </c>
      <c r="C777" s="8">
        <f>CHOOSE( CONTROL!$C$32, 24.2197, 24.2163) * CHOOSE(CONTROL!$C$15, $D$11, 100%, $F$11)</f>
        <v>24.2197</v>
      </c>
      <c r="D777" s="8">
        <f>CHOOSE( CONTROL!$C$32, 24.2453, 24.2419) * CHOOSE( CONTROL!$C$15, $D$11, 100%, $F$11)</f>
        <v>24.2453</v>
      </c>
      <c r="E777" s="12">
        <f>CHOOSE( CONTROL!$C$32, 24.2348, 24.2314) * CHOOSE( CONTROL!$C$15, $D$11, 100%, $F$11)</f>
        <v>24.2348</v>
      </c>
      <c r="F777" s="4">
        <f>CHOOSE( CONTROL!$C$32, 24.925, 24.9216) * CHOOSE(CONTROL!$C$15, $D$11, 100%, $F$11)</f>
        <v>24.925000000000001</v>
      </c>
      <c r="G777" s="8">
        <f>CHOOSE( CONTROL!$C$32, 23.632, 23.6286) * CHOOSE( CONTROL!$C$15, $D$11, 100%, $F$11)</f>
        <v>23.632000000000001</v>
      </c>
      <c r="H777" s="4">
        <f>CHOOSE( CONTROL!$C$32, 24.5791, 24.5758) * CHOOSE(CONTROL!$C$15, $D$11, 100%, $F$11)</f>
        <v>24.5791</v>
      </c>
      <c r="I777" s="8">
        <f>CHOOSE( CONTROL!$C$32, 23.3419, 23.3386) * CHOOSE(CONTROL!$C$15, $D$11, 100%, $F$11)</f>
        <v>23.341899999999999</v>
      </c>
      <c r="J777" s="4">
        <f>CHOOSE( CONTROL!$C$32, 23.2163, 23.213) * CHOOSE(CONTROL!$C$15, $D$11, 100%, $F$11)</f>
        <v>23.2163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23.8229, 23.8194) * CHOOSE(CONTROL!$C$15, $D$11, 100%, $F$11)</f>
        <v>23.822900000000001</v>
      </c>
      <c r="C778" s="8">
        <f>CHOOSE( CONTROL!$C$32, 23.8309, 23.8275) * CHOOSE(CONTROL!$C$15, $D$11, 100%, $F$11)</f>
        <v>23.8309</v>
      </c>
      <c r="D778" s="8">
        <f>CHOOSE( CONTROL!$C$32, 23.8567, 23.8533) * CHOOSE( CONTROL!$C$15, $D$11, 100%, $F$11)</f>
        <v>23.8567</v>
      </c>
      <c r="E778" s="12">
        <f>CHOOSE( CONTROL!$C$32, 23.8461, 23.8427) * CHOOSE( CONTROL!$C$15, $D$11, 100%, $F$11)</f>
        <v>23.8461</v>
      </c>
      <c r="F778" s="4">
        <f>CHOOSE( CONTROL!$C$32, 24.5363, 24.5329) * CHOOSE(CONTROL!$C$15, $D$11, 100%, $F$11)</f>
        <v>24.536300000000001</v>
      </c>
      <c r="G778" s="8">
        <f>CHOOSE( CONTROL!$C$32, 23.2526, 23.2493) * CHOOSE( CONTROL!$C$15, $D$11, 100%, $F$11)</f>
        <v>23.252600000000001</v>
      </c>
      <c r="H778" s="4">
        <f>CHOOSE( CONTROL!$C$32, 24.1994, 24.1961) * CHOOSE(CONTROL!$C$15, $D$11, 100%, $F$11)</f>
        <v>24.199400000000001</v>
      </c>
      <c r="I778" s="8">
        <f>CHOOSE( CONTROL!$C$32, 22.9694, 22.9661) * CHOOSE(CONTROL!$C$15, $D$11, 100%, $F$11)</f>
        <v>22.9694</v>
      </c>
      <c r="J778" s="4">
        <f>CHOOSE( CONTROL!$C$32, 22.8431, 22.8398) * CHOOSE(CONTROL!$C$15, $D$11, 100%, $F$11)</f>
        <v>22.8431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24.8465, 24.8431) * CHOOSE(CONTROL!$C$15, $D$11, 100%, $F$11)</f>
        <v>24.846499999999999</v>
      </c>
      <c r="C779" s="8">
        <f>CHOOSE( CONTROL!$C$32, 24.8546, 24.8512) * CHOOSE(CONTROL!$C$15, $D$11, 100%, $F$11)</f>
        <v>24.854600000000001</v>
      </c>
      <c r="D779" s="8">
        <f>CHOOSE( CONTROL!$C$32, 24.8806, 24.8772) * CHOOSE( CONTROL!$C$15, $D$11, 100%, $F$11)</f>
        <v>24.880600000000001</v>
      </c>
      <c r="E779" s="12">
        <f>CHOOSE( CONTROL!$C$32, 24.8699, 24.8665) * CHOOSE( CONTROL!$C$15, $D$11, 100%, $F$11)</f>
        <v>24.869900000000001</v>
      </c>
      <c r="F779" s="4">
        <f>CHOOSE( CONTROL!$C$32, 25.5599, 25.5565) * CHOOSE(CONTROL!$C$15, $D$11, 100%, $F$11)</f>
        <v>25.559899999999999</v>
      </c>
      <c r="G779" s="8">
        <f>CHOOSE( CONTROL!$C$32, 24.2527, 24.2494) * CHOOSE( CONTROL!$C$15, $D$11, 100%, $F$11)</f>
        <v>24.252700000000001</v>
      </c>
      <c r="H779" s="4">
        <f>CHOOSE( CONTROL!$C$32, 25.1993, 25.1959) * CHOOSE(CONTROL!$C$15, $D$11, 100%, $F$11)</f>
        <v>25.199300000000001</v>
      </c>
      <c r="I779" s="8">
        <f>CHOOSE( CONTROL!$C$32, 23.9538, 23.9505) * CHOOSE(CONTROL!$C$15, $D$11, 100%, $F$11)</f>
        <v>23.953800000000001</v>
      </c>
      <c r="J779" s="4">
        <f>CHOOSE( CONTROL!$C$32, 23.8259, 23.8226) * CHOOSE(CONTROL!$C$15, $D$11, 100%, $F$11)</f>
        <v>23.825900000000001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22.9311, 22.9277) * CHOOSE(CONTROL!$C$15, $D$11, 100%, $F$11)</f>
        <v>22.931100000000001</v>
      </c>
      <c r="C780" s="8">
        <f>CHOOSE( CONTROL!$C$32, 22.9392, 22.9358) * CHOOSE(CONTROL!$C$15, $D$11, 100%, $F$11)</f>
        <v>22.9392</v>
      </c>
      <c r="D780" s="8">
        <f>CHOOSE( CONTROL!$C$32, 22.9654, 22.962) * CHOOSE( CONTROL!$C$15, $D$11, 100%, $F$11)</f>
        <v>22.965399999999999</v>
      </c>
      <c r="E780" s="12">
        <f>CHOOSE( CONTROL!$C$32, 22.9547, 22.9513) * CHOOSE( CONTROL!$C$15, $D$11, 100%, $F$11)</f>
        <v>22.954699999999999</v>
      </c>
      <c r="F780" s="4">
        <f>CHOOSE( CONTROL!$C$32, 23.6446, 23.6412) * CHOOSE(CONTROL!$C$15, $D$11, 100%, $F$11)</f>
        <v>23.644600000000001</v>
      </c>
      <c r="G780" s="8">
        <f>CHOOSE( CONTROL!$C$32, 22.3821, 22.3788) * CHOOSE( CONTROL!$C$15, $D$11, 100%, $F$11)</f>
        <v>22.382100000000001</v>
      </c>
      <c r="H780" s="4">
        <f>CHOOSE( CONTROL!$C$32, 23.3285, 23.3252) * CHOOSE(CONTROL!$C$15, $D$11, 100%, $F$11)</f>
        <v>23.328499999999998</v>
      </c>
      <c r="I780" s="8">
        <f>CHOOSE( CONTROL!$C$32, 22.1144, 22.1111) * CHOOSE(CONTROL!$C$15, $D$11, 100%, $F$11)</f>
        <v>22.1144</v>
      </c>
      <c r="J780" s="4">
        <f>CHOOSE( CONTROL!$C$32, 21.987, 21.9837) * CHOOSE(CONTROL!$C$15, $D$11, 100%, $F$11)</f>
        <v>21.986999999999998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22.4515, 22.4481) * CHOOSE(CONTROL!$C$15, $D$11, 100%, $F$11)</f>
        <v>22.451499999999999</v>
      </c>
      <c r="C781" s="8">
        <f>CHOOSE( CONTROL!$C$32, 22.4596, 22.4562) * CHOOSE(CONTROL!$C$15, $D$11, 100%, $F$11)</f>
        <v>22.459599999999998</v>
      </c>
      <c r="D781" s="8">
        <f>CHOOSE( CONTROL!$C$32, 22.4857, 22.4823) * CHOOSE( CONTROL!$C$15, $D$11, 100%, $F$11)</f>
        <v>22.485700000000001</v>
      </c>
      <c r="E781" s="12">
        <f>CHOOSE( CONTROL!$C$32, 22.475, 22.4716) * CHOOSE( CONTROL!$C$15, $D$11, 100%, $F$11)</f>
        <v>22.475000000000001</v>
      </c>
      <c r="F781" s="4">
        <f>CHOOSE( CONTROL!$C$32, 23.165, 23.1615) * CHOOSE(CONTROL!$C$15, $D$11, 100%, $F$11)</f>
        <v>23.164999999999999</v>
      </c>
      <c r="G781" s="8">
        <f>CHOOSE( CONTROL!$C$32, 21.9136, 21.9103) * CHOOSE( CONTROL!$C$15, $D$11, 100%, $F$11)</f>
        <v>21.913599999999999</v>
      </c>
      <c r="H781" s="4">
        <f>CHOOSE( CONTROL!$C$32, 22.8601, 22.8567) * CHOOSE(CONTROL!$C$15, $D$11, 100%, $F$11)</f>
        <v>22.860099999999999</v>
      </c>
      <c r="I781" s="8">
        <f>CHOOSE( CONTROL!$C$32, 21.6535, 21.6502) * CHOOSE(CONTROL!$C$15, $D$11, 100%, $F$11)</f>
        <v>21.653500000000001</v>
      </c>
      <c r="J781" s="4">
        <f>CHOOSE( CONTROL!$C$32, 21.5265, 21.5232) * CHOOSE(CONTROL!$C$15, $D$11, 100%, $F$11)</f>
        <v>21.526499999999999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23.4423 * CHOOSE(CONTROL!$C$15, $D$11, 100%, $F$11)</f>
        <v>23.442299999999999</v>
      </c>
      <c r="C782" s="8">
        <f>23.4477 * CHOOSE(CONTROL!$C$15, $D$11, 100%, $F$11)</f>
        <v>23.447700000000001</v>
      </c>
      <c r="D782" s="8">
        <f>23.4788 * CHOOSE( CONTROL!$C$15, $D$11, 100%, $F$11)</f>
        <v>23.4788</v>
      </c>
      <c r="E782" s="12">
        <f>23.468 * CHOOSE( CONTROL!$C$15, $D$11, 100%, $F$11)</f>
        <v>23.468</v>
      </c>
      <c r="F782" s="4">
        <f>24.1574 * CHOOSE(CONTROL!$C$15, $D$11, 100%, $F$11)</f>
        <v>24.157399999999999</v>
      </c>
      <c r="G782" s="8">
        <f>22.8825 * CHOOSE( CONTROL!$C$15, $D$11, 100%, $F$11)</f>
        <v>22.8825</v>
      </c>
      <c r="H782" s="4">
        <f>23.8294 * CHOOSE(CONTROL!$C$15, $D$11, 100%, $F$11)</f>
        <v>23.8294</v>
      </c>
      <c r="I782" s="8">
        <f>22.6077 * CHOOSE(CONTROL!$C$15, $D$11, 100%, $F$11)</f>
        <v>22.607700000000001</v>
      </c>
      <c r="J782" s="4">
        <f>22.4793 * CHOOSE(CONTROL!$C$15, $D$11, 100%, $F$11)</f>
        <v>22.479299999999999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25.28 * CHOOSE(CONTROL!$C$15, $D$11, 100%, $F$11)</f>
        <v>25.28</v>
      </c>
      <c r="C783" s="8">
        <f>25.2852 * CHOOSE(CONTROL!$C$15, $D$11, 100%, $F$11)</f>
        <v>25.2852</v>
      </c>
      <c r="D783" s="8">
        <f>25.2781 * CHOOSE( CONTROL!$C$15, $D$11, 100%, $F$11)</f>
        <v>25.278099999999998</v>
      </c>
      <c r="E783" s="12">
        <f>25.2801 * CHOOSE( CONTROL!$C$15, $D$11, 100%, $F$11)</f>
        <v>25.280100000000001</v>
      </c>
      <c r="F783" s="4">
        <f>25.9305 * CHOOSE(CONTROL!$C$15, $D$11, 100%, $F$11)</f>
        <v>25.930499999999999</v>
      </c>
      <c r="G783" s="8">
        <f>24.6909 * CHOOSE( CONTROL!$C$15, $D$11, 100%, $F$11)</f>
        <v>24.690899999999999</v>
      </c>
      <c r="H783" s="4">
        <f>25.5612 * CHOOSE(CONTROL!$C$15, $D$11, 100%, $F$11)</f>
        <v>25.561199999999999</v>
      </c>
      <c r="I783" s="8">
        <f>24.4169 * CHOOSE(CONTROL!$C$15, $D$11, 100%, $F$11)</f>
        <v>24.416899999999998</v>
      </c>
      <c r="J783" s="4">
        <f>24.2442 * CHOOSE(CONTROL!$C$15, $D$11, 100%, $F$11)</f>
        <v>24.244199999999999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25.2341 * CHOOSE(CONTROL!$C$15, $D$11, 100%, $F$11)</f>
        <v>25.234100000000002</v>
      </c>
      <c r="C784" s="8">
        <f>25.2393 * CHOOSE(CONTROL!$C$15, $D$11, 100%, $F$11)</f>
        <v>25.2393</v>
      </c>
      <c r="D784" s="8">
        <f>25.2336 * CHOOSE( CONTROL!$C$15, $D$11, 100%, $F$11)</f>
        <v>25.233599999999999</v>
      </c>
      <c r="E784" s="12">
        <f>25.2351 * CHOOSE( CONTROL!$C$15, $D$11, 100%, $F$11)</f>
        <v>25.235099999999999</v>
      </c>
      <c r="F784" s="4">
        <f>25.8846 * CHOOSE(CONTROL!$C$15, $D$11, 100%, $F$11)</f>
        <v>25.884599999999999</v>
      </c>
      <c r="G784" s="8">
        <f>24.6471 * CHOOSE( CONTROL!$C$15, $D$11, 100%, $F$11)</f>
        <v>24.647099999999998</v>
      </c>
      <c r="H784" s="4">
        <f>25.5163 * CHOOSE(CONTROL!$C$15, $D$11, 100%, $F$11)</f>
        <v>25.516300000000001</v>
      </c>
      <c r="I784" s="8">
        <f>24.3774 * CHOOSE(CONTROL!$C$15, $D$11, 100%, $F$11)</f>
        <v>24.377400000000002</v>
      </c>
      <c r="J784" s="4">
        <f>24.2001 * CHOOSE(CONTROL!$C$15, $D$11, 100%, $F$11)</f>
        <v>24.200099999999999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25.9776 * CHOOSE(CONTROL!$C$15, $D$11, 100%, $F$11)</f>
        <v>25.977599999999999</v>
      </c>
      <c r="C785" s="8">
        <f>25.9828 * CHOOSE(CONTROL!$C$15, $D$11, 100%, $F$11)</f>
        <v>25.982800000000001</v>
      </c>
      <c r="D785" s="8">
        <f>25.9629 * CHOOSE( CONTROL!$C$15, $D$11, 100%, $F$11)</f>
        <v>25.962900000000001</v>
      </c>
      <c r="E785" s="12">
        <f>25.9696 * CHOOSE( CONTROL!$C$15, $D$11, 100%, $F$11)</f>
        <v>25.9696</v>
      </c>
      <c r="F785" s="4">
        <f>26.6281 * CHOOSE(CONTROL!$C$15, $D$11, 100%, $F$11)</f>
        <v>26.6281</v>
      </c>
      <c r="G785" s="8">
        <f>25.3564 * CHOOSE( CONTROL!$C$15, $D$11, 100%, $F$11)</f>
        <v>25.356400000000001</v>
      </c>
      <c r="H785" s="4">
        <f>26.2425 * CHOOSE(CONTROL!$C$15, $D$11, 100%, $F$11)</f>
        <v>26.2425</v>
      </c>
      <c r="I785" s="8">
        <f>25.048 * CHOOSE(CONTROL!$C$15, $D$11, 100%, $F$11)</f>
        <v>25.047999999999998</v>
      </c>
      <c r="J785" s="4">
        <f>24.9139 * CHOOSE(CONTROL!$C$15, $D$11, 100%, $F$11)</f>
        <v>24.913900000000002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24.3 * CHOOSE(CONTROL!$C$15, $D$11, 100%, $F$11)</f>
        <v>24.3</v>
      </c>
      <c r="C786" s="8">
        <f>24.3052 * CHOOSE(CONTROL!$C$15, $D$11, 100%, $F$11)</f>
        <v>24.305199999999999</v>
      </c>
      <c r="D786" s="8">
        <f>24.2853 * CHOOSE( CONTROL!$C$15, $D$11, 100%, $F$11)</f>
        <v>24.285299999999999</v>
      </c>
      <c r="E786" s="12">
        <f>24.292 * CHOOSE( CONTROL!$C$15, $D$11, 100%, $F$11)</f>
        <v>24.292000000000002</v>
      </c>
      <c r="F786" s="4">
        <f>24.9505 * CHOOSE(CONTROL!$C$15, $D$11, 100%, $F$11)</f>
        <v>24.950500000000002</v>
      </c>
      <c r="G786" s="8">
        <f>23.7179 * CHOOSE( CONTROL!$C$15, $D$11, 100%, $F$11)</f>
        <v>23.7179</v>
      </c>
      <c r="H786" s="4">
        <f>24.604 * CHOOSE(CONTROL!$C$15, $D$11, 100%, $F$11)</f>
        <v>24.603999999999999</v>
      </c>
      <c r="I786" s="8">
        <f>23.4365 * CHOOSE(CONTROL!$C$15, $D$11, 100%, $F$11)</f>
        <v>23.436499999999999</v>
      </c>
      <c r="J786" s="4">
        <f>23.3033 * CHOOSE(CONTROL!$C$15, $D$11, 100%, $F$11)</f>
        <v>23.3033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23.7833 * CHOOSE(CONTROL!$C$15, $D$11, 100%, $F$11)</f>
        <v>23.783300000000001</v>
      </c>
      <c r="C787" s="8">
        <f>23.7885 * CHOOSE(CONTROL!$C$15, $D$11, 100%, $F$11)</f>
        <v>23.788499999999999</v>
      </c>
      <c r="D787" s="8">
        <f>23.7682 * CHOOSE( CONTROL!$C$15, $D$11, 100%, $F$11)</f>
        <v>23.7682</v>
      </c>
      <c r="E787" s="12">
        <f>23.7751 * CHOOSE( CONTROL!$C$15, $D$11, 100%, $F$11)</f>
        <v>23.775099999999998</v>
      </c>
      <c r="F787" s="4">
        <f>24.4338 * CHOOSE(CONTROL!$C$15, $D$11, 100%, $F$11)</f>
        <v>24.433800000000002</v>
      </c>
      <c r="G787" s="8">
        <f>23.213 * CHOOSE( CONTROL!$C$15, $D$11, 100%, $F$11)</f>
        <v>23.213000000000001</v>
      </c>
      <c r="H787" s="4">
        <f>24.0993 * CHOOSE(CONTROL!$C$15, $D$11, 100%, $F$11)</f>
        <v>24.099299999999999</v>
      </c>
      <c r="I787" s="8">
        <f>22.939 * CHOOSE(CONTROL!$C$15, $D$11, 100%, $F$11)</f>
        <v>22.939</v>
      </c>
      <c r="J787" s="4">
        <f>22.8072 * CHOOSE(CONTROL!$C$15, $D$11, 100%, $F$11)</f>
        <v>22.807200000000002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24.1451 * CHOOSE(CONTROL!$C$15, $D$11, 100%, $F$11)</f>
        <v>24.145099999999999</v>
      </c>
      <c r="C788" s="8">
        <f>24.1498 * CHOOSE(CONTROL!$C$15, $D$11, 100%, $F$11)</f>
        <v>24.149799999999999</v>
      </c>
      <c r="D788" s="8">
        <f>24.1807 * CHOOSE( CONTROL!$C$15, $D$11, 100%, $F$11)</f>
        <v>24.180700000000002</v>
      </c>
      <c r="E788" s="12">
        <f>24.17 * CHOOSE( CONTROL!$C$15, $D$11, 100%, $F$11)</f>
        <v>24.17</v>
      </c>
      <c r="F788" s="4">
        <f>24.8599 * CHOOSE(CONTROL!$C$15, $D$11, 100%, $F$11)</f>
        <v>24.8599</v>
      </c>
      <c r="G788" s="8">
        <f>23.5677 * CHOOSE( CONTROL!$C$15, $D$11, 100%, $F$11)</f>
        <v>23.567699999999999</v>
      </c>
      <c r="H788" s="4">
        <f>24.5156 * CHOOSE(CONTROL!$C$15, $D$11, 100%, $F$11)</f>
        <v>24.515599999999999</v>
      </c>
      <c r="I788" s="8">
        <f>23.2792 * CHOOSE(CONTROL!$C$15, $D$11, 100%, $F$11)</f>
        <v>23.279199999999999</v>
      </c>
      <c r="J788" s="4">
        <f>23.1538 * CHOOSE(CONTROL!$C$15, $D$11, 100%, $F$11)</f>
        <v>23.1538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24.7925, 24.7891) * CHOOSE(CONTROL!$C$15, $D$11, 100%, $F$11)</f>
        <v>24.7925</v>
      </c>
      <c r="C789" s="8">
        <f>CHOOSE( CONTROL!$C$32, 24.8006, 24.7972) * CHOOSE(CONTROL!$C$15, $D$11, 100%, $F$11)</f>
        <v>24.800599999999999</v>
      </c>
      <c r="D789" s="8">
        <f>CHOOSE( CONTROL!$C$32, 24.8262, 24.8228) * CHOOSE( CONTROL!$C$15, $D$11, 100%, $F$11)</f>
        <v>24.8262</v>
      </c>
      <c r="E789" s="12">
        <f>CHOOSE( CONTROL!$C$32, 24.8157, 24.8123) * CHOOSE( CONTROL!$C$15, $D$11, 100%, $F$11)</f>
        <v>24.8157</v>
      </c>
      <c r="F789" s="4">
        <f>CHOOSE( CONTROL!$C$32, 25.5059, 25.5025) * CHOOSE(CONTROL!$C$15, $D$11, 100%, $F$11)</f>
        <v>25.5059</v>
      </c>
      <c r="G789" s="8">
        <f>CHOOSE( CONTROL!$C$32, 24.1994, 24.196) * CHOOSE( CONTROL!$C$15, $D$11, 100%, $F$11)</f>
        <v>24.199400000000001</v>
      </c>
      <c r="H789" s="4">
        <f>CHOOSE( CONTROL!$C$32, 25.1465, 25.1432) * CHOOSE(CONTROL!$C$15, $D$11, 100%, $F$11)</f>
        <v>25.1465</v>
      </c>
      <c r="I789" s="8">
        <f>CHOOSE( CONTROL!$C$32, 23.8999, 23.8966) * CHOOSE(CONTROL!$C$15, $D$11, 100%, $F$11)</f>
        <v>23.899899999999999</v>
      </c>
      <c r="J789" s="4">
        <f>CHOOSE( CONTROL!$C$32, 23.7741, 23.7708) * CHOOSE(CONTROL!$C$15, $D$11, 100%, $F$11)</f>
        <v>23.774100000000001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24.3944, 24.391) * CHOOSE(CONTROL!$C$15, $D$11, 100%, $F$11)</f>
        <v>24.394400000000001</v>
      </c>
      <c r="C790" s="8">
        <f>CHOOSE( CONTROL!$C$32, 24.4025, 24.3991) * CHOOSE(CONTROL!$C$15, $D$11, 100%, $F$11)</f>
        <v>24.4025</v>
      </c>
      <c r="D790" s="8">
        <f>CHOOSE( CONTROL!$C$32, 24.4283, 24.4249) * CHOOSE( CONTROL!$C$15, $D$11, 100%, $F$11)</f>
        <v>24.4283</v>
      </c>
      <c r="E790" s="12">
        <f>CHOOSE( CONTROL!$C$32, 24.4177, 24.4143) * CHOOSE( CONTROL!$C$15, $D$11, 100%, $F$11)</f>
        <v>24.4177</v>
      </c>
      <c r="F790" s="4">
        <f>CHOOSE( CONTROL!$C$32, 25.1079, 25.1045) * CHOOSE(CONTROL!$C$15, $D$11, 100%, $F$11)</f>
        <v>25.107900000000001</v>
      </c>
      <c r="G790" s="8">
        <f>CHOOSE( CONTROL!$C$32, 23.8109, 23.8075) * CHOOSE( CONTROL!$C$15, $D$11, 100%, $F$11)</f>
        <v>23.8109</v>
      </c>
      <c r="H790" s="4">
        <f>CHOOSE( CONTROL!$C$32, 24.7577, 24.7544) * CHOOSE(CONTROL!$C$15, $D$11, 100%, $F$11)</f>
        <v>24.7577</v>
      </c>
      <c r="I790" s="8">
        <f>CHOOSE( CONTROL!$C$32, 23.5185, 23.5152) * CHOOSE(CONTROL!$C$15, $D$11, 100%, $F$11)</f>
        <v>23.5185</v>
      </c>
      <c r="J790" s="4">
        <f>CHOOSE( CONTROL!$C$32, 23.3919, 23.3886) * CHOOSE(CONTROL!$C$15, $D$11, 100%, $F$11)</f>
        <v>23.3919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25.4427, 25.4393) * CHOOSE(CONTROL!$C$15, $D$11, 100%, $F$11)</f>
        <v>25.442699999999999</v>
      </c>
      <c r="C791" s="8">
        <f>CHOOSE( CONTROL!$C$32, 25.4508, 25.4474) * CHOOSE(CONTROL!$C$15, $D$11, 100%, $F$11)</f>
        <v>25.450800000000001</v>
      </c>
      <c r="D791" s="8">
        <f>CHOOSE( CONTROL!$C$32, 25.4768, 25.4734) * CHOOSE( CONTROL!$C$15, $D$11, 100%, $F$11)</f>
        <v>25.476800000000001</v>
      </c>
      <c r="E791" s="12">
        <f>CHOOSE( CONTROL!$C$32, 25.4661, 25.4627) * CHOOSE( CONTROL!$C$15, $D$11, 100%, $F$11)</f>
        <v>25.466100000000001</v>
      </c>
      <c r="F791" s="4">
        <f>CHOOSE( CONTROL!$C$32, 26.1561, 26.1527) * CHOOSE(CONTROL!$C$15, $D$11, 100%, $F$11)</f>
        <v>26.156099999999999</v>
      </c>
      <c r="G791" s="8">
        <f>CHOOSE( CONTROL!$C$32, 24.835, 24.8317) * CHOOSE( CONTROL!$C$15, $D$11, 100%, $F$11)</f>
        <v>24.835000000000001</v>
      </c>
      <c r="H791" s="4">
        <f>CHOOSE( CONTROL!$C$32, 25.7815, 25.7782) * CHOOSE(CONTROL!$C$15, $D$11, 100%, $F$11)</f>
        <v>25.781500000000001</v>
      </c>
      <c r="I791" s="8">
        <f>CHOOSE( CONTROL!$C$32, 24.5265, 24.5232) * CHOOSE(CONTROL!$C$15, $D$11, 100%, $F$11)</f>
        <v>24.526499999999999</v>
      </c>
      <c r="J791" s="4">
        <f>CHOOSE( CONTROL!$C$32, 24.3983, 24.395) * CHOOSE(CONTROL!$C$15, $D$11, 100%, $F$11)</f>
        <v>24.398299999999999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23.4813, 23.4779) * CHOOSE(CONTROL!$C$15, $D$11, 100%, $F$11)</f>
        <v>23.481300000000001</v>
      </c>
      <c r="C792" s="8">
        <f>CHOOSE( CONTROL!$C$32, 23.4894, 23.486) * CHOOSE(CONTROL!$C$15, $D$11, 100%, $F$11)</f>
        <v>23.4894</v>
      </c>
      <c r="D792" s="8">
        <f>CHOOSE( CONTROL!$C$32, 23.5155, 23.5121) * CHOOSE( CONTROL!$C$15, $D$11, 100%, $F$11)</f>
        <v>23.515499999999999</v>
      </c>
      <c r="E792" s="12">
        <f>CHOOSE( CONTROL!$C$32, 23.5048, 23.5014) * CHOOSE( CONTROL!$C$15, $D$11, 100%, $F$11)</f>
        <v>23.504799999999999</v>
      </c>
      <c r="F792" s="4">
        <f>CHOOSE( CONTROL!$C$32, 24.1947, 24.1913) * CHOOSE(CONTROL!$C$15, $D$11, 100%, $F$11)</f>
        <v>24.194700000000001</v>
      </c>
      <c r="G792" s="8">
        <f>CHOOSE( CONTROL!$C$32, 22.9195, 22.9162) * CHOOSE( CONTROL!$C$15, $D$11, 100%, $F$11)</f>
        <v>22.919499999999999</v>
      </c>
      <c r="H792" s="4">
        <f>CHOOSE( CONTROL!$C$32, 23.8659, 23.8625) * CHOOSE(CONTROL!$C$15, $D$11, 100%, $F$11)</f>
        <v>23.8659</v>
      </c>
      <c r="I792" s="8">
        <f>CHOOSE( CONTROL!$C$32, 22.6429, 22.6396) * CHOOSE(CONTROL!$C$15, $D$11, 100%, $F$11)</f>
        <v>22.642900000000001</v>
      </c>
      <c r="J792" s="4">
        <f>CHOOSE( CONTROL!$C$32, 22.5152, 22.5119) * CHOOSE(CONTROL!$C$15, $D$11, 100%, $F$11)</f>
        <v>22.5152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22.9902, 22.9868) * CHOOSE(CONTROL!$C$15, $D$11, 100%, $F$11)</f>
        <v>22.990200000000002</v>
      </c>
      <c r="C793" s="8">
        <f>CHOOSE( CONTROL!$C$32, 22.9982, 22.9948) * CHOOSE(CONTROL!$C$15, $D$11, 100%, $F$11)</f>
        <v>22.998200000000001</v>
      </c>
      <c r="D793" s="8">
        <f>CHOOSE( CONTROL!$C$32, 23.0243, 23.0209) * CHOOSE( CONTROL!$C$15, $D$11, 100%, $F$11)</f>
        <v>23.0243</v>
      </c>
      <c r="E793" s="12">
        <f>CHOOSE( CONTROL!$C$32, 23.0136, 23.0102) * CHOOSE( CONTROL!$C$15, $D$11, 100%, $F$11)</f>
        <v>23.0136</v>
      </c>
      <c r="F793" s="4">
        <f>CHOOSE( CONTROL!$C$32, 23.7036, 23.7002) * CHOOSE(CONTROL!$C$15, $D$11, 100%, $F$11)</f>
        <v>23.703600000000002</v>
      </c>
      <c r="G793" s="8">
        <f>CHOOSE( CONTROL!$C$32, 22.4397, 22.4364) * CHOOSE( CONTROL!$C$15, $D$11, 100%, $F$11)</f>
        <v>22.439699999999998</v>
      </c>
      <c r="H793" s="4">
        <f>CHOOSE( CONTROL!$C$32, 23.3862, 23.3828) * CHOOSE(CONTROL!$C$15, $D$11, 100%, $F$11)</f>
        <v>23.386199999999999</v>
      </c>
      <c r="I793" s="8">
        <f>CHOOSE( CONTROL!$C$32, 22.1709, 22.1677) * CHOOSE(CONTROL!$C$15, $D$11, 100%, $F$11)</f>
        <v>22.1709</v>
      </c>
      <c r="J793" s="4">
        <f>CHOOSE( CONTROL!$C$32, 22.0436, 22.0404) * CHOOSE(CONTROL!$C$15, $D$11, 100%, $F$11)</f>
        <v>22.043600000000001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24.0048 * CHOOSE(CONTROL!$C$15, $D$11, 100%, $F$11)</f>
        <v>24.004799999999999</v>
      </c>
      <c r="C794" s="8">
        <f>24.0103 * CHOOSE(CONTROL!$C$15, $D$11, 100%, $F$11)</f>
        <v>24.010300000000001</v>
      </c>
      <c r="D794" s="8">
        <f>24.0414 * CHOOSE( CONTROL!$C$15, $D$11, 100%, $F$11)</f>
        <v>24.041399999999999</v>
      </c>
      <c r="E794" s="12">
        <f>24.0305 * CHOOSE( CONTROL!$C$15, $D$11, 100%, $F$11)</f>
        <v>24.0305</v>
      </c>
      <c r="F794" s="4">
        <f>24.72 * CHOOSE(CONTROL!$C$15, $D$11, 100%, $F$11)</f>
        <v>24.72</v>
      </c>
      <c r="G794" s="8">
        <f>23.432 * CHOOSE( CONTROL!$C$15, $D$11, 100%, $F$11)</f>
        <v>23.431999999999999</v>
      </c>
      <c r="H794" s="4">
        <f>24.3789 * CHOOSE(CONTROL!$C$15, $D$11, 100%, $F$11)</f>
        <v>24.378900000000002</v>
      </c>
      <c r="I794" s="8">
        <f>23.1481 * CHOOSE(CONTROL!$C$15, $D$11, 100%, $F$11)</f>
        <v>23.148099999999999</v>
      </c>
      <c r="J794" s="4">
        <f>23.0195 * CHOOSE(CONTROL!$C$15, $D$11, 100%, $F$11)</f>
        <v>23.019500000000001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25.8868 * CHOOSE(CONTROL!$C$15, $D$11, 100%, $F$11)</f>
        <v>25.886800000000001</v>
      </c>
      <c r="C795" s="8">
        <f>25.892 * CHOOSE(CONTROL!$C$15, $D$11, 100%, $F$11)</f>
        <v>25.891999999999999</v>
      </c>
      <c r="D795" s="8">
        <f>25.8848 * CHOOSE( CONTROL!$C$15, $D$11, 100%, $F$11)</f>
        <v>25.884799999999998</v>
      </c>
      <c r="E795" s="12">
        <f>25.8869 * CHOOSE( CONTROL!$C$15, $D$11, 100%, $F$11)</f>
        <v>25.886900000000001</v>
      </c>
      <c r="F795" s="4">
        <f>26.5372 * CHOOSE(CONTROL!$C$15, $D$11, 100%, $F$11)</f>
        <v>26.537199999999999</v>
      </c>
      <c r="G795" s="8">
        <f>25.2835 * CHOOSE( CONTROL!$C$15, $D$11, 100%, $F$11)</f>
        <v>25.2835</v>
      </c>
      <c r="H795" s="4">
        <f>26.1538 * CHOOSE(CONTROL!$C$15, $D$11, 100%, $F$11)</f>
        <v>26.1538</v>
      </c>
      <c r="I795" s="8">
        <f>24.9997 * CHOOSE(CONTROL!$C$15, $D$11, 100%, $F$11)</f>
        <v>24.999700000000001</v>
      </c>
      <c r="J795" s="4">
        <f>24.8267 * CHOOSE(CONTROL!$C$15, $D$11, 100%, $F$11)</f>
        <v>24.826699999999999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25.8397 * CHOOSE(CONTROL!$C$15, $D$11, 100%, $F$11)</f>
        <v>25.839700000000001</v>
      </c>
      <c r="C796" s="8">
        <f>25.8449 * CHOOSE(CONTROL!$C$15, $D$11, 100%, $F$11)</f>
        <v>25.844899999999999</v>
      </c>
      <c r="D796" s="8">
        <f>25.8392 * CHOOSE( CONTROL!$C$15, $D$11, 100%, $F$11)</f>
        <v>25.839200000000002</v>
      </c>
      <c r="E796" s="12">
        <f>25.8407 * CHOOSE( CONTROL!$C$15, $D$11, 100%, $F$11)</f>
        <v>25.840699999999998</v>
      </c>
      <c r="F796" s="4">
        <f>26.4902 * CHOOSE(CONTROL!$C$15, $D$11, 100%, $F$11)</f>
        <v>26.490200000000002</v>
      </c>
      <c r="G796" s="8">
        <f>25.2386 * CHOOSE( CONTROL!$C$15, $D$11, 100%, $F$11)</f>
        <v>25.238600000000002</v>
      </c>
      <c r="H796" s="4">
        <f>26.1078 * CHOOSE(CONTROL!$C$15, $D$11, 100%, $F$11)</f>
        <v>26.107800000000001</v>
      </c>
      <c r="I796" s="8">
        <f>24.9591 * CHOOSE(CONTROL!$C$15, $D$11, 100%, $F$11)</f>
        <v>24.959099999999999</v>
      </c>
      <c r="J796" s="4">
        <f>24.7816 * CHOOSE(CONTROL!$C$15, $D$11, 100%, $F$11)</f>
        <v>24.781600000000001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26.6011 * CHOOSE(CONTROL!$C$15, $D$11, 100%, $F$11)</f>
        <v>26.601099999999999</v>
      </c>
      <c r="C797" s="8">
        <f>26.6063 * CHOOSE(CONTROL!$C$15, $D$11, 100%, $F$11)</f>
        <v>26.606300000000001</v>
      </c>
      <c r="D797" s="8">
        <f>26.5864 * CHOOSE( CONTROL!$C$15, $D$11, 100%, $F$11)</f>
        <v>26.586400000000001</v>
      </c>
      <c r="E797" s="12">
        <f>26.5931 * CHOOSE( CONTROL!$C$15, $D$11, 100%, $F$11)</f>
        <v>26.5931</v>
      </c>
      <c r="F797" s="4">
        <f>27.2516 * CHOOSE(CONTROL!$C$15, $D$11, 100%, $F$11)</f>
        <v>27.2516</v>
      </c>
      <c r="G797" s="8">
        <f>25.9654 * CHOOSE( CONTROL!$C$15, $D$11, 100%, $F$11)</f>
        <v>25.965399999999999</v>
      </c>
      <c r="H797" s="4">
        <f>26.8515 * CHOOSE(CONTROL!$C$15, $D$11, 100%, $F$11)</f>
        <v>26.851500000000001</v>
      </c>
      <c r="I797" s="8">
        <f>25.6469 * CHOOSE(CONTROL!$C$15, $D$11, 100%, $F$11)</f>
        <v>25.646899999999999</v>
      </c>
      <c r="J797" s="4">
        <f>25.5125 * CHOOSE(CONTROL!$C$15, $D$11, 100%, $F$11)</f>
        <v>25.512499999999999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24.8832 * CHOOSE(CONTROL!$C$15, $D$11, 100%, $F$11)</f>
        <v>24.883199999999999</v>
      </c>
      <c r="C798" s="8">
        <f>24.8884 * CHOOSE(CONTROL!$C$15, $D$11, 100%, $F$11)</f>
        <v>24.888400000000001</v>
      </c>
      <c r="D798" s="8">
        <f>24.8685 * CHOOSE( CONTROL!$C$15, $D$11, 100%, $F$11)</f>
        <v>24.868500000000001</v>
      </c>
      <c r="E798" s="12">
        <f>24.8752 * CHOOSE( CONTROL!$C$15, $D$11, 100%, $F$11)</f>
        <v>24.8752</v>
      </c>
      <c r="F798" s="4">
        <f>25.5337 * CHOOSE(CONTROL!$C$15, $D$11, 100%, $F$11)</f>
        <v>25.5337</v>
      </c>
      <c r="G798" s="8">
        <f>24.2875 * CHOOSE( CONTROL!$C$15, $D$11, 100%, $F$11)</f>
        <v>24.287500000000001</v>
      </c>
      <c r="H798" s="4">
        <f>25.1736 * CHOOSE(CONTROL!$C$15, $D$11, 100%, $F$11)</f>
        <v>25.1736</v>
      </c>
      <c r="I798" s="8">
        <f>23.9967 * CHOOSE(CONTROL!$C$15, $D$11, 100%, $F$11)</f>
        <v>23.996700000000001</v>
      </c>
      <c r="J798" s="4">
        <f>23.8632 * CHOOSE(CONTROL!$C$15, $D$11, 100%, $F$11)</f>
        <v>23.863199999999999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24.3541 * CHOOSE(CONTROL!$C$15, $D$11, 100%, $F$11)</f>
        <v>24.354099999999999</v>
      </c>
      <c r="C799" s="8">
        <f>24.3593 * CHOOSE(CONTROL!$C$15, $D$11, 100%, $F$11)</f>
        <v>24.359300000000001</v>
      </c>
      <c r="D799" s="8">
        <f>24.339 * CHOOSE( CONTROL!$C$15, $D$11, 100%, $F$11)</f>
        <v>24.338999999999999</v>
      </c>
      <c r="E799" s="12">
        <f>24.3459 * CHOOSE( CONTROL!$C$15, $D$11, 100%, $F$11)</f>
        <v>24.3459</v>
      </c>
      <c r="F799" s="4">
        <f>25.0046 * CHOOSE(CONTROL!$C$15, $D$11, 100%, $F$11)</f>
        <v>25.0046</v>
      </c>
      <c r="G799" s="8">
        <f>23.7705 * CHOOSE( CONTROL!$C$15, $D$11, 100%, $F$11)</f>
        <v>23.770499999999998</v>
      </c>
      <c r="H799" s="4">
        <f>24.6568 * CHOOSE(CONTROL!$C$15, $D$11, 100%, $F$11)</f>
        <v>24.6568</v>
      </c>
      <c r="I799" s="8">
        <f>23.4873 * CHOOSE(CONTROL!$C$15, $D$11, 100%, $F$11)</f>
        <v>23.487300000000001</v>
      </c>
      <c r="J799" s="4">
        <f>23.3552 * CHOOSE(CONTROL!$C$15, $D$11, 100%, $F$11)</f>
        <v>23.3552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24.7246 * CHOOSE(CONTROL!$C$15, $D$11, 100%, $F$11)</f>
        <v>24.724599999999999</v>
      </c>
      <c r="C800" s="8">
        <f>24.7292 * CHOOSE(CONTROL!$C$15, $D$11, 100%, $F$11)</f>
        <v>24.729199999999999</v>
      </c>
      <c r="D800" s="8">
        <f>24.7601 * CHOOSE( CONTROL!$C$15, $D$11, 100%, $F$11)</f>
        <v>24.760100000000001</v>
      </c>
      <c r="E800" s="12">
        <f>24.7494 * CHOOSE( CONTROL!$C$15, $D$11, 100%, $F$11)</f>
        <v>24.749400000000001</v>
      </c>
      <c r="F800" s="4">
        <f>25.4394 * CHOOSE(CONTROL!$C$15, $D$11, 100%, $F$11)</f>
        <v>25.439399999999999</v>
      </c>
      <c r="G800" s="8">
        <f>24.1336 * CHOOSE( CONTROL!$C$15, $D$11, 100%, $F$11)</f>
        <v>24.133600000000001</v>
      </c>
      <c r="H800" s="4">
        <f>25.0815 * CHOOSE(CONTROL!$C$15, $D$11, 100%, $F$11)</f>
        <v>25.081499999999998</v>
      </c>
      <c r="I800" s="8">
        <f>23.8358 * CHOOSE(CONTROL!$C$15, $D$11, 100%, $F$11)</f>
        <v>23.835799999999999</v>
      </c>
      <c r="J800" s="4">
        <f>23.7102 * CHOOSE(CONTROL!$C$15, $D$11, 100%, $F$11)</f>
        <v>23.7102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25.3874, 25.384) * CHOOSE(CONTROL!$C$15, $D$11, 100%, $F$11)</f>
        <v>25.3874</v>
      </c>
      <c r="C801" s="8">
        <f>CHOOSE( CONTROL!$C$32, 25.3955, 25.3921) * CHOOSE(CONTROL!$C$15, $D$11, 100%, $F$11)</f>
        <v>25.395499999999998</v>
      </c>
      <c r="D801" s="8">
        <f>CHOOSE( CONTROL!$C$32, 25.4211, 25.4177) * CHOOSE( CONTROL!$C$15, $D$11, 100%, $F$11)</f>
        <v>25.421099999999999</v>
      </c>
      <c r="E801" s="12">
        <f>CHOOSE( CONTROL!$C$32, 25.4106, 25.4072) * CHOOSE( CONTROL!$C$15, $D$11, 100%, $F$11)</f>
        <v>25.410599999999999</v>
      </c>
      <c r="F801" s="4">
        <f>CHOOSE( CONTROL!$C$32, 26.1008, 26.0974) * CHOOSE(CONTROL!$C$15, $D$11, 100%, $F$11)</f>
        <v>26.1008</v>
      </c>
      <c r="G801" s="8">
        <f>CHOOSE( CONTROL!$C$32, 24.7804, 24.7771) * CHOOSE( CONTROL!$C$15, $D$11, 100%, $F$11)</f>
        <v>24.7804</v>
      </c>
      <c r="H801" s="4">
        <f>CHOOSE( CONTROL!$C$32, 25.7275, 25.7242) * CHOOSE(CONTROL!$C$15, $D$11, 100%, $F$11)</f>
        <v>25.727499999999999</v>
      </c>
      <c r="I801" s="8">
        <f>CHOOSE( CONTROL!$C$32, 24.4713, 24.4681) * CHOOSE(CONTROL!$C$15, $D$11, 100%, $F$11)</f>
        <v>24.471299999999999</v>
      </c>
      <c r="J801" s="4">
        <f>CHOOSE( CONTROL!$C$32, 24.3452, 24.3419) * CHOOSE(CONTROL!$C$15, $D$11, 100%, $F$11)</f>
        <v>24.345199999999998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24.9798, 24.9764) * CHOOSE(CONTROL!$C$15, $D$11, 100%, $F$11)</f>
        <v>24.979800000000001</v>
      </c>
      <c r="C802" s="8">
        <f>CHOOSE( CONTROL!$C$32, 24.9879, 24.9844) * CHOOSE(CONTROL!$C$15, $D$11, 100%, $F$11)</f>
        <v>24.9879</v>
      </c>
      <c r="D802" s="8">
        <f>CHOOSE( CONTROL!$C$32, 25.0137, 25.0103) * CHOOSE( CONTROL!$C$15, $D$11, 100%, $F$11)</f>
        <v>25.0137</v>
      </c>
      <c r="E802" s="12">
        <f>CHOOSE( CONTROL!$C$32, 25.0031, 24.9997) * CHOOSE( CONTROL!$C$15, $D$11, 100%, $F$11)</f>
        <v>25.0031</v>
      </c>
      <c r="F802" s="4">
        <f>CHOOSE( CONTROL!$C$32, 25.6932, 25.6898) * CHOOSE(CONTROL!$C$15, $D$11, 100%, $F$11)</f>
        <v>25.693200000000001</v>
      </c>
      <c r="G802" s="8">
        <f>CHOOSE( CONTROL!$C$32, 24.3825, 24.3792) * CHOOSE( CONTROL!$C$15, $D$11, 100%, $F$11)</f>
        <v>24.3825</v>
      </c>
      <c r="H802" s="4">
        <f>CHOOSE( CONTROL!$C$32, 25.3294, 25.3261) * CHOOSE(CONTROL!$C$15, $D$11, 100%, $F$11)</f>
        <v>25.3294</v>
      </c>
      <c r="I802" s="8">
        <f>CHOOSE( CONTROL!$C$32, 24.0807, 24.0775) * CHOOSE(CONTROL!$C$15, $D$11, 100%, $F$11)</f>
        <v>24.0807</v>
      </c>
      <c r="J802" s="4">
        <f>CHOOSE( CONTROL!$C$32, 23.9539, 23.9506) * CHOOSE(CONTROL!$C$15, $D$11, 100%, $F$11)</f>
        <v>23.953900000000001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26.0532, 26.0498) * CHOOSE(CONTROL!$C$15, $D$11, 100%, $F$11)</f>
        <v>26.0532</v>
      </c>
      <c r="C803" s="8">
        <f>CHOOSE( CONTROL!$C$32, 26.0613, 26.0579) * CHOOSE(CONTROL!$C$15, $D$11, 100%, $F$11)</f>
        <v>26.061299999999999</v>
      </c>
      <c r="D803" s="8">
        <f>CHOOSE( CONTROL!$C$32, 26.0873, 26.0839) * CHOOSE( CONTROL!$C$15, $D$11, 100%, $F$11)</f>
        <v>26.087299999999999</v>
      </c>
      <c r="E803" s="12">
        <f>CHOOSE( CONTROL!$C$32, 26.0766, 26.0732) * CHOOSE( CONTROL!$C$15, $D$11, 100%, $F$11)</f>
        <v>26.076599999999999</v>
      </c>
      <c r="F803" s="4">
        <f>CHOOSE( CONTROL!$C$32, 26.7666, 26.7632) * CHOOSE(CONTROL!$C$15, $D$11, 100%, $F$11)</f>
        <v>26.7666</v>
      </c>
      <c r="G803" s="8">
        <f>CHOOSE( CONTROL!$C$32, 25.4313, 25.428) * CHOOSE( CONTROL!$C$15, $D$11, 100%, $F$11)</f>
        <v>25.4313</v>
      </c>
      <c r="H803" s="4">
        <f>CHOOSE( CONTROL!$C$32, 26.3778, 26.3745) * CHOOSE(CONTROL!$C$15, $D$11, 100%, $F$11)</f>
        <v>26.377800000000001</v>
      </c>
      <c r="I803" s="8">
        <f>CHOOSE( CONTROL!$C$32, 25.1129, 25.1097) * CHOOSE(CONTROL!$C$15, $D$11, 100%, $F$11)</f>
        <v>25.1129</v>
      </c>
      <c r="J803" s="4">
        <f>CHOOSE( CONTROL!$C$32, 24.9845, 24.9812) * CHOOSE(CONTROL!$C$15, $D$11, 100%, $F$11)</f>
        <v>24.984500000000001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24.0447, 24.0413) * CHOOSE(CONTROL!$C$15, $D$11, 100%, $F$11)</f>
        <v>24.044699999999999</v>
      </c>
      <c r="C804" s="8">
        <f>CHOOSE( CONTROL!$C$32, 24.0528, 24.0494) * CHOOSE(CONTROL!$C$15, $D$11, 100%, $F$11)</f>
        <v>24.052800000000001</v>
      </c>
      <c r="D804" s="8">
        <f>CHOOSE( CONTROL!$C$32, 24.0789, 24.0755) * CHOOSE( CONTROL!$C$15, $D$11, 100%, $F$11)</f>
        <v>24.078900000000001</v>
      </c>
      <c r="E804" s="12">
        <f>CHOOSE( CONTROL!$C$32, 24.0682, 24.0648) * CHOOSE( CONTROL!$C$15, $D$11, 100%, $F$11)</f>
        <v>24.068200000000001</v>
      </c>
      <c r="F804" s="4">
        <f>CHOOSE( CONTROL!$C$32, 24.7581, 24.7547) * CHOOSE(CONTROL!$C$15, $D$11, 100%, $F$11)</f>
        <v>24.758099999999999</v>
      </c>
      <c r="G804" s="8">
        <f>CHOOSE( CONTROL!$C$32, 23.4697, 23.4664) * CHOOSE( CONTROL!$C$15, $D$11, 100%, $F$11)</f>
        <v>23.4697</v>
      </c>
      <c r="H804" s="4">
        <f>CHOOSE( CONTROL!$C$32, 24.4161, 24.4128) * CHOOSE(CONTROL!$C$15, $D$11, 100%, $F$11)</f>
        <v>24.4161</v>
      </c>
      <c r="I804" s="8">
        <f>CHOOSE( CONTROL!$C$32, 23.184, 23.1808) * CHOOSE(CONTROL!$C$15, $D$11, 100%, $F$11)</f>
        <v>23.184000000000001</v>
      </c>
      <c r="J804" s="4">
        <f>CHOOSE( CONTROL!$C$32, 23.0561, 23.0528) * CHOOSE(CONTROL!$C$15, $D$11, 100%, $F$11)</f>
        <v>23.056100000000001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23.5417, 23.5383) * CHOOSE(CONTROL!$C$15, $D$11, 100%, $F$11)</f>
        <v>23.541699999999999</v>
      </c>
      <c r="C805" s="8">
        <f>CHOOSE( CONTROL!$C$32, 23.5498, 23.5464) * CHOOSE(CONTROL!$C$15, $D$11, 100%, $F$11)</f>
        <v>23.549800000000001</v>
      </c>
      <c r="D805" s="8">
        <f>CHOOSE( CONTROL!$C$32, 23.5759, 23.5725) * CHOOSE( CONTROL!$C$15, $D$11, 100%, $F$11)</f>
        <v>23.575900000000001</v>
      </c>
      <c r="E805" s="12">
        <f>CHOOSE( CONTROL!$C$32, 23.5652, 23.5618) * CHOOSE( CONTROL!$C$15, $D$11, 100%, $F$11)</f>
        <v>23.565200000000001</v>
      </c>
      <c r="F805" s="4">
        <f>CHOOSE( CONTROL!$C$32, 24.2552, 24.2518) * CHOOSE(CONTROL!$C$15, $D$11, 100%, $F$11)</f>
        <v>24.255199999999999</v>
      </c>
      <c r="G805" s="8">
        <f>CHOOSE( CONTROL!$C$32, 22.9785, 22.9751) * CHOOSE( CONTROL!$C$15, $D$11, 100%, $F$11)</f>
        <v>22.9785</v>
      </c>
      <c r="H805" s="4">
        <f>CHOOSE( CONTROL!$C$32, 23.9249, 23.9216) * CHOOSE(CONTROL!$C$15, $D$11, 100%, $F$11)</f>
        <v>23.924900000000001</v>
      </c>
      <c r="I805" s="8">
        <f>CHOOSE( CONTROL!$C$32, 22.7008, 22.6975) * CHOOSE(CONTROL!$C$15, $D$11, 100%, $F$11)</f>
        <v>22.700800000000001</v>
      </c>
      <c r="J805" s="4">
        <f>CHOOSE( CONTROL!$C$32, 22.5732, 22.5699) * CHOOSE(CONTROL!$C$15, $D$11, 100%, $F$11)</f>
        <v>22.5732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24.5809 * CHOOSE(CONTROL!$C$15, $D$11, 100%, $F$11)</f>
        <v>24.5809</v>
      </c>
      <c r="C806" s="8">
        <f>24.5864 * CHOOSE(CONTROL!$C$15, $D$11, 100%, $F$11)</f>
        <v>24.586400000000001</v>
      </c>
      <c r="D806" s="8">
        <f>24.6174 * CHOOSE( CONTROL!$C$15, $D$11, 100%, $F$11)</f>
        <v>24.6174</v>
      </c>
      <c r="E806" s="12">
        <f>24.6066 * CHOOSE( CONTROL!$C$15, $D$11, 100%, $F$11)</f>
        <v>24.6066</v>
      </c>
      <c r="F806" s="4">
        <f>25.2961 * CHOOSE(CONTROL!$C$15, $D$11, 100%, $F$11)</f>
        <v>25.296099999999999</v>
      </c>
      <c r="G806" s="8">
        <f>23.9947 * CHOOSE( CONTROL!$C$15, $D$11, 100%, $F$11)</f>
        <v>23.994700000000002</v>
      </c>
      <c r="H806" s="4">
        <f>24.9415 * CHOOSE(CONTROL!$C$15, $D$11, 100%, $F$11)</f>
        <v>24.941500000000001</v>
      </c>
      <c r="I806" s="8">
        <f>23.7015 * CHOOSE(CONTROL!$C$15, $D$11, 100%, $F$11)</f>
        <v>23.701499999999999</v>
      </c>
      <c r="J806" s="4">
        <f>23.5726 * CHOOSE(CONTROL!$C$15, $D$11, 100%, $F$11)</f>
        <v>23.572600000000001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26.5081 * CHOOSE(CONTROL!$C$15, $D$11, 100%, $F$11)</f>
        <v>26.508099999999999</v>
      </c>
      <c r="C807" s="8">
        <f>26.5133 * CHOOSE(CONTROL!$C$15, $D$11, 100%, $F$11)</f>
        <v>26.513300000000001</v>
      </c>
      <c r="D807" s="8">
        <f>26.5061 * CHOOSE( CONTROL!$C$15, $D$11, 100%, $F$11)</f>
        <v>26.5061</v>
      </c>
      <c r="E807" s="12">
        <f>26.5082 * CHOOSE( CONTROL!$C$15, $D$11, 100%, $F$11)</f>
        <v>26.508199999999999</v>
      </c>
      <c r="F807" s="4">
        <f>27.1585 * CHOOSE(CONTROL!$C$15, $D$11, 100%, $F$11)</f>
        <v>27.1585</v>
      </c>
      <c r="G807" s="8">
        <f>25.8903 * CHOOSE( CONTROL!$C$15, $D$11, 100%, $F$11)</f>
        <v>25.8903</v>
      </c>
      <c r="H807" s="4">
        <f>26.7606 * CHOOSE(CONTROL!$C$15, $D$11, 100%, $F$11)</f>
        <v>26.7606</v>
      </c>
      <c r="I807" s="8">
        <f>25.5965 * CHOOSE(CONTROL!$C$15, $D$11, 100%, $F$11)</f>
        <v>25.596499999999999</v>
      </c>
      <c r="J807" s="4">
        <f>25.4232 * CHOOSE(CONTROL!$C$15, $D$11, 100%, $F$11)</f>
        <v>25.423200000000001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26.4599 * CHOOSE(CONTROL!$C$15, $D$11, 100%, $F$11)</f>
        <v>26.459900000000001</v>
      </c>
      <c r="C808" s="8">
        <f>26.4651 * CHOOSE(CONTROL!$C$15, $D$11, 100%, $F$11)</f>
        <v>26.4651</v>
      </c>
      <c r="D808" s="8">
        <f>26.4594 * CHOOSE( CONTROL!$C$15, $D$11, 100%, $F$11)</f>
        <v>26.459399999999999</v>
      </c>
      <c r="E808" s="12">
        <f>26.4609 * CHOOSE( CONTROL!$C$15, $D$11, 100%, $F$11)</f>
        <v>26.460899999999999</v>
      </c>
      <c r="F808" s="4">
        <f>27.1104 * CHOOSE(CONTROL!$C$15, $D$11, 100%, $F$11)</f>
        <v>27.110399999999998</v>
      </c>
      <c r="G808" s="8">
        <f>25.8444 * CHOOSE( CONTROL!$C$15, $D$11, 100%, $F$11)</f>
        <v>25.8444</v>
      </c>
      <c r="H808" s="4">
        <f>26.7136 * CHOOSE(CONTROL!$C$15, $D$11, 100%, $F$11)</f>
        <v>26.7136</v>
      </c>
      <c r="I808" s="8">
        <f>25.5549 * CHOOSE(CONTROL!$C$15, $D$11, 100%, $F$11)</f>
        <v>25.5549</v>
      </c>
      <c r="J808" s="4">
        <f>25.377 * CHOOSE(CONTROL!$C$15, $D$11, 100%, $F$11)</f>
        <v>25.376999999999999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27.2396 * CHOOSE(CONTROL!$C$15, $D$11, 100%, $F$11)</f>
        <v>27.239599999999999</v>
      </c>
      <c r="C809" s="8">
        <f>27.2448 * CHOOSE(CONTROL!$C$15, $D$11, 100%, $F$11)</f>
        <v>27.244800000000001</v>
      </c>
      <c r="D809" s="8">
        <f>27.2248 * CHOOSE( CONTROL!$C$15, $D$11, 100%, $F$11)</f>
        <v>27.224799999999998</v>
      </c>
      <c r="E809" s="12">
        <f>27.2316 * CHOOSE( CONTROL!$C$15, $D$11, 100%, $F$11)</f>
        <v>27.2316</v>
      </c>
      <c r="F809" s="4">
        <f>27.89 * CHOOSE(CONTROL!$C$15, $D$11, 100%, $F$11)</f>
        <v>27.89</v>
      </c>
      <c r="G809" s="8">
        <f>26.589 * CHOOSE( CONTROL!$C$15, $D$11, 100%, $F$11)</f>
        <v>26.588999999999999</v>
      </c>
      <c r="H809" s="4">
        <f>27.4751 * CHOOSE(CONTROL!$C$15, $D$11, 100%, $F$11)</f>
        <v>27.475100000000001</v>
      </c>
      <c r="I809" s="8">
        <f>26.2602 * CHOOSE(CONTROL!$C$15, $D$11, 100%, $F$11)</f>
        <v>26.260200000000001</v>
      </c>
      <c r="J809" s="4">
        <f>26.1255 * CHOOSE(CONTROL!$C$15, $D$11, 100%, $F$11)</f>
        <v>26.125499999999999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25.4804 * CHOOSE(CONTROL!$C$15, $D$11, 100%, $F$11)</f>
        <v>25.480399999999999</v>
      </c>
      <c r="C810" s="8">
        <f>25.4856 * CHOOSE(CONTROL!$C$15, $D$11, 100%, $F$11)</f>
        <v>25.485600000000002</v>
      </c>
      <c r="D810" s="8">
        <f>25.4657 * CHOOSE( CONTROL!$C$15, $D$11, 100%, $F$11)</f>
        <v>25.465699999999998</v>
      </c>
      <c r="E810" s="12">
        <f>25.4724 * CHOOSE( CONTROL!$C$15, $D$11, 100%, $F$11)</f>
        <v>25.4724</v>
      </c>
      <c r="F810" s="4">
        <f>26.1309 * CHOOSE(CONTROL!$C$15, $D$11, 100%, $F$11)</f>
        <v>26.1309</v>
      </c>
      <c r="G810" s="8">
        <f>24.8708 * CHOOSE( CONTROL!$C$15, $D$11, 100%, $F$11)</f>
        <v>24.870799999999999</v>
      </c>
      <c r="H810" s="4">
        <f>25.7569 * CHOOSE(CONTROL!$C$15, $D$11, 100%, $F$11)</f>
        <v>25.756900000000002</v>
      </c>
      <c r="I810" s="8">
        <f>24.5704 * CHOOSE(CONTROL!$C$15, $D$11, 100%, $F$11)</f>
        <v>24.570399999999999</v>
      </c>
      <c r="J810" s="4">
        <f>24.4366 * CHOOSE(CONTROL!$C$15, $D$11, 100%, $F$11)</f>
        <v>24.436599999999999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24.9386 * CHOOSE(CONTROL!$C$15, $D$11, 100%, $F$11)</f>
        <v>24.938600000000001</v>
      </c>
      <c r="C811" s="8">
        <f>24.9438 * CHOOSE(CONTROL!$C$15, $D$11, 100%, $F$11)</f>
        <v>24.9438</v>
      </c>
      <c r="D811" s="8">
        <f>24.9235 * CHOOSE( CONTROL!$C$15, $D$11, 100%, $F$11)</f>
        <v>24.923500000000001</v>
      </c>
      <c r="E811" s="12">
        <f>24.9304 * CHOOSE( CONTROL!$C$15, $D$11, 100%, $F$11)</f>
        <v>24.930399999999999</v>
      </c>
      <c r="F811" s="4">
        <f>25.5891 * CHOOSE(CONTROL!$C$15, $D$11, 100%, $F$11)</f>
        <v>25.589099999999998</v>
      </c>
      <c r="G811" s="8">
        <f>24.3414 * CHOOSE( CONTROL!$C$15, $D$11, 100%, $F$11)</f>
        <v>24.3414</v>
      </c>
      <c r="H811" s="4">
        <f>25.2277 * CHOOSE(CONTROL!$C$15, $D$11, 100%, $F$11)</f>
        <v>25.227699999999999</v>
      </c>
      <c r="I811" s="8">
        <f>24.0488 * CHOOSE(CONTROL!$C$15, $D$11, 100%, $F$11)</f>
        <v>24.0488</v>
      </c>
      <c r="J811" s="4">
        <f>23.9164 * CHOOSE(CONTROL!$C$15, $D$11, 100%, $F$11)</f>
        <v>23.916399999999999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25.318 * CHOOSE(CONTROL!$C$15, $D$11, 100%, $F$11)</f>
        <v>25.318000000000001</v>
      </c>
      <c r="C812" s="8">
        <f>25.3226 * CHOOSE(CONTROL!$C$15, $D$11, 100%, $F$11)</f>
        <v>25.322600000000001</v>
      </c>
      <c r="D812" s="8">
        <f>25.3535 * CHOOSE( CONTROL!$C$15, $D$11, 100%, $F$11)</f>
        <v>25.3535</v>
      </c>
      <c r="E812" s="12">
        <f>25.3428 * CHOOSE( CONTROL!$C$15, $D$11, 100%, $F$11)</f>
        <v>25.3428</v>
      </c>
      <c r="F812" s="4">
        <f>26.0328 * CHOOSE(CONTROL!$C$15, $D$11, 100%, $F$11)</f>
        <v>26.032800000000002</v>
      </c>
      <c r="G812" s="8">
        <f>24.7132 * CHOOSE( CONTROL!$C$15, $D$11, 100%, $F$11)</f>
        <v>24.713200000000001</v>
      </c>
      <c r="H812" s="4">
        <f>25.6611 * CHOOSE(CONTROL!$C$15, $D$11, 100%, $F$11)</f>
        <v>25.661100000000001</v>
      </c>
      <c r="I812" s="8">
        <f>24.4058 * CHOOSE(CONTROL!$C$15, $D$11, 100%, $F$11)</f>
        <v>24.405799999999999</v>
      </c>
      <c r="J812" s="4">
        <f>24.2799 * CHOOSE(CONTROL!$C$15, $D$11, 100%, $F$11)</f>
        <v>24.279900000000001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25.9966, 25.9932) * CHOOSE(CONTROL!$C$15, $D$11, 100%, $F$11)</f>
        <v>25.996600000000001</v>
      </c>
      <c r="C813" s="8">
        <f>CHOOSE( CONTROL!$C$32, 26.0047, 26.0013) * CHOOSE(CONTROL!$C$15, $D$11, 100%, $F$11)</f>
        <v>26.0047</v>
      </c>
      <c r="D813" s="8">
        <f>CHOOSE( CONTROL!$C$32, 26.0303, 26.0269) * CHOOSE( CONTROL!$C$15, $D$11, 100%, $F$11)</f>
        <v>26.0303</v>
      </c>
      <c r="E813" s="12">
        <f>CHOOSE( CONTROL!$C$32, 26.0198, 26.0164) * CHOOSE( CONTROL!$C$15, $D$11, 100%, $F$11)</f>
        <v>26.0198</v>
      </c>
      <c r="F813" s="4">
        <f>CHOOSE( CONTROL!$C$32, 26.71, 26.7066) * CHOOSE(CONTROL!$C$15, $D$11, 100%, $F$11)</f>
        <v>26.71</v>
      </c>
      <c r="G813" s="8">
        <f>CHOOSE( CONTROL!$C$32, 25.3754, 25.372) * CHOOSE( CONTROL!$C$15, $D$11, 100%, $F$11)</f>
        <v>25.375399999999999</v>
      </c>
      <c r="H813" s="4">
        <f>CHOOSE( CONTROL!$C$32, 26.3225, 26.3192) * CHOOSE(CONTROL!$C$15, $D$11, 100%, $F$11)</f>
        <v>26.322500000000002</v>
      </c>
      <c r="I813" s="8">
        <f>CHOOSE( CONTROL!$C$32, 25.0565, 25.0532) * CHOOSE(CONTROL!$C$15, $D$11, 100%, $F$11)</f>
        <v>25.0565</v>
      </c>
      <c r="J813" s="4">
        <f>CHOOSE( CONTROL!$C$32, 24.9301, 24.9268) * CHOOSE(CONTROL!$C$15, $D$11, 100%, $F$11)</f>
        <v>24.930099999999999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25.5792, 25.5757) * CHOOSE(CONTROL!$C$15, $D$11, 100%, $F$11)</f>
        <v>25.5792</v>
      </c>
      <c r="C814" s="8">
        <f>CHOOSE( CONTROL!$C$32, 25.5872, 25.5838) * CHOOSE(CONTROL!$C$15, $D$11, 100%, $F$11)</f>
        <v>25.587199999999999</v>
      </c>
      <c r="D814" s="8">
        <f>CHOOSE( CONTROL!$C$32, 25.613, 25.6096) * CHOOSE( CONTROL!$C$15, $D$11, 100%, $F$11)</f>
        <v>25.613</v>
      </c>
      <c r="E814" s="12">
        <f>CHOOSE( CONTROL!$C$32, 25.6024, 25.599) * CHOOSE( CONTROL!$C$15, $D$11, 100%, $F$11)</f>
        <v>25.602399999999999</v>
      </c>
      <c r="F814" s="4">
        <f>CHOOSE( CONTROL!$C$32, 26.2926, 26.2892) * CHOOSE(CONTROL!$C$15, $D$11, 100%, $F$11)</f>
        <v>26.2926</v>
      </c>
      <c r="G814" s="8">
        <f>CHOOSE( CONTROL!$C$32, 24.968, 24.9646) * CHOOSE( CONTROL!$C$15, $D$11, 100%, $F$11)</f>
        <v>24.968</v>
      </c>
      <c r="H814" s="4">
        <f>CHOOSE( CONTROL!$C$32, 25.9148, 25.9115) * CHOOSE(CONTROL!$C$15, $D$11, 100%, $F$11)</f>
        <v>25.9148</v>
      </c>
      <c r="I814" s="8">
        <f>CHOOSE( CONTROL!$C$32, 24.6565, 24.6532) * CHOOSE(CONTROL!$C$15, $D$11, 100%, $F$11)</f>
        <v>24.656500000000001</v>
      </c>
      <c r="J814" s="4">
        <f>CHOOSE( CONTROL!$C$32, 24.5293, 24.5261) * CHOOSE(CONTROL!$C$15, $D$11, 100%, $F$11)</f>
        <v>24.529299999999999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26.6784, 26.675) * CHOOSE(CONTROL!$C$15, $D$11, 100%, $F$11)</f>
        <v>26.6784</v>
      </c>
      <c r="C815" s="8">
        <f>CHOOSE( CONTROL!$C$32, 26.6865, 26.6831) * CHOOSE(CONTROL!$C$15, $D$11, 100%, $F$11)</f>
        <v>26.686499999999999</v>
      </c>
      <c r="D815" s="8">
        <f>CHOOSE( CONTROL!$C$32, 26.7125, 26.7091) * CHOOSE( CONTROL!$C$15, $D$11, 100%, $F$11)</f>
        <v>26.712499999999999</v>
      </c>
      <c r="E815" s="12">
        <f>CHOOSE( CONTROL!$C$32, 26.7018, 26.6984) * CHOOSE( CONTROL!$C$15, $D$11, 100%, $F$11)</f>
        <v>26.701799999999999</v>
      </c>
      <c r="F815" s="4">
        <f>CHOOSE( CONTROL!$C$32, 27.3918, 27.3884) * CHOOSE(CONTROL!$C$15, $D$11, 100%, $F$11)</f>
        <v>27.3918</v>
      </c>
      <c r="G815" s="8">
        <f>CHOOSE( CONTROL!$C$32, 26.0419, 26.0386) * CHOOSE( CONTROL!$C$15, $D$11, 100%, $F$11)</f>
        <v>26.041899999999998</v>
      </c>
      <c r="H815" s="4">
        <f>CHOOSE( CONTROL!$C$32, 26.9884, 26.9851) * CHOOSE(CONTROL!$C$15, $D$11, 100%, $F$11)</f>
        <v>26.988399999999999</v>
      </c>
      <c r="I815" s="8">
        <f>CHOOSE( CONTROL!$C$32, 25.7135, 25.7102) * CHOOSE(CONTROL!$C$15, $D$11, 100%, $F$11)</f>
        <v>25.7135</v>
      </c>
      <c r="J815" s="4">
        <f>CHOOSE( CONTROL!$C$32, 25.5847, 25.5814) * CHOOSE(CONTROL!$C$15, $D$11, 100%, $F$11)</f>
        <v>25.584700000000002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24.6216, 24.6182) * CHOOSE(CONTROL!$C$15, $D$11, 100%, $F$11)</f>
        <v>24.621600000000001</v>
      </c>
      <c r="C816" s="8">
        <f>CHOOSE( CONTROL!$C$32, 24.6297, 24.6263) * CHOOSE(CONTROL!$C$15, $D$11, 100%, $F$11)</f>
        <v>24.6297</v>
      </c>
      <c r="D816" s="8">
        <f>CHOOSE( CONTROL!$C$32, 24.6558, 24.6524) * CHOOSE( CONTROL!$C$15, $D$11, 100%, $F$11)</f>
        <v>24.655799999999999</v>
      </c>
      <c r="E816" s="12">
        <f>CHOOSE( CONTROL!$C$32, 24.6451, 24.6417) * CHOOSE( CONTROL!$C$15, $D$11, 100%, $F$11)</f>
        <v>24.645099999999999</v>
      </c>
      <c r="F816" s="4">
        <f>CHOOSE( CONTROL!$C$32, 25.335, 25.3316) * CHOOSE(CONTROL!$C$15, $D$11, 100%, $F$11)</f>
        <v>25.335000000000001</v>
      </c>
      <c r="G816" s="8">
        <f>CHOOSE( CONTROL!$C$32, 24.0332, 24.0299) * CHOOSE( CONTROL!$C$15, $D$11, 100%, $F$11)</f>
        <v>24.033200000000001</v>
      </c>
      <c r="H816" s="4">
        <f>CHOOSE( CONTROL!$C$32, 24.9796, 24.9763) * CHOOSE(CONTROL!$C$15, $D$11, 100%, $F$11)</f>
        <v>24.979600000000001</v>
      </c>
      <c r="I816" s="8">
        <f>CHOOSE( CONTROL!$C$32, 23.7382, 23.7349) * CHOOSE(CONTROL!$C$15, $D$11, 100%, $F$11)</f>
        <v>23.738199999999999</v>
      </c>
      <c r="J816" s="4">
        <f>CHOOSE( CONTROL!$C$32, 23.61, 23.6067) * CHOOSE(CONTROL!$C$15, $D$11, 100%, $F$11)</f>
        <v>23.61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24.1066, 24.1032) * CHOOSE(CONTROL!$C$15, $D$11, 100%, $F$11)</f>
        <v>24.1066</v>
      </c>
      <c r="C817" s="8">
        <f>CHOOSE( CONTROL!$C$32, 24.1147, 24.1113) * CHOOSE(CONTROL!$C$15, $D$11, 100%, $F$11)</f>
        <v>24.114699999999999</v>
      </c>
      <c r="D817" s="8">
        <f>CHOOSE( CONTROL!$C$32, 24.1408, 24.1374) * CHOOSE( CONTROL!$C$15, $D$11, 100%, $F$11)</f>
        <v>24.140799999999999</v>
      </c>
      <c r="E817" s="12">
        <f>CHOOSE( CONTROL!$C$32, 24.1301, 24.1267) * CHOOSE( CONTROL!$C$15, $D$11, 100%, $F$11)</f>
        <v>24.130099999999999</v>
      </c>
      <c r="F817" s="4">
        <f>CHOOSE( CONTROL!$C$32, 24.82, 24.8166) * CHOOSE(CONTROL!$C$15, $D$11, 100%, $F$11)</f>
        <v>24.82</v>
      </c>
      <c r="G817" s="8">
        <f>CHOOSE( CONTROL!$C$32, 23.5301, 23.5268) * CHOOSE( CONTROL!$C$15, $D$11, 100%, $F$11)</f>
        <v>23.530100000000001</v>
      </c>
      <c r="H817" s="4">
        <f>CHOOSE( CONTROL!$C$32, 24.4766, 24.4732) * CHOOSE(CONTROL!$C$15, $D$11, 100%, $F$11)</f>
        <v>24.476600000000001</v>
      </c>
      <c r="I817" s="8">
        <f>CHOOSE( CONTROL!$C$32, 23.2433, 23.2401) * CHOOSE(CONTROL!$C$15, $D$11, 100%, $F$11)</f>
        <v>23.243300000000001</v>
      </c>
      <c r="J817" s="4">
        <f>CHOOSE( CONTROL!$C$32, 23.1155, 23.1122) * CHOOSE(CONTROL!$C$15, $D$11, 100%, $F$11)</f>
        <v>23.115500000000001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25.1708 * CHOOSE(CONTROL!$C$15, $D$11, 100%, $F$11)</f>
        <v>25.1708</v>
      </c>
      <c r="C818" s="8">
        <f>25.1763 * CHOOSE(CONTROL!$C$15, $D$11, 100%, $F$11)</f>
        <v>25.176300000000001</v>
      </c>
      <c r="D818" s="8">
        <f>25.2074 * CHOOSE( CONTROL!$C$15, $D$11, 100%, $F$11)</f>
        <v>25.2074</v>
      </c>
      <c r="E818" s="12">
        <f>25.1965 * CHOOSE( CONTROL!$C$15, $D$11, 100%, $F$11)</f>
        <v>25.1965</v>
      </c>
      <c r="F818" s="4">
        <f>25.886 * CHOOSE(CONTROL!$C$15, $D$11, 100%, $F$11)</f>
        <v>25.885999999999999</v>
      </c>
      <c r="G818" s="8">
        <f>24.5709 * CHOOSE( CONTROL!$C$15, $D$11, 100%, $F$11)</f>
        <v>24.570900000000002</v>
      </c>
      <c r="H818" s="4">
        <f>25.5177 * CHOOSE(CONTROL!$C$15, $D$11, 100%, $F$11)</f>
        <v>25.517700000000001</v>
      </c>
      <c r="I818" s="8">
        <f>24.2681 * CHOOSE(CONTROL!$C$15, $D$11, 100%, $F$11)</f>
        <v>24.2681</v>
      </c>
      <c r="J818" s="4">
        <f>24.139 * CHOOSE(CONTROL!$C$15, $D$11, 100%, $F$11)</f>
        <v>24.138999999999999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27.1443 * CHOOSE(CONTROL!$C$15, $D$11, 100%, $F$11)</f>
        <v>27.144300000000001</v>
      </c>
      <c r="C819" s="8">
        <f>27.1495 * CHOOSE(CONTROL!$C$15, $D$11, 100%, $F$11)</f>
        <v>27.1495</v>
      </c>
      <c r="D819" s="8">
        <f>27.1424 * CHOOSE( CONTROL!$C$15, $D$11, 100%, $F$11)</f>
        <v>27.142399999999999</v>
      </c>
      <c r="E819" s="12">
        <f>27.1444 * CHOOSE( CONTROL!$C$15, $D$11, 100%, $F$11)</f>
        <v>27.144400000000001</v>
      </c>
      <c r="F819" s="4">
        <f>27.7948 * CHOOSE(CONTROL!$C$15, $D$11, 100%, $F$11)</f>
        <v>27.794799999999999</v>
      </c>
      <c r="G819" s="8">
        <f>26.5118 * CHOOSE( CONTROL!$C$15, $D$11, 100%, $F$11)</f>
        <v>26.511800000000001</v>
      </c>
      <c r="H819" s="4">
        <f>27.382 * CHOOSE(CONTROL!$C$15, $D$11, 100%, $F$11)</f>
        <v>27.382000000000001</v>
      </c>
      <c r="I819" s="8">
        <f>26.2077 * CHOOSE(CONTROL!$C$15, $D$11, 100%, $F$11)</f>
        <v>26.207699999999999</v>
      </c>
      <c r="J819" s="4">
        <f>26.0341 * CHOOSE(CONTROL!$C$15, $D$11, 100%, $F$11)</f>
        <v>26.034099999999999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27.095 * CHOOSE(CONTROL!$C$15, $D$11, 100%, $F$11)</f>
        <v>27.094999999999999</v>
      </c>
      <c r="C820" s="8">
        <f>27.1002 * CHOOSE(CONTROL!$C$15, $D$11, 100%, $F$11)</f>
        <v>27.100200000000001</v>
      </c>
      <c r="D820" s="8">
        <f>27.0945 * CHOOSE( CONTROL!$C$15, $D$11, 100%, $F$11)</f>
        <v>27.0945</v>
      </c>
      <c r="E820" s="12">
        <f>27.096 * CHOOSE( CONTROL!$C$15, $D$11, 100%, $F$11)</f>
        <v>27.096</v>
      </c>
      <c r="F820" s="4">
        <f>27.7455 * CHOOSE(CONTROL!$C$15, $D$11, 100%, $F$11)</f>
        <v>27.7455</v>
      </c>
      <c r="G820" s="8">
        <f>26.4647 * CHOOSE( CONTROL!$C$15, $D$11, 100%, $F$11)</f>
        <v>26.464700000000001</v>
      </c>
      <c r="H820" s="4">
        <f>27.3339 * CHOOSE(CONTROL!$C$15, $D$11, 100%, $F$11)</f>
        <v>27.3339</v>
      </c>
      <c r="I820" s="8">
        <f>26.1649 * CHOOSE(CONTROL!$C$15, $D$11, 100%, $F$11)</f>
        <v>26.164899999999999</v>
      </c>
      <c r="J820" s="4">
        <f>25.9867 * CHOOSE(CONTROL!$C$15, $D$11, 100%, $F$11)</f>
        <v>25.986699999999999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27.8934 * CHOOSE(CONTROL!$C$15, $D$11, 100%, $F$11)</f>
        <v>27.8934</v>
      </c>
      <c r="C821" s="8">
        <f>27.8986 * CHOOSE(CONTROL!$C$15, $D$11, 100%, $F$11)</f>
        <v>27.898599999999998</v>
      </c>
      <c r="D821" s="8">
        <f>27.8787 * CHOOSE( CONTROL!$C$15, $D$11, 100%, $F$11)</f>
        <v>27.878699999999998</v>
      </c>
      <c r="E821" s="12">
        <f>27.8854 * CHOOSE( CONTROL!$C$15, $D$11, 100%, $F$11)</f>
        <v>27.885400000000001</v>
      </c>
      <c r="F821" s="4">
        <f>28.5439 * CHOOSE(CONTROL!$C$15, $D$11, 100%, $F$11)</f>
        <v>28.543900000000001</v>
      </c>
      <c r="G821" s="8">
        <f>27.2276 * CHOOSE( CONTROL!$C$15, $D$11, 100%, $F$11)</f>
        <v>27.227599999999999</v>
      </c>
      <c r="H821" s="4">
        <f>28.1137 * CHOOSE(CONTROL!$C$15, $D$11, 100%, $F$11)</f>
        <v>28.113700000000001</v>
      </c>
      <c r="I821" s="8">
        <f>26.8883 * CHOOSE(CONTROL!$C$15, $D$11, 100%, $F$11)</f>
        <v>26.888300000000001</v>
      </c>
      <c r="J821" s="4">
        <f>26.7533 * CHOOSE(CONTROL!$C$15, $D$11, 100%, $F$11)</f>
        <v>26.753299999999999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26.092 * CHOOSE(CONTROL!$C$15, $D$11, 100%, $F$11)</f>
        <v>26.091999999999999</v>
      </c>
      <c r="C822" s="8">
        <f>26.0971 * CHOOSE(CONTROL!$C$15, $D$11, 100%, $F$11)</f>
        <v>26.097100000000001</v>
      </c>
      <c r="D822" s="8">
        <f>26.0772 * CHOOSE( CONTROL!$C$15, $D$11, 100%, $F$11)</f>
        <v>26.077200000000001</v>
      </c>
      <c r="E822" s="12">
        <f>26.0839 * CHOOSE( CONTROL!$C$15, $D$11, 100%, $F$11)</f>
        <v>26.0839</v>
      </c>
      <c r="F822" s="4">
        <f>26.7424 * CHOOSE(CONTROL!$C$15, $D$11, 100%, $F$11)</f>
        <v>26.7424</v>
      </c>
      <c r="G822" s="8">
        <f>25.4681 * CHOOSE( CONTROL!$C$15, $D$11, 100%, $F$11)</f>
        <v>25.4681</v>
      </c>
      <c r="H822" s="4">
        <f>26.3542 * CHOOSE(CONTROL!$C$15, $D$11, 100%, $F$11)</f>
        <v>26.354199999999999</v>
      </c>
      <c r="I822" s="8">
        <f>25.1578 * CHOOSE(CONTROL!$C$15, $D$11, 100%, $F$11)</f>
        <v>25.157800000000002</v>
      </c>
      <c r="J822" s="4">
        <f>25.0237 * CHOOSE(CONTROL!$C$15, $D$11, 100%, $F$11)</f>
        <v>25.023700000000002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25.5371 * CHOOSE(CONTROL!$C$15, $D$11, 100%, $F$11)</f>
        <v>25.537099999999999</v>
      </c>
      <c r="C823" s="8">
        <f>25.5423 * CHOOSE(CONTROL!$C$15, $D$11, 100%, $F$11)</f>
        <v>25.542300000000001</v>
      </c>
      <c r="D823" s="8">
        <f>25.522 * CHOOSE( CONTROL!$C$15, $D$11, 100%, $F$11)</f>
        <v>25.521999999999998</v>
      </c>
      <c r="E823" s="12">
        <f>25.5289 * CHOOSE( CONTROL!$C$15, $D$11, 100%, $F$11)</f>
        <v>25.5289</v>
      </c>
      <c r="F823" s="4">
        <f>26.1876 * CHOOSE(CONTROL!$C$15, $D$11, 100%, $F$11)</f>
        <v>26.1876</v>
      </c>
      <c r="G823" s="8">
        <f>24.9259 * CHOOSE( CONTROL!$C$15, $D$11, 100%, $F$11)</f>
        <v>24.925899999999999</v>
      </c>
      <c r="H823" s="4">
        <f>25.8123 * CHOOSE(CONTROL!$C$15, $D$11, 100%, $F$11)</f>
        <v>25.8123</v>
      </c>
      <c r="I823" s="8">
        <f>24.6237 * CHOOSE(CONTROL!$C$15, $D$11, 100%, $F$11)</f>
        <v>24.623699999999999</v>
      </c>
      <c r="J823" s="4">
        <f>24.491 * CHOOSE(CONTROL!$C$15, $D$11, 100%, $F$11)</f>
        <v>24.491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25.9256 * CHOOSE(CONTROL!$C$15, $D$11, 100%, $F$11)</f>
        <v>25.925599999999999</v>
      </c>
      <c r="C824" s="8">
        <f>25.9302 * CHOOSE(CONTROL!$C$15, $D$11, 100%, $F$11)</f>
        <v>25.930199999999999</v>
      </c>
      <c r="D824" s="8">
        <f>25.9611 * CHOOSE( CONTROL!$C$15, $D$11, 100%, $F$11)</f>
        <v>25.961099999999998</v>
      </c>
      <c r="E824" s="12">
        <f>25.9504 * CHOOSE( CONTROL!$C$15, $D$11, 100%, $F$11)</f>
        <v>25.950399999999998</v>
      </c>
      <c r="F824" s="4">
        <f>26.6404 * CHOOSE(CONTROL!$C$15, $D$11, 100%, $F$11)</f>
        <v>26.6404</v>
      </c>
      <c r="G824" s="8">
        <f>25.3066 * CHOOSE( CONTROL!$C$15, $D$11, 100%, $F$11)</f>
        <v>25.3066</v>
      </c>
      <c r="H824" s="4">
        <f>26.2545 * CHOOSE(CONTROL!$C$15, $D$11, 100%, $F$11)</f>
        <v>26.2545</v>
      </c>
      <c r="I824" s="8">
        <f>24.9895 * CHOOSE(CONTROL!$C$15, $D$11, 100%, $F$11)</f>
        <v>24.9895</v>
      </c>
      <c r="J824" s="4">
        <f>24.8632 * CHOOSE(CONTROL!$C$15, $D$11, 100%, $F$11)</f>
        <v>24.863199999999999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26.6204, 26.617) * CHOOSE(CONTROL!$C$15, $D$11, 100%, $F$11)</f>
        <v>26.6204</v>
      </c>
      <c r="C825" s="8">
        <f>CHOOSE( CONTROL!$C$32, 26.6285, 26.6251) * CHOOSE(CONTROL!$C$15, $D$11, 100%, $F$11)</f>
        <v>26.628499999999999</v>
      </c>
      <c r="D825" s="8">
        <f>CHOOSE( CONTROL!$C$32, 26.6541, 26.6507) * CHOOSE( CONTROL!$C$15, $D$11, 100%, $F$11)</f>
        <v>26.6541</v>
      </c>
      <c r="E825" s="12">
        <f>CHOOSE( CONTROL!$C$32, 26.6436, 26.6402) * CHOOSE( CONTROL!$C$15, $D$11, 100%, $F$11)</f>
        <v>26.643599999999999</v>
      </c>
      <c r="F825" s="4">
        <f>CHOOSE( CONTROL!$C$32, 27.3338, 27.3304) * CHOOSE(CONTROL!$C$15, $D$11, 100%, $F$11)</f>
        <v>27.3338</v>
      </c>
      <c r="G825" s="8">
        <f>CHOOSE( CONTROL!$C$32, 25.9847, 25.9813) * CHOOSE( CONTROL!$C$15, $D$11, 100%, $F$11)</f>
        <v>25.9847</v>
      </c>
      <c r="H825" s="4">
        <f>CHOOSE( CONTROL!$C$32, 26.9318, 26.9285) * CHOOSE(CONTROL!$C$15, $D$11, 100%, $F$11)</f>
        <v>26.931799999999999</v>
      </c>
      <c r="I825" s="8">
        <f>CHOOSE( CONTROL!$C$32, 25.6557, 25.6525) * CHOOSE(CONTROL!$C$15, $D$11, 100%, $F$11)</f>
        <v>25.6557</v>
      </c>
      <c r="J825" s="4">
        <f>CHOOSE( CONTROL!$C$32, 25.529, 25.5257) * CHOOSE(CONTROL!$C$15, $D$11, 100%, $F$11)</f>
        <v>25.529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26.1929, 26.1895) * CHOOSE(CONTROL!$C$15, $D$11, 100%, $F$11)</f>
        <v>26.192900000000002</v>
      </c>
      <c r="C826" s="8">
        <f>CHOOSE( CONTROL!$C$32, 26.201, 26.1976) * CHOOSE(CONTROL!$C$15, $D$11, 100%, $F$11)</f>
        <v>26.201000000000001</v>
      </c>
      <c r="D826" s="8">
        <f>CHOOSE( CONTROL!$C$32, 26.2268, 26.2234) * CHOOSE( CONTROL!$C$15, $D$11, 100%, $F$11)</f>
        <v>26.226800000000001</v>
      </c>
      <c r="E826" s="12">
        <f>CHOOSE( CONTROL!$C$32, 26.2162, 26.2128) * CHOOSE( CONTROL!$C$15, $D$11, 100%, $F$11)</f>
        <v>26.216200000000001</v>
      </c>
      <c r="F826" s="4">
        <f>CHOOSE( CONTROL!$C$32, 26.9064, 26.903) * CHOOSE(CONTROL!$C$15, $D$11, 100%, $F$11)</f>
        <v>26.906400000000001</v>
      </c>
      <c r="G826" s="8">
        <f>CHOOSE( CONTROL!$C$32, 25.5675, 25.5641) * CHOOSE( CONTROL!$C$15, $D$11, 100%, $F$11)</f>
        <v>25.567499999999999</v>
      </c>
      <c r="H826" s="4">
        <f>CHOOSE( CONTROL!$C$32, 26.5143, 26.511) * CHOOSE(CONTROL!$C$15, $D$11, 100%, $F$11)</f>
        <v>26.514299999999999</v>
      </c>
      <c r="I826" s="8">
        <f>CHOOSE( CONTROL!$C$32, 25.2461, 25.2428) * CHOOSE(CONTROL!$C$15, $D$11, 100%, $F$11)</f>
        <v>25.246099999999998</v>
      </c>
      <c r="J826" s="4">
        <f>CHOOSE( CONTROL!$C$32, 25.1186, 25.1154) * CHOOSE(CONTROL!$C$15, $D$11, 100%, $F$11)</f>
        <v>25.118600000000001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27.3186, 27.3152) * CHOOSE(CONTROL!$C$15, $D$11, 100%, $F$11)</f>
        <v>27.3186</v>
      </c>
      <c r="C827" s="8">
        <f>CHOOSE( CONTROL!$C$32, 27.3267, 27.3233) * CHOOSE(CONTROL!$C$15, $D$11, 100%, $F$11)</f>
        <v>27.326699999999999</v>
      </c>
      <c r="D827" s="8">
        <f>CHOOSE( CONTROL!$C$32, 27.3527, 27.3493) * CHOOSE( CONTROL!$C$15, $D$11, 100%, $F$11)</f>
        <v>27.352699999999999</v>
      </c>
      <c r="E827" s="12">
        <f>CHOOSE( CONTROL!$C$32, 27.342, 27.3386) * CHOOSE( CONTROL!$C$15, $D$11, 100%, $F$11)</f>
        <v>27.341999999999999</v>
      </c>
      <c r="F827" s="4">
        <f>CHOOSE( CONTROL!$C$32, 28.032, 28.0286) * CHOOSE(CONTROL!$C$15, $D$11, 100%, $F$11)</f>
        <v>28.032</v>
      </c>
      <c r="G827" s="8">
        <f>CHOOSE( CONTROL!$C$32, 26.6672, 26.6639) * CHOOSE( CONTROL!$C$15, $D$11, 100%, $F$11)</f>
        <v>26.667200000000001</v>
      </c>
      <c r="H827" s="4">
        <f>CHOOSE( CONTROL!$C$32, 27.6137, 27.6104) * CHOOSE(CONTROL!$C$15, $D$11, 100%, $F$11)</f>
        <v>27.613700000000001</v>
      </c>
      <c r="I827" s="8">
        <f>CHOOSE( CONTROL!$C$32, 26.3284, 26.3252) * CHOOSE(CONTROL!$C$15, $D$11, 100%, $F$11)</f>
        <v>26.328399999999998</v>
      </c>
      <c r="J827" s="4">
        <f>CHOOSE( CONTROL!$C$32, 26.1993, 26.1961) * CHOOSE(CONTROL!$C$15, $D$11, 100%, $F$11)</f>
        <v>26.199300000000001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25.2124, 25.209) * CHOOSE(CONTROL!$C$15, $D$11, 100%, $F$11)</f>
        <v>25.212399999999999</v>
      </c>
      <c r="C828" s="8">
        <f>CHOOSE( CONTROL!$C$32, 25.2205, 25.2171) * CHOOSE(CONTROL!$C$15, $D$11, 100%, $F$11)</f>
        <v>25.220500000000001</v>
      </c>
      <c r="D828" s="8">
        <f>CHOOSE( CONTROL!$C$32, 25.2466, 25.2432) * CHOOSE( CONTROL!$C$15, $D$11, 100%, $F$11)</f>
        <v>25.246600000000001</v>
      </c>
      <c r="E828" s="12">
        <f>CHOOSE( CONTROL!$C$32, 25.2359, 25.2325) * CHOOSE( CONTROL!$C$15, $D$11, 100%, $F$11)</f>
        <v>25.235900000000001</v>
      </c>
      <c r="F828" s="4">
        <f>CHOOSE( CONTROL!$C$32, 25.9258, 25.9224) * CHOOSE(CONTROL!$C$15, $D$11, 100%, $F$11)</f>
        <v>25.925799999999999</v>
      </c>
      <c r="G828" s="8">
        <f>CHOOSE( CONTROL!$C$32, 24.6102, 24.6069) * CHOOSE( CONTROL!$C$15, $D$11, 100%, $F$11)</f>
        <v>24.610199999999999</v>
      </c>
      <c r="H828" s="4">
        <f>CHOOSE( CONTROL!$C$32, 25.5566, 25.5533) * CHOOSE(CONTROL!$C$15, $D$11, 100%, $F$11)</f>
        <v>25.5566</v>
      </c>
      <c r="I828" s="8">
        <f>CHOOSE( CONTROL!$C$32, 24.3057, 24.3024) * CHOOSE(CONTROL!$C$15, $D$11, 100%, $F$11)</f>
        <v>24.305700000000002</v>
      </c>
      <c r="J828" s="4">
        <f>CHOOSE( CONTROL!$C$32, 24.1772, 24.1739) * CHOOSE(CONTROL!$C$15, $D$11, 100%, $F$11)</f>
        <v>24.177199999999999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24.685, 24.6816) * CHOOSE(CONTROL!$C$15, $D$11, 100%, $F$11)</f>
        <v>24.684999999999999</v>
      </c>
      <c r="C829" s="8">
        <f>CHOOSE( CONTROL!$C$32, 24.6931, 24.6897) * CHOOSE(CONTROL!$C$15, $D$11, 100%, $F$11)</f>
        <v>24.693100000000001</v>
      </c>
      <c r="D829" s="8">
        <f>CHOOSE( CONTROL!$C$32, 24.7192, 24.7158) * CHOOSE( CONTROL!$C$15, $D$11, 100%, $F$11)</f>
        <v>24.719200000000001</v>
      </c>
      <c r="E829" s="12">
        <f>CHOOSE( CONTROL!$C$32, 24.7085, 24.7051) * CHOOSE( CONTROL!$C$15, $D$11, 100%, $F$11)</f>
        <v>24.708500000000001</v>
      </c>
      <c r="F829" s="4">
        <f>CHOOSE( CONTROL!$C$32, 25.3984, 25.395) * CHOOSE(CONTROL!$C$15, $D$11, 100%, $F$11)</f>
        <v>25.398399999999999</v>
      </c>
      <c r="G829" s="8">
        <f>CHOOSE( CONTROL!$C$32, 24.0951, 24.0917) * CHOOSE( CONTROL!$C$15, $D$11, 100%, $F$11)</f>
        <v>24.095099999999999</v>
      </c>
      <c r="H829" s="4">
        <f>CHOOSE( CONTROL!$C$32, 25.0415, 25.0382) * CHOOSE(CONTROL!$C$15, $D$11, 100%, $F$11)</f>
        <v>25.041499999999999</v>
      </c>
      <c r="I829" s="8">
        <f>CHOOSE( CONTROL!$C$32, 23.7989, 23.7957) * CHOOSE(CONTROL!$C$15, $D$11, 100%, $F$11)</f>
        <v>23.7989</v>
      </c>
      <c r="J829" s="4">
        <f>CHOOSE( CONTROL!$C$32, 23.6708, 23.6676) * CHOOSE(CONTROL!$C$15, $D$11, 100%, $F$11)</f>
        <v>23.6708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25.7749 * CHOOSE(CONTROL!$C$15, $D$11, 100%, $F$11)</f>
        <v>25.774899999999999</v>
      </c>
      <c r="C830" s="8">
        <f>25.7804 * CHOOSE(CONTROL!$C$15, $D$11, 100%, $F$11)</f>
        <v>25.7804</v>
      </c>
      <c r="D830" s="8">
        <f>25.8115 * CHOOSE( CONTROL!$C$15, $D$11, 100%, $F$11)</f>
        <v>25.811499999999999</v>
      </c>
      <c r="E830" s="12">
        <f>25.8006 * CHOOSE( CONTROL!$C$15, $D$11, 100%, $F$11)</f>
        <v>25.800599999999999</v>
      </c>
      <c r="F830" s="4">
        <f>26.4901 * CHOOSE(CONTROL!$C$15, $D$11, 100%, $F$11)</f>
        <v>26.490100000000002</v>
      </c>
      <c r="G830" s="8">
        <f>25.1609 * CHOOSE( CONTROL!$C$15, $D$11, 100%, $F$11)</f>
        <v>25.160900000000002</v>
      </c>
      <c r="H830" s="4">
        <f>26.1077 * CHOOSE(CONTROL!$C$15, $D$11, 100%, $F$11)</f>
        <v>26.107700000000001</v>
      </c>
      <c r="I830" s="8">
        <f>24.8484 * CHOOSE(CONTROL!$C$15, $D$11, 100%, $F$11)</f>
        <v>24.848400000000002</v>
      </c>
      <c r="J830" s="4">
        <f>24.719 * CHOOSE(CONTROL!$C$15, $D$11, 100%, $F$11)</f>
        <v>24.719000000000001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27.7959 * CHOOSE(CONTROL!$C$15, $D$11, 100%, $F$11)</f>
        <v>27.7959</v>
      </c>
      <c r="C831" s="8">
        <f>27.801 * CHOOSE(CONTROL!$C$15, $D$11, 100%, $F$11)</f>
        <v>27.800999999999998</v>
      </c>
      <c r="D831" s="8">
        <f>27.7939 * CHOOSE( CONTROL!$C$15, $D$11, 100%, $F$11)</f>
        <v>27.793900000000001</v>
      </c>
      <c r="E831" s="12">
        <f>27.796 * CHOOSE( CONTROL!$C$15, $D$11, 100%, $F$11)</f>
        <v>27.795999999999999</v>
      </c>
      <c r="F831" s="4">
        <f>28.4463 * CHOOSE(CONTROL!$C$15, $D$11, 100%, $F$11)</f>
        <v>28.446300000000001</v>
      </c>
      <c r="G831" s="8">
        <f>27.1481 * CHOOSE( CONTROL!$C$15, $D$11, 100%, $F$11)</f>
        <v>27.148099999999999</v>
      </c>
      <c r="H831" s="4">
        <f>28.0184 * CHOOSE(CONTROL!$C$15, $D$11, 100%, $F$11)</f>
        <v>28.0184</v>
      </c>
      <c r="I831" s="8">
        <f>26.8335 * CHOOSE(CONTROL!$C$15, $D$11, 100%, $F$11)</f>
        <v>26.833500000000001</v>
      </c>
      <c r="J831" s="4">
        <f>26.6596 * CHOOSE(CONTROL!$C$15, $D$11, 100%, $F$11)</f>
        <v>26.659600000000001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27.7453 * CHOOSE(CONTROL!$C$15, $D$11, 100%, $F$11)</f>
        <v>27.7453</v>
      </c>
      <c r="C832" s="8">
        <f>27.7505 * CHOOSE(CONTROL!$C$15, $D$11, 100%, $F$11)</f>
        <v>27.750499999999999</v>
      </c>
      <c r="D832" s="8">
        <f>27.7448 * CHOOSE( CONTROL!$C$15, $D$11, 100%, $F$11)</f>
        <v>27.744800000000001</v>
      </c>
      <c r="E832" s="12">
        <f>27.7463 * CHOOSE( CONTROL!$C$15, $D$11, 100%, $F$11)</f>
        <v>27.746300000000002</v>
      </c>
      <c r="F832" s="4">
        <f>28.3958 * CHOOSE(CONTROL!$C$15, $D$11, 100%, $F$11)</f>
        <v>28.395800000000001</v>
      </c>
      <c r="G832" s="8">
        <f>27.0998 * CHOOSE( CONTROL!$C$15, $D$11, 100%, $F$11)</f>
        <v>27.099799999999998</v>
      </c>
      <c r="H832" s="4">
        <f>27.9691 * CHOOSE(CONTROL!$C$15, $D$11, 100%, $F$11)</f>
        <v>27.969100000000001</v>
      </c>
      <c r="I832" s="8">
        <f>26.7896 * CHOOSE(CONTROL!$C$15, $D$11, 100%, $F$11)</f>
        <v>26.7896</v>
      </c>
      <c r="J832" s="4">
        <f>26.6111 * CHOOSE(CONTROL!$C$15, $D$11, 100%, $F$11)</f>
        <v>26.6111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28.5629 * CHOOSE(CONTROL!$C$15, $D$11, 100%, $F$11)</f>
        <v>28.562899999999999</v>
      </c>
      <c r="C833" s="8">
        <f>28.5681 * CHOOSE(CONTROL!$C$15, $D$11, 100%, $F$11)</f>
        <v>28.568100000000001</v>
      </c>
      <c r="D833" s="8">
        <f>28.5482 * CHOOSE( CONTROL!$C$15, $D$11, 100%, $F$11)</f>
        <v>28.548200000000001</v>
      </c>
      <c r="E833" s="12">
        <f>28.5549 * CHOOSE( CONTROL!$C$15, $D$11, 100%, $F$11)</f>
        <v>28.5549</v>
      </c>
      <c r="F833" s="4">
        <f>29.2134 * CHOOSE(CONTROL!$C$15, $D$11, 100%, $F$11)</f>
        <v>29.2134</v>
      </c>
      <c r="G833" s="8">
        <f>27.8815 * CHOOSE( CONTROL!$C$15, $D$11, 100%, $F$11)</f>
        <v>27.881499999999999</v>
      </c>
      <c r="H833" s="4">
        <f>28.7676 * CHOOSE(CONTROL!$C$15, $D$11, 100%, $F$11)</f>
        <v>28.767600000000002</v>
      </c>
      <c r="I833" s="8">
        <f>27.5314 * CHOOSE(CONTROL!$C$15, $D$11, 100%, $F$11)</f>
        <v>27.531400000000001</v>
      </c>
      <c r="J833" s="4">
        <f>27.3961 * CHOOSE(CONTROL!$C$15, $D$11, 100%, $F$11)</f>
        <v>27.396100000000001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26.7182 * CHOOSE(CONTROL!$C$15, $D$11, 100%, $F$11)</f>
        <v>26.7182</v>
      </c>
      <c r="C834" s="8">
        <f>26.7234 * CHOOSE(CONTROL!$C$15, $D$11, 100%, $F$11)</f>
        <v>26.723400000000002</v>
      </c>
      <c r="D834" s="8">
        <f>26.7035 * CHOOSE( CONTROL!$C$15, $D$11, 100%, $F$11)</f>
        <v>26.703499999999998</v>
      </c>
      <c r="E834" s="12">
        <f>26.7102 * CHOOSE( CONTROL!$C$15, $D$11, 100%, $F$11)</f>
        <v>26.7102</v>
      </c>
      <c r="F834" s="4">
        <f>27.3687 * CHOOSE(CONTROL!$C$15, $D$11, 100%, $F$11)</f>
        <v>27.3687</v>
      </c>
      <c r="G834" s="8">
        <f>26.0798 * CHOOSE( CONTROL!$C$15, $D$11, 100%, $F$11)</f>
        <v>26.079799999999999</v>
      </c>
      <c r="H834" s="4">
        <f>26.9658 * CHOOSE(CONTROL!$C$15, $D$11, 100%, $F$11)</f>
        <v>26.965800000000002</v>
      </c>
      <c r="I834" s="8">
        <f>25.7594 * CHOOSE(CONTROL!$C$15, $D$11, 100%, $F$11)</f>
        <v>25.759399999999999</v>
      </c>
      <c r="J834" s="4">
        <f>25.625 * CHOOSE(CONTROL!$C$15, $D$11, 100%, $F$11)</f>
        <v>25.625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26.15 * CHOOSE(CONTROL!$C$15, $D$11, 100%, $F$11)</f>
        <v>26.15</v>
      </c>
      <c r="C835" s="8">
        <f>26.1552 * CHOOSE(CONTROL!$C$15, $D$11, 100%, $F$11)</f>
        <v>26.155200000000001</v>
      </c>
      <c r="D835" s="8">
        <f>26.1349 * CHOOSE( CONTROL!$C$15, $D$11, 100%, $F$11)</f>
        <v>26.134899999999998</v>
      </c>
      <c r="E835" s="12">
        <f>26.1418 * CHOOSE( CONTROL!$C$15, $D$11, 100%, $F$11)</f>
        <v>26.1418</v>
      </c>
      <c r="F835" s="4">
        <f>26.8005 * CHOOSE(CONTROL!$C$15, $D$11, 100%, $F$11)</f>
        <v>26.8005</v>
      </c>
      <c r="G835" s="8">
        <f>25.5246 * CHOOSE( CONTROL!$C$15, $D$11, 100%, $F$11)</f>
        <v>25.5246</v>
      </c>
      <c r="H835" s="4">
        <f>26.4109 * CHOOSE(CONTROL!$C$15, $D$11, 100%, $F$11)</f>
        <v>26.410900000000002</v>
      </c>
      <c r="I835" s="8">
        <f>25.2124 * CHOOSE(CONTROL!$C$15, $D$11, 100%, $F$11)</f>
        <v>25.212399999999999</v>
      </c>
      <c r="J835" s="4">
        <f>25.0795 * CHOOSE(CONTROL!$C$15, $D$11, 100%, $F$11)</f>
        <v>25.079499999999999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26.5478 * CHOOSE(CONTROL!$C$15, $D$11, 100%, $F$11)</f>
        <v>26.547799999999999</v>
      </c>
      <c r="C836" s="8">
        <f>26.5524 * CHOOSE(CONTROL!$C$15, $D$11, 100%, $F$11)</f>
        <v>26.552399999999999</v>
      </c>
      <c r="D836" s="8">
        <f>26.5833 * CHOOSE( CONTROL!$C$15, $D$11, 100%, $F$11)</f>
        <v>26.583300000000001</v>
      </c>
      <c r="E836" s="12">
        <f>26.5726 * CHOOSE( CONTROL!$C$15, $D$11, 100%, $F$11)</f>
        <v>26.572600000000001</v>
      </c>
      <c r="F836" s="4">
        <f>27.2626 * CHOOSE(CONTROL!$C$15, $D$11, 100%, $F$11)</f>
        <v>27.262599999999999</v>
      </c>
      <c r="G836" s="8">
        <f>25.9144 * CHOOSE( CONTROL!$C$15, $D$11, 100%, $F$11)</f>
        <v>25.914400000000001</v>
      </c>
      <c r="H836" s="4">
        <f>26.8623 * CHOOSE(CONTROL!$C$15, $D$11, 100%, $F$11)</f>
        <v>26.862300000000001</v>
      </c>
      <c r="I836" s="8">
        <f>25.5872 * CHOOSE(CONTROL!$C$15, $D$11, 100%, $F$11)</f>
        <v>25.587199999999999</v>
      </c>
      <c r="J836" s="4">
        <f>25.4606 * CHOOSE(CONTROL!$C$15, $D$11, 100%, $F$11)</f>
        <v>25.460599999999999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27.2592, 27.2558) * CHOOSE(CONTROL!$C$15, $D$11, 100%, $F$11)</f>
        <v>27.2592</v>
      </c>
      <c r="C837" s="8">
        <f>CHOOSE( CONTROL!$C$32, 27.2673, 27.2639) * CHOOSE(CONTROL!$C$15, $D$11, 100%, $F$11)</f>
        <v>27.267299999999999</v>
      </c>
      <c r="D837" s="8">
        <f>CHOOSE( CONTROL!$C$32, 27.2929, 27.2895) * CHOOSE( CONTROL!$C$15, $D$11, 100%, $F$11)</f>
        <v>27.292899999999999</v>
      </c>
      <c r="E837" s="12">
        <f>CHOOSE( CONTROL!$C$32, 27.2824, 27.279) * CHOOSE( CONTROL!$C$15, $D$11, 100%, $F$11)</f>
        <v>27.282399999999999</v>
      </c>
      <c r="F837" s="4">
        <f>CHOOSE( CONTROL!$C$32, 27.9726, 27.9692) * CHOOSE(CONTROL!$C$15, $D$11, 100%, $F$11)</f>
        <v>27.9726</v>
      </c>
      <c r="G837" s="8">
        <f>CHOOSE( CONTROL!$C$32, 26.6086, 26.6053) * CHOOSE( CONTROL!$C$15, $D$11, 100%, $F$11)</f>
        <v>26.608599999999999</v>
      </c>
      <c r="H837" s="4">
        <f>CHOOSE( CONTROL!$C$32, 27.5557, 27.5524) * CHOOSE(CONTROL!$C$15, $D$11, 100%, $F$11)</f>
        <v>27.555700000000002</v>
      </c>
      <c r="I837" s="8">
        <f>CHOOSE( CONTROL!$C$32, 26.2693, 26.2661) * CHOOSE(CONTROL!$C$15, $D$11, 100%, $F$11)</f>
        <v>26.269300000000001</v>
      </c>
      <c r="J837" s="4">
        <f>CHOOSE( CONTROL!$C$32, 26.1423, 26.1391) * CHOOSE(CONTROL!$C$15, $D$11, 100%, $F$11)</f>
        <v>26.142299999999999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26.8215, 26.8181) * CHOOSE(CONTROL!$C$15, $D$11, 100%, $F$11)</f>
        <v>26.8215</v>
      </c>
      <c r="C838" s="8">
        <f>CHOOSE( CONTROL!$C$32, 26.8296, 26.8262) * CHOOSE(CONTROL!$C$15, $D$11, 100%, $F$11)</f>
        <v>26.829599999999999</v>
      </c>
      <c r="D838" s="8">
        <f>CHOOSE( CONTROL!$C$32, 26.8554, 26.852) * CHOOSE( CONTROL!$C$15, $D$11, 100%, $F$11)</f>
        <v>26.855399999999999</v>
      </c>
      <c r="E838" s="12">
        <f>CHOOSE( CONTROL!$C$32, 26.8448, 26.8414) * CHOOSE( CONTROL!$C$15, $D$11, 100%, $F$11)</f>
        <v>26.844799999999999</v>
      </c>
      <c r="F838" s="4">
        <f>CHOOSE( CONTROL!$C$32, 27.5349, 27.5315) * CHOOSE(CONTROL!$C$15, $D$11, 100%, $F$11)</f>
        <v>27.5349</v>
      </c>
      <c r="G838" s="8">
        <f>CHOOSE( CONTROL!$C$32, 26.1814, 26.178) * CHOOSE( CONTROL!$C$15, $D$11, 100%, $F$11)</f>
        <v>26.1814</v>
      </c>
      <c r="H838" s="4">
        <f>CHOOSE( CONTROL!$C$32, 27.1282, 27.1249) * CHOOSE(CONTROL!$C$15, $D$11, 100%, $F$11)</f>
        <v>27.1282</v>
      </c>
      <c r="I838" s="8">
        <f>CHOOSE( CONTROL!$C$32, 25.8498, 25.8466) * CHOOSE(CONTROL!$C$15, $D$11, 100%, $F$11)</f>
        <v>25.849799999999998</v>
      </c>
      <c r="J838" s="4">
        <f>CHOOSE( CONTROL!$C$32, 25.7221, 25.7188) * CHOOSE(CONTROL!$C$15, $D$11, 100%, $F$11)</f>
        <v>25.722100000000001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27.9742, 27.9708) * CHOOSE(CONTROL!$C$15, $D$11, 100%, $F$11)</f>
        <v>27.9742</v>
      </c>
      <c r="C839" s="8">
        <f>CHOOSE( CONTROL!$C$32, 27.9822, 27.9788) * CHOOSE(CONTROL!$C$15, $D$11, 100%, $F$11)</f>
        <v>27.982199999999999</v>
      </c>
      <c r="D839" s="8">
        <f>CHOOSE( CONTROL!$C$32, 28.0083, 28.0049) * CHOOSE( CONTROL!$C$15, $D$11, 100%, $F$11)</f>
        <v>28.008299999999998</v>
      </c>
      <c r="E839" s="12">
        <f>CHOOSE( CONTROL!$C$32, 27.9976, 27.9942) * CHOOSE( CONTROL!$C$15, $D$11, 100%, $F$11)</f>
        <v>27.997599999999998</v>
      </c>
      <c r="F839" s="4">
        <f>CHOOSE( CONTROL!$C$32, 28.6876, 28.6842) * CHOOSE(CONTROL!$C$15, $D$11, 100%, $F$11)</f>
        <v>28.6876</v>
      </c>
      <c r="G839" s="8">
        <f>CHOOSE( CONTROL!$C$32, 27.3075, 27.3042) * CHOOSE( CONTROL!$C$15, $D$11, 100%, $F$11)</f>
        <v>27.307500000000001</v>
      </c>
      <c r="H839" s="4">
        <f>CHOOSE( CONTROL!$C$32, 28.254, 28.2507) * CHOOSE(CONTROL!$C$15, $D$11, 100%, $F$11)</f>
        <v>28.254000000000001</v>
      </c>
      <c r="I839" s="8">
        <f>CHOOSE( CONTROL!$C$32, 26.9582, 26.9549) * CHOOSE(CONTROL!$C$15, $D$11, 100%, $F$11)</f>
        <v>26.958200000000001</v>
      </c>
      <c r="J839" s="4">
        <f>CHOOSE( CONTROL!$C$32, 26.8288, 26.8255) * CHOOSE(CONTROL!$C$15, $D$11, 100%, $F$11)</f>
        <v>26.828800000000001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25.8174, 25.814) * CHOOSE(CONTROL!$C$15, $D$11, 100%, $F$11)</f>
        <v>25.817399999999999</v>
      </c>
      <c r="C840" s="8">
        <f>CHOOSE( CONTROL!$C$32, 25.8255, 25.8221) * CHOOSE(CONTROL!$C$15, $D$11, 100%, $F$11)</f>
        <v>25.825500000000002</v>
      </c>
      <c r="D840" s="8">
        <f>CHOOSE( CONTROL!$C$32, 25.8516, 25.8482) * CHOOSE( CONTROL!$C$15, $D$11, 100%, $F$11)</f>
        <v>25.851600000000001</v>
      </c>
      <c r="E840" s="12">
        <f>CHOOSE( CONTROL!$C$32, 25.8409, 25.8375) * CHOOSE( CONTROL!$C$15, $D$11, 100%, $F$11)</f>
        <v>25.840900000000001</v>
      </c>
      <c r="F840" s="4">
        <f>CHOOSE( CONTROL!$C$32, 26.5308, 26.5274) * CHOOSE(CONTROL!$C$15, $D$11, 100%, $F$11)</f>
        <v>26.530799999999999</v>
      </c>
      <c r="G840" s="8">
        <f>CHOOSE( CONTROL!$C$32, 25.2011, 25.1978) * CHOOSE( CONTROL!$C$15, $D$11, 100%, $F$11)</f>
        <v>25.2011</v>
      </c>
      <c r="H840" s="4">
        <f>CHOOSE( CONTROL!$C$32, 26.1475, 26.1442) * CHOOSE(CONTROL!$C$15, $D$11, 100%, $F$11)</f>
        <v>26.147500000000001</v>
      </c>
      <c r="I840" s="8">
        <f>CHOOSE( CONTROL!$C$32, 24.8868, 24.8836) * CHOOSE(CONTROL!$C$15, $D$11, 100%, $F$11)</f>
        <v>24.886800000000001</v>
      </c>
      <c r="J840" s="4">
        <f>CHOOSE( CONTROL!$C$32, 24.758, 24.7548) * CHOOSE(CONTROL!$C$15, $D$11, 100%, $F$11)</f>
        <v>24.757999999999999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25.2773, 25.2739) * CHOOSE(CONTROL!$C$15, $D$11, 100%, $F$11)</f>
        <v>25.2773</v>
      </c>
      <c r="C841" s="8">
        <f>CHOOSE( CONTROL!$C$32, 25.2854, 25.282) * CHOOSE(CONTROL!$C$15, $D$11, 100%, $F$11)</f>
        <v>25.285399999999999</v>
      </c>
      <c r="D841" s="8">
        <f>CHOOSE( CONTROL!$C$32, 25.3115, 25.3081) * CHOOSE( CONTROL!$C$15, $D$11, 100%, $F$11)</f>
        <v>25.311499999999999</v>
      </c>
      <c r="E841" s="12">
        <f>CHOOSE( CONTROL!$C$32, 25.3008, 25.2974) * CHOOSE( CONTROL!$C$15, $D$11, 100%, $F$11)</f>
        <v>25.300799999999999</v>
      </c>
      <c r="F841" s="4">
        <f>CHOOSE( CONTROL!$C$32, 25.9907, 25.9873) * CHOOSE(CONTROL!$C$15, $D$11, 100%, $F$11)</f>
        <v>25.9907</v>
      </c>
      <c r="G841" s="8">
        <f>CHOOSE( CONTROL!$C$32, 24.6736, 24.6702) * CHOOSE( CONTROL!$C$15, $D$11, 100%, $F$11)</f>
        <v>24.6736</v>
      </c>
      <c r="H841" s="4">
        <f>CHOOSE( CONTROL!$C$32, 25.62, 25.6167) * CHOOSE(CONTROL!$C$15, $D$11, 100%, $F$11)</f>
        <v>25.62</v>
      </c>
      <c r="I841" s="8">
        <f>CHOOSE( CONTROL!$C$32, 24.3679, 24.3646) * CHOOSE(CONTROL!$C$15, $D$11, 100%, $F$11)</f>
        <v>24.367899999999999</v>
      </c>
      <c r="J841" s="4">
        <f>CHOOSE( CONTROL!$C$32, 24.2395, 24.2362) * CHOOSE(CONTROL!$C$15, $D$11, 100%, $F$11)</f>
        <v>24.2395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26.3936 * CHOOSE(CONTROL!$C$15, $D$11, 100%, $F$11)</f>
        <v>26.393599999999999</v>
      </c>
      <c r="C842" s="8">
        <f>26.399 * CHOOSE(CONTROL!$C$15, $D$11, 100%, $F$11)</f>
        <v>26.399000000000001</v>
      </c>
      <c r="D842" s="8">
        <f>26.4301 * CHOOSE( CONTROL!$C$15, $D$11, 100%, $F$11)</f>
        <v>26.430099999999999</v>
      </c>
      <c r="E842" s="12">
        <f>26.4193 * CHOOSE( CONTROL!$C$15, $D$11, 100%, $F$11)</f>
        <v>26.4193</v>
      </c>
      <c r="F842" s="4">
        <f>27.1087 * CHOOSE(CONTROL!$C$15, $D$11, 100%, $F$11)</f>
        <v>27.108699999999999</v>
      </c>
      <c r="G842" s="8">
        <f>25.7651 * CHOOSE( CONTROL!$C$15, $D$11, 100%, $F$11)</f>
        <v>25.7651</v>
      </c>
      <c r="H842" s="4">
        <f>26.712 * CHOOSE(CONTROL!$C$15, $D$11, 100%, $F$11)</f>
        <v>26.712</v>
      </c>
      <c r="I842" s="8">
        <f>25.4427 * CHOOSE(CONTROL!$C$15, $D$11, 100%, $F$11)</f>
        <v>25.442699999999999</v>
      </c>
      <c r="J842" s="4">
        <f>25.3129 * CHOOSE(CONTROL!$C$15, $D$11, 100%, $F$11)</f>
        <v>25.312899999999999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28.463 * CHOOSE(CONTROL!$C$15, $D$11, 100%, $F$11)</f>
        <v>28.463000000000001</v>
      </c>
      <c r="C843" s="8">
        <f>28.4682 * CHOOSE(CONTROL!$C$15, $D$11, 100%, $F$11)</f>
        <v>28.4682</v>
      </c>
      <c r="D843" s="8">
        <f>28.4611 * CHOOSE( CONTROL!$C$15, $D$11, 100%, $F$11)</f>
        <v>28.461099999999998</v>
      </c>
      <c r="E843" s="12">
        <f>28.4631 * CHOOSE( CONTROL!$C$15, $D$11, 100%, $F$11)</f>
        <v>28.463100000000001</v>
      </c>
      <c r="F843" s="4">
        <f>29.1135 * CHOOSE(CONTROL!$C$15, $D$11, 100%, $F$11)</f>
        <v>29.113499999999998</v>
      </c>
      <c r="G843" s="8">
        <f>27.7998 * CHOOSE( CONTROL!$C$15, $D$11, 100%, $F$11)</f>
        <v>27.799800000000001</v>
      </c>
      <c r="H843" s="4">
        <f>28.67 * CHOOSE(CONTROL!$C$15, $D$11, 100%, $F$11)</f>
        <v>28.67</v>
      </c>
      <c r="I843" s="8">
        <f>27.4744 * CHOOSE(CONTROL!$C$15, $D$11, 100%, $F$11)</f>
        <v>27.474399999999999</v>
      </c>
      <c r="J843" s="4">
        <f>27.3002 * CHOOSE(CONTROL!$C$15, $D$11, 100%, $F$11)</f>
        <v>27.3002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28.4113 * CHOOSE(CONTROL!$C$15, $D$11, 100%, $F$11)</f>
        <v>28.411300000000001</v>
      </c>
      <c r="C844" s="8">
        <f>28.4165 * CHOOSE(CONTROL!$C$15, $D$11, 100%, $F$11)</f>
        <v>28.416499999999999</v>
      </c>
      <c r="D844" s="8">
        <f>28.4108 * CHOOSE( CONTROL!$C$15, $D$11, 100%, $F$11)</f>
        <v>28.410799999999998</v>
      </c>
      <c r="E844" s="12">
        <f>28.4123 * CHOOSE( CONTROL!$C$15, $D$11, 100%, $F$11)</f>
        <v>28.412299999999998</v>
      </c>
      <c r="F844" s="4">
        <f>29.0618 * CHOOSE(CONTROL!$C$15, $D$11, 100%, $F$11)</f>
        <v>29.061800000000002</v>
      </c>
      <c r="G844" s="8">
        <f>27.7503 * CHOOSE( CONTROL!$C$15, $D$11, 100%, $F$11)</f>
        <v>27.750299999999999</v>
      </c>
      <c r="H844" s="4">
        <f>28.6195 * CHOOSE(CONTROL!$C$15, $D$11, 100%, $F$11)</f>
        <v>28.619499999999999</v>
      </c>
      <c r="I844" s="8">
        <f>27.4293 * CHOOSE(CONTROL!$C$15, $D$11, 100%, $F$11)</f>
        <v>27.429300000000001</v>
      </c>
      <c r="J844" s="4">
        <f>27.2505 * CHOOSE(CONTROL!$C$15, $D$11, 100%, $F$11)</f>
        <v>27.250499999999999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29.2485 * CHOOSE(CONTROL!$C$15, $D$11, 100%, $F$11)</f>
        <v>29.2485</v>
      </c>
      <c r="C845" s="8">
        <f>29.2537 * CHOOSE(CONTROL!$C$15, $D$11, 100%, $F$11)</f>
        <v>29.253699999999998</v>
      </c>
      <c r="D845" s="8">
        <f>29.2338 * CHOOSE( CONTROL!$C$15, $D$11, 100%, $F$11)</f>
        <v>29.233799999999999</v>
      </c>
      <c r="E845" s="12">
        <f>29.2405 * CHOOSE( CONTROL!$C$15, $D$11, 100%, $F$11)</f>
        <v>29.240500000000001</v>
      </c>
      <c r="F845" s="4">
        <f>29.899 * CHOOSE(CONTROL!$C$15, $D$11, 100%, $F$11)</f>
        <v>29.899000000000001</v>
      </c>
      <c r="G845" s="8">
        <f>28.5512 * CHOOSE( CONTROL!$C$15, $D$11, 100%, $F$11)</f>
        <v>28.551200000000001</v>
      </c>
      <c r="H845" s="4">
        <f>29.4372 * CHOOSE(CONTROL!$C$15, $D$11, 100%, $F$11)</f>
        <v>29.437200000000001</v>
      </c>
      <c r="I845" s="8">
        <f>28.19 * CHOOSE(CONTROL!$C$15, $D$11, 100%, $F$11)</f>
        <v>28.19</v>
      </c>
      <c r="J845" s="4">
        <f>28.0543 * CHOOSE(CONTROL!$C$15, $D$11, 100%, $F$11)</f>
        <v>28.054300000000001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27.3595 * CHOOSE(CONTROL!$C$15, $D$11, 100%, $F$11)</f>
        <v>27.359500000000001</v>
      </c>
      <c r="C846" s="8">
        <f>27.3647 * CHOOSE(CONTROL!$C$15, $D$11, 100%, $F$11)</f>
        <v>27.364699999999999</v>
      </c>
      <c r="D846" s="8">
        <f>27.3448 * CHOOSE( CONTROL!$C$15, $D$11, 100%, $F$11)</f>
        <v>27.344799999999999</v>
      </c>
      <c r="E846" s="12">
        <f>27.3515 * CHOOSE( CONTROL!$C$15, $D$11, 100%, $F$11)</f>
        <v>27.351500000000001</v>
      </c>
      <c r="F846" s="4">
        <f>28.01 * CHOOSE(CONTROL!$C$15, $D$11, 100%, $F$11)</f>
        <v>28.01</v>
      </c>
      <c r="G846" s="8">
        <f>26.7061 * CHOOSE( CONTROL!$C$15, $D$11, 100%, $F$11)</f>
        <v>26.706099999999999</v>
      </c>
      <c r="H846" s="4">
        <f>27.5922 * CHOOSE(CONTROL!$C$15, $D$11, 100%, $F$11)</f>
        <v>27.592199999999998</v>
      </c>
      <c r="I846" s="8">
        <f>26.3754 * CHOOSE(CONTROL!$C$15, $D$11, 100%, $F$11)</f>
        <v>26.375399999999999</v>
      </c>
      <c r="J846" s="4">
        <f>26.2407 * CHOOSE(CONTROL!$C$15, $D$11, 100%, $F$11)</f>
        <v>26.2407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26.7777 * CHOOSE(CONTROL!$C$15, $D$11, 100%, $F$11)</f>
        <v>26.777699999999999</v>
      </c>
      <c r="C847" s="8">
        <f>26.7829 * CHOOSE(CONTROL!$C$15, $D$11, 100%, $F$11)</f>
        <v>26.782900000000001</v>
      </c>
      <c r="D847" s="8">
        <f>26.7626 * CHOOSE( CONTROL!$C$15, $D$11, 100%, $F$11)</f>
        <v>26.762599999999999</v>
      </c>
      <c r="E847" s="12">
        <f>26.7695 * CHOOSE( CONTROL!$C$15, $D$11, 100%, $F$11)</f>
        <v>26.769500000000001</v>
      </c>
      <c r="F847" s="4">
        <f>27.4281 * CHOOSE(CONTROL!$C$15, $D$11, 100%, $F$11)</f>
        <v>27.428100000000001</v>
      </c>
      <c r="G847" s="8">
        <f>26.1376 * CHOOSE( CONTROL!$C$15, $D$11, 100%, $F$11)</f>
        <v>26.137599999999999</v>
      </c>
      <c r="H847" s="4">
        <f>27.0239 * CHOOSE(CONTROL!$C$15, $D$11, 100%, $F$11)</f>
        <v>27.023900000000001</v>
      </c>
      <c r="I847" s="8">
        <f>25.8153 * CHOOSE(CONTROL!$C$15, $D$11, 100%, $F$11)</f>
        <v>25.815300000000001</v>
      </c>
      <c r="J847" s="4">
        <f>25.6821 * CHOOSE(CONTROL!$C$15, $D$11, 100%, $F$11)</f>
        <v>25.682099999999998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27.185 * CHOOSE(CONTROL!$C$15, $D$11, 100%, $F$11)</f>
        <v>27.184999999999999</v>
      </c>
      <c r="C848" s="8">
        <f>27.1896 * CHOOSE(CONTROL!$C$15, $D$11, 100%, $F$11)</f>
        <v>27.189599999999999</v>
      </c>
      <c r="D848" s="8">
        <f>27.2205 * CHOOSE( CONTROL!$C$15, $D$11, 100%, $F$11)</f>
        <v>27.220500000000001</v>
      </c>
      <c r="E848" s="12">
        <f>27.2098 * CHOOSE( CONTROL!$C$15, $D$11, 100%, $F$11)</f>
        <v>27.209800000000001</v>
      </c>
      <c r="F848" s="4">
        <f>27.8998 * CHOOSE(CONTROL!$C$15, $D$11, 100%, $F$11)</f>
        <v>27.899799999999999</v>
      </c>
      <c r="G848" s="8">
        <f>26.5367 * CHOOSE( CONTROL!$C$15, $D$11, 100%, $F$11)</f>
        <v>26.5367</v>
      </c>
      <c r="H848" s="4">
        <f>27.4846 * CHOOSE(CONTROL!$C$15, $D$11, 100%, $F$11)</f>
        <v>27.4846</v>
      </c>
      <c r="I848" s="8">
        <f>26.1992 * CHOOSE(CONTROL!$C$15, $D$11, 100%, $F$11)</f>
        <v>26.199200000000001</v>
      </c>
      <c r="J848" s="4">
        <f>26.0724 * CHOOSE(CONTROL!$C$15, $D$11, 100%, $F$11)</f>
        <v>26.072399999999998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27.9134, 27.9099) * CHOOSE(CONTROL!$C$15, $D$11, 100%, $F$11)</f>
        <v>27.913399999999999</v>
      </c>
      <c r="C849" s="8">
        <f>CHOOSE( CONTROL!$C$32, 27.9214, 27.918) * CHOOSE(CONTROL!$C$15, $D$11, 100%, $F$11)</f>
        <v>27.921399999999998</v>
      </c>
      <c r="D849" s="8">
        <f>CHOOSE( CONTROL!$C$32, 27.947, 27.9436) * CHOOSE( CONTROL!$C$15, $D$11, 100%, $F$11)</f>
        <v>27.946999999999999</v>
      </c>
      <c r="E849" s="12">
        <f>CHOOSE( CONTROL!$C$32, 27.9365, 27.9331) * CHOOSE( CONTROL!$C$15, $D$11, 100%, $F$11)</f>
        <v>27.936499999999999</v>
      </c>
      <c r="F849" s="4">
        <f>CHOOSE( CONTROL!$C$32, 28.6268, 28.6234) * CHOOSE(CONTROL!$C$15, $D$11, 100%, $F$11)</f>
        <v>28.626799999999999</v>
      </c>
      <c r="G849" s="8">
        <f>CHOOSE( CONTROL!$C$32, 27.2475, 27.2442) * CHOOSE( CONTROL!$C$15, $D$11, 100%, $F$11)</f>
        <v>27.247499999999999</v>
      </c>
      <c r="H849" s="4">
        <f>CHOOSE( CONTROL!$C$32, 28.1947, 28.1913) * CHOOSE(CONTROL!$C$15, $D$11, 100%, $F$11)</f>
        <v>28.194700000000001</v>
      </c>
      <c r="I849" s="8">
        <f>CHOOSE( CONTROL!$C$32, 26.8977, 26.8944) * CHOOSE(CONTROL!$C$15, $D$11, 100%, $F$11)</f>
        <v>26.8977</v>
      </c>
      <c r="J849" s="4">
        <f>CHOOSE( CONTROL!$C$32, 26.7704, 26.7671) * CHOOSE(CONTROL!$C$15, $D$11, 100%, $F$11)</f>
        <v>26.770399999999999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27.4651, 27.4617) * CHOOSE(CONTROL!$C$15, $D$11, 100%, $F$11)</f>
        <v>27.4651</v>
      </c>
      <c r="C850" s="8">
        <f>CHOOSE( CONTROL!$C$32, 27.4732, 27.4698) * CHOOSE(CONTROL!$C$15, $D$11, 100%, $F$11)</f>
        <v>27.473199999999999</v>
      </c>
      <c r="D850" s="8">
        <f>CHOOSE( CONTROL!$C$32, 27.499, 27.4956) * CHOOSE( CONTROL!$C$15, $D$11, 100%, $F$11)</f>
        <v>27.498999999999999</v>
      </c>
      <c r="E850" s="12">
        <f>CHOOSE( CONTROL!$C$32, 27.4884, 27.485) * CHOOSE( CONTROL!$C$15, $D$11, 100%, $F$11)</f>
        <v>27.488399999999999</v>
      </c>
      <c r="F850" s="4">
        <f>CHOOSE( CONTROL!$C$32, 28.1786, 28.1751) * CHOOSE(CONTROL!$C$15, $D$11, 100%, $F$11)</f>
        <v>28.178599999999999</v>
      </c>
      <c r="G850" s="8">
        <f>CHOOSE( CONTROL!$C$32, 26.81, 26.8067) * CHOOSE( CONTROL!$C$15, $D$11, 100%, $F$11)</f>
        <v>26.81</v>
      </c>
      <c r="H850" s="4">
        <f>CHOOSE( CONTROL!$C$32, 27.7569, 27.7535) * CHOOSE(CONTROL!$C$15, $D$11, 100%, $F$11)</f>
        <v>27.756900000000002</v>
      </c>
      <c r="I850" s="8">
        <f>CHOOSE( CONTROL!$C$32, 26.4681, 26.4648) * CHOOSE(CONTROL!$C$15, $D$11, 100%, $F$11)</f>
        <v>26.4681</v>
      </c>
      <c r="J850" s="4">
        <f>CHOOSE( CONTROL!$C$32, 26.34, 26.3368) * CHOOSE(CONTROL!$C$15, $D$11, 100%, $F$11)</f>
        <v>26.34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28.6455, 28.6421) * CHOOSE(CONTROL!$C$15, $D$11, 100%, $F$11)</f>
        <v>28.645499999999998</v>
      </c>
      <c r="C851" s="8">
        <f>CHOOSE( CONTROL!$C$32, 28.6536, 28.6502) * CHOOSE(CONTROL!$C$15, $D$11, 100%, $F$11)</f>
        <v>28.653600000000001</v>
      </c>
      <c r="D851" s="8">
        <f>CHOOSE( CONTROL!$C$32, 28.6796, 28.6762) * CHOOSE( CONTROL!$C$15, $D$11, 100%, $F$11)</f>
        <v>28.679600000000001</v>
      </c>
      <c r="E851" s="12">
        <f>CHOOSE( CONTROL!$C$32, 28.6689, 28.6655) * CHOOSE( CONTROL!$C$15, $D$11, 100%, $F$11)</f>
        <v>28.668900000000001</v>
      </c>
      <c r="F851" s="4">
        <f>CHOOSE( CONTROL!$C$32, 29.3589, 29.3555) * CHOOSE(CONTROL!$C$15, $D$11, 100%, $F$11)</f>
        <v>29.358899999999998</v>
      </c>
      <c r="G851" s="8">
        <f>CHOOSE( CONTROL!$C$32, 27.9632, 27.9599) * CHOOSE( CONTROL!$C$15, $D$11, 100%, $F$11)</f>
        <v>27.963200000000001</v>
      </c>
      <c r="H851" s="4">
        <f>CHOOSE( CONTROL!$C$32, 28.9097, 28.9064) * CHOOSE(CONTROL!$C$15, $D$11, 100%, $F$11)</f>
        <v>28.909700000000001</v>
      </c>
      <c r="I851" s="8">
        <f>CHOOSE( CONTROL!$C$32, 27.603, 27.5998) * CHOOSE(CONTROL!$C$15, $D$11, 100%, $F$11)</f>
        <v>27.603000000000002</v>
      </c>
      <c r="J851" s="4">
        <f>CHOOSE( CONTROL!$C$32, 27.4733, 27.47) * CHOOSE(CONTROL!$C$15, $D$11, 100%, $F$11)</f>
        <v>27.473299999999998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26.4369, 26.4335) * CHOOSE(CONTROL!$C$15, $D$11, 100%, $F$11)</f>
        <v>26.436900000000001</v>
      </c>
      <c r="C852" s="8">
        <f>CHOOSE( CONTROL!$C$32, 26.445, 26.4416) * CHOOSE(CONTROL!$C$15, $D$11, 100%, $F$11)</f>
        <v>26.445</v>
      </c>
      <c r="D852" s="8">
        <f>CHOOSE( CONTROL!$C$32, 26.4711, 26.4677) * CHOOSE( CONTROL!$C$15, $D$11, 100%, $F$11)</f>
        <v>26.4711</v>
      </c>
      <c r="E852" s="12">
        <f>CHOOSE( CONTROL!$C$32, 26.4604, 26.457) * CHOOSE( CONTROL!$C$15, $D$11, 100%, $F$11)</f>
        <v>26.4604</v>
      </c>
      <c r="F852" s="4">
        <f>CHOOSE( CONTROL!$C$32, 27.1503, 27.1469) * CHOOSE(CONTROL!$C$15, $D$11, 100%, $F$11)</f>
        <v>27.150300000000001</v>
      </c>
      <c r="G852" s="8">
        <f>CHOOSE( CONTROL!$C$32, 25.8062, 25.8029) * CHOOSE( CONTROL!$C$15, $D$11, 100%, $F$11)</f>
        <v>25.8062</v>
      </c>
      <c r="H852" s="4">
        <f>CHOOSE( CONTROL!$C$32, 26.7526, 26.7493) * CHOOSE(CONTROL!$C$15, $D$11, 100%, $F$11)</f>
        <v>26.752600000000001</v>
      </c>
      <c r="I852" s="8">
        <f>CHOOSE( CONTROL!$C$32, 25.4819, 25.4787) * CHOOSE(CONTROL!$C$15, $D$11, 100%, $F$11)</f>
        <v>25.4819</v>
      </c>
      <c r="J852" s="4">
        <f>CHOOSE( CONTROL!$C$32, 25.3528, 25.3496) * CHOOSE(CONTROL!$C$15, $D$11, 100%, $F$11)</f>
        <v>25.352799999999998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25.8838, 25.8804) * CHOOSE(CONTROL!$C$15, $D$11, 100%, $F$11)</f>
        <v>25.883800000000001</v>
      </c>
      <c r="C853" s="8">
        <f>CHOOSE( CONTROL!$C$32, 25.8919, 25.8885) * CHOOSE(CONTROL!$C$15, $D$11, 100%, $F$11)</f>
        <v>25.8919</v>
      </c>
      <c r="D853" s="8">
        <f>CHOOSE( CONTROL!$C$32, 25.918, 25.9146) * CHOOSE( CONTROL!$C$15, $D$11, 100%, $F$11)</f>
        <v>25.917999999999999</v>
      </c>
      <c r="E853" s="12">
        <f>CHOOSE( CONTROL!$C$32, 25.9073, 25.9039) * CHOOSE( CONTROL!$C$15, $D$11, 100%, $F$11)</f>
        <v>25.907299999999999</v>
      </c>
      <c r="F853" s="4">
        <f>CHOOSE( CONTROL!$C$32, 26.5973, 26.5938) * CHOOSE(CONTROL!$C$15, $D$11, 100%, $F$11)</f>
        <v>26.597300000000001</v>
      </c>
      <c r="G853" s="8">
        <f>CHOOSE( CONTROL!$C$32, 25.266, 25.2626) * CHOOSE( CONTROL!$C$15, $D$11, 100%, $F$11)</f>
        <v>25.265999999999998</v>
      </c>
      <c r="H853" s="4">
        <f>CHOOSE( CONTROL!$C$32, 26.2124, 26.2091) * CHOOSE(CONTROL!$C$15, $D$11, 100%, $F$11)</f>
        <v>26.212399999999999</v>
      </c>
      <c r="I853" s="8">
        <f>CHOOSE( CONTROL!$C$32, 24.9505, 24.9473) * CHOOSE(CONTROL!$C$15, $D$11, 100%, $F$11)</f>
        <v>24.950500000000002</v>
      </c>
      <c r="J853" s="4">
        <f>CHOOSE( CONTROL!$C$32, 24.8218, 24.8186) * CHOOSE(CONTROL!$C$15, $D$11, 100%, $F$11)</f>
        <v>24.8218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27.027 * CHOOSE(CONTROL!$C$15, $D$11, 100%, $F$11)</f>
        <v>27.027000000000001</v>
      </c>
      <c r="C854" s="8">
        <f>27.0325 * CHOOSE(CONTROL!$C$15, $D$11, 100%, $F$11)</f>
        <v>27.032499999999999</v>
      </c>
      <c r="D854" s="8">
        <f>27.0636 * CHOOSE( CONTROL!$C$15, $D$11, 100%, $F$11)</f>
        <v>27.063600000000001</v>
      </c>
      <c r="E854" s="12">
        <f>27.0527 * CHOOSE( CONTROL!$C$15, $D$11, 100%, $F$11)</f>
        <v>27.052700000000002</v>
      </c>
      <c r="F854" s="4">
        <f>27.7422 * CHOOSE(CONTROL!$C$15, $D$11, 100%, $F$11)</f>
        <v>27.7422</v>
      </c>
      <c r="G854" s="8">
        <f>26.3838 * CHOOSE( CONTROL!$C$15, $D$11, 100%, $F$11)</f>
        <v>26.383800000000001</v>
      </c>
      <c r="H854" s="4">
        <f>27.3307 * CHOOSE(CONTROL!$C$15, $D$11, 100%, $F$11)</f>
        <v>27.3307</v>
      </c>
      <c r="I854" s="8">
        <f>26.0512 * CHOOSE(CONTROL!$C$15, $D$11, 100%, $F$11)</f>
        <v>26.051200000000001</v>
      </c>
      <c r="J854" s="4">
        <f>25.9211 * CHOOSE(CONTROL!$C$15, $D$11, 100%, $F$11)</f>
        <v>25.921099999999999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29.1462 * CHOOSE(CONTROL!$C$15, $D$11, 100%, $F$11)</f>
        <v>29.1462</v>
      </c>
      <c r="C855" s="8">
        <f>29.1514 * CHOOSE(CONTROL!$C$15, $D$11, 100%, $F$11)</f>
        <v>29.151399999999999</v>
      </c>
      <c r="D855" s="8">
        <f>29.1443 * CHOOSE( CONTROL!$C$15, $D$11, 100%, $F$11)</f>
        <v>29.144300000000001</v>
      </c>
      <c r="E855" s="12">
        <f>29.1463 * CHOOSE( CONTROL!$C$15, $D$11, 100%, $F$11)</f>
        <v>29.1463</v>
      </c>
      <c r="F855" s="4">
        <f>29.7967 * CHOOSE(CONTROL!$C$15, $D$11, 100%, $F$11)</f>
        <v>29.796700000000001</v>
      </c>
      <c r="G855" s="8">
        <f>28.4671 * CHOOSE( CONTROL!$C$15, $D$11, 100%, $F$11)</f>
        <v>28.467099999999999</v>
      </c>
      <c r="H855" s="4">
        <f>29.3373 * CHOOSE(CONTROL!$C$15, $D$11, 100%, $F$11)</f>
        <v>29.337299999999999</v>
      </c>
      <c r="I855" s="8">
        <f>28.1307 * CHOOSE(CONTROL!$C$15, $D$11, 100%, $F$11)</f>
        <v>28.130700000000001</v>
      </c>
      <c r="J855" s="4">
        <f>27.9561 * CHOOSE(CONTROL!$C$15, $D$11, 100%, $F$11)</f>
        <v>27.956099999999999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29.0933 * CHOOSE(CONTROL!$C$15, $D$11, 100%, $F$11)</f>
        <v>29.093299999999999</v>
      </c>
      <c r="C856" s="8">
        <f>29.0985 * CHOOSE(CONTROL!$C$15, $D$11, 100%, $F$11)</f>
        <v>29.098500000000001</v>
      </c>
      <c r="D856" s="8">
        <f>29.0928 * CHOOSE( CONTROL!$C$15, $D$11, 100%, $F$11)</f>
        <v>29.0928</v>
      </c>
      <c r="E856" s="12">
        <f>29.0943 * CHOOSE( CONTROL!$C$15, $D$11, 100%, $F$11)</f>
        <v>29.0943</v>
      </c>
      <c r="F856" s="4">
        <f>29.7438 * CHOOSE(CONTROL!$C$15, $D$11, 100%, $F$11)</f>
        <v>29.7438</v>
      </c>
      <c r="G856" s="8">
        <f>28.4164 * CHOOSE( CONTROL!$C$15, $D$11, 100%, $F$11)</f>
        <v>28.416399999999999</v>
      </c>
      <c r="H856" s="4">
        <f>29.2856 * CHOOSE(CONTROL!$C$15, $D$11, 100%, $F$11)</f>
        <v>29.285599999999999</v>
      </c>
      <c r="I856" s="8">
        <f>28.0844 * CHOOSE(CONTROL!$C$15, $D$11, 100%, $F$11)</f>
        <v>28.084399999999999</v>
      </c>
      <c r="J856" s="4">
        <f>27.9053 * CHOOSE(CONTROL!$C$15, $D$11, 100%, $F$11)</f>
        <v>27.9053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29.9506 * CHOOSE(CONTROL!$C$15, $D$11, 100%, $F$11)</f>
        <v>29.950600000000001</v>
      </c>
      <c r="C857" s="8">
        <f>29.9558 * CHOOSE(CONTROL!$C$15, $D$11, 100%, $F$11)</f>
        <v>29.9558</v>
      </c>
      <c r="D857" s="8">
        <f>29.9359 * CHOOSE( CONTROL!$C$15, $D$11, 100%, $F$11)</f>
        <v>29.9359</v>
      </c>
      <c r="E857" s="12">
        <f>29.9426 * CHOOSE( CONTROL!$C$15, $D$11, 100%, $F$11)</f>
        <v>29.942599999999999</v>
      </c>
      <c r="F857" s="4">
        <f>30.6011 * CHOOSE(CONTROL!$C$15, $D$11, 100%, $F$11)</f>
        <v>30.601099999999999</v>
      </c>
      <c r="G857" s="8">
        <f>29.2369 * CHOOSE( CONTROL!$C$15, $D$11, 100%, $F$11)</f>
        <v>29.236899999999999</v>
      </c>
      <c r="H857" s="4">
        <f>30.123 * CHOOSE(CONTROL!$C$15, $D$11, 100%, $F$11)</f>
        <v>30.123000000000001</v>
      </c>
      <c r="I857" s="8">
        <f>28.8644 * CHOOSE(CONTROL!$C$15, $D$11, 100%, $F$11)</f>
        <v>28.8644</v>
      </c>
      <c r="J857" s="4">
        <f>28.7284 * CHOOSE(CONTROL!$C$15, $D$11, 100%, $F$11)</f>
        <v>28.728400000000001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28.0162 * CHOOSE(CONTROL!$C$15, $D$11, 100%, $F$11)</f>
        <v>28.016200000000001</v>
      </c>
      <c r="C858" s="8">
        <f>28.0214 * CHOOSE(CONTROL!$C$15, $D$11, 100%, $F$11)</f>
        <v>28.0214</v>
      </c>
      <c r="D858" s="8">
        <f>28.0014 * CHOOSE( CONTROL!$C$15, $D$11, 100%, $F$11)</f>
        <v>28.0014</v>
      </c>
      <c r="E858" s="12">
        <f>28.0082 * CHOOSE( CONTROL!$C$15, $D$11, 100%, $F$11)</f>
        <v>28.008199999999999</v>
      </c>
      <c r="F858" s="4">
        <f>28.6667 * CHOOSE(CONTROL!$C$15, $D$11, 100%, $F$11)</f>
        <v>28.666699999999999</v>
      </c>
      <c r="G858" s="8">
        <f>27.3475 * CHOOSE( CONTROL!$C$15, $D$11, 100%, $F$11)</f>
        <v>27.3475</v>
      </c>
      <c r="H858" s="4">
        <f>28.2336 * CHOOSE(CONTROL!$C$15, $D$11, 100%, $F$11)</f>
        <v>28.233599999999999</v>
      </c>
      <c r="I858" s="8">
        <f>27.0062 * CHOOSE(CONTROL!$C$15, $D$11, 100%, $F$11)</f>
        <v>27.0062</v>
      </c>
      <c r="J858" s="4">
        <f>26.8712 * CHOOSE(CONTROL!$C$15, $D$11, 100%, $F$11)</f>
        <v>26.871200000000002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27.4204 * CHOOSE(CONTROL!$C$15, $D$11, 100%, $F$11)</f>
        <v>27.420400000000001</v>
      </c>
      <c r="C859" s="8">
        <f>27.4256 * CHOOSE(CONTROL!$C$15, $D$11, 100%, $F$11)</f>
        <v>27.425599999999999</v>
      </c>
      <c r="D859" s="8">
        <f>27.4053 * CHOOSE( CONTROL!$C$15, $D$11, 100%, $F$11)</f>
        <v>27.4053</v>
      </c>
      <c r="E859" s="12">
        <f>27.4122 * CHOOSE( CONTROL!$C$15, $D$11, 100%, $F$11)</f>
        <v>27.412199999999999</v>
      </c>
      <c r="F859" s="4">
        <f>28.0709 * CHOOSE(CONTROL!$C$15, $D$11, 100%, $F$11)</f>
        <v>28.070900000000002</v>
      </c>
      <c r="G859" s="8">
        <f>26.7653 * CHOOSE( CONTROL!$C$15, $D$11, 100%, $F$11)</f>
        <v>26.7653</v>
      </c>
      <c r="H859" s="4">
        <f>27.6517 * CHOOSE(CONTROL!$C$15, $D$11, 100%, $F$11)</f>
        <v>27.651700000000002</v>
      </c>
      <c r="I859" s="8">
        <f>26.4327 * CHOOSE(CONTROL!$C$15, $D$11, 100%, $F$11)</f>
        <v>26.432700000000001</v>
      </c>
      <c r="J859" s="4">
        <f>26.2991 * CHOOSE(CONTROL!$C$15, $D$11, 100%, $F$11)</f>
        <v>26.299099999999999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27.8375 * CHOOSE(CONTROL!$C$15, $D$11, 100%, $F$11)</f>
        <v>27.837499999999999</v>
      </c>
      <c r="C860" s="8">
        <f>27.8421 * CHOOSE(CONTROL!$C$15, $D$11, 100%, $F$11)</f>
        <v>27.842099999999999</v>
      </c>
      <c r="D860" s="8">
        <f>27.873 * CHOOSE( CONTROL!$C$15, $D$11, 100%, $F$11)</f>
        <v>27.873000000000001</v>
      </c>
      <c r="E860" s="12">
        <f>27.8623 * CHOOSE( CONTROL!$C$15, $D$11, 100%, $F$11)</f>
        <v>27.862300000000001</v>
      </c>
      <c r="F860" s="4">
        <f>28.5523 * CHOOSE(CONTROL!$C$15, $D$11, 100%, $F$11)</f>
        <v>28.552299999999999</v>
      </c>
      <c r="G860" s="8">
        <f>27.174 * CHOOSE( CONTROL!$C$15, $D$11, 100%, $F$11)</f>
        <v>27.173999999999999</v>
      </c>
      <c r="H860" s="4">
        <f>28.1219 * CHOOSE(CONTROL!$C$15, $D$11, 100%, $F$11)</f>
        <v>28.1219</v>
      </c>
      <c r="I860" s="8">
        <f>26.826 * CHOOSE(CONTROL!$C$15, $D$11, 100%, $F$11)</f>
        <v>26.826000000000001</v>
      </c>
      <c r="J860" s="4">
        <f>26.6989 * CHOOSE(CONTROL!$C$15, $D$11, 100%, $F$11)</f>
        <v>26.698899999999998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28.5832, 28.5798) * CHOOSE(CONTROL!$C$15, $D$11, 100%, $F$11)</f>
        <v>28.583200000000001</v>
      </c>
      <c r="C861" s="8">
        <f>CHOOSE( CONTROL!$C$32, 28.5913, 28.5879) * CHOOSE(CONTROL!$C$15, $D$11, 100%, $F$11)</f>
        <v>28.5913</v>
      </c>
      <c r="D861" s="8">
        <f>CHOOSE( CONTROL!$C$32, 28.6169, 28.6135) * CHOOSE( CONTROL!$C$15, $D$11, 100%, $F$11)</f>
        <v>28.616900000000001</v>
      </c>
      <c r="E861" s="12">
        <f>CHOOSE( CONTROL!$C$32, 28.6064, 28.603) * CHOOSE( CONTROL!$C$15, $D$11, 100%, $F$11)</f>
        <v>28.606400000000001</v>
      </c>
      <c r="F861" s="4">
        <f>CHOOSE( CONTROL!$C$32, 29.2967, 29.2933) * CHOOSE(CONTROL!$C$15, $D$11, 100%, $F$11)</f>
        <v>29.296700000000001</v>
      </c>
      <c r="G861" s="8">
        <f>CHOOSE( CONTROL!$C$32, 27.9018, 27.8984) * CHOOSE( CONTROL!$C$15, $D$11, 100%, $F$11)</f>
        <v>27.901800000000001</v>
      </c>
      <c r="H861" s="4">
        <f>CHOOSE( CONTROL!$C$32, 28.8489, 28.8456) * CHOOSE(CONTROL!$C$15, $D$11, 100%, $F$11)</f>
        <v>28.8489</v>
      </c>
      <c r="I861" s="8">
        <f>CHOOSE( CONTROL!$C$32, 27.5412, 27.5379) * CHOOSE(CONTROL!$C$15, $D$11, 100%, $F$11)</f>
        <v>27.5412</v>
      </c>
      <c r="J861" s="4">
        <f>CHOOSE( CONTROL!$C$32, 27.4135, 27.4103) * CHOOSE(CONTROL!$C$15, $D$11, 100%, $F$11)</f>
        <v>27.413499999999999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28.1242, 28.1208) * CHOOSE(CONTROL!$C$15, $D$11, 100%, $F$11)</f>
        <v>28.124199999999998</v>
      </c>
      <c r="C862" s="8">
        <f>CHOOSE( CONTROL!$C$32, 28.1323, 28.1289) * CHOOSE(CONTROL!$C$15, $D$11, 100%, $F$11)</f>
        <v>28.132300000000001</v>
      </c>
      <c r="D862" s="8">
        <f>CHOOSE( CONTROL!$C$32, 28.1581, 28.1547) * CHOOSE( CONTROL!$C$15, $D$11, 100%, $F$11)</f>
        <v>28.158100000000001</v>
      </c>
      <c r="E862" s="12">
        <f>CHOOSE( CONTROL!$C$32, 28.1475, 28.1441) * CHOOSE( CONTROL!$C$15, $D$11, 100%, $F$11)</f>
        <v>28.147500000000001</v>
      </c>
      <c r="F862" s="4">
        <f>CHOOSE( CONTROL!$C$32, 28.8377, 28.8342) * CHOOSE(CONTROL!$C$15, $D$11, 100%, $F$11)</f>
        <v>28.837700000000002</v>
      </c>
      <c r="G862" s="8">
        <f>CHOOSE( CONTROL!$C$32, 27.4538, 27.4504) * CHOOSE( CONTROL!$C$15, $D$11, 100%, $F$11)</f>
        <v>27.453800000000001</v>
      </c>
      <c r="H862" s="4">
        <f>CHOOSE( CONTROL!$C$32, 28.4006, 28.3973) * CHOOSE(CONTROL!$C$15, $D$11, 100%, $F$11)</f>
        <v>28.400600000000001</v>
      </c>
      <c r="I862" s="8">
        <f>CHOOSE( CONTROL!$C$32, 27.1012, 27.098) * CHOOSE(CONTROL!$C$15, $D$11, 100%, $F$11)</f>
        <v>27.101199999999999</v>
      </c>
      <c r="J862" s="4">
        <f>CHOOSE( CONTROL!$C$32, 26.9728, 26.9696) * CHOOSE(CONTROL!$C$15, $D$11, 100%, $F$11)</f>
        <v>26.972799999999999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29.333, 29.3296) * CHOOSE(CONTROL!$C$15, $D$11, 100%, $F$11)</f>
        <v>29.332999999999998</v>
      </c>
      <c r="C863" s="8">
        <f>CHOOSE( CONTROL!$C$32, 29.341, 29.3376) * CHOOSE(CONTROL!$C$15, $D$11, 100%, $F$11)</f>
        <v>29.341000000000001</v>
      </c>
      <c r="D863" s="8">
        <f>CHOOSE( CONTROL!$C$32, 29.3671, 29.3637) * CHOOSE( CONTROL!$C$15, $D$11, 100%, $F$11)</f>
        <v>29.367100000000001</v>
      </c>
      <c r="E863" s="12">
        <f>CHOOSE( CONTROL!$C$32, 29.3564, 29.353) * CHOOSE( CONTROL!$C$15, $D$11, 100%, $F$11)</f>
        <v>29.356400000000001</v>
      </c>
      <c r="F863" s="4">
        <f>CHOOSE( CONTROL!$C$32, 30.0464, 30.043) * CHOOSE(CONTROL!$C$15, $D$11, 100%, $F$11)</f>
        <v>30.046399999999998</v>
      </c>
      <c r="G863" s="8">
        <f>CHOOSE( CONTROL!$C$32, 28.6347, 28.6313) * CHOOSE( CONTROL!$C$15, $D$11, 100%, $F$11)</f>
        <v>28.634699999999999</v>
      </c>
      <c r="H863" s="4">
        <f>CHOOSE( CONTROL!$C$32, 29.5812, 29.5779) * CHOOSE(CONTROL!$C$15, $D$11, 100%, $F$11)</f>
        <v>29.581199999999999</v>
      </c>
      <c r="I863" s="8">
        <f>CHOOSE( CONTROL!$C$32, 28.2634, 28.2601) * CHOOSE(CONTROL!$C$15, $D$11, 100%, $F$11)</f>
        <v>28.263400000000001</v>
      </c>
      <c r="J863" s="4">
        <f>CHOOSE( CONTROL!$C$32, 28.1334, 28.1301) * CHOOSE(CONTROL!$C$15, $D$11, 100%, $F$11)</f>
        <v>28.133400000000002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27.0713, 27.0679) * CHOOSE(CONTROL!$C$15, $D$11, 100%, $F$11)</f>
        <v>27.071300000000001</v>
      </c>
      <c r="C864" s="8">
        <f>CHOOSE( CONTROL!$C$32, 27.0794, 27.076) * CHOOSE(CONTROL!$C$15, $D$11, 100%, $F$11)</f>
        <v>27.0794</v>
      </c>
      <c r="D864" s="8">
        <f>CHOOSE( CONTROL!$C$32, 27.1055, 27.1021) * CHOOSE( CONTROL!$C$15, $D$11, 100%, $F$11)</f>
        <v>27.105499999999999</v>
      </c>
      <c r="E864" s="12">
        <f>CHOOSE( CONTROL!$C$32, 27.0948, 27.0914) * CHOOSE( CONTROL!$C$15, $D$11, 100%, $F$11)</f>
        <v>27.094799999999999</v>
      </c>
      <c r="F864" s="4">
        <f>CHOOSE( CONTROL!$C$32, 27.7847, 27.7813) * CHOOSE(CONTROL!$C$15, $D$11, 100%, $F$11)</f>
        <v>27.784700000000001</v>
      </c>
      <c r="G864" s="8">
        <f>CHOOSE( CONTROL!$C$32, 26.4258, 26.4225) * CHOOSE( CONTROL!$C$15, $D$11, 100%, $F$11)</f>
        <v>26.425799999999999</v>
      </c>
      <c r="H864" s="4">
        <f>CHOOSE( CONTROL!$C$32, 27.3722, 27.3689) * CHOOSE(CONTROL!$C$15, $D$11, 100%, $F$11)</f>
        <v>27.372199999999999</v>
      </c>
      <c r="I864" s="8">
        <f>CHOOSE( CONTROL!$C$32, 26.0913, 26.088) * CHOOSE(CONTROL!$C$15, $D$11, 100%, $F$11)</f>
        <v>26.0913</v>
      </c>
      <c r="J864" s="4">
        <f>CHOOSE( CONTROL!$C$32, 25.9619, 25.9586) * CHOOSE(CONTROL!$C$15, $D$11, 100%, $F$11)</f>
        <v>25.9619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26.5049, 26.5015) * CHOOSE(CONTROL!$C$15, $D$11, 100%, $F$11)</f>
        <v>26.504899999999999</v>
      </c>
      <c r="C865" s="8">
        <f>CHOOSE( CONTROL!$C$32, 26.513, 26.5096) * CHOOSE(CONTROL!$C$15, $D$11, 100%, $F$11)</f>
        <v>26.513000000000002</v>
      </c>
      <c r="D865" s="8">
        <f>CHOOSE( CONTROL!$C$32, 26.5391, 26.5357) * CHOOSE( CONTROL!$C$15, $D$11, 100%, $F$11)</f>
        <v>26.539100000000001</v>
      </c>
      <c r="E865" s="12">
        <f>CHOOSE( CONTROL!$C$32, 26.5284, 26.525) * CHOOSE( CONTROL!$C$15, $D$11, 100%, $F$11)</f>
        <v>26.528400000000001</v>
      </c>
      <c r="F865" s="4">
        <f>CHOOSE( CONTROL!$C$32, 27.2184, 27.215) * CHOOSE(CONTROL!$C$15, $D$11, 100%, $F$11)</f>
        <v>27.218399999999999</v>
      </c>
      <c r="G865" s="8">
        <f>CHOOSE( CONTROL!$C$32, 25.8726, 25.8693) * CHOOSE( CONTROL!$C$15, $D$11, 100%, $F$11)</f>
        <v>25.872599999999998</v>
      </c>
      <c r="H865" s="4">
        <f>CHOOSE( CONTROL!$C$32, 26.819, 26.8157) * CHOOSE(CONTROL!$C$15, $D$11, 100%, $F$11)</f>
        <v>26.818999999999999</v>
      </c>
      <c r="I865" s="8">
        <f>CHOOSE( CONTROL!$C$32, 25.5471, 25.5439) * CHOOSE(CONTROL!$C$15, $D$11, 100%, $F$11)</f>
        <v>25.5471</v>
      </c>
      <c r="J865" s="4">
        <f>CHOOSE( CONTROL!$C$32, 25.4182, 25.4149) * CHOOSE(CONTROL!$C$15, $D$11, 100%, $F$11)</f>
        <v>25.418199999999999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27.6757 * CHOOSE(CONTROL!$C$15, $D$11, 100%, $F$11)</f>
        <v>27.675699999999999</v>
      </c>
      <c r="C866" s="8">
        <f>27.6812 * CHOOSE(CONTROL!$C$15, $D$11, 100%, $F$11)</f>
        <v>27.6812</v>
      </c>
      <c r="D866" s="8">
        <f>27.7123 * CHOOSE( CONTROL!$C$15, $D$11, 100%, $F$11)</f>
        <v>27.712299999999999</v>
      </c>
      <c r="E866" s="12">
        <f>27.7014 * CHOOSE( CONTROL!$C$15, $D$11, 100%, $F$11)</f>
        <v>27.7014</v>
      </c>
      <c r="F866" s="4">
        <f>28.3909 * CHOOSE(CONTROL!$C$15, $D$11, 100%, $F$11)</f>
        <v>28.390899999999998</v>
      </c>
      <c r="G866" s="8">
        <f>27.0174 * CHOOSE( CONTROL!$C$15, $D$11, 100%, $F$11)</f>
        <v>27.017399999999999</v>
      </c>
      <c r="H866" s="4">
        <f>27.9643 * CHOOSE(CONTROL!$C$15, $D$11, 100%, $F$11)</f>
        <v>27.964300000000001</v>
      </c>
      <c r="I866" s="8">
        <f>26.6743 * CHOOSE(CONTROL!$C$15, $D$11, 100%, $F$11)</f>
        <v>26.674299999999999</v>
      </c>
      <c r="J866" s="4">
        <f>26.5439 * CHOOSE(CONTROL!$C$15, $D$11, 100%, $F$11)</f>
        <v>26.543900000000001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29.8459 * CHOOSE(CONTROL!$C$15, $D$11, 100%, $F$11)</f>
        <v>29.8459</v>
      </c>
      <c r="C867" s="8">
        <f>29.8511 * CHOOSE(CONTROL!$C$15, $D$11, 100%, $F$11)</f>
        <v>29.851099999999999</v>
      </c>
      <c r="D867" s="8">
        <f>29.8439 * CHOOSE( CONTROL!$C$15, $D$11, 100%, $F$11)</f>
        <v>29.843900000000001</v>
      </c>
      <c r="E867" s="12">
        <f>29.846 * CHOOSE( CONTROL!$C$15, $D$11, 100%, $F$11)</f>
        <v>29.846</v>
      </c>
      <c r="F867" s="4">
        <f>30.4963 * CHOOSE(CONTROL!$C$15, $D$11, 100%, $F$11)</f>
        <v>30.496300000000002</v>
      </c>
      <c r="G867" s="8">
        <f>29.1504 * CHOOSE( CONTROL!$C$15, $D$11, 100%, $F$11)</f>
        <v>29.150400000000001</v>
      </c>
      <c r="H867" s="4">
        <f>30.0207 * CHOOSE(CONTROL!$C$15, $D$11, 100%, $F$11)</f>
        <v>30.020700000000001</v>
      </c>
      <c r="I867" s="8">
        <f>28.8027 * CHOOSE(CONTROL!$C$15, $D$11, 100%, $F$11)</f>
        <v>28.802700000000002</v>
      </c>
      <c r="J867" s="4">
        <f>28.6279 * CHOOSE(CONTROL!$C$15, $D$11, 100%, $F$11)</f>
        <v>28.6279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29.7916 * CHOOSE(CONTROL!$C$15, $D$11, 100%, $F$11)</f>
        <v>29.791599999999999</v>
      </c>
      <c r="C868" s="8">
        <f>29.7968 * CHOOSE(CONTROL!$C$15, $D$11, 100%, $F$11)</f>
        <v>29.796800000000001</v>
      </c>
      <c r="D868" s="8">
        <f>29.7911 * CHOOSE( CONTROL!$C$15, $D$11, 100%, $F$11)</f>
        <v>29.7911</v>
      </c>
      <c r="E868" s="12">
        <f>29.7926 * CHOOSE( CONTROL!$C$15, $D$11, 100%, $F$11)</f>
        <v>29.7926</v>
      </c>
      <c r="F868" s="4">
        <f>30.4421 * CHOOSE(CONTROL!$C$15, $D$11, 100%, $F$11)</f>
        <v>30.4421</v>
      </c>
      <c r="G868" s="8">
        <f>29.0985 * CHOOSE( CONTROL!$C$15, $D$11, 100%, $F$11)</f>
        <v>29.098500000000001</v>
      </c>
      <c r="H868" s="4">
        <f>29.9677 * CHOOSE(CONTROL!$C$15, $D$11, 100%, $F$11)</f>
        <v>29.967700000000001</v>
      </c>
      <c r="I868" s="8">
        <f>28.7552 * CHOOSE(CONTROL!$C$15, $D$11, 100%, $F$11)</f>
        <v>28.755199999999999</v>
      </c>
      <c r="J868" s="4">
        <f>28.5758 * CHOOSE(CONTROL!$C$15, $D$11, 100%, $F$11)</f>
        <v>28.575800000000001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30.6696 * CHOOSE(CONTROL!$C$15, $D$11, 100%, $F$11)</f>
        <v>30.669599999999999</v>
      </c>
      <c r="C869" s="8">
        <f>30.6748 * CHOOSE(CONTROL!$C$15, $D$11, 100%, $F$11)</f>
        <v>30.674800000000001</v>
      </c>
      <c r="D869" s="8">
        <f>30.6549 * CHOOSE( CONTROL!$C$15, $D$11, 100%, $F$11)</f>
        <v>30.654900000000001</v>
      </c>
      <c r="E869" s="12">
        <f>30.6616 * CHOOSE( CONTROL!$C$15, $D$11, 100%, $F$11)</f>
        <v>30.6616</v>
      </c>
      <c r="F869" s="4">
        <f>31.32 * CHOOSE(CONTROL!$C$15, $D$11, 100%, $F$11)</f>
        <v>31.32</v>
      </c>
      <c r="G869" s="8">
        <f>29.9391 * CHOOSE( CONTROL!$C$15, $D$11, 100%, $F$11)</f>
        <v>29.9391</v>
      </c>
      <c r="H869" s="4">
        <f>30.8252 * CHOOSE(CONTROL!$C$15, $D$11, 100%, $F$11)</f>
        <v>30.825199999999999</v>
      </c>
      <c r="I869" s="8">
        <f>29.555 * CHOOSE(CONTROL!$C$15, $D$11, 100%, $F$11)</f>
        <v>29.555</v>
      </c>
      <c r="J869" s="4">
        <f>29.4187 * CHOOSE(CONTROL!$C$15, $D$11, 100%, $F$11)</f>
        <v>29.418700000000001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28.6887 * CHOOSE(CONTROL!$C$15, $D$11, 100%, $F$11)</f>
        <v>28.688700000000001</v>
      </c>
      <c r="C870" s="8">
        <f>28.6939 * CHOOSE(CONTROL!$C$15, $D$11, 100%, $F$11)</f>
        <v>28.693899999999999</v>
      </c>
      <c r="D870" s="8">
        <f>28.6739 * CHOOSE( CONTROL!$C$15, $D$11, 100%, $F$11)</f>
        <v>28.6739</v>
      </c>
      <c r="E870" s="12">
        <f>28.6807 * CHOOSE( CONTROL!$C$15, $D$11, 100%, $F$11)</f>
        <v>28.680700000000002</v>
      </c>
      <c r="F870" s="4">
        <f>29.3391 * CHOOSE(CONTROL!$C$15, $D$11, 100%, $F$11)</f>
        <v>29.339099999999998</v>
      </c>
      <c r="G870" s="8">
        <f>28.0043 * CHOOSE( CONTROL!$C$15, $D$11, 100%, $F$11)</f>
        <v>28.004300000000001</v>
      </c>
      <c r="H870" s="4">
        <f>28.8904 * CHOOSE(CONTROL!$C$15, $D$11, 100%, $F$11)</f>
        <v>28.8904</v>
      </c>
      <c r="I870" s="8">
        <f>27.6522 * CHOOSE(CONTROL!$C$15, $D$11, 100%, $F$11)</f>
        <v>27.652200000000001</v>
      </c>
      <c r="J870" s="4">
        <f>27.5168 * CHOOSE(CONTROL!$C$15, $D$11, 100%, $F$11)</f>
        <v>27.5168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28.0786 * CHOOSE(CONTROL!$C$15, $D$11, 100%, $F$11)</f>
        <v>28.078600000000002</v>
      </c>
      <c r="C871" s="8">
        <f>28.0837 * CHOOSE(CONTROL!$C$15, $D$11, 100%, $F$11)</f>
        <v>28.0837</v>
      </c>
      <c r="D871" s="8">
        <f>28.0635 * CHOOSE( CONTROL!$C$15, $D$11, 100%, $F$11)</f>
        <v>28.063500000000001</v>
      </c>
      <c r="E871" s="12">
        <f>28.0703 * CHOOSE( CONTROL!$C$15, $D$11, 100%, $F$11)</f>
        <v>28.0703</v>
      </c>
      <c r="F871" s="4">
        <f>28.729 * CHOOSE(CONTROL!$C$15, $D$11, 100%, $F$11)</f>
        <v>28.728999999999999</v>
      </c>
      <c r="G871" s="8">
        <f>27.4082 * CHOOSE( CONTROL!$C$15, $D$11, 100%, $F$11)</f>
        <v>27.408200000000001</v>
      </c>
      <c r="H871" s="4">
        <f>28.2945 * CHOOSE(CONTROL!$C$15, $D$11, 100%, $F$11)</f>
        <v>28.294499999999999</v>
      </c>
      <c r="I871" s="8">
        <f>27.0649 * CHOOSE(CONTROL!$C$15, $D$11, 100%, $F$11)</f>
        <v>27.064900000000002</v>
      </c>
      <c r="J871" s="4">
        <f>26.931 * CHOOSE(CONTROL!$C$15, $D$11, 100%, $F$11)</f>
        <v>26.931000000000001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28.5057 * CHOOSE(CONTROL!$C$15, $D$11, 100%, $F$11)</f>
        <v>28.505700000000001</v>
      </c>
      <c r="C872" s="8">
        <f>28.5103 * CHOOSE(CONTROL!$C$15, $D$11, 100%, $F$11)</f>
        <v>28.510300000000001</v>
      </c>
      <c r="D872" s="8">
        <f>28.5412 * CHOOSE( CONTROL!$C$15, $D$11, 100%, $F$11)</f>
        <v>28.5412</v>
      </c>
      <c r="E872" s="12">
        <f>28.5305 * CHOOSE( CONTROL!$C$15, $D$11, 100%, $F$11)</f>
        <v>28.5305</v>
      </c>
      <c r="F872" s="4">
        <f>29.2205 * CHOOSE(CONTROL!$C$15, $D$11, 100%, $F$11)</f>
        <v>29.220500000000001</v>
      </c>
      <c r="G872" s="8">
        <f>27.8266 * CHOOSE( CONTROL!$C$15, $D$11, 100%, $F$11)</f>
        <v>27.826599999999999</v>
      </c>
      <c r="H872" s="4">
        <f>28.7745 * CHOOSE(CONTROL!$C$15, $D$11, 100%, $F$11)</f>
        <v>28.7745</v>
      </c>
      <c r="I872" s="8">
        <f>27.4678 * CHOOSE(CONTROL!$C$15, $D$11, 100%, $F$11)</f>
        <v>27.4678</v>
      </c>
      <c r="J872" s="4">
        <f>27.3404 * CHOOSE(CONTROL!$C$15, $D$11, 100%, $F$11)</f>
        <v>27.340399999999999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29.2692, 29.2658) * CHOOSE(CONTROL!$C$15, $D$11, 100%, $F$11)</f>
        <v>29.269200000000001</v>
      </c>
      <c r="C873" s="8">
        <f>CHOOSE( CONTROL!$C$32, 29.2773, 29.2739) * CHOOSE(CONTROL!$C$15, $D$11, 100%, $F$11)</f>
        <v>29.2773</v>
      </c>
      <c r="D873" s="8">
        <f>CHOOSE( CONTROL!$C$32, 29.3029, 29.2995) * CHOOSE( CONTROL!$C$15, $D$11, 100%, $F$11)</f>
        <v>29.302900000000001</v>
      </c>
      <c r="E873" s="12">
        <f>CHOOSE( CONTROL!$C$32, 29.2924, 29.289) * CHOOSE( CONTROL!$C$15, $D$11, 100%, $F$11)</f>
        <v>29.292400000000001</v>
      </c>
      <c r="F873" s="4">
        <f>CHOOSE( CONTROL!$C$32, 29.9826, 29.9792) * CHOOSE(CONTROL!$C$15, $D$11, 100%, $F$11)</f>
        <v>29.982600000000001</v>
      </c>
      <c r="G873" s="8">
        <f>CHOOSE( CONTROL!$C$32, 28.5718, 28.5684) * CHOOSE( CONTROL!$C$15, $D$11, 100%, $F$11)</f>
        <v>28.5718</v>
      </c>
      <c r="H873" s="4">
        <f>CHOOSE( CONTROL!$C$32, 29.5189, 29.5156) * CHOOSE(CONTROL!$C$15, $D$11, 100%, $F$11)</f>
        <v>29.518899999999999</v>
      </c>
      <c r="I873" s="8">
        <f>CHOOSE( CONTROL!$C$32, 28.2001, 28.1968) * CHOOSE(CONTROL!$C$15, $D$11, 100%, $F$11)</f>
        <v>28.200099999999999</v>
      </c>
      <c r="J873" s="4">
        <f>CHOOSE( CONTROL!$C$32, 28.0721, 28.0689) * CHOOSE(CONTROL!$C$15, $D$11, 100%, $F$11)</f>
        <v>28.072099999999999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28.7992, 28.7958) * CHOOSE(CONTROL!$C$15, $D$11, 100%, $F$11)</f>
        <v>28.799199999999999</v>
      </c>
      <c r="C874" s="8">
        <f>CHOOSE( CONTROL!$C$32, 28.8072, 28.8038) * CHOOSE(CONTROL!$C$15, $D$11, 100%, $F$11)</f>
        <v>28.807200000000002</v>
      </c>
      <c r="D874" s="8">
        <f>CHOOSE( CONTROL!$C$32, 28.8331, 28.8296) * CHOOSE( CONTROL!$C$15, $D$11, 100%, $F$11)</f>
        <v>28.833100000000002</v>
      </c>
      <c r="E874" s="12">
        <f>CHOOSE( CONTROL!$C$32, 28.8225, 28.819) * CHOOSE( CONTROL!$C$15, $D$11, 100%, $F$11)</f>
        <v>28.822500000000002</v>
      </c>
      <c r="F874" s="4">
        <f>CHOOSE( CONTROL!$C$32, 29.5126, 29.5092) * CHOOSE(CONTROL!$C$15, $D$11, 100%, $F$11)</f>
        <v>29.512599999999999</v>
      </c>
      <c r="G874" s="8">
        <f>CHOOSE( CONTROL!$C$32, 28.113, 28.1096) * CHOOSE( CONTROL!$C$15, $D$11, 100%, $F$11)</f>
        <v>28.113</v>
      </c>
      <c r="H874" s="4">
        <f>CHOOSE( CONTROL!$C$32, 29.0598, 29.0565) * CHOOSE(CONTROL!$C$15, $D$11, 100%, $F$11)</f>
        <v>29.059799999999999</v>
      </c>
      <c r="I874" s="8">
        <f>CHOOSE( CONTROL!$C$32, 27.7496, 27.7463) * CHOOSE(CONTROL!$C$15, $D$11, 100%, $F$11)</f>
        <v>27.749600000000001</v>
      </c>
      <c r="J874" s="4">
        <f>CHOOSE( CONTROL!$C$32, 27.6209, 27.6176) * CHOOSE(CONTROL!$C$15, $D$11, 100%, $F$11)</f>
        <v>27.620899999999999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30.0369, 30.0335) * CHOOSE(CONTROL!$C$15, $D$11, 100%, $F$11)</f>
        <v>30.036899999999999</v>
      </c>
      <c r="C875" s="8">
        <f>CHOOSE( CONTROL!$C$32, 30.045, 30.0416) * CHOOSE(CONTROL!$C$15, $D$11, 100%, $F$11)</f>
        <v>30.045000000000002</v>
      </c>
      <c r="D875" s="8">
        <f>CHOOSE( CONTROL!$C$32, 30.0711, 30.0677) * CHOOSE( CONTROL!$C$15, $D$11, 100%, $F$11)</f>
        <v>30.071100000000001</v>
      </c>
      <c r="E875" s="12">
        <f>CHOOSE( CONTROL!$C$32, 30.0604, 30.057) * CHOOSE( CONTROL!$C$15, $D$11, 100%, $F$11)</f>
        <v>30.060400000000001</v>
      </c>
      <c r="F875" s="4">
        <f>CHOOSE( CONTROL!$C$32, 30.7504, 30.747) * CHOOSE(CONTROL!$C$15, $D$11, 100%, $F$11)</f>
        <v>30.750399999999999</v>
      </c>
      <c r="G875" s="8">
        <f>CHOOSE( CONTROL!$C$32, 29.3223, 29.3189) * CHOOSE( CONTROL!$C$15, $D$11, 100%, $F$11)</f>
        <v>29.322299999999998</v>
      </c>
      <c r="H875" s="4">
        <f>CHOOSE( CONTROL!$C$32, 30.2688, 30.2654) * CHOOSE(CONTROL!$C$15, $D$11, 100%, $F$11)</f>
        <v>30.268799999999999</v>
      </c>
      <c r="I875" s="8">
        <f>CHOOSE( CONTROL!$C$32, 28.9396, 28.9364) * CHOOSE(CONTROL!$C$15, $D$11, 100%, $F$11)</f>
        <v>28.939599999999999</v>
      </c>
      <c r="J875" s="4">
        <f>CHOOSE( CONTROL!$C$32, 28.8092, 28.806) * CHOOSE(CONTROL!$C$15, $D$11, 100%, $F$11)</f>
        <v>28.809200000000001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27.7209, 27.7175) * CHOOSE(CONTROL!$C$15, $D$11, 100%, $F$11)</f>
        <v>27.7209</v>
      </c>
      <c r="C876" s="8">
        <f>CHOOSE( CONTROL!$C$32, 27.729, 27.7256) * CHOOSE(CONTROL!$C$15, $D$11, 100%, $F$11)</f>
        <v>27.728999999999999</v>
      </c>
      <c r="D876" s="8">
        <f>CHOOSE( CONTROL!$C$32, 27.7551, 27.7517) * CHOOSE( CONTROL!$C$15, $D$11, 100%, $F$11)</f>
        <v>27.755099999999999</v>
      </c>
      <c r="E876" s="12">
        <f>CHOOSE( CONTROL!$C$32, 27.7444, 27.741) * CHOOSE( CONTROL!$C$15, $D$11, 100%, $F$11)</f>
        <v>27.744399999999999</v>
      </c>
      <c r="F876" s="4">
        <f>CHOOSE( CONTROL!$C$32, 28.4344, 28.431) * CHOOSE(CONTROL!$C$15, $D$11, 100%, $F$11)</f>
        <v>28.4344</v>
      </c>
      <c r="G876" s="8">
        <f>CHOOSE( CONTROL!$C$32, 27.0603, 27.057) * CHOOSE( CONTROL!$C$15, $D$11, 100%, $F$11)</f>
        <v>27.060300000000002</v>
      </c>
      <c r="H876" s="4">
        <f>CHOOSE( CONTROL!$C$32, 28.0067, 28.0034) * CHOOSE(CONTROL!$C$15, $D$11, 100%, $F$11)</f>
        <v>28.006699999999999</v>
      </c>
      <c r="I876" s="8">
        <f>CHOOSE( CONTROL!$C$32, 26.7154, 26.7121) * CHOOSE(CONTROL!$C$15, $D$11, 100%, $F$11)</f>
        <v>26.715399999999999</v>
      </c>
      <c r="J876" s="4">
        <f>CHOOSE( CONTROL!$C$32, 26.5856, 26.5824) * CHOOSE(CONTROL!$C$15, $D$11, 100%, $F$11)</f>
        <v>26.585599999999999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27.141, 27.1376) * CHOOSE(CONTROL!$C$15, $D$11, 100%, $F$11)</f>
        <v>27.140999999999998</v>
      </c>
      <c r="C877" s="8">
        <f>CHOOSE( CONTROL!$C$32, 27.149, 27.1456) * CHOOSE(CONTROL!$C$15, $D$11, 100%, $F$11)</f>
        <v>27.149000000000001</v>
      </c>
      <c r="D877" s="8">
        <f>CHOOSE( CONTROL!$C$32, 27.1751, 27.1717) * CHOOSE( CONTROL!$C$15, $D$11, 100%, $F$11)</f>
        <v>27.1751</v>
      </c>
      <c r="E877" s="12">
        <f>CHOOSE( CONTROL!$C$32, 27.1644, 27.161) * CHOOSE( CONTROL!$C$15, $D$11, 100%, $F$11)</f>
        <v>27.164400000000001</v>
      </c>
      <c r="F877" s="4">
        <f>CHOOSE( CONTROL!$C$32, 27.8544, 27.851) * CHOOSE(CONTROL!$C$15, $D$11, 100%, $F$11)</f>
        <v>27.854399999999998</v>
      </c>
      <c r="G877" s="8">
        <f>CHOOSE( CONTROL!$C$32, 26.4938, 26.4905) * CHOOSE( CONTROL!$C$15, $D$11, 100%, $F$11)</f>
        <v>26.4938</v>
      </c>
      <c r="H877" s="4">
        <f>CHOOSE( CONTROL!$C$32, 27.4403, 27.4369) * CHOOSE(CONTROL!$C$15, $D$11, 100%, $F$11)</f>
        <v>27.440300000000001</v>
      </c>
      <c r="I877" s="8">
        <f>CHOOSE( CONTROL!$C$32, 26.1581, 26.1548) * CHOOSE(CONTROL!$C$15, $D$11, 100%, $F$11)</f>
        <v>26.158100000000001</v>
      </c>
      <c r="J877" s="4">
        <f>CHOOSE( CONTROL!$C$32, 26.0288, 26.0255) * CHOOSE(CONTROL!$C$15, $D$11, 100%, $F$11)</f>
        <v>26.0288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28.34 * CHOOSE(CONTROL!$C$15, $D$11, 100%, $F$11)</f>
        <v>28.34</v>
      </c>
      <c r="C878" s="8">
        <f>28.3455 * CHOOSE(CONTROL!$C$15, $D$11, 100%, $F$11)</f>
        <v>28.345500000000001</v>
      </c>
      <c r="D878" s="8">
        <f>28.3766 * CHOOSE( CONTROL!$C$15, $D$11, 100%, $F$11)</f>
        <v>28.3766</v>
      </c>
      <c r="E878" s="12">
        <f>28.3657 * CHOOSE( CONTROL!$C$15, $D$11, 100%, $F$11)</f>
        <v>28.3657</v>
      </c>
      <c r="F878" s="4">
        <f>29.0552 * CHOOSE(CONTROL!$C$15, $D$11, 100%, $F$11)</f>
        <v>29.055199999999999</v>
      </c>
      <c r="G878" s="8">
        <f>27.6662 * CHOOSE( CONTROL!$C$15, $D$11, 100%, $F$11)</f>
        <v>27.6662</v>
      </c>
      <c r="H878" s="4">
        <f>28.6131 * CHOOSE(CONTROL!$C$15, $D$11, 100%, $F$11)</f>
        <v>28.613099999999999</v>
      </c>
      <c r="I878" s="8">
        <f>27.3124 * CHOOSE(CONTROL!$C$15, $D$11, 100%, $F$11)</f>
        <v>27.3124</v>
      </c>
      <c r="J878" s="4">
        <f>27.1817 * CHOOSE(CONTROL!$C$15, $D$11, 100%, $F$11)</f>
        <v>27.181699999999999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30.5623 * CHOOSE(CONTROL!$C$15, $D$11, 100%, $F$11)</f>
        <v>30.5623</v>
      </c>
      <c r="C879" s="8">
        <f>30.5675 * CHOOSE(CONTROL!$C$15, $D$11, 100%, $F$11)</f>
        <v>30.567499999999999</v>
      </c>
      <c r="D879" s="8">
        <f>30.5604 * CHOOSE( CONTROL!$C$15, $D$11, 100%, $F$11)</f>
        <v>30.560400000000001</v>
      </c>
      <c r="E879" s="12">
        <f>30.5624 * CHOOSE( CONTROL!$C$15, $D$11, 100%, $F$11)</f>
        <v>30.5624</v>
      </c>
      <c r="F879" s="4">
        <f>31.2128 * CHOOSE(CONTROL!$C$15, $D$11, 100%, $F$11)</f>
        <v>31.212800000000001</v>
      </c>
      <c r="G879" s="8">
        <f>29.8501 * CHOOSE( CONTROL!$C$15, $D$11, 100%, $F$11)</f>
        <v>29.850100000000001</v>
      </c>
      <c r="H879" s="4">
        <f>30.7204 * CHOOSE(CONTROL!$C$15, $D$11, 100%, $F$11)</f>
        <v>30.720400000000001</v>
      </c>
      <c r="I879" s="8">
        <f>29.4909 * CHOOSE(CONTROL!$C$15, $D$11, 100%, $F$11)</f>
        <v>29.4909</v>
      </c>
      <c r="J879" s="4">
        <f>29.3157 * CHOOSE(CONTROL!$C$15, $D$11, 100%, $F$11)</f>
        <v>29.3157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30.5068 * CHOOSE(CONTROL!$C$15, $D$11, 100%, $F$11)</f>
        <v>30.506799999999998</v>
      </c>
      <c r="C880" s="8">
        <f>30.512 * CHOOSE(CONTROL!$C$15, $D$11, 100%, $F$11)</f>
        <v>30.512</v>
      </c>
      <c r="D880" s="8">
        <f>30.5063 * CHOOSE( CONTROL!$C$15, $D$11, 100%, $F$11)</f>
        <v>30.5063</v>
      </c>
      <c r="E880" s="12">
        <f>30.5078 * CHOOSE( CONTROL!$C$15, $D$11, 100%, $F$11)</f>
        <v>30.5078</v>
      </c>
      <c r="F880" s="4">
        <f>31.1573 * CHOOSE(CONTROL!$C$15, $D$11, 100%, $F$11)</f>
        <v>31.157299999999999</v>
      </c>
      <c r="G880" s="8">
        <f>29.797 * CHOOSE( CONTROL!$C$15, $D$11, 100%, $F$11)</f>
        <v>29.797000000000001</v>
      </c>
      <c r="H880" s="4">
        <f>30.6662 * CHOOSE(CONTROL!$C$15, $D$11, 100%, $F$11)</f>
        <v>30.6662</v>
      </c>
      <c r="I880" s="8">
        <f>29.4422 * CHOOSE(CONTROL!$C$15, $D$11, 100%, $F$11)</f>
        <v>29.4422</v>
      </c>
      <c r="J880" s="4">
        <f>29.2624 * CHOOSE(CONTROL!$C$15, $D$11, 100%, $F$11)</f>
        <v>29.2624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31.4058 * CHOOSE(CONTROL!$C$15, $D$11, 100%, $F$11)</f>
        <v>31.405799999999999</v>
      </c>
      <c r="C881" s="8">
        <f>31.411 * CHOOSE(CONTROL!$C$15, $D$11, 100%, $F$11)</f>
        <v>31.411000000000001</v>
      </c>
      <c r="D881" s="8">
        <f>31.3911 * CHOOSE( CONTROL!$C$15, $D$11, 100%, $F$11)</f>
        <v>31.391100000000002</v>
      </c>
      <c r="E881" s="12">
        <f>31.3978 * CHOOSE( CONTROL!$C$15, $D$11, 100%, $F$11)</f>
        <v>31.3978</v>
      </c>
      <c r="F881" s="4">
        <f>32.0563 * CHOOSE(CONTROL!$C$15, $D$11, 100%, $F$11)</f>
        <v>32.0563</v>
      </c>
      <c r="G881" s="8">
        <f>30.6582 * CHOOSE( CONTROL!$C$15, $D$11, 100%, $F$11)</f>
        <v>30.658200000000001</v>
      </c>
      <c r="H881" s="4">
        <f>31.5442 * CHOOSE(CONTROL!$C$15, $D$11, 100%, $F$11)</f>
        <v>31.5442</v>
      </c>
      <c r="I881" s="8">
        <f>30.2622 * CHOOSE(CONTROL!$C$15, $D$11, 100%, $F$11)</f>
        <v>30.2622</v>
      </c>
      <c r="J881" s="4">
        <f>30.1255 * CHOOSE(CONTROL!$C$15, $D$11, 100%, $F$11)</f>
        <v>30.125499999999999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29.3773 * CHOOSE(CONTROL!$C$15, $D$11, 100%, $F$11)</f>
        <v>29.377300000000002</v>
      </c>
      <c r="C882" s="8">
        <f>29.3825 * CHOOSE(CONTROL!$C$15, $D$11, 100%, $F$11)</f>
        <v>29.3825</v>
      </c>
      <c r="D882" s="8">
        <f>29.3626 * CHOOSE( CONTROL!$C$15, $D$11, 100%, $F$11)</f>
        <v>29.3626</v>
      </c>
      <c r="E882" s="12">
        <f>29.3693 * CHOOSE( CONTROL!$C$15, $D$11, 100%, $F$11)</f>
        <v>29.369299999999999</v>
      </c>
      <c r="F882" s="4">
        <f>30.0278 * CHOOSE(CONTROL!$C$15, $D$11, 100%, $F$11)</f>
        <v>30.027799999999999</v>
      </c>
      <c r="G882" s="8">
        <f>28.6769 * CHOOSE( CONTROL!$C$15, $D$11, 100%, $F$11)</f>
        <v>28.6769</v>
      </c>
      <c r="H882" s="4">
        <f>29.563 * CHOOSE(CONTROL!$C$15, $D$11, 100%, $F$11)</f>
        <v>29.562999999999999</v>
      </c>
      <c r="I882" s="8">
        <f>28.3136 * CHOOSE(CONTROL!$C$15, $D$11, 100%, $F$11)</f>
        <v>28.313600000000001</v>
      </c>
      <c r="J882" s="4">
        <f>28.178 * CHOOSE(CONTROL!$C$15, $D$11, 100%, $F$11)</f>
        <v>28.178000000000001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28.7525 * CHOOSE(CONTROL!$C$15, $D$11, 100%, $F$11)</f>
        <v>28.752500000000001</v>
      </c>
      <c r="C883" s="8">
        <f>28.7577 * CHOOSE(CONTROL!$C$15, $D$11, 100%, $F$11)</f>
        <v>28.7577</v>
      </c>
      <c r="D883" s="8">
        <f>28.7374 * CHOOSE( CONTROL!$C$15, $D$11, 100%, $F$11)</f>
        <v>28.737400000000001</v>
      </c>
      <c r="E883" s="12">
        <f>28.7443 * CHOOSE( CONTROL!$C$15, $D$11, 100%, $F$11)</f>
        <v>28.744299999999999</v>
      </c>
      <c r="F883" s="4">
        <f>29.403 * CHOOSE(CONTROL!$C$15, $D$11, 100%, $F$11)</f>
        <v>29.402999999999999</v>
      </c>
      <c r="G883" s="8">
        <f>28.0664 * CHOOSE( CONTROL!$C$15, $D$11, 100%, $F$11)</f>
        <v>28.066400000000002</v>
      </c>
      <c r="H883" s="4">
        <f>28.9528 * CHOOSE(CONTROL!$C$15, $D$11, 100%, $F$11)</f>
        <v>28.9528</v>
      </c>
      <c r="I883" s="8">
        <f>27.7124 * CHOOSE(CONTROL!$C$15, $D$11, 100%, $F$11)</f>
        <v>27.712399999999999</v>
      </c>
      <c r="J883" s="4">
        <f>27.5781 * CHOOSE(CONTROL!$C$15, $D$11, 100%, $F$11)</f>
        <v>27.578099999999999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29.1899 * CHOOSE(CONTROL!$C$15, $D$11, 100%, $F$11)</f>
        <v>29.189900000000002</v>
      </c>
      <c r="C884" s="8">
        <f>29.1945 * CHOOSE(CONTROL!$C$15, $D$11, 100%, $F$11)</f>
        <v>29.194500000000001</v>
      </c>
      <c r="D884" s="8">
        <f>29.2254 * CHOOSE( CONTROL!$C$15, $D$11, 100%, $F$11)</f>
        <v>29.2254</v>
      </c>
      <c r="E884" s="12">
        <f>29.2147 * CHOOSE( CONTROL!$C$15, $D$11, 100%, $F$11)</f>
        <v>29.214700000000001</v>
      </c>
      <c r="F884" s="4">
        <f>29.9047 * CHOOSE(CONTROL!$C$15, $D$11, 100%, $F$11)</f>
        <v>29.904699999999998</v>
      </c>
      <c r="G884" s="8">
        <f>28.4949 * CHOOSE( CONTROL!$C$15, $D$11, 100%, $F$11)</f>
        <v>28.494900000000001</v>
      </c>
      <c r="H884" s="4">
        <f>29.4428 * CHOOSE(CONTROL!$C$15, $D$11, 100%, $F$11)</f>
        <v>29.442799999999998</v>
      </c>
      <c r="I884" s="8">
        <f>28.1251 * CHOOSE(CONTROL!$C$15, $D$11, 100%, $F$11)</f>
        <v>28.1251</v>
      </c>
      <c r="J884" s="4">
        <f>27.9973 * CHOOSE(CONTROL!$C$15, $D$11, 100%, $F$11)</f>
        <v>27.997299999999999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29.9716, 29.9682) * CHOOSE(CONTROL!$C$15, $D$11, 100%, $F$11)</f>
        <v>29.971599999999999</v>
      </c>
      <c r="C885" s="8">
        <f>CHOOSE( CONTROL!$C$32, 29.9797, 29.9763) * CHOOSE(CONTROL!$C$15, $D$11, 100%, $F$11)</f>
        <v>29.979700000000001</v>
      </c>
      <c r="D885" s="8">
        <f>CHOOSE( CONTROL!$C$32, 30.0053, 30.0019) * CHOOSE( CONTROL!$C$15, $D$11, 100%, $F$11)</f>
        <v>30.005299999999998</v>
      </c>
      <c r="E885" s="12">
        <f>CHOOSE( CONTROL!$C$32, 29.9948, 29.9914) * CHOOSE( CONTROL!$C$15, $D$11, 100%, $F$11)</f>
        <v>29.994800000000001</v>
      </c>
      <c r="F885" s="4">
        <f>CHOOSE( CONTROL!$C$32, 30.6851, 30.6817) * CHOOSE(CONTROL!$C$15, $D$11, 100%, $F$11)</f>
        <v>30.685099999999998</v>
      </c>
      <c r="G885" s="8">
        <f>CHOOSE( CONTROL!$C$32, 29.2578, 29.2545) * CHOOSE( CONTROL!$C$15, $D$11, 100%, $F$11)</f>
        <v>29.2578</v>
      </c>
      <c r="H885" s="4">
        <f>CHOOSE( CONTROL!$C$32, 30.205, 30.2017) * CHOOSE(CONTROL!$C$15, $D$11, 100%, $F$11)</f>
        <v>30.204999999999998</v>
      </c>
      <c r="I885" s="8">
        <f>CHOOSE( CONTROL!$C$32, 28.8749, 28.8716) * CHOOSE(CONTROL!$C$15, $D$11, 100%, $F$11)</f>
        <v>28.8749</v>
      </c>
      <c r="J885" s="4">
        <f>CHOOSE( CONTROL!$C$32, 28.7466, 28.7433) * CHOOSE(CONTROL!$C$15, $D$11, 100%, $F$11)</f>
        <v>28.746600000000001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29.4903, 29.4869) * CHOOSE(CONTROL!$C$15, $D$11, 100%, $F$11)</f>
        <v>29.490300000000001</v>
      </c>
      <c r="C886" s="8">
        <f>CHOOSE( CONTROL!$C$32, 29.4984, 29.495) * CHOOSE(CONTROL!$C$15, $D$11, 100%, $F$11)</f>
        <v>29.4984</v>
      </c>
      <c r="D886" s="8">
        <f>CHOOSE( CONTROL!$C$32, 29.5242, 29.5208) * CHOOSE( CONTROL!$C$15, $D$11, 100%, $F$11)</f>
        <v>29.5242</v>
      </c>
      <c r="E886" s="12">
        <f>CHOOSE( CONTROL!$C$32, 29.5136, 29.5102) * CHOOSE( CONTROL!$C$15, $D$11, 100%, $F$11)</f>
        <v>29.5136</v>
      </c>
      <c r="F886" s="4">
        <f>CHOOSE( CONTROL!$C$32, 30.2038, 30.2003) * CHOOSE(CONTROL!$C$15, $D$11, 100%, $F$11)</f>
        <v>30.203800000000001</v>
      </c>
      <c r="G886" s="8">
        <f>CHOOSE( CONTROL!$C$32, 28.788, 28.7847) * CHOOSE( CONTROL!$C$15, $D$11, 100%, $F$11)</f>
        <v>28.788</v>
      </c>
      <c r="H886" s="4">
        <f>CHOOSE( CONTROL!$C$32, 29.7349, 29.7316) * CHOOSE(CONTROL!$C$15, $D$11, 100%, $F$11)</f>
        <v>29.7349</v>
      </c>
      <c r="I886" s="8">
        <f>CHOOSE( CONTROL!$C$32, 28.4135, 28.4102) * CHOOSE(CONTROL!$C$15, $D$11, 100%, $F$11)</f>
        <v>28.413499999999999</v>
      </c>
      <c r="J886" s="4">
        <f>CHOOSE( CONTROL!$C$32, 28.2844, 28.2812) * CHOOSE(CONTROL!$C$15, $D$11, 100%, $F$11)</f>
        <v>28.284400000000002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30.7578, 30.7544) * CHOOSE(CONTROL!$C$15, $D$11, 100%, $F$11)</f>
        <v>30.7578</v>
      </c>
      <c r="C887" s="8">
        <f>CHOOSE( CONTROL!$C$32, 30.7659, 30.7625) * CHOOSE(CONTROL!$C$15, $D$11, 100%, $F$11)</f>
        <v>30.765899999999998</v>
      </c>
      <c r="D887" s="8">
        <f>CHOOSE( CONTROL!$C$32, 30.792, 30.7886) * CHOOSE( CONTROL!$C$15, $D$11, 100%, $F$11)</f>
        <v>30.792000000000002</v>
      </c>
      <c r="E887" s="12">
        <f>CHOOSE( CONTROL!$C$32, 30.7813, 30.7779) * CHOOSE( CONTROL!$C$15, $D$11, 100%, $F$11)</f>
        <v>30.781300000000002</v>
      </c>
      <c r="F887" s="4">
        <f>CHOOSE( CONTROL!$C$32, 31.4713, 31.4679) * CHOOSE(CONTROL!$C$15, $D$11, 100%, $F$11)</f>
        <v>31.471299999999999</v>
      </c>
      <c r="G887" s="8">
        <f>CHOOSE( CONTROL!$C$32, 30.0264, 30.023) * CHOOSE( CONTROL!$C$15, $D$11, 100%, $F$11)</f>
        <v>30.026399999999999</v>
      </c>
      <c r="H887" s="4">
        <f>CHOOSE( CONTROL!$C$32, 30.9729, 30.9696) * CHOOSE(CONTROL!$C$15, $D$11, 100%, $F$11)</f>
        <v>30.972899999999999</v>
      </c>
      <c r="I887" s="8">
        <f>CHOOSE( CONTROL!$C$32, 29.6321, 29.6288) * CHOOSE(CONTROL!$C$15, $D$11, 100%, $F$11)</f>
        <v>29.632100000000001</v>
      </c>
      <c r="J887" s="4">
        <f>CHOOSE( CONTROL!$C$32, 29.5014, 29.4981) * CHOOSE(CONTROL!$C$15, $D$11, 100%, $F$11)</f>
        <v>29.5014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28.3862, 28.3828) * CHOOSE(CONTROL!$C$15, $D$11, 100%, $F$11)</f>
        <v>28.386199999999999</v>
      </c>
      <c r="C888" s="8">
        <f>CHOOSE( CONTROL!$C$32, 28.3943, 28.3909) * CHOOSE(CONTROL!$C$15, $D$11, 100%, $F$11)</f>
        <v>28.394300000000001</v>
      </c>
      <c r="D888" s="8">
        <f>CHOOSE( CONTROL!$C$32, 28.4204, 28.417) * CHOOSE( CONTROL!$C$15, $D$11, 100%, $F$11)</f>
        <v>28.420400000000001</v>
      </c>
      <c r="E888" s="12">
        <f>CHOOSE( CONTROL!$C$32, 28.4097, 28.4063) * CHOOSE( CONTROL!$C$15, $D$11, 100%, $F$11)</f>
        <v>28.409700000000001</v>
      </c>
      <c r="F888" s="4">
        <f>CHOOSE( CONTROL!$C$32, 29.0996, 29.0962) * CHOOSE(CONTROL!$C$15, $D$11, 100%, $F$11)</f>
        <v>29.099599999999999</v>
      </c>
      <c r="G888" s="8">
        <f>CHOOSE( CONTROL!$C$32, 27.7101, 27.7068) * CHOOSE( CONTROL!$C$15, $D$11, 100%, $F$11)</f>
        <v>27.710100000000001</v>
      </c>
      <c r="H888" s="4">
        <f>CHOOSE( CONTROL!$C$32, 28.6565, 28.6531) * CHOOSE(CONTROL!$C$15, $D$11, 100%, $F$11)</f>
        <v>28.656500000000001</v>
      </c>
      <c r="I888" s="8">
        <f>CHOOSE( CONTROL!$C$32, 27.3544, 27.3511) * CHOOSE(CONTROL!$C$15, $D$11, 100%, $F$11)</f>
        <v>27.354399999999998</v>
      </c>
      <c r="J888" s="4">
        <f>CHOOSE( CONTROL!$C$32, 27.2243, 27.2211) * CHOOSE(CONTROL!$C$15, $D$11, 100%, $F$11)</f>
        <v>27.224299999999999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27.7923, 27.7889) * CHOOSE(CONTROL!$C$15, $D$11, 100%, $F$11)</f>
        <v>27.792300000000001</v>
      </c>
      <c r="C889" s="8">
        <f>CHOOSE( CONTROL!$C$32, 27.8004, 27.797) * CHOOSE(CONTROL!$C$15, $D$11, 100%, $F$11)</f>
        <v>27.8004</v>
      </c>
      <c r="D889" s="8">
        <f>CHOOSE( CONTROL!$C$32, 27.8265, 27.8231) * CHOOSE( CONTROL!$C$15, $D$11, 100%, $F$11)</f>
        <v>27.826499999999999</v>
      </c>
      <c r="E889" s="12">
        <f>CHOOSE( CONTROL!$C$32, 27.8158, 27.8124) * CHOOSE( CONTROL!$C$15, $D$11, 100%, $F$11)</f>
        <v>27.815799999999999</v>
      </c>
      <c r="F889" s="4">
        <f>CHOOSE( CONTROL!$C$32, 28.5057, 28.5023) * CHOOSE(CONTROL!$C$15, $D$11, 100%, $F$11)</f>
        <v>28.505700000000001</v>
      </c>
      <c r="G889" s="8">
        <f>CHOOSE( CONTROL!$C$32, 27.13, 27.1266) * CHOOSE( CONTROL!$C$15, $D$11, 100%, $F$11)</f>
        <v>27.13</v>
      </c>
      <c r="H889" s="4">
        <f>CHOOSE( CONTROL!$C$32, 28.0764, 28.0731) * CHOOSE(CONTROL!$C$15, $D$11, 100%, $F$11)</f>
        <v>28.0764</v>
      </c>
      <c r="I889" s="8">
        <f>CHOOSE( CONTROL!$C$32, 26.7837, 26.7805) * CHOOSE(CONTROL!$C$15, $D$11, 100%, $F$11)</f>
        <v>26.7837</v>
      </c>
      <c r="J889" s="4">
        <f>CHOOSE( CONTROL!$C$32, 26.6541, 26.6509) * CHOOSE(CONTROL!$C$15, $D$11, 100%, $F$11)</f>
        <v>26.6541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29.0203 * CHOOSE(CONTROL!$C$15, $D$11, 100%, $F$11)</f>
        <v>29.020299999999999</v>
      </c>
      <c r="C890" s="8">
        <f>29.0257 * CHOOSE(CONTROL!$C$15, $D$11, 100%, $F$11)</f>
        <v>29.025700000000001</v>
      </c>
      <c r="D890" s="8">
        <f>29.0568 * CHOOSE( CONTROL!$C$15, $D$11, 100%, $F$11)</f>
        <v>29.056799999999999</v>
      </c>
      <c r="E890" s="12">
        <f>29.046 * CHOOSE( CONTROL!$C$15, $D$11, 100%, $F$11)</f>
        <v>29.045999999999999</v>
      </c>
      <c r="F890" s="4">
        <f>29.7354 * CHOOSE(CONTROL!$C$15, $D$11, 100%, $F$11)</f>
        <v>29.735399999999998</v>
      </c>
      <c r="G890" s="8">
        <f>28.3306 * CHOOSE( CONTROL!$C$15, $D$11, 100%, $F$11)</f>
        <v>28.3306</v>
      </c>
      <c r="H890" s="4">
        <f>29.2775 * CHOOSE(CONTROL!$C$15, $D$11, 100%, $F$11)</f>
        <v>29.2775</v>
      </c>
      <c r="I890" s="8">
        <f>27.9658 * CHOOSE(CONTROL!$C$15, $D$11, 100%, $F$11)</f>
        <v>27.965800000000002</v>
      </c>
      <c r="J890" s="4">
        <f>27.8348 * CHOOSE(CONTROL!$C$15, $D$11, 100%, $F$11)</f>
        <v>27.834800000000001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31.296 * CHOOSE(CONTROL!$C$15, $D$11, 100%, $F$11)</f>
        <v>31.295999999999999</v>
      </c>
      <c r="C891" s="8">
        <f>31.3012 * CHOOSE(CONTROL!$C$15, $D$11, 100%, $F$11)</f>
        <v>31.301200000000001</v>
      </c>
      <c r="D891" s="8">
        <f>31.294 * CHOOSE( CONTROL!$C$15, $D$11, 100%, $F$11)</f>
        <v>31.294</v>
      </c>
      <c r="E891" s="12">
        <f>31.2961 * CHOOSE( CONTROL!$C$15, $D$11, 100%, $F$11)</f>
        <v>31.296099999999999</v>
      </c>
      <c r="F891" s="4">
        <f>31.9464 * CHOOSE(CONTROL!$C$15, $D$11, 100%, $F$11)</f>
        <v>31.946400000000001</v>
      </c>
      <c r="G891" s="8">
        <f>30.5667 * CHOOSE( CONTROL!$C$15, $D$11, 100%, $F$11)</f>
        <v>30.566700000000001</v>
      </c>
      <c r="H891" s="4">
        <f>31.437 * CHOOSE(CONTROL!$C$15, $D$11, 100%, $F$11)</f>
        <v>31.437000000000001</v>
      </c>
      <c r="I891" s="8">
        <f>30.1957 * CHOOSE(CONTROL!$C$15, $D$11, 100%, $F$11)</f>
        <v>30.195699999999999</v>
      </c>
      <c r="J891" s="4">
        <f>30.0201 * CHOOSE(CONTROL!$C$15, $D$11, 100%, $F$11)</f>
        <v>30.020099999999999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31.2391 * CHOOSE(CONTROL!$C$15, $D$11, 100%, $F$11)</f>
        <v>31.239100000000001</v>
      </c>
      <c r="C892" s="8">
        <f>31.2443 * CHOOSE(CONTROL!$C$15, $D$11, 100%, $F$11)</f>
        <v>31.244299999999999</v>
      </c>
      <c r="D892" s="8">
        <f>31.2386 * CHOOSE( CONTROL!$C$15, $D$11, 100%, $F$11)</f>
        <v>31.238600000000002</v>
      </c>
      <c r="E892" s="12">
        <f>31.2401 * CHOOSE( CONTROL!$C$15, $D$11, 100%, $F$11)</f>
        <v>31.240100000000002</v>
      </c>
      <c r="F892" s="4">
        <f>31.8896 * CHOOSE(CONTROL!$C$15, $D$11, 100%, $F$11)</f>
        <v>31.889600000000002</v>
      </c>
      <c r="G892" s="8">
        <f>30.5122 * CHOOSE( CONTROL!$C$15, $D$11, 100%, $F$11)</f>
        <v>30.5122</v>
      </c>
      <c r="H892" s="4">
        <f>31.3814 * CHOOSE(CONTROL!$C$15, $D$11, 100%, $F$11)</f>
        <v>31.381399999999999</v>
      </c>
      <c r="I892" s="8">
        <f>30.1456 * CHOOSE(CONTROL!$C$15, $D$11, 100%, $F$11)</f>
        <v>30.145600000000002</v>
      </c>
      <c r="J892" s="4">
        <f>29.9655 * CHOOSE(CONTROL!$C$15, $D$11, 100%, $F$11)</f>
        <v>29.965499999999999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32.1597 * CHOOSE(CONTROL!$C$15, $D$11, 100%, $F$11)</f>
        <v>32.159700000000001</v>
      </c>
      <c r="C893" s="8">
        <f>32.1649 * CHOOSE(CONTROL!$C$15, $D$11, 100%, $F$11)</f>
        <v>32.164900000000003</v>
      </c>
      <c r="D893" s="8">
        <f>32.145 * CHOOSE( CONTROL!$C$15, $D$11, 100%, $F$11)</f>
        <v>32.145000000000003</v>
      </c>
      <c r="E893" s="12">
        <f>32.1517 * CHOOSE( CONTROL!$C$15, $D$11, 100%, $F$11)</f>
        <v>32.151699999999998</v>
      </c>
      <c r="F893" s="4">
        <f>32.8102 * CHOOSE(CONTROL!$C$15, $D$11, 100%, $F$11)</f>
        <v>32.810200000000002</v>
      </c>
      <c r="G893" s="8">
        <f>31.3945 * CHOOSE( CONTROL!$C$15, $D$11, 100%, $F$11)</f>
        <v>31.394500000000001</v>
      </c>
      <c r="H893" s="4">
        <f>32.2806 * CHOOSE(CONTROL!$C$15, $D$11, 100%, $F$11)</f>
        <v>32.2806</v>
      </c>
      <c r="I893" s="8">
        <f>30.9864 * CHOOSE(CONTROL!$C$15, $D$11, 100%, $F$11)</f>
        <v>30.9864</v>
      </c>
      <c r="J893" s="4">
        <f>30.8494 * CHOOSE(CONTROL!$C$15, $D$11, 100%, $F$11)</f>
        <v>30.849399999999999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30.0825 * CHOOSE(CONTROL!$C$15, $D$11, 100%, $F$11)</f>
        <v>30.0825</v>
      </c>
      <c r="C894" s="8">
        <f>30.0877 * CHOOSE(CONTROL!$C$15, $D$11, 100%, $F$11)</f>
        <v>30.087700000000002</v>
      </c>
      <c r="D894" s="8">
        <f>30.0677 * CHOOSE( CONTROL!$C$15, $D$11, 100%, $F$11)</f>
        <v>30.067699999999999</v>
      </c>
      <c r="E894" s="12">
        <f>30.0745 * CHOOSE( CONTROL!$C$15, $D$11, 100%, $F$11)</f>
        <v>30.0745</v>
      </c>
      <c r="F894" s="4">
        <f>30.7329 * CHOOSE(CONTROL!$C$15, $D$11, 100%, $F$11)</f>
        <v>30.732900000000001</v>
      </c>
      <c r="G894" s="8">
        <f>29.3657 * CHOOSE( CONTROL!$C$15, $D$11, 100%, $F$11)</f>
        <v>29.3657</v>
      </c>
      <c r="H894" s="4">
        <f>30.2518 * CHOOSE(CONTROL!$C$15, $D$11, 100%, $F$11)</f>
        <v>30.251799999999999</v>
      </c>
      <c r="I894" s="8">
        <f>28.991 * CHOOSE(CONTROL!$C$15, $D$11, 100%, $F$11)</f>
        <v>28.991</v>
      </c>
      <c r="J894" s="4">
        <f>28.855 * CHOOSE(CONTROL!$C$15, $D$11, 100%, $F$11)</f>
        <v>28.855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29.4427 * CHOOSE(CONTROL!$C$15, $D$11, 100%, $F$11)</f>
        <v>29.442699999999999</v>
      </c>
      <c r="C895" s="8">
        <f>29.4479 * CHOOSE(CONTROL!$C$15, $D$11, 100%, $F$11)</f>
        <v>29.447900000000001</v>
      </c>
      <c r="D895" s="8">
        <f>29.4276 * CHOOSE( CONTROL!$C$15, $D$11, 100%, $F$11)</f>
        <v>29.427600000000002</v>
      </c>
      <c r="E895" s="12">
        <f>29.4345 * CHOOSE( CONTROL!$C$15, $D$11, 100%, $F$11)</f>
        <v>29.4345</v>
      </c>
      <c r="F895" s="4">
        <f>30.0932 * CHOOSE(CONTROL!$C$15, $D$11, 100%, $F$11)</f>
        <v>30.0932</v>
      </c>
      <c r="G895" s="8">
        <f>28.7405 * CHOOSE( CONTROL!$C$15, $D$11, 100%, $F$11)</f>
        <v>28.740500000000001</v>
      </c>
      <c r="H895" s="4">
        <f>29.6269 * CHOOSE(CONTROL!$C$15, $D$11, 100%, $F$11)</f>
        <v>29.626899999999999</v>
      </c>
      <c r="I895" s="8">
        <f>28.3753 * CHOOSE(CONTROL!$C$15, $D$11, 100%, $F$11)</f>
        <v>28.375299999999999</v>
      </c>
      <c r="J895" s="4">
        <f>28.2408 * CHOOSE(CONTROL!$C$15, $D$11, 100%, $F$11)</f>
        <v>28.2408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29.8905 * CHOOSE(CONTROL!$C$15, $D$11, 100%, $F$11)</f>
        <v>29.890499999999999</v>
      </c>
      <c r="C896" s="8">
        <f>29.8951 * CHOOSE(CONTROL!$C$15, $D$11, 100%, $F$11)</f>
        <v>29.895099999999999</v>
      </c>
      <c r="D896" s="8">
        <f>29.926 * CHOOSE( CONTROL!$C$15, $D$11, 100%, $F$11)</f>
        <v>29.925999999999998</v>
      </c>
      <c r="E896" s="12">
        <f>29.9153 * CHOOSE( CONTROL!$C$15, $D$11, 100%, $F$11)</f>
        <v>29.915299999999998</v>
      </c>
      <c r="F896" s="4">
        <f>30.6053 * CHOOSE(CONTROL!$C$15, $D$11, 100%, $F$11)</f>
        <v>30.6053</v>
      </c>
      <c r="G896" s="8">
        <f>29.1792 * CHOOSE( CONTROL!$C$15, $D$11, 100%, $F$11)</f>
        <v>29.179200000000002</v>
      </c>
      <c r="H896" s="4">
        <f>30.1271 * CHOOSE(CONTROL!$C$15, $D$11, 100%, $F$11)</f>
        <v>30.127099999999999</v>
      </c>
      <c r="I896" s="8">
        <f>28.7981 * CHOOSE(CONTROL!$C$15, $D$11, 100%, $F$11)</f>
        <v>28.798100000000002</v>
      </c>
      <c r="J896" s="4">
        <f>28.67 * CHOOSE(CONTROL!$C$15, $D$11, 100%, $F$11)</f>
        <v>28.67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30.691, 30.6876) * CHOOSE(CONTROL!$C$15, $D$11, 100%, $F$11)</f>
        <v>30.690999999999999</v>
      </c>
      <c r="C897" s="8">
        <f>CHOOSE( CONTROL!$C$32, 30.6991, 30.6957) * CHOOSE(CONTROL!$C$15, $D$11, 100%, $F$11)</f>
        <v>30.699100000000001</v>
      </c>
      <c r="D897" s="8">
        <f>CHOOSE( CONTROL!$C$32, 30.7247, 30.7213) * CHOOSE( CONTROL!$C$15, $D$11, 100%, $F$11)</f>
        <v>30.724699999999999</v>
      </c>
      <c r="E897" s="12">
        <f>CHOOSE( CONTROL!$C$32, 30.7142, 30.7108) * CHOOSE( CONTROL!$C$15, $D$11, 100%, $F$11)</f>
        <v>30.714200000000002</v>
      </c>
      <c r="F897" s="4">
        <f>CHOOSE( CONTROL!$C$32, 31.4044, 31.401) * CHOOSE(CONTROL!$C$15, $D$11, 100%, $F$11)</f>
        <v>31.404399999999999</v>
      </c>
      <c r="G897" s="8">
        <f>CHOOSE( CONTROL!$C$32, 29.9604, 29.9571) * CHOOSE( CONTROL!$C$15, $D$11, 100%, $F$11)</f>
        <v>29.9604</v>
      </c>
      <c r="H897" s="4">
        <f>CHOOSE( CONTROL!$C$32, 30.9076, 30.9042) * CHOOSE(CONTROL!$C$15, $D$11, 100%, $F$11)</f>
        <v>30.907599999999999</v>
      </c>
      <c r="I897" s="8">
        <f>CHOOSE( CONTROL!$C$32, 29.5658, 29.5626) * CHOOSE(CONTROL!$C$15, $D$11, 100%, $F$11)</f>
        <v>29.565799999999999</v>
      </c>
      <c r="J897" s="4">
        <f>CHOOSE( CONTROL!$C$32, 29.4372, 29.4339) * CHOOSE(CONTROL!$C$15, $D$11, 100%, $F$11)</f>
        <v>29.437200000000001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30.1981, 30.1947) * CHOOSE(CONTROL!$C$15, $D$11, 100%, $F$11)</f>
        <v>30.1981</v>
      </c>
      <c r="C898" s="8">
        <f>CHOOSE( CONTROL!$C$32, 30.2062, 30.2028) * CHOOSE(CONTROL!$C$15, $D$11, 100%, $F$11)</f>
        <v>30.206199999999999</v>
      </c>
      <c r="D898" s="8">
        <f>CHOOSE( CONTROL!$C$32, 30.232, 30.2286) * CHOOSE( CONTROL!$C$15, $D$11, 100%, $F$11)</f>
        <v>30.231999999999999</v>
      </c>
      <c r="E898" s="12">
        <f>CHOOSE( CONTROL!$C$32, 30.2214, 30.218) * CHOOSE( CONTROL!$C$15, $D$11, 100%, $F$11)</f>
        <v>30.221399999999999</v>
      </c>
      <c r="F898" s="4">
        <f>CHOOSE( CONTROL!$C$32, 30.9115, 30.9081) * CHOOSE(CONTROL!$C$15, $D$11, 100%, $F$11)</f>
        <v>30.9115</v>
      </c>
      <c r="G898" s="8">
        <f>CHOOSE( CONTROL!$C$32, 29.4793, 29.476) * CHOOSE( CONTROL!$C$15, $D$11, 100%, $F$11)</f>
        <v>29.479299999999999</v>
      </c>
      <c r="H898" s="4">
        <f>CHOOSE( CONTROL!$C$32, 30.4262, 30.4228) * CHOOSE(CONTROL!$C$15, $D$11, 100%, $F$11)</f>
        <v>30.426200000000001</v>
      </c>
      <c r="I898" s="8">
        <f>CHOOSE( CONTROL!$C$32, 29.0933, 29.0901) * CHOOSE(CONTROL!$C$15, $D$11, 100%, $F$11)</f>
        <v>29.093299999999999</v>
      </c>
      <c r="J898" s="4">
        <f>CHOOSE( CONTROL!$C$32, 28.964, 28.9607) * CHOOSE(CONTROL!$C$15, $D$11, 100%, $F$11)</f>
        <v>28.963999999999999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31.4961, 31.4927) * CHOOSE(CONTROL!$C$15, $D$11, 100%, $F$11)</f>
        <v>31.496099999999998</v>
      </c>
      <c r="C899" s="8">
        <f>CHOOSE( CONTROL!$C$32, 31.5041, 31.5007) * CHOOSE(CONTROL!$C$15, $D$11, 100%, $F$11)</f>
        <v>31.504100000000001</v>
      </c>
      <c r="D899" s="8">
        <f>CHOOSE( CONTROL!$C$32, 31.5302, 31.5268) * CHOOSE( CONTROL!$C$15, $D$11, 100%, $F$11)</f>
        <v>31.530200000000001</v>
      </c>
      <c r="E899" s="12">
        <f>CHOOSE( CONTROL!$C$32, 31.5195, 31.5161) * CHOOSE( CONTROL!$C$15, $D$11, 100%, $F$11)</f>
        <v>31.519500000000001</v>
      </c>
      <c r="F899" s="4">
        <f>CHOOSE( CONTROL!$C$32, 32.2095, 32.2061) * CHOOSE(CONTROL!$C$15, $D$11, 100%, $F$11)</f>
        <v>32.209499999999998</v>
      </c>
      <c r="G899" s="8">
        <f>CHOOSE( CONTROL!$C$32, 30.7474, 30.7441) * CHOOSE( CONTROL!$C$15, $D$11, 100%, $F$11)</f>
        <v>30.747399999999999</v>
      </c>
      <c r="H899" s="4">
        <f>CHOOSE( CONTROL!$C$32, 31.6939, 31.6906) * CHOOSE(CONTROL!$C$15, $D$11, 100%, $F$11)</f>
        <v>31.693899999999999</v>
      </c>
      <c r="I899" s="8">
        <f>CHOOSE( CONTROL!$C$32, 30.3412, 30.338) * CHOOSE(CONTROL!$C$15, $D$11, 100%, $F$11)</f>
        <v>30.341200000000001</v>
      </c>
      <c r="J899" s="4">
        <f>CHOOSE( CONTROL!$C$32, 30.2101, 30.2069) * CHOOSE(CONTROL!$C$15, $D$11, 100%, $F$11)</f>
        <v>30.210100000000001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29.0674, 29.064) * CHOOSE(CONTROL!$C$15, $D$11, 100%, $F$11)</f>
        <v>29.067399999999999</v>
      </c>
      <c r="C900" s="8">
        <f>CHOOSE( CONTROL!$C$32, 29.0755, 29.0721) * CHOOSE(CONTROL!$C$15, $D$11, 100%, $F$11)</f>
        <v>29.075500000000002</v>
      </c>
      <c r="D900" s="8">
        <f>CHOOSE( CONTROL!$C$32, 29.1016, 29.0982) * CHOOSE( CONTROL!$C$15, $D$11, 100%, $F$11)</f>
        <v>29.101600000000001</v>
      </c>
      <c r="E900" s="12">
        <f>CHOOSE( CONTROL!$C$32, 29.0909, 29.0875) * CHOOSE( CONTROL!$C$15, $D$11, 100%, $F$11)</f>
        <v>29.090900000000001</v>
      </c>
      <c r="F900" s="4">
        <f>CHOOSE( CONTROL!$C$32, 29.7808, 29.7774) * CHOOSE(CONTROL!$C$15, $D$11, 100%, $F$11)</f>
        <v>29.780799999999999</v>
      </c>
      <c r="G900" s="8">
        <f>CHOOSE( CONTROL!$C$32, 28.3754, 28.3721) * CHOOSE( CONTROL!$C$15, $D$11, 100%, $F$11)</f>
        <v>28.375399999999999</v>
      </c>
      <c r="H900" s="4">
        <f>CHOOSE( CONTROL!$C$32, 29.3218, 29.3185) * CHOOSE(CONTROL!$C$15, $D$11, 100%, $F$11)</f>
        <v>29.3218</v>
      </c>
      <c r="I900" s="8">
        <f>CHOOSE( CONTROL!$C$32, 28.0088, 28.0055) * CHOOSE(CONTROL!$C$15, $D$11, 100%, $F$11)</f>
        <v>28.008800000000001</v>
      </c>
      <c r="J900" s="4">
        <f>CHOOSE( CONTROL!$C$32, 27.8784, 27.8751) * CHOOSE(CONTROL!$C$15, $D$11, 100%, $F$11)</f>
        <v>27.878399999999999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28.4592, 28.4558) * CHOOSE(CONTROL!$C$15, $D$11, 100%, $F$11)</f>
        <v>28.459199999999999</v>
      </c>
      <c r="C901" s="8">
        <f>CHOOSE( CONTROL!$C$32, 28.4673, 28.4639) * CHOOSE(CONTROL!$C$15, $D$11, 100%, $F$11)</f>
        <v>28.467300000000002</v>
      </c>
      <c r="D901" s="8">
        <f>CHOOSE( CONTROL!$C$32, 28.4934, 28.49) * CHOOSE( CONTROL!$C$15, $D$11, 100%, $F$11)</f>
        <v>28.493400000000001</v>
      </c>
      <c r="E901" s="12">
        <f>CHOOSE( CONTROL!$C$32, 28.4827, 28.4793) * CHOOSE( CONTROL!$C$15, $D$11, 100%, $F$11)</f>
        <v>28.482700000000001</v>
      </c>
      <c r="F901" s="4">
        <f>CHOOSE( CONTROL!$C$32, 29.1727, 29.1693) * CHOOSE(CONTROL!$C$15, $D$11, 100%, $F$11)</f>
        <v>29.172699999999999</v>
      </c>
      <c r="G901" s="8">
        <f>CHOOSE( CONTROL!$C$32, 27.7814, 27.7781) * CHOOSE( CONTROL!$C$15, $D$11, 100%, $F$11)</f>
        <v>27.781400000000001</v>
      </c>
      <c r="H901" s="4">
        <f>CHOOSE( CONTROL!$C$32, 28.7278, 28.7245) * CHOOSE(CONTROL!$C$15, $D$11, 100%, $F$11)</f>
        <v>28.727799999999998</v>
      </c>
      <c r="I901" s="8">
        <f>CHOOSE( CONTROL!$C$32, 27.4244, 27.4212) * CHOOSE(CONTROL!$C$15, $D$11, 100%, $F$11)</f>
        <v>27.424399999999999</v>
      </c>
      <c r="J901" s="4">
        <f>CHOOSE( CONTROL!$C$32, 27.2945, 27.2912) * CHOOSE(CONTROL!$C$15, $D$11, 100%, $F$11)</f>
        <v>27.294499999999999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29.7169 * CHOOSE(CONTROL!$C$15, $D$11, 100%, $F$11)</f>
        <v>29.716899999999999</v>
      </c>
      <c r="C902" s="8">
        <f>29.7223 * CHOOSE(CONTROL!$C$15, $D$11, 100%, $F$11)</f>
        <v>29.722300000000001</v>
      </c>
      <c r="D902" s="8">
        <f>29.7534 * CHOOSE( CONTROL!$C$15, $D$11, 100%, $F$11)</f>
        <v>29.753399999999999</v>
      </c>
      <c r="E902" s="12">
        <f>29.7426 * CHOOSE( CONTROL!$C$15, $D$11, 100%, $F$11)</f>
        <v>29.742599999999999</v>
      </c>
      <c r="F902" s="4">
        <f>30.432 * CHOOSE(CONTROL!$C$15, $D$11, 100%, $F$11)</f>
        <v>30.431999999999999</v>
      </c>
      <c r="G902" s="8">
        <f>29.011 * CHOOSE( CONTROL!$C$15, $D$11, 100%, $F$11)</f>
        <v>29.010999999999999</v>
      </c>
      <c r="H902" s="4">
        <f>29.9578 * CHOOSE(CONTROL!$C$15, $D$11, 100%, $F$11)</f>
        <v>29.957799999999999</v>
      </c>
      <c r="I902" s="8">
        <f>28.635 * CHOOSE(CONTROL!$C$15, $D$11, 100%, $F$11)</f>
        <v>28.635000000000002</v>
      </c>
      <c r="J902" s="4">
        <f>28.5036 * CHOOSE(CONTROL!$C$15, $D$11, 100%, $F$11)</f>
        <v>28.503599999999999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32.0473 * CHOOSE(CONTROL!$C$15, $D$11, 100%, $F$11)</f>
        <v>32.0473</v>
      </c>
      <c r="C903" s="8">
        <f>32.0524 * CHOOSE(CONTROL!$C$15, $D$11, 100%, $F$11)</f>
        <v>32.052399999999999</v>
      </c>
      <c r="D903" s="8">
        <f>32.0453 * CHOOSE( CONTROL!$C$15, $D$11, 100%, $F$11)</f>
        <v>32.045299999999997</v>
      </c>
      <c r="E903" s="12">
        <f>32.0474 * CHOOSE( CONTROL!$C$15, $D$11, 100%, $F$11)</f>
        <v>32.047400000000003</v>
      </c>
      <c r="F903" s="4">
        <f>32.6977 * CHOOSE(CONTROL!$C$15, $D$11, 100%, $F$11)</f>
        <v>32.697699999999998</v>
      </c>
      <c r="G903" s="8">
        <f>31.3005 * CHOOSE( CONTROL!$C$15, $D$11, 100%, $F$11)</f>
        <v>31.3005</v>
      </c>
      <c r="H903" s="4">
        <f>32.1708 * CHOOSE(CONTROL!$C$15, $D$11, 100%, $F$11)</f>
        <v>32.1708</v>
      </c>
      <c r="I903" s="8">
        <f>30.9173 * CHOOSE(CONTROL!$C$15, $D$11, 100%, $F$11)</f>
        <v>30.917300000000001</v>
      </c>
      <c r="J903" s="4">
        <f>30.7414 * CHOOSE(CONTROL!$C$15, $D$11, 100%, $F$11)</f>
        <v>30.741399999999999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31.989 * CHOOSE(CONTROL!$C$15, $D$11, 100%, $F$11)</f>
        <v>31.989000000000001</v>
      </c>
      <c r="C904" s="8">
        <f>31.9942 * CHOOSE(CONTROL!$C$15, $D$11, 100%, $F$11)</f>
        <v>31.994199999999999</v>
      </c>
      <c r="D904" s="8">
        <f>31.9885 * CHOOSE( CONTROL!$C$15, $D$11, 100%, $F$11)</f>
        <v>31.988499999999998</v>
      </c>
      <c r="E904" s="12">
        <f>31.99 * CHOOSE( CONTROL!$C$15, $D$11, 100%, $F$11)</f>
        <v>31.99</v>
      </c>
      <c r="F904" s="4">
        <f>32.6395 * CHOOSE(CONTROL!$C$15, $D$11, 100%, $F$11)</f>
        <v>32.639499999999998</v>
      </c>
      <c r="G904" s="8">
        <f>31.2447 * CHOOSE( CONTROL!$C$15, $D$11, 100%, $F$11)</f>
        <v>31.244700000000002</v>
      </c>
      <c r="H904" s="4">
        <f>32.1139 * CHOOSE(CONTROL!$C$15, $D$11, 100%, $F$11)</f>
        <v>32.113900000000001</v>
      </c>
      <c r="I904" s="8">
        <f>30.866 * CHOOSE(CONTROL!$C$15, $D$11, 100%, $F$11)</f>
        <v>30.866</v>
      </c>
      <c r="J904" s="4">
        <f>30.6855 * CHOOSE(CONTROL!$C$15, $D$11, 100%, $F$11)</f>
        <v>30.685500000000001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32.9318 * CHOOSE(CONTROL!$C$15, $D$11, 100%, $F$11)</f>
        <v>32.931800000000003</v>
      </c>
      <c r="C905" s="8">
        <f>32.9369 * CHOOSE(CONTROL!$C$15, $D$11, 100%, $F$11)</f>
        <v>32.936900000000001</v>
      </c>
      <c r="D905" s="8">
        <f>32.917 * CHOOSE( CONTROL!$C$15, $D$11, 100%, $F$11)</f>
        <v>32.917000000000002</v>
      </c>
      <c r="E905" s="12">
        <f>32.9237 * CHOOSE( CONTROL!$C$15, $D$11, 100%, $F$11)</f>
        <v>32.923699999999997</v>
      </c>
      <c r="F905" s="4">
        <f>33.5822 * CHOOSE(CONTROL!$C$15, $D$11, 100%, $F$11)</f>
        <v>33.5822</v>
      </c>
      <c r="G905" s="8">
        <f>32.1486 * CHOOSE( CONTROL!$C$15, $D$11, 100%, $F$11)</f>
        <v>32.148600000000002</v>
      </c>
      <c r="H905" s="4">
        <f>33.0347 * CHOOSE(CONTROL!$C$15, $D$11, 100%, $F$11)</f>
        <v>33.034700000000001</v>
      </c>
      <c r="I905" s="8">
        <f>31.728 * CHOOSE(CONTROL!$C$15, $D$11, 100%, $F$11)</f>
        <v>31.728000000000002</v>
      </c>
      <c r="J905" s="4">
        <f>31.5906 * CHOOSE(CONTROL!$C$15, $D$11, 100%, $F$11)</f>
        <v>31.590599999999998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30.8046 * CHOOSE(CONTROL!$C$15, $D$11, 100%, $F$11)</f>
        <v>30.804600000000001</v>
      </c>
      <c r="C906" s="8">
        <f>30.8098 * CHOOSE(CONTROL!$C$15, $D$11, 100%, $F$11)</f>
        <v>30.809799999999999</v>
      </c>
      <c r="D906" s="8">
        <f>30.7899 * CHOOSE( CONTROL!$C$15, $D$11, 100%, $F$11)</f>
        <v>30.789899999999999</v>
      </c>
      <c r="E906" s="12">
        <f>30.7966 * CHOOSE( CONTROL!$C$15, $D$11, 100%, $F$11)</f>
        <v>30.796600000000002</v>
      </c>
      <c r="F906" s="4">
        <f>31.4551 * CHOOSE(CONTROL!$C$15, $D$11, 100%, $F$11)</f>
        <v>31.455100000000002</v>
      </c>
      <c r="G906" s="8">
        <f>30.071 * CHOOSE( CONTROL!$C$15, $D$11, 100%, $F$11)</f>
        <v>30.071000000000002</v>
      </c>
      <c r="H906" s="4">
        <f>30.9571 * CHOOSE(CONTROL!$C$15, $D$11, 100%, $F$11)</f>
        <v>30.957100000000001</v>
      </c>
      <c r="I906" s="8">
        <f>29.6847 * CHOOSE(CONTROL!$C$15, $D$11, 100%, $F$11)</f>
        <v>29.684699999999999</v>
      </c>
      <c r="J906" s="4">
        <f>29.5483 * CHOOSE(CONTROL!$C$15, $D$11, 100%, $F$11)</f>
        <v>29.548300000000001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30.1495 * CHOOSE(CONTROL!$C$15, $D$11, 100%, $F$11)</f>
        <v>30.1495</v>
      </c>
      <c r="C907" s="8">
        <f>30.1546 * CHOOSE(CONTROL!$C$15, $D$11, 100%, $F$11)</f>
        <v>30.154599999999999</v>
      </c>
      <c r="D907" s="8">
        <f>30.1344 * CHOOSE( CONTROL!$C$15, $D$11, 100%, $F$11)</f>
        <v>30.134399999999999</v>
      </c>
      <c r="E907" s="12">
        <f>30.1412 * CHOOSE( CONTROL!$C$15, $D$11, 100%, $F$11)</f>
        <v>30.141200000000001</v>
      </c>
      <c r="F907" s="4">
        <f>30.7999 * CHOOSE(CONTROL!$C$15, $D$11, 100%, $F$11)</f>
        <v>30.799900000000001</v>
      </c>
      <c r="G907" s="8">
        <f>29.4308 * CHOOSE( CONTROL!$C$15, $D$11, 100%, $F$11)</f>
        <v>29.430800000000001</v>
      </c>
      <c r="H907" s="4">
        <f>30.3172 * CHOOSE(CONTROL!$C$15, $D$11, 100%, $F$11)</f>
        <v>30.3172</v>
      </c>
      <c r="I907" s="8">
        <f>29.0542 * CHOOSE(CONTROL!$C$15, $D$11, 100%, $F$11)</f>
        <v>29.054200000000002</v>
      </c>
      <c r="J907" s="4">
        <f>28.9193 * CHOOSE(CONTROL!$C$15, $D$11, 100%, $F$11)</f>
        <v>28.9193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30.608 * CHOOSE(CONTROL!$C$15, $D$11, 100%, $F$11)</f>
        <v>30.608000000000001</v>
      </c>
      <c r="C908" s="8">
        <f>30.6126 * CHOOSE(CONTROL!$C$15, $D$11, 100%, $F$11)</f>
        <v>30.6126</v>
      </c>
      <c r="D908" s="8">
        <f>30.6435 * CHOOSE( CONTROL!$C$15, $D$11, 100%, $F$11)</f>
        <v>30.6435</v>
      </c>
      <c r="E908" s="12">
        <f>30.6328 * CHOOSE( CONTROL!$C$15, $D$11, 100%, $F$11)</f>
        <v>30.6328</v>
      </c>
      <c r="F908" s="4">
        <f>31.3228 * CHOOSE(CONTROL!$C$15, $D$11, 100%, $F$11)</f>
        <v>31.322800000000001</v>
      </c>
      <c r="G908" s="8">
        <f>29.88 * CHOOSE( CONTROL!$C$15, $D$11, 100%, $F$11)</f>
        <v>29.88</v>
      </c>
      <c r="H908" s="4">
        <f>30.8279 * CHOOSE(CONTROL!$C$15, $D$11, 100%, $F$11)</f>
        <v>30.8279</v>
      </c>
      <c r="I908" s="8">
        <f>29.4873 * CHOOSE(CONTROL!$C$15, $D$11, 100%, $F$11)</f>
        <v>29.487300000000001</v>
      </c>
      <c r="J908" s="4">
        <f>29.3589 * CHOOSE(CONTROL!$C$15, $D$11, 100%, $F$11)</f>
        <v>29.358899999999998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31.4276, 31.4242) * CHOOSE(CONTROL!$C$15, $D$11, 100%, $F$11)</f>
        <v>31.427600000000002</v>
      </c>
      <c r="C909" s="8">
        <f>CHOOSE( CONTROL!$C$32, 31.4357, 31.4323) * CHOOSE(CONTROL!$C$15, $D$11, 100%, $F$11)</f>
        <v>31.435700000000001</v>
      </c>
      <c r="D909" s="8">
        <f>CHOOSE( CONTROL!$C$32, 31.4613, 31.4579) * CHOOSE( CONTROL!$C$15, $D$11, 100%, $F$11)</f>
        <v>31.461300000000001</v>
      </c>
      <c r="E909" s="12">
        <f>CHOOSE( CONTROL!$C$32, 31.4508, 31.4474) * CHOOSE( CONTROL!$C$15, $D$11, 100%, $F$11)</f>
        <v>31.450800000000001</v>
      </c>
      <c r="F909" s="4">
        <f>CHOOSE( CONTROL!$C$32, 32.141, 32.1376) * CHOOSE(CONTROL!$C$15, $D$11, 100%, $F$11)</f>
        <v>32.140999999999998</v>
      </c>
      <c r="G909" s="8">
        <f>CHOOSE( CONTROL!$C$32, 30.6799, 30.6765) * CHOOSE( CONTROL!$C$15, $D$11, 100%, $F$11)</f>
        <v>30.6799</v>
      </c>
      <c r="H909" s="4">
        <f>CHOOSE( CONTROL!$C$32, 31.627, 31.6237) * CHOOSE(CONTROL!$C$15, $D$11, 100%, $F$11)</f>
        <v>31.626999999999999</v>
      </c>
      <c r="I909" s="8">
        <f>CHOOSE( CONTROL!$C$32, 30.2734, 30.2702) * CHOOSE(CONTROL!$C$15, $D$11, 100%, $F$11)</f>
        <v>30.273399999999999</v>
      </c>
      <c r="J909" s="4">
        <f>CHOOSE( CONTROL!$C$32, 30.1444, 30.1411) * CHOOSE(CONTROL!$C$15, $D$11, 100%, $F$11)</f>
        <v>30.144400000000001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30.9229, 30.9194) * CHOOSE(CONTROL!$C$15, $D$11, 100%, $F$11)</f>
        <v>30.922899999999998</v>
      </c>
      <c r="C910" s="8">
        <f>CHOOSE( CONTROL!$C$32, 30.9309, 30.9275) * CHOOSE(CONTROL!$C$15, $D$11, 100%, $F$11)</f>
        <v>30.930900000000001</v>
      </c>
      <c r="D910" s="8">
        <f>CHOOSE( CONTROL!$C$32, 30.9567, 30.9533) * CHOOSE( CONTROL!$C$15, $D$11, 100%, $F$11)</f>
        <v>30.956700000000001</v>
      </c>
      <c r="E910" s="12">
        <f>CHOOSE( CONTROL!$C$32, 30.9461, 30.9427) * CHOOSE( CONTROL!$C$15, $D$11, 100%, $F$11)</f>
        <v>30.946100000000001</v>
      </c>
      <c r="F910" s="4">
        <f>CHOOSE( CONTROL!$C$32, 31.6363, 31.6329) * CHOOSE(CONTROL!$C$15, $D$11, 100%, $F$11)</f>
        <v>31.636299999999999</v>
      </c>
      <c r="G910" s="8">
        <f>CHOOSE( CONTROL!$C$32, 30.1872, 30.1839) * CHOOSE( CONTROL!$C$15, $D$11, 100%, $F$11)</f>
        <v>30.187200000000001</v>
      </c>
      <c r="H910" s="4">
        <f>CHOOSE( CONTROL!$C$32, 31.134, 31.1307) * CHOOSE(CONTROL!$C$15, $D$11, 100%, $F$11)</f>
        <v>31.134</v>
      </c>
      <c r="I910" s="8">
        <f>CHOOSE( CONTROL!$C$32, 29.7895, 29.7863) * CHOOSE(CONTROL!$C$15, $D$11, 100%, $F$11)</f>
        <v>29.7895</v>
      </c>
      <c r="J910" s="4">
        <f>CHOOSE( CONTROL!$C$32, 29.6598, 29.6565) * CHOOSE(CONTROL!$C$15, $D$11, 100%, $F$11)</f>
        <v>29.659800000000001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32.252, 32.2486) * CHOOSE(CONTROL!$C$15, $D$11, 100%, $F$11)</f>
        <v>32.252000000000002</v>
      </c>
      <c r="C911" s="8">
        <f>CHOOSE( CONTROL!$C$32, 32.2601, 32.2567) * CHOOSE(CONTROL!$C$15, $D$11, 100%, $F$11)</f>
        <v>32.260100000000001</v>
      </c>
      <c r="D911" s="8">
        <f>CHOOSE( CONTROL!$C$32, 32.2861, 32.2827) * CHOOSE( CONTROL!$C$15, $D$11, 100%, $F$11)</f>
        <v>32.286099999999998</v>
      </c>
      <c r="E911" s="12">
        <f>CHOOSE( CONTROL!$C$32, 32.2754, 32.272) * CHOOSE( CONTROL!$C$15, $D$11, 100%, $F$11)</f>
        <v>32.275399999999998</v>
      </c>
      <c r="F911" s="4">
        <f>CHOOSE( CONTROL!$C$32, 32.9655, 32.962) * CHOOSE(CONTROL!$C$15, $D$11, 100%, $F$11)</f>
        <v>32.965499999999999</v>
      </c>
      <c r="G911" s="8">
        <f>CHOOSE( CONTROL!$C$32, 31.4857, 31.4824) * CHOOSE( CONTROL!$C$15, $D$11, 100%, $F$11)</f>
        <v>31.485700000000001</v>
      </c>
      <c r="H911" s="4">
        <f>CHOOSE( CONTROL!$C$32, 32.4322, 32.4289) * CHOOSE(CONTROL!$C$15, $D$11, 100%, $F$11)</f>
        <v>32.432200000000002</v>
      </c>
      <c r="I911" s="8">
        <f>CHOOSE( CONTROL!$C$32, 31.0674, 31.0641) * CHOOSE(CONTROL!$C$15, $D$11, 100%, $F$11)</f>
        <v>31.067399999999999</v>
      </c>
      <c r="J911" s="4">
        <f>CHOOSE( CONTROL!$C$32, 30.9359, 30.9327) * CHOOSE(CONTROL!$C$15, $D$11, 100%, $F$11)</f>
        <v>30.9359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29.765, 29.7616) * CHOOSE(CONTROL!$C$15, $D$11, 100%, $F$11)</f>
        <v>29.765000000000001</v>
      </c>
      <c r="C912" s="8">
        <f>CHOOSE( CONTROL!$C$32, 29.7731, 29.7697) * CHOOSE(CONTROL!$C$15, $D$11, 100%, $F$11)</f>
        <v>29.773099999999999</v>
      </c>
      <c r="D912" s="8">
        <f>CHOOSE( CONTROL!$C$32, 29.7992, 29.7958) * CHOOSE( CONTROL!$C$15, $D$11, 100%, $F$11)</f>
        <v>29.799199999999999</v>
      </c>
      <c r="E912" s="12">
        <f>CHOOSE( CONTROL!$C$32, 29.7885, 29.7851) * CHOOSE( CONTROL!$C$15, $D$11, 100%, $F$11)</f>
        <v>29.788499999999999</v>
      </c>
      <c r="F912" s="4">
        <f>CHOOSE( CONTROL!$C$32, 30.4784, 30.475) * CHOOSE(CONTROL!$C$15, $D$11, 100%, $F$11)</f>
        <v>30.478400000000001</v>
      </c>
      <c r="G912" s="8">
        <f>CHOOSE( CONTROL!$C$32, 29.0568, 29.0535) * CHOOSE( CONTROL!$C$15, $D$11, 100%, $F$11)</f>
        <v>29.056799999999999</v>
      </c>
      <c r="H912" s="4">
        <f>CHOOSE( CONTROL!$C$32, 30.0032, 29.9999) * CHOOSE(CONTROL!$C$15, $D$11, 100%, $F$11)</f>
        <v>30.0032</v>
      </c>
      <c r="I912" s="8">
        <f>CHOOSE( CONTROL!$C$32, 28.6789, 28.6756) * CHOOSE(CONTROL!$C$15, $D$11, 100%, $F$11)</f>
        <v>28.678899999999999</v>
      </c>
      <c r="J912" s="4">
        <f>CHOOSE( CONTROL!$C$32, 28.5482, 28.5449) * CHOOSE(CONTROL!$C$15, $D$11, 100%, $F$11)</f>
        <v>28.548200000000001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29.1422, 29.1388) * CHOOSE(CONTROL!$C$15, $D$11, 100%, $F$11)</f>
        <v>29.142199999999999</v>
      </c>
      <c r="C913" s="8">
        <f>CHOOSE( CONTROL!$C$32, 29.1503, 29.1469) * CHOOSE(CONTROL!$C$15, $D$11, 100%, $F$11)</f>
        <v>29.150300000000001</v>
      </c>
      <c r="D913" s="8">
        <f>CHOOSE( CONTROL!$C$32, 29.1764, 29.173) * CHOOSE( CONTROL!$C$15, $D$11, 100%, $F$11)</f>
        <v>29.176400000000001</v>
      </c>
      <c r="E913" s="12">
        <f>CHOOSE( CONTROL!$C$32, 29.1657, 29.1623) * CHOOSE( CONTROL!$C$15, $D$11, 100%, $F$11)</f>
        <v>29.165700000000001</v>
      </c>
      <c r="F913" s="4">
        <f>CHOOSE( CONTROL!$C$32, 29.8557, 29.8523) * CHOOSE(CONTROL!$C$15, $D$11, 100%, $F$11)</f>
        <v>29.855699999999999</v>
      </c>
      <c r="G913" s="8">
        <f>CHOOSE( CONTROL!$C$32, 28.4485, 28.4452) * CHOOSE( CONTROL!$C$15, $D$11, 100%, $F$11)</f>
        <v>28.448499999999999</v>
      </c>
      <c r="H913" s="4">
        <f>CHOOSE( CONTROL!$C$32, 29.3949, 29.3916) * CHOOSE(CONTROL!$C$15, $D$11, 100%, $F$11)</f>
        <v>29.3949</v>
      </c>
      <c r="I913" s="8">
        <f>CHOOSE( CONTROL!$C$32, 28.0805, 28.0772) * CHOOSE(CONTROL!$C$15, $D$11, 100%, $F$11)</f>
        <v>28.080500000000001</v>
      </c>
      <c r="J913" s="4">
        <f>CHOOSE( CONTROL!$C$32, 27.9502, 27.947) * CHOOSE(CONTROL!$C$15, $D$11, 100%, $F$11)</f>
        <v>27.950199999999999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30.4302 * CHOOSE(CONTROL!$C$15, $D$11, 100%, $F$11)</f>
        <v>30.430199999999999</v>
      </c>
      <c r="C914" s="8">
        <f>30.4356 * CHOOSE(CONTROL!$C$15, $D$11, 100%, $F$11)</f>
        <v>30.435600000000001</v>
      </c>
      <c r="D914" s="8">
        <f>30.4667 * CHOOSE( CONTROL!$C$15, $D$11, 100%, $F$11)</f>
        <v>30.466699999999999</v>
      </c>
      <c r="E914" s="12">
        <f>30.4559 * CHOOSE( CONTROL!$C$15, $D$11, 100%, $F$11)</f>
        <v>30.4559</v>
      </c>
      <c r="F914" s="4">
        <f>31.1454 * CHOOSE(CONTROL!$C$15, $D$11, 100%, $F$11)</f>
        <v>31.145399999999999</v>
      </c>
      <c r="G914" s="8">
        <f>29.7077 * CHOOSE( CONTROL!$C$15, $D$11, 100%, $F$11)</f>
        <v>29.707699999999999</v>
      </c>
      <c r="H914" s="4">
        <f>30.6546 * CHOOSE(CONTROL!$C$15, $D$11, 100%, $F$11)</f>
        <v>30.654599999999999</v>
      </c>
      <c r="I914" s="8">
        <f>29.3202 * CHOOSE(CONTROL!$C$15, $D$11, 100%, $F$11)</f>
        <v>29.3202</v>
      </c>
      <c r="J914" s="4">
        <f>29.1885 * CHOOSE(CONTROL!$C$15, $D$11, 100%, $F$11)</f>
        <v>29.188500000000001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32.8166 * CHOOSE(CONTROL!$C$15, $D$11, 100%, $F$11)</f>
        <v>32.816600000000001</v>
      </c>
      <c r="C915" s="8">
        <f>32.8218 * CHOOSE(CONTROL!$C$15, $D$11, 100%, $F$11)</f>
        <v>32.821800000000003</v>
      </c>
      <c r="D915" s="8">
        <f>32.8146 * CHOOSE( CONTROL!$C$15, $D$11, 100%, $F$11)</f>
        <v>32.814599999999999</v>
      </c>
      <c r="E915" s="12">
        <f>32.8167 * CHOOSE( CONTROL!$C$15, $D$11, 100%, $F$11)</f>
        <v>32.816699999999997</v>
      </c>
      <c r="F915" s="4">
        <f>33.4671 * CHOOSE(CONTROL!$C$15, $D$11, 100%, $F$11)</f>
        <v>33.467100000000002</v>
      </c>
      <c r="G915" s="8">
        <f>32.0519 * CHOOSE( CONTROL!$C$15, $D$11, 100%, $F$11)</f>
        <v>32.051900000000003</v>
      </c>
      <c r="H915" s="4">
        <f>32.9222 * CHOOSE(CONTROL!$C$15, $D$11, 100%, $F$11)</f>
        <v>32.922199999999997</v>
      </c>
      <c r="I915" s="8">
        <f>31.6563 * CHOOSE(CONTROL!$C$15, $D$11, 100%, $F$11)</f>
        <v>31.656300000000002</v>
      </c>
      <c r="J915" s="4">
        <f>31.48 * CHOOSE(CONTROL!$C$15, $D$11, 100%, $F$11)</f>
        <v>31.48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32.757 * CHOOSE(CONTROL!$C$15, $D$11, 100%, $F$11)</f>
        <v>32.756999999999998</v>
      </c>
      <c r="C916" s="8">
        <f>32.7621 * CHOOSE(CONTROL!$C$15, $D$11, 100%, $F$11)</f>
        <v>32.762099999999997</v>
      </c>
      <c r="D916" s="8">
        <f>32.7564 * CHOOSE( CONTROL!$C$15, $D$11, 100%, $F$11)</f>
        <v>32.756399999999999</v>
      </c>
      <c r="E916" s="12">
        <f>32.7579 * CHOOSE( CONTROL!$C$15, $D$11, 100%, $F$11)</f>
        <v>32.757899999999999</v>
      </c>
      <c r="F916" s="4">
        <f>33.4074 * CHOOSE(CONTROL!$C$15, $D$11, 100%, $F$11)</f>
        <v>33.407400000000003</v>
      </c>
      <c r="G916" s="8">
        <f>31.9947 * CHOOSE( CONTROL!$C$15, $D$11, 100%, $F$11)</f>
        <v>31.994700000000002</v>
      </c>
      <c r="H916" s="4">
        <f>32.8639 * CHOOSE(CONTROL!$C$15, $D$11, 100%, $F$11)</f>
        <v>32.863900000000001</v>
      </c>
      <c r="I916" s="8">
        <f>31.6037 * CHOOSE(CONTROL!$C$15, $D$11, 100%, $F$11)</f>
        <v>31.6037</v>
      </c>
      <c r="J916" s="4">
        <f>31.4228 * CHOOSE(CONTROL!$C$15, $D$11, 100%, $F$11)</f>
        <v>31.422799999999999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33.7223 * CHOOSE(CONTROL!$C$15, $D$11, 100%, $F$11)</f>
        <v>33.722299999999997</v>
      </c>
      <c r="C917" s="8">
        <f>33.7275 * CHOOSE(CONTROL!$C$15, $D$11, 100%, $F$11)</f>
        <v>33.727499999999999</v>
      </c>
      <c r="D917" s="8">
        <f>33.7076 * CHOOSE( CONTROL!$C$15, $D$11, 100%, $F$11)</f>
        <v>33.707599999999999</v>
      </c>
      <c r="E917" s="12">
        <f>33.7143 * CHOOSE( CONTROL!$C$15, $D$11, 100%, $F$11)</f>
        <v>33.714300000000001</v>
      </c>
      <c r="F917" s="4">
        <f>34.3728 * CHOOSE(CONTROL!$C$15, $D$11, 100%, $F$11)</f>
        <v>34.372799999999998</v>
      </c>
      <c r="G917" s="8">
        <f>32.9208 * CHOOSE( CONTROL!$C$15, $D$11, 100%, $F$11)</f>
        <v>32.9208</v>
      </c>
      <c r="H917" s="4">
        <f>33.8068 * CHOOSE(CONTROL!$C$15, $D$11, 100%, $F$11)</f>
        <v>33.806800000000003</v>
      </c>
      <c r="I917" s="8">
        <f>32.4875 * CHOOSE(CONTROL!$C$15, $D$11, 100%, $F$11)</f>
        <v>32.487499999999997</v>
      </c>
      <c r="J917" s="4">
        <f>32.3496 * CHOOSE(CONTROL!$C$15, $D$11, 100%, $F$11)</f>
        <v>32.349600000000002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31.5441 * CHOOSE(CONTROL!$C$15, $D$11, 100%, $F$11)</f>
        <v>31.5441</v>
      </c>
      <c r="C918" s="8">
        <f>31.5493 * CHOOSE(CONTROL!$C$15, $D$11, 100%, $F$11)</f>
        <v>31.549299999999999</v>
      </c>
      <c r="D918" s="8">
        <f>31.5293 * CHOOSE( CONTROL!$C$15, $D$11, 100%, $F$11)</f>
        <v>31.529299999999999</v>
      </c>
      <c r="E918" s="12">
        <f>31.5361 * CHOOSE( CONTROL!$C$15, $D$11, 100%, $F$11)</f>
        <v>31.536100000000001</v>
      </c>
      <c r="F918" s="4">
        <f>32.1945 * CHOOSE(CONTROL!$C$15, $D$11, 100%, $F$11)</f>
        <v>32.194499999999998</v>
      </c>
      <c r="G918" s="8">
        <f>30.7932 * CHOOSE( CONTROL!$C$15, $D$11, 100%, $F$11)</f>
        <v>30.793199999999999</v>
      </c>
      <c r="H918" s="4">
        <f>31.6793 * CHOOSE(CONTROL!$C$15, $D$11, 100%, $F$11)</f>
        <v>31.679300000000001</v>
      </c>
      <c r="I918" s="8">
        <f>30.395 * CHOOSE(CONTROL!$C$15, $D$11, 100%, $F$11)</f>
        <v>30.395</v>
      </c>
      <c r="J918" s="4">
        <f>30.2583 * CHOOSE(CONTROL!$C$15, $D$11, 100%, $F$11)</f>
        <v>30.258299999999998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30.8732 * CHOOSE(CONTROL!$C$15, $D$11, 100%, $F$11)</f>
        <v>30.873200000000001</v>
      </c>
      <c r="C919" s="8">
        <f>30.8784 * CHOOSE(CONTROL!$C$15, $D$11, 100%, $F$11)</f>
        <v>30.878399999999999</v>
      </c>
      <c r="D919" s="8">
        <f>30.8581 * CHOOSE( CONTROL!$C$15, $D$11, 100%, $F$11)</f>
        <v>30.8581</v>
      </c>
      <c r="E919" s="12">
        <f>30.865 * CHOOSE( CONTROL!$C$15, $D$11, 100%, $F$11)</f>
        <v>30.864999999999998</v>
      </c>
      <c r="F919" s="4">
        <f>31.5237 * CHOOSE(CONTROL!$C$15, $D$11, 100%, $F$11)</f>
        <v>31.523700000000002</v>
      </c>
      <c r="G919" s="8">
        <f>30.1377 * CHOOSE( CONTROL!$C$15, $D$11, 100%, $F$11)</f>
        <v>30.137699999999999</v>
      </c>
      <c r="H919" s="4">
        <f>31.024 * CHOOSE(CONTROL!$C$15, $D$11, 100%, $F$11)</f>
        <v>31.024000000000001</v>
      </c>
      <c r="I919" s="8">
        <f>29.7494 * CHOOSE(CONTROL!$C$15, $D$11, 100%, $F$11)</f>
        <v>29.749400000000001</v>
      </c>
      <c r="J919" s="4">
        <f>29.6142 * CHOOSE(CONTROL!$C$15, $D$11, 100%, $F$11)</f>
        <v>29.6142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31.3428 * CHOOSE(CONTROL!$C$15, $D$11, 100%, $F$11)</f>
        <v>31.3428</v>
      </c>
      <c r="C920" s="8">
        <f>31.3474 * CHOOSE(CONTROL!$C$15, $D$11, 100%, $F$11)</f>
        <v>31.3474</v>
      </c>
      <c r="D920" s="8">
        <f>31.3783 * CHOOSE( CONTROL!$C$15, $D$11, 100%, $F$11)</f>
        <v>31.378299999999999</v>
      </c>
      <c r="E920" s="12">
        <f>31.3676 * CHOOSE( CONTROL!$C$15, $D$11, 100%, $F$11)</f>
        <v>31.367599999999999</v>
      </c>
      <c r="F920" s="4">
        <f>32.0576 * CHOOSE(CONTROL!$C$15, $D$11, 100%, $F$11)</f>
        <v>32.057600000000001</v>
      </c>
      <c r="G920" s="8">
        <f>30.5976 * CHOOSE( CONTROL!$C$15, $D$11, 100%, $F$11)</f>
        <v>30.5976</v>
      </c>
      <c r="H920" s="4">
        <f>31.5455 * CHOOSE(CONTROL!$C$15, $D$11, 100%, $F$11)</f>
        <v>31.545500000000001</v>
      </c>
      <c r="I920" s="8">
        <f>30.1931 * CHOOSE(CONTROL!$C$15, $D$11, 100%, $F$11)</f>
        <v>30.193100000000001</v>
      </c>
      <c r="J920" s="4">
        <f>30.0643 * CHOOSE(CONTROL!$C$15, $D$11, 100%, $F$11)</f>
        <v>30.064299999999999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32.1819, 32.1785) * CHOOSE(CONTROL!$C$15, $D$11, 100%, $F$11)</f>
        <v>32.181899999999999</v>
      </c>
      <c r="C921" s="8">
        <f>CHOOSE( CONTROL!$C$32, 32.19, 32.1866) * CHOOSE(CONTROL!$C$15, $D$11, 100%, $F$11)</f>
        <v>32.19</v>
      </c>
      <c r="D921" s="8">
        <f>CHOOSE( CONTROL!$C$32, 32.2156, 32.2122) * CHOOSE( CONTROL!$C$15, $D$11, 100%, $F$11)</f>
        <v>32.215600000000002</v>
      </c>
      <c r="E921" s="12">
        <f>CHOOSE( CONTROL!$C$32, 32.2051, 32.2017) * CHOOSE( CONTROL!$C$15, $D$11, 100%, $F$11)</f>
        <v>32.205100000000002</v>
      </c>
      <c r="F921" s="4">
        <f>CHOOSE( CONTROL!$C$32, 32.8953, 32.8919) * CHOOSE(CONTROL!$C$15, $D$11, 100%, $F$11)</f>
        <v>32.895299999999999</v>
      </c>
      <c r="G921" s="8">
        <f>CHOOSE( CONTROL!$C$32, 31.4166, 31.4133) * CHOOSE( CONTROL!$C$15, $D$11, 100%, $F$11)</f>
        <v>31.416599999999999</v>
      </c>
      <c r="H921" s="4">
        <f>CHOOSE( CONTROL!$C$32, 32.3638, 32.3604) * CHOOSE(CONTROL!$C$15, $D$11, 100%, $F$11)</f>
        <v>32.363799999999998</v>
      </c>
      <c r="I921" s="8">
        <f>CHOOSE( CONTROL!$C$32, 30.998, 30.9947) * CHOOSE(CONTROL!$C$15, $D$11, 100%, $F$11)</f>
        <v>30.998000000000001</v>
      </c>
      <c r="J921" s="4">
        <f>CHOOSE( CONTROL!$C$32, 30.8686, 30.8654) * CHOOSE(CONTROL!$C$15, $D$11, 100%, $F$11)</f>
        <v>30.868600000000001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31.665, 31.6616) * CHOOSE(CONTROL!$C$15, $D$11, 100%, $F$11)</f>
        <v>31.664999999999999</v>
      </c>
      <c r="C922" s="8">
        <f>CHOOSE( CONTROL!$C$32, 31.6731, 31.6697) * CHOOSE(CONTROL!$C$15, $D$11, 100%, $F$11)</f>
        <v>31.673100000000002</v>
      </c>
      <c r="D922" s="8">
        <f>CHOOSE( CONTROL!$C$32, 31.6989, 31.6955) * CHOOSE( CONTROL!$C$15, $D$11, 100%, $F$11)</f>
        <v>31.698899999999998</v>
      </c>
      <c r="E922" s="12">
        <f>CHOOSE( CONTROL!$C$32, 31.6883, 31.6849) * CHOOSE( CONTROL!$C$15, $D$11, 100%, $F$11)</f>
        <v>31.688300000000002</v>
      </c>
      <c r="F922" s="4">
        <f>CHOOSE( CONTROL!$C$32, 32.3785, 32.3751) * CHOOSE(CONTROL!$C$15, $D$11, 100%, $F$11)</f>
        <v>32.378500000000003</v>
      </c>
      <c r="G922" s="8">
        <f>CHOOSE( CONTROL!$C$32, 30.9121, 30.9088) * CHOOSE( CONTROL!$C$15, $D$11, 100%, $F$11)</f>
        <v>30.912099999999999</v>
      </c>
      <c r="H922" s="4">
        <f>CHOOSE( CONTROL!$C$32, 31.8589, 31.8556) * CHOOSE(CONTROL!$C$15, $D$11, 100%, $F$11)</f>
        <v>31.858899999999998</v>
      </c>
      <c r="I922" s="8">
        <f>CHOOSE( CONTROL!$C$32, 30.5025, 30.4992) * CHOOSE(CONTROL!$C$15, $D$11, 100%, $F$11)</f>
        <v>30.502500000000001</v>
      </c>
      <c r="J922" s="4">
        <f>CHOOSE( CONTROL!$C$32, 30.3724, 30.3691) * CHOOSE(CONTROL!$C$15, $D$11, 100%, $F$11)</f>
        <v>30.372399999999999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33.0261, 33.0227) * CHOOSE(CONTROL!$C$15, $D$11, 100%, $F$11)</f>
        <v>33.0261</v>
      </c>
      <c r="C923" s="8">
        <f>CHOOSE( CONTROL!$C$32, 33.0342, 33.0308) * CHOOSE(CONTROL!$C$15, $D$11, 100%, $F$11)</f>
        <v>33.034199999999998</v>
      </c>
      <c r="D923" s="8">
        <f>CHOOSE( CONTROL!$C$32, 33.0603, 33.0569) * CHOOSE( CONTROL!$C$15, $D$11, 100%, $F$11)</f>
        <v>33.060299999999998</v>
      </c>
      <c r="E923" s="12">
        <f>CHOOSE( CONTROL!$C$32, 33.0496, 33.0462) * CHOOSE( CONTROL!$C$15, $D$11, 100%, $F$11)</f>
        <v>33.049599999999998</v>
      </c>
      <c r="F923" s="4">
        <f>CHOOSE( CONTROL!$C$32, 33.7396, 33.7362) * CHOOSE(CONTROL!$C$15, $D$11, 100%, $F$11)</f>
        <v>33.739600000000003</v>
      </c>
      <c r="G923" s="8">
        <f>CHOOSE( CONTROL!$C$32, 32.2418, 32.2385) * CHOOSE( CONTROL!$C$15, $D$11, 100%, $F$11)</f>
        <v>32.241799999999998</v>
      </c>
      <c r="H923" s="4">
        <f>CHOOSE( CONTROL!$C$32, 33.1883, 33.185) * CHOOSE(CONTROL!$C$15, $D$11, 100%, $F$11)</f>
        <v>33.188299999999998</v>
      </c>
      <c r="I923" s="8">
        <f>CHOOSE( CONTROL!$C$32, 31.811, 31.8077) * CHOOSE(CONTROL!$C$15, $D$11, 100%, $F$11)</f>
        <v>31.811</v>
      </c>
      <c r="J923" s="4">
        <f>CHOOSE( CONTROL!$C$32, 31.6792, 31.6759) * CHOOSE(CONTROL!$C$15, $D$11, 100%, $F$11)</f>
        <v>31.679200000000002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30.4794, 30.476) * CHOOSE(CONTROL!$C$15, $D$11, 100%, $F$11)</f>
        <v>30.479399999999998</v>
      </c>
      <c r="C924" s="8">
        <f>CHOOSE( CONTROL!$C$32, 30.4875, 30.4841) * CHOOSE(CONTROL!$C$15, $D$11, 100%, $F$11)</f>
        <v>30.487500000000001</v>
      </c>
      <c r="D924" s="8">
        <f>CHOOSE( CONTROL!$C$32, 30.5136, 30.5102) * CHOOSE( CONTROL!$C$15, $D$11, 100%, $F$11)</f>
        <v>30.5136</v>
      </c>
      <c r="E924" s="12">
        <f>CHOOSE( CONTROL!$C$32, 30.5029, 30.4995) * CHOOSE( CONTROL!$C$15, $D$11, 100%, $F$11)</f>
        <v>30.5029</v>
      </c>
      <c r="F924" s="4">
        <f>CHOOSE( CONTROL!$C$32, 31.1928, 31.1894) * CHOOSE(CONTROL!$C$15, $D$11, 100%, $F$11)</f>
        <v>31.192799999999998</v>
      </c>
      <c r="G924" s="8">
        <f>CHOOSE( CONTROL!$C$32, 29.7545, 29.7512) * CHOOSE( CONTROL!$C$15, $D$11, 100%, $F$11)</f>
        <v>29.7545</v>
      </c>
      <c r="H924" s="4">
        <f>CHOOSE( CONTROL!$C$32, 30.7009, 30.6976) * CHOOSE(CONTROL!$C$15, $D$11, 100%, $F$11)</f>
        <v>30.700900000000001</v>
      </c>
      <c r="I924" s="8">
        <f>CHOOSE( CONTROL!$C$32, 29.3651, 29.3618) * CHOOSE(CONTROL!$C$15, $D$11, 100%, $F$11)</f>
        <v>29.365100000000002</v>
      </c>
      <c r="J924" s="4">
        <f>CHOOSE( CONTROL!$C$32, 29.234, 29.2308) * CHOOSE(CONTROL!$C$15, $D$11, 100%, $F$11)</f>
        <v>29.234000000000002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29.8416, 29.8382) * CHOOSE(CONTROL!$C$15, $D$11, 100%, $F$11)</f>
        <v>29.8416</v>
      </c>
      <c r="C925" s="8">
        <f>CHOOSE( CONTROL!$C$32, 29.8497, 29.8463) * CHOOSE(CONTROL!$C$15, $D$11, 100%, $F$11)</f>
        <v>29.849699999999999</v>
      </c>
      <c r="D925" s="8">
        <f>CHOOSE( CONTROL!$C$32, 29.8758, 29.8724) * CHOOSE( CONTROL!$C$15, $D$11, 100%, $F$11)</f>
        <v>29.875800000000002</v>
      </c>
      <c r="E925" s="12">
        <f>CHOOSE( CONTROL!$C$32, 29.8651, 29.8617) * CHOOSE( CONTROL!$C$15, $D$11, 100%, $F$11)</f>
        <v>29.865100000000002</v>
      </c>
      <c r="F925" s="4">
        <f>CHOOSE( CONTROL!$C$32, 30.5551, 30.5517) * CHOOSE(CONTROL!$C$15, $D$11, 100%, $F$11)</f>
        <v>30.555099999999999</v>
      </c>
      <c r="G925" s="8">
        <f>CHOOSE( CONTROL!$C$32, 29.1316, 29.1283) * CHOOSE( CONTROL!$C$15, $D$11, 100%, $F$11)</f>
        <v>29.131599999999999</v>
      </c>
      <c r="H925" s="4">
        <f>CHOOSE( CONTROL!$C$32, 30.078, 30.0747) * CHOOSE(CONTROL!$C$15, $D$11, 100%, $F$11)</f>
        <v>30.077999999999999</v>
      </c>
      <c r="I925" s="8">
        <f>CHOOSE( CONTROL!$C$32, 28.7523, 28.749) * CHOOSE(CONTROL!$C$15, $D$11, 100%, $F$11)</f>
        <v>28.752300000000002</v>
      </c>
      <c r="J925" s="4">
        <f>CHOOSE( CONTROL!$C$32, 28.6217, 28.6185) * CHOOSE(CONTROL!$C$15, $D$11, 100%, $F$11)</f>
        <v>28.621700000000001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31.1607 * CHOOSE(CONTROL!$C$15, $D$11, 100%, $F$11)</f>
        <v>31.160699999999999</v>
      </c>
      <c r="C926" s="8">
        <f>31.1661 * CHOOSE(CONTROL!$C$15, $D$11, 100%, $F$11)</f>
        <v>31.1661</v>
      </c>
      <c r="D926" s="8">
        <f>31.1972 * CHOOSE( CONTROL!$C$15, $D$11, 100%, $F$11)</f>
        <v>31.197199999999999</v>
      </c>
      <c r="E926" s="12">
        <f>31.1864 * CHOOSE( CONTROL!$C$15, $D$11, 100%, $F$11)</f>
        <v>31.186399999999999</v>
      </c>
      <c r="F926" s="4">
        <f>31.8758 * CHOOSE(CONTROL!$C$15, $D$11, 100%, $F$11)</f>
        <v>31.875800000000002</v>
      </c>
      <c r="G926" s="8">
        <f>30.4211 * CHOOSE( CONTROL!$C$15, $D$11, 100%, $F$11)</f>
        <v>30.421099999999999</v>
      </c>
      <c r="H926" s="4">
        <f>31.368 * CHOOSE(CONTROL!$C$15, $D$11, 100%, $F$11)</f>
        <v>31.367999999999999</v>
      </c>
      <c r="I926" s="8">
        <f>30.0219 * CHOOSE(CONTROL!$C$15, $D$11, 100%, $F$11)</f>
        <v>30.021899999999999</v>
      </c>
      <c r="J926" s="4">
        <f>29.8898 * CHOOSE(CONTROL!$C$15, $D$11, 100%, $F$11)</f>
        <v>29.889800000000001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33.6044 * CHOOSE(CONTROL!$C$15, $D$11, 100%, $F$11)</f>
        <v>33.604399999999998</v>
      </c>
      <c r="C927" s="8">
        <f>33.6096 * CHOOSE(CONTROL!$C$15, $D$11, 100%, $F$11)</f>
        <v>33.6096</v>
      </c>
      <c r="D927" s="8">
        <f>33.6024 * CHOOSE( CONTROL!$C$15, $D$11, 100%, $F$11)</f>
        <v>33.602400000000003</v>
      </c>
      <c r="E927" s="12">
        <f>33.6045 * CHOOSE( CONTROL!$C$15, $D$11, 100%, $F$11)</f>
        <v>33.604500000000002</v>
      </c>
      <c r="F927" s="4">
        <f>34.2549 * CHOOSE(CONTROL!$C$15, $D$11, 100%, $F$11)</f>
        <v>34.254899999999999</v>
      </c>
      <c r="G927" s="8">
        <f>32.8214 * CHOOSE( CONTROL!$C$15, $D$11, 100%, $F$11)</f>
        <v>32.821399999999997</v>
      </c>
      <c r="H927" s="4">
        <f>33.6916 * CHOOSE(CONTROL!$C$15, $D$11, 100%, $F$11)</f>
        <v>33.691600000000001</v>
      </c>
      <c r="I927" s="8">
        <f>32.4131 * CHOOSE(CONTROL!$C$15, $D$11, 100%, $F$11)</f>
        <v>32.4131</v>
      </c>
      <c r="J927" s="4">
        <f>32.2364 * CHOOSE(CONTROL!$C$15, $D$11, 100%, $F$11)</f>
        <v>32.236400000000003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33.5433 * CHOOSE(CONTROL!$C$15, $D$11, 100%, $F$11)</f>
        <v>33.543300000000002</v>
      </c>
      <c r="C928" s="8">
        <f>33.5485 * CHOOSE(CONTROL!$C$15, $D$11, 100%, $F$11)</f>
        <v>33.548499999999997</v>
      </c>
      <c r="D928" s="8">
        <f>33.5428 * CHOOSE( CONTROL!$C$15, $D$11, 100%, $F$11)</f>
        <v>33.5428</v>
      </c>
      <c r="E928" s="12">
        <f>33.5443 * CHOOSE( CONTROL!$C$15, $D$11, 100%, $F$11)</f>
        <v>33.5443</v>
      </c>
      <c r="F928" s="4">
        <f>34.1938 * CHOOSE(CONTROL!$C$15, $D$11, 100%, $F$11)</f>
        <v>34.193800000000003</v>
      </c>
      <c r="G928" s="8">
        <f>32.7628 * CHOOSE( CONTROL!$C$15, $D$11, 100%, $F$11)</f>
        <v>32.762799999999999</v>
      </c>
      <c r="H928" s="4">
        <f>33.632 * CHOOSE(CONTROL!$C$15, $D$11, 100%, $F$11)</f>
        <v>33.631999999999998</v>
      </c>
      <c r="I928" s="8">
        <f>32.3591 * CHOOSE(CONTROL!$C$15, $D$11, 100%, $F$11)</f>
        <v>32.359099999999998</v>
      </c>
      <c r="J928" s="4">
        <f>32.1778 * CHOOSE(CONTROL!$C$15, $D$11, 100%, $F$11)</f>
        <v>32.177799999999998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34.5319 * CHOOSE(CONTROL!$C$15, $D$11, 100%, $F$11)</f>
        <v>34.5319</v>
      </c>
      <c r="C929" s="8">
        <f>34.5371 * CHOOSE(CONTROL!$C$15, $D$11, 100%, $F$11)</f>
        <v>34.537100000000002</v>
      </c>
      <c r="D929" s="8">
        <f>34.5172 * CHOOSE( CONTROL!$C$15, $D$11, 100%, $F$11)</f>
        <v>34.517200000000003</v>
      </c>
      <c r="E929" s="12">
        <f>34.5239 * CHOOSE( CONTROL!$C$15, $D$11, 100%, $F$11)</f>
        <v>34.523899999999998</v>
      </c>
      <c r="F929" s="4">
        <f>35.1824 * CHOOSE(CONTROL!$C$15, $D$11, 100%, $F$11)</f>
        <v>35.182400000000001</v>
      </c>
      <c r="G929" s="8">
        <f>33.7115 * CHOOSE( CONTROL!$C$15, $D$11, 100%, $F$11)</f>
        <v>33.711500000000001</v>
      </c>
      <c r="H929" s="4">
        <f>34.5975 * CHOOSE(CONTROL!$C$15, $D$11, 100%, $F$11)</f>
        <v>34.597499999999997</v>
      </c>
      <c r="I929" s="8">
        <f>33.2651 * CHOOSE(CONTROL!$C$15, $D$11, 100%, $F$11)</f>
        <v>33.265099999999997</v>
      </c>
      <c r="J929" s="4">
        <f>33.1269 * CHOOSE(CONTROL!$C$15, $D$11, 100%, $F$11)</f>
        <v>33.126899999999999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32.3013 * CHOOSE(CONTROL!$C$15, $D$11, 100%, $F$11)</f>
        <v>32.301299999999998</v>
      </c>
      <c r="C930" s="8">
        <f>32.3065 * CHOOSE(CONTROL!$C$15, $D$11, 100%, $F$11)</f>
        <v>32.3065</v>
      </c>
      <c r="D930" s="8">
        <f>32.2866 * CHOOSE( CONTROL!$C$15, $D$11, 100%, $F$11)</f>
        <v>32.2866</v>
      </c>
      <c r="E930" s="12">
        <f>32.2933 * CHOOSE( CONTROL!$C$15, $D$11, 100%, $F$11)</f>
        <v>32.293300000000002</v>
      </c>
      <c r="F930" s="4">
        <f>32.9518 * CHOOSE(CONTROL!$C$15, $D$11, 100%, $F$11)</f>
        <v>32.951799999999999</v>
      </c>
      <c r="G930" s="8">
        <f>31.5328 * CHOOSE( CONTROL!$C$15, $D$11, 100%, $F$11)</f>
        <v>31.532800000000002</v>
      </c>
      <c r="H930" s="4">
        <f>32.4189 * CHOOSE(CONTROL!$C$15, $D$11, 100%, $F$11)</f>
        <v>32.418900000000001</v>
      </c>
      <c r="I930" s="8">
        <f>31.1224 * CHOOSE(CONTROL!$C$15, $D$11, 100%, $F$11)</f>
        <v>31.122399999999999</v>
      </c>
      <c r="J930" s="4">
        <f>30.9853 * CHOOSE(CONTROL!$C$15, $D$11, 100%, $F$11)</f>
        <v>30.985299999999999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31.6143 * CHOOSE(CONTROL!$C$15, $D$11, 100%, $F$11)</f>
        <v>31.6143</v>
      </c>
      <c r="C931" s="8">
        <f>31.6195 * CHOOSE(CONTROL!$C$15, $D$11, 100%, $F$11)</f>
        <v>31.619499999999999</v>
      </c>
      <c r="D931" s="8">
        <f>31.5992 * CHOOSE( CONTROL!$C$15, $D$11, 100%, $F$11)</f>
        <v>31.5992</v>
      </c>
      <c r="E931" s="12">
        <f>31.6061 * CHOOSE( CONTROL!$C$15, $D$11, 100%, $F$11)</f>
        <v>31.606100000000001</v>
      </c>
      <c r="F931" s="4">
        <f>32.2648 * CHOOSE(CONTROL!$C$15, $D$11, 100%, $F$11)</f>
        <v>32.264800000000001</v>
      </c>
      <c r="G931" s="8">
        <f>30.8616 * CHOOSE( CONTROL!$C$15, $D$11, 100%, $F$11)</f>
        <v>30.861599999999999</v>
      </c>
      <c r="H931" s="4">
        <f>31.7479 * CHOOSE(CONTROL!$C$15, $D$11, 100%, $F$11)</f>
        <v>31.747900000000001</v>
      </c>
      <c r="I931" s="8">
        <f>30.4613 * CHOOSE(CONTROL!$C$15, $D$11, 100%, $F$11)</f>
        <v>30.461300000000001</v>
      </c>
      <c r="J931" s="4">
        <f>30.3257 * CHOOSE(CONTROL!$C$15, $D$11, 100%, $F$11)</f>
        <v>30.325700000000001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32.0951 * CHOOSE(CONTROL!$C$15, $D$11, 100%, $F$11)</f>
        <v>32.095100000000002</v>
      </c>
      <c r="C932" s="8">
        <f>32.0998 * CHOOSE(CONTROL!$C$15, $D$11, 100%, $F$11)</f>
        <v>32.099800000000002</v>
      </c>
      <c r="D932" s="8">
        <f>32.1307 * CHOOSE( CONTROL!$C$15, $D$11, 100%, $F$11)</f>
        <v>32.130699999999997</v>
      </c>
      <c r="E932" s="12">
        <f>32.12 * CHOOSE( CONTROL!$C$15, $D$11, 100%, $F$11)</f>
        <v>32.119999999999997</v>
      </c>
      <c r="F932" s="4">
        <f>32.8099 * CHOOSE(CONTROL!$C$15, $D$11, 100%, $F$11)</f>
        <v>32.809899999999999</v>
      </c>
      <c r="G932" s="8">
        <f>31.3325 * CHOOSE( CONTROL!$C$15, $D$11, 100%, $F$11)</f>
        <v>31.3325</v>
      </c>
      <c r="H932" s="4">
        <f>32.2804 * CHOOSE(CONTROL!$C$15, $D$11, 100%, $F$11)</f>
        <v>32.2804</v>
      </c>
      <c r="I932" s="8">
        <f>30.9158 * CHOOSE(CONTROL!$C$15, $D$11, 100%, $F$11)</f>
        <v>30.915800000000001</v>
      </c>
      <c r="J932" s="4">
        <f>30.7866 * CHOOSE(CONTROL!$C$15, $D$11, 100%, $F$11)</f>
        <v>30.7866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32.9543, 32.9509) * CHOOSE(CONTROL!$C$15, $D$11, 100%, $F$11)</f>
        <v>32.954300000000003</v>
      </c>
      <c r="C933" s="8">
        <f>CHOOSE( CONTROL!$C$32, 32.9624, 32.959) * CHOOSE(CONTROL!$C$15, $D$11, 100%, $F$11)</f>
        <v>32.962400000000002</v>
      </c>
      <c r="D933" s="8">
        <f>CHOOSE( CONTROL!$C$32, 32.988, 32.9846) * CHOOSE( CONTROL!$C$15, $D$11, 100%, $F$11)</f>
        <v>32.988</v>
      </c>
      <c r="E933" s="12">
        <f>CHOOSE( CONTROL!$C$32, 32.9775, 32.9741) * CHOOSE( CONTROL!$C$15, $D$11, 100%, $F$11)</f>
        <v>32.977499999999999</v>
      </c>
      <c r="F933" s="4">
        <f>CHOOSE( CONTROL!$C$32, 33.6678, 33.6644) * CHOOSE(CONTROL!$C$15, $D$11, 100%, $F$11)</f>
        <v>33.6678</v>
      </c>
      <c r="G933" s="8">
        <f>CHOOSE( CONTROL!$C$32, 32.171, 32.1677) * CHOOSE( CONTROL!$C$15, $D$11, 100%, $F$11)</f>
        <v>32.170999999999999</v>
      </c>
      <c r="H933" s="4">
        <f>CHOOSE( CONTROL!$C$32, 33.1182, 33.1149) * CHOOSE(CONTROL!$C$15, $D$11, 100%, $F$11)</f>
        <v>33.118200000000002</v>
      </c>
      <c r="I933" s="8">
        <f>CHOOSE( CONTROL!$C$32, 31.74, 31.7367) * CHOOSE(CONTROL!$C$15, $D$11, 100%, $F$11)</f>
        <v>31.74</v>
      </c>
      <c r="J933" s="4">
        <f>CHOOSE( CONTROL!$C$32, 31.6102, 31.607) * CHOOSE(CONTROL!$C$15, $D$11, 100%, $F$11)</f>
        <v>31.610199999999999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32.4251, 32.4216) * CHOOSE(CONTROL!$C$15, $D$11, 100%, $F$11)</f>
        <v>32.4251</v>
      </c>
      <c r="C934" s="8">
        <f>CHOOSE( CONTROL!$C$32, 32.4331, 32.4297) * CHOOSE(CONTROL!$C$15, $D$11, 100%, $F$11)</f>
        <v>32.433100000000003</v>
      </c>
      <c r="D934" s="8">
        <f>CHOOSE( CONTROL!$C$32, 32.4589, 32.4555) * CHOOSE( CONTROL!$C$15, $D$11, 100%, $F$11)</f>
        <v>32.4589</v>
      </c>
      <c r="E934" s="12">
        <f>CHOOSE( CONTROL!$C$32, 32.4483, 32.4449) * CHOOSE( CONTROL!$C$15, $D$11, 100%, $F$11)</f>
        <v>32.448300000000003</v>
      </c>
      <c r="F934" s="4">
        <f>CHOOSE( CONTROL!$C$32, 33.1385, 33.1351) * CHOOSE(CONTROL!$C$15, $D$11, 100%, $F$11)</f>
        <v>33.138500000000001</v>
      </c>
      <c r="G934" s="8">
        <f>CHOOSE( CONTROL!$C$32, 31.6544, 31.6511) * CHOOSE( CONTROL!$C$15, $D$11, 100%, $F$11)</f>
        <v>31.654399999999999</v>
      </c>
      <c r="H934" s="4">
        <f>CHOOSE( CONTROL!$C$32, 32.6013, 32.5979) * CHOOSE(CONTROL!$C$15, $D$11, 100%, $F$11)</f>
        <v>32.601300000000002</v>
      </c>
      <c r="I934" s="8">
        <f>CHOOSE( CONTROL!$C$32, 31.2325, 31.2292) * CHOOSE(CONTROL!$C$15, $D$11, 100%, $F$11)</f>
        <v>31.232500000000002</v>
      </c>
      <c r="J934" s="4">
        <f>CHOOSE( CONTROL!$C$32, 31.1021, 31.0988) * CHOOSE(CONTROL!$C$15, $D$11, 100%, $F$11)</f>
        <v>31.1021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33.8189, 33.8155) * CHOOSE(CONTROL!$C$15, $D$11, 100%, $F$11)</f>
        <v>33.818899999999999</v>
      </c>
      <c r="C935" s="8">
        <f>CHOOSE( CONTROL!$C$32, 33.8269, 33.8235) * CHOOSE(CONTROL!$C$15, $D$11, 100%, $F$11)</f>
        <v>33.826900000000002</v>
      </c>
      <c r="D935" s="8">
        <f>CHOOSE( CONTROL!$C$32, 33.853, 33.8496) * CHOOSE( CONTROL!$C$15, $D$11, 100%, $F$11)</f>
        <v>33.853000000000002</v>
      </c>
      <c r="E935" s="12">
        <f>CHOOSE( CONTROL!$C$32, 33.8423, 33.8389) * CHOOSE( CONTROL!$C$15, $D$11, 100%, $F$11)</f>
        <v>33.842300000000002</v>
      </c>
      <c r="F935" s="4">
        <f>CHOOSE( CONTROL!$C$32, 34.5323, 34.5289) * CHOOSE(CONTROL!$C$15, $D$11, 100%, $F$11)</f>
        <v>34.532299999999999</v>
      </c>
      <c r="G935" s="8">
        <f>CHOOSE( CONTROL!$C$32, 33.0161, 33.0127) * CHOOSE( CONTROL!$C$15, $D$11, 100%, $F$11)</f>
        <v>33.016100000000002</v>
      </c>
      <c r="H935" s="4">
        <f>CHOOSE( CONTROL!$C$32, 33.9626, 33.9593) * CHOOSE(CONTROL!$C$15, $D$11, 100%, $F$11)</f>
        <v>33.962600000000002</v>
      </c>
      <c r="I935" s="8">
        <f>CHOOSE( CONTROL!$C$32, 32.5725, 32.5692) * CHOOSE(CONTROL!$C$15, $D$11, 100%, $F$11)</f>
        <v>32.572499999999998</v>
      </c>
      <c r="J935" s="4">
        <f>CHOOSE( CONTROL!$C$32, 32.4403, 32.437) * CHOOSE(CONTROL!$C$15, $D$11, 100%, $F$11)</f>
        <v>32.440300000000001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31.2109, 31.2075) * CHOOSE(CONTROL!$C$15, $D$11, 100%, $F$11)</f>
        <v>31.210899999999999</v>
      </c>
      <c r="C936" s="8">
        <f>CHOOSE( CONTROL!$C$32, 31.219, 31.2156) * CHOOSE(CONTROL!$C$15, $D$11, 100%, $F$11)</f>
        <v>31.219000000000001</v>
      </c>
      <c r="D936" s="8">
        <f>CHOOSE( CONTROL!$C$32, 31.2451, 31.2417) * CHOOSE( CONTROL!$C$15, $D$11, 100%, $F$11)</f>
        <v>31.245100000000001</v>
      </c>
      <c r="E936" s="12">
        <f>CHOOSE( CONTROL!$C$32, 31.2344, 31.231) * CHOOSE( CONTROL!$C$15, $D$11, 100%, $F$11)</f>
        <v>31.234400000000001</v>
      </c>
      <c r="F936" s="4">
        <f>CHOOSE( CONTROL!$C$32, 31.9243, 31.9209) * CHOOSE(CONTROL!$C$15, $D$11, 100%, $F$11)</f>
        <v>31.924299999999999</v>
      </c>
      <c r="G936" s="8">
        <f>CHOOSE( CONTROL!$C$32, 30.469, 30.4657) * CHOOSE( CONTROL!$C$15, $D$11, 100%, $F$11)</f>
        <v>30.469000000000001</v>
      </c>
      <c r="H936" s="4">
        <f>CHOOSE( CONTROL!$C$32, 31.4154, 31.4121) * CHOOSE(CONTROL!$C$15, $D$11, 100%, $F$11)</f>
        <v>31.415400000000002</v>
      </c>
      <c r="I936" s="8">
        <f>CHOOSE( CONTROL!$C$32, 30.0678, 30.0645) * CHOOSE(CONTROL!$C$15, $D$11, 100%, $F$11)</f>
        <v>30.067799999999998</v>
      </c>
      <c r="J936" s="4">
        <f>CHOOSE( CONTROL!$C$32, 29.9364, 29.9331) * CHOOSE(CONTROL!$C$15, $D$11, 100%, $F$11)</f>
        <v>29.936399999999999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30.5578, 30.5544) * CHOOSE(CONTROL!$C$15, $D$11, 100%, $F$11)</f>
        <v>30.5578</v>
      </c>
      <c r="C937" s="8">
        <f>CHOOSE( CONTROL!$C$32, 30.5659, 30.5625) * CHOOSE(CONTROL!$C$15, $D$11, 100%, $F$11)</f>
        <v>30.565899999999999</v>
      </c>
      <c r="D937" s="8">
        <f>CHOOSE( CONTROL!$C$32, 30.592, 30.5886) * CHOOSE( CONTROL!$C$15, $D$11, 100%, $F$11)</f>
        <v>30.591999999999999</v>
      </c>
      <c r="E937" s="12">
        <f>CHOOSE( CONTROL!$C$32, 30.5813, 30.5779) * CHOOSE( CONTROL!$C$15, $D$11, 100%, $F$11)</f>
        <v>30.581299999999999</v>
      </c>
      <c r="F937" s="4">
        <f>CHOOSE( CONTROL!$C$32, 31.2713, 31.2679) * CHOOSE(CONTROL!$C$15, $D$11, 100%, $F$11)</f>
        <v>31.2713</v>
      </c>
      <c r="G937" s="8">
        <f>CHOOSE( CONTROL!$C$32, 29.8311, 29.8278) * CHOOSE( CONTROL!$C$15, $D$11, 100%, $F$11)</f>
        <v>29.831099999999999</v>
      </c>
      <c r="H937" s="4">
        <f>CHOOSE( CONTROL!$C$32, 30.7775, 30.7742) * CHOOSE(CONTROL!$C$15, $D$11, 100%, $F$11)</f>
        <v>30.7775</v>
      </c>
      <c r="I937" s="8">
        <f>CHOOSE( CONTROL!$C$32, 29.4403, 29.437) * CHOOSE(CONTROL!$C$15, $D$11, 100%, $F$11)</f>
        <v>29.440300000000001</v>
      </c>
      <c r="J937" s="4">
        <f>CHOOSE( CONTROL!$C$32, 29.3094, 29.3061) * CHOOSE(CONTROL!$C$15, $D$11, 100%, $F$11)</f>
        <v>29.3094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31.9087 * CHOOSE(CONTROL!$C$15, $D$11, 100%, $F$11)</f>
        <v>31.9087</v>
      </c>
      <c r="C938" s="8">
        <f>31.9141 * CHOOSE(CONTROL!$C$15, $D$11, 100%, $F$11)</f>
        <v>31.914100000000001</v>
      </c>
      <c r="D938" s="8">
        <f>31.9452 * CHOOSE( CONTROL!$C$15, $D$11, 100%, $F$11)</f>
        <v>31.9452</v>
      </c>
      <c r="E938" s="12">
        <f>31.9344 * CHOOSE( CONTROL!$C$15, $D$11, 100%, $F$11)</f>
        <v>31.9344</v>
      </c>
      <c r="F938" s="4">
        <f>32.6238 * CHOOSE(CONTROL!$C$15, $D$11, 100%, $F$11)</f>
        <v>32.623800000000003</v>
      </c>
      <c r="G938" s="8">
        <f>31.1517 * CHOOSE( CONTROL!$C$15, $D$11, 100%, $F$11)</f>
        <v>31.151700000000002</v>
      </c>
      <c r="H938" s="4">
        <f>32.0986 * CHOOSE(CONTROL!$C$15, $D$11, 100%, $F$11)</f>
        <v>32.098599999999998</v>
      </c>
      <c r="I938" s="8">
        <f>30.7404 * CHOOSE(CONTROL!$C$15, $D$11, 100%, $F$11)</f>
        <v>30.740400000000001</v>
      </c>
      <c r="J938" s="4">
        <f>30.608 * CHOOSE(CONTROL!$C$15, $D$11, 100%, $F$11)</f>
        <v>30.608000000000001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34.4112 * CHOOSE(CONTROL!$C$15, $D$11, 100%, $F$11)</f>
        <v>34.411200000000001</v>
      </c>
      <c r="C939" s="8">
        <f>34.4163 * CHOOSE(CONTROL!$C$15, $D$11, 100%, $F$11)</f>
        <v>34.4163</v>
      </c>
      <c r="D939" s="8">
        <f>34.4092 * CHOOSE( CONTROL!$C$15, $D$11, 100%, $F$11)</f>
        <v>34.409199999999998</v>
      </c>
      <c r="E939" s="12">
        <f>34.4113 * CHOOSE( CONTROL!$C$15, $D$11, 100%, $F$11)</f>
        <v>34.411299999999997</v>
      </c>
      <c r="F939" s="4">
        <f>35.0616 * CHOOSE(CONTROL!$C$15, $D$11, 100%, $F$11)</f>
        <v>35.061599999999999</v>
      </c>
      <c r="G939" s="8">
        <f>33.6093 * CHOOSE( CONTROL!$C$15, $D$11, 100%, $F$11)</f>
        <v>33.609299999999998</v>
      </c>
      <c r="H939" s="4">
        <f>34.4796 * CHOOSE(CONTROL!$C$15, $D$11, 100%, $F$11)</f>
        <v>34.479599999999998</v>
      </c>
      <c r="I939" s="8">
        <f>33.188 * CHOOSE(CONTROL!$C$15, $D$11, 100%, $F$11)</f>
        <v>33.188000000000002</v>
      </c>
      <c r="J939" s="4">
        <f>33.011 * CHOOSE(CONTROL!$C$15, $D$11, 100%, $F$11)</f>
        <v>33.011000000000003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34.3486 * CHOOSE(CONTROL!$C$15, $D$11, 100%, $F$11)</f>
        <v>34.348599999999998</v>
      </c>
      <c r="C940" s="8">
        <f>34.3538 * CHOOSE(CONTROL!$C$15, $D$11, 100%, $F$11)</f>
        <v>34.3538</v>
      </c>
      <c r="D940" s="8">
        <f>34.3481 * CHOOSE( CONTROL!$C$15, $D$11, 100%, $F$11)</f>
        <v>34.348100000000002</v>
      </c>
      <c r="E940" s="12">
        <f>34.3496 * CHOOSE( CONTROL!$C$15, $D$11, 100%, $F$11)</f>
        <v>34.349600000000002</v>
      </c>
      <c r="F940" s="4">
        <f>34.9991 * CHOOSE(CONTROL!$C$15, $D$11, 100%, $F$11)</f>
        <v>34.999099999999999</v>
      </c>
      <c r="G940" s="8">
        <f>33.5493 * CHOOSE( CONTROL!$C$15, $D$11, 100%, $F$11)</f>
        <v>33.549300000000002</v>
      </c>
      <c r="H940" s="4">
        <f>34.4185 * CHOOSE(CONTROL!$C$15, $D$11, 100%, $F$11)</f>
        <v>34.418500000000002</v>
      </c>
      <c r="I940" s="8">
        <f>33.1326 * CHOOSE(CONTROL!$C$15, $D$11, 100%, $F$11)</f>
        <v>33.132599999999996</v>
      </c>
      <c r="J940" s="4">
        <f>32.9509 * CHOOSE(CONTROL!$C$15, $D$11, 100%, $F$11)</f>
        <v>32.950899999999997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35.361 * CHOOSE(CONTROL!$C$15, $D$11, 100%, $F$11)</f>
        <v>35.360999999999997</v>
      </c>
      <c r="C941" s="8">
        <f>35.3661 * CHOOSE(CONTROL!$C$15, $D$11, 100%, $F$11)</f>
        <v>35.366100000000003</v>
      </c>
      <c r="D941" s="8">
        <f>35.3462 * CHOOSE( CONTROL!$C$15, $D$11, 100%, $F$11)</f>
        <v>35.346200000000003</v>
      </c>
      <c r="E941" s="12">
        <f>35.3529 * CHOOSE( CONTROL!$C$15, $D$11, 100%, $F$11)</f>
        <v>35.352899999999998</v>
      </c>
      <c r="F941" s="4">
        <f>36.0114 * CHOOSE(CONTROL!$C$15, $D$11, 100%, $F$11)</f>
        <v>36.011400000000002</v>
      </c>
      <c r="G941" s="8">
        <f>34.5212 * CHOOSE( CONTROL!$C$15, $D$11, 100%, $F$11)</f>
        <v>34.5212</v>
      </c>
      <c r="H941" s="4">
        <f>35.4073 * CHOOSE(CONTROL!$C$15, $D$11, 100%, $F$11)</f>
        <v>35.407299999999999</v>
      </c>
      <c r="I941" s="8">
        <f>34.0615 * CHOOSE(CONTROL!$C$15, $D$11, 100%, $F$11)</f>
        <v>34.061500000000002</v>
      </c>
      <c r="J941" s="4">
        <f>33.9229 * CHOOSE(CONTROL!$C$15, $D$11, 100%, $F$11)</f>
        <v>33.922899999999998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33.0768 * CHOOSE(CONTROL!$C$15, $D$11, 100%, $F$11)</f>
        <v>33.076799999999999</v>
      </c>
      <c r="C942" s="8">
        <f>33.082 * CHOOSE(CONTROL!$C$15, $D$11, 100%, $F$11)</f>
        <v>33.082000000000001</v>
      </c>
      <c r="D942" s="8">
        <f>33.062 * CHOOSE( CONTROL!$C$15, $D$11, 100%, $F$11)</f>
        <v>33.061999999999998</v>
      </c>
      <c r="E942" s="12">
        <f>33.0688 * CHOOSE( CONTROL!$C$15, $D$11, 100%, $F$11)</f>
        <v>33.068800000000003</v>
      </c>
      <c r="F942" s="4">
        <f>33.7272 * CHOOSE(CONTROL!$C$15, $D$11, 100%, $F$11)</f>
        <v>33.727200000000003</v>
      </c>
      <c r="G942" s="8">
        <f>32.2902 * CHOOSE( CONTROL!$C$15, $D$11, 100%, $F$11)</f>
        <v>32.290199999999999</v>
      </c>
      <c r="H942" s="4">
        <f>33.1763 * CHOOSE(CONTROL!$C$15, $D$11, 100%, $F$11)</f>
        <v>33.176299999999998</v>
      </c>
      <c r="I942" s="8">
        <f>31.8673 * CHOOSE(CONTROL!$C$15, $D$11, 100%, $F$11)</f>
        <v>31.8673</v>
      </c>
      <c r="J942" s="4">
        <f>31.7298 * CHOOSE(CONTROL!$C$15, $D$11, 100%, $F$11)</f>
        <v>31.729800000000001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32.3732 * CHOOSE(CONTROL!$C$15, $D$11, 100%, $F$11)</f>
        <v>32.373199999999997</v>
      </c>
      <c r="C943" s="8">
        <f>32.3784 * CHOOSE(CONTROL!$C$15, $D$11, 100%, $F$11)</f>
        <v>32.378399999999999</v>
      </c>
      <c r="D943" s="8">
        <f>32.3581 * CHOOSE( CONTROL!$C$15, $D$11, 100%, $F$11)</f>
        <v>32.3581</v>
      </c>
      <c r="E943" s="12">
        <f>32.365 * CHOOSE( CONTROL!$C$15, $D$11, 100%, $F$11)</f>
        <v>32.365000000000002</v>
      </c>
      <c r="F943" s="4">
        <f>33.0237 * CHOOSE(CONTROL!$C$15, $D$11, 100%, $F$11)</f>
        <v>33.023699999999998</v>
      </c>
      <c r="G943" s="8">
        <f>31.6028 * CHOOSE( CONTROL!$C$15, $D$11, 100%, $F$11)</f>
        <v>31.602799999999998</v>
      </c>
      <c r="H943" s="4">
        <f>32.4891 * CHOOSE(CONTROL!$C$15, $D$11, 100%, $F$11)</f>
        <v>32.489100000000001</v>
      </c>
      <c r="I943" s="8">
        <f>31.1903 * CHOOSE(CONTROL!$C$15, $D$11, 100%, $F$11)</f>
        <v>31.190300000000001</v>
      </c>
      <c r="J943" s="4">
        <f>31.0544 * CHOOSE(CONTROL!$C$15, $D$11, 100%, $F$11)</f>
        <v>31.054400000000001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32.8656 * CHOOSE(CONTROL!$C$15, $D$11, 100%, $F$11)</f>
        <v>32.865600000000001</v>
      </c>
      <c r="C944" s="8">
        <f>32.8702 * CHOOSE(CONTROL!$C$15, $D$11, 100%, $F$11)</f>
        <v>32.870199999999997</v>
      </c>
      <c r="D944" s="8">
        <f>32.9011 * CHOOSE( CONTROL!$C$15, $D$11, 100%, $F$11)</f>
        <v>32.9011</v>
      </c>
      <c r="E944" s="12">
        <f>32.8904 * CHOOSE( CONTROL!$C$15, $D$11, 100%, $F$11)</f>
        <v>32.8904</v>
      </c>
      <c r="F944" s="4">
        <f>33.5804 * CHOOSE(CONTROL!$C$15, $D$11, 100%, $F$11)</f>
        <v>33.580399999999997</v>
      </c>
      <c r="G944" s="8">
        <f>32.085 * CHOOSE( CONTROL!$C$15, $D$11, 100%, $F$11)</f>
        <v>32.085000000000001</v>
      </c>
      <c r="H944" s="4">
        <f>33.0329 * CHOOSE(CONTROL!$C$15, $D$11, 100%, $F$11)</f>
        <v>33.032899999999998</v>
      </c>
      <c r="I944" s="8">
        <f>31.6559 * CHOOSE(CONTROL!$C$15, $D$11, 100%, $F$11)</f>
        <v>31.655899999999999</v>
      </c>
      <c r="J944" s="4">
        <f>31.5264 * CHOOSE(CONTROL!$C$15, $D$11, 100%, $F$11)</f>
        <v>31.526399999999999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33.7453, 33.7419) * CHOOSE(CONTROL!$C$15, $D$11, 100%, $F$11)</f>
        <v>33.7453</v>
      </c>
      <c r="C945" s="8">
        <f>CHOOSE( CONTROL!$C$32, 33.7534, 33.75) * CHOOSE(CONTROL!$C$15, $D$11, 100%, $F$11)</f>
        <v>33.753399999999999</v>
      </c>
      <c r="D945" s="8">
        <f>CHOOSE( CONTROL!$C$32, 33.779, 33.7756) * CHOOSE( CONTROL!$C$15, $D$11, 100%, $F$11)</f>
        <v>33.779000000000003</v>
      </c>
      <c r="E945" s="12">
        <f>CHOOSE( CONTROL!$C$32, 33.7685, 33.7651) * CHOOSE( CONTROL!$C$15, $D$11, 100%, $F$11)</f>
        <v>33.768500000000003</v>
      </c>
      <c r="F945" s="4">
        <f>CHOOSE( CONTROL!$C$32, 34.4588, 34.4554) * CHOOSE(CONTROL!$C$15, $D$11, 100%, $F$11)</f>
        <v>34.458799999999997</v>
      </c>
      <c r="G945" s="8">
        <f>CHOOSE( CONTROL!$C$32, 32.9436, 32.9403) * CHOOSE( CONTROL!$C$15, $D$11, 100%, $F$11)</f>
        <v>32.943600000000004</v>
      </c>
      <c r="H945" s="4">
        <f>CHOOSE( CONTROL!$C$32, 33.8908, 33.8874) * CHOOSE(CONTROL!$C$15, $D$11, 100%, $F$11)</f>
        <v>33.890799999999999</v>
      </c>
      <c r="I945" s="8">
        <f>CHOOSE( CONTROL!$C$32, 32.4998, 32.4965) * CHOOSE(CONTROL!$C$15, $D$11, 100%, $F$11)</f>
        <v>32.4998</v>
      </c>
      <c r="J945" s="4">
        <f>CHOOSE( CONTROL!$C$32, 32.3697, 32.3664) * CHOOSE(CONTROL!$C$15, $D$11, 100%, $F$11)</f>
        <v>32.369700000000002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33.2033, 33.1999) * CHOOSE(CONTROL!$C$15, $D$11, 100%, $F$11)</f>
        <v>33.203299999999999</v>
      </c>
      <c r="C946" s="8">
        <f>CHOOSE( CONTROL!$C$32, 33.2114, 33.208) * CHOOSE(CONTROL!$C$15, $D$11, 100%, $F$11)</f>
        <v>33.211399999999998</v>
      </c>
      <c r="D946" s="8">
        <f>CHOOSE( CONTROL!$C$32, 33.2372, 33.2338) * CHOOSE( CONTROL!$C$15, $D$11, 100%, $F$11)</f>
        <v>33.237200000000001</v>
      </c>
      <c r="E946" s="12">
        <f>CHOOSE( CONTROL!$C$32, 33.2266, 33.2232) * CHOOSE( CONTROL!$C$15, $D$11, 100%, $F$11)</f>
        <v>33.226599999999998</v>
      </c>
      <c r="F946" s="4">
        <f>CHOOSE( CONTROL!$C$32, 33.9168, 33.9134) * CHOOSE(CONTROL!$C$15, $D$11, 100%, $F$11)</f>
        <v>33.916800000000002</v>
      </c>
      <c r="G946" s="8">
        <f>CHOOSE( CONTROL!$C$32, 32.4145, 32.4112) * CHOOSE( CONTROL!$C$15, $D$11, 100%, $F$11)</f>
        <v>32.414499999999997</v>
      </c>
      <c r="H946" s="4">
        <f>CHOOSE( CONTROL!$C$32, 33.3614, 33.3581) * CHOOSE(CONTROL!$C$15, $D$11, 100%, $F$11)</f>
        <v>33.361400000000003</v>
      </c>
      <c r="I946" s="8">
        <f>CHOOSE( CONTROL!$C$32, 31.9801, 31.9768) * CHOOSE(CONTROL!$C$15, $D$11, 100%, $F$11)</f>
        <v>31.9801</v>
      </c>
      <c r="J946" s="4">
        <f>CHOOSE( CONTROL!$C$32, 31.8493, 31.846) * CHOOSE(CONTROL!$C$15, $D$11, 100%, $F$11)</f>
        <v>31.849299999999999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34.6306, 34.6272) * CHOOSE(CONTROL!$C$15, $D$11, 100%, $F$11)</f>
        <v>34.630600000000001</v>
      </c>
      <c r="C947" s="8">
        <f>CHOOSE( CONTROL!$C$32, 34.6387, 34.6353) * CHOOSE(CONTROL!$C$15, $D$11, 100%, $F$11)</f>
        <v>34.6387</v>
      </c>
      <c r="D947" s="8">
        <f>CHOOSE( CONTROL!$C$32, 34.6647, 34.6613) * CHOOSE( CONTROL!$C$15, $D$11, 100%, $F$11)</f>
        <v>34.664700000000003</v>
      </c>
      <c r="E947" s="12">
        <f>CHOOSE( CONTROL!$C$32, 34.654, 34.6506) * CHOOSE( CONTROL!$C$15, $D$11, 100%, $F$11)</f>
        <v>34.654000000000003</v>
      </c>
      <c r="F947" s="4">
        <f>CHOOSE( CONTROL!$C$32, 35.3441, 35.3407) * CHOOSE(CONTROL!$C$15, $D$11, 100%, $F$11)</f>
        <v>35.344099999999997</v>
      </c>
      <c r="G947" s="8">
        <f>CHOOSE( CONTROL!$C$32, 33.8089, 33.8056) * CHOOSE( CONTROL!$C$15, $D$11, 100%, $F$11)</f>
        <v>33.808900000000001</v>
      </c>
      <c r="H947" s="4">
        <f>CHOOSE( CONTROL!$C$32, 34.7554, 34.7521) * CHOOSE(CONTROL!$C$15, $D$11, 100%, $F$11)</f>
        <v>34.755400000000002</v>
      </c>
      <c r="I947" s="8">
        <f>CHOOSE( CONTROL!$C$32, 33.3522, 33.349) * CHOOSE(CONTROL!$C$15, $D$11, 100%, $F$11)</f>
        <v>33.352200000000003</v>
      </c>
      <c r="J947" s="4">
        <f>CHOOSE( CONTROL!$C$32, 33.2196, 33.2164) * CHOOSE(CONTROL!$C$15, $D$11, 100%, $F$11)</f>
        <v>33.2196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31.96, 31.9566) * CHOOSE(CONTROL!$C$15, $D$11, 100%, $F$11)</f>
        <v>31.96</v>
      </c>
      <c r="C948" s="8">
        <f>CHOOSE( CONTROL!$C$32, 31.9681, 31.9647) * CHOOSE(CONTROL!$C$15, $D$11, 100%, $F$11)</f>
        <v>31.9681</v>
      </c>
      <c r="D948" s="8">
        <f>CHOOSE( CONTROL!$C$32, 31.9942, 31.9908) * CHOOSE( CONTROL!$C$15, $D$11, 100%, $F$11)</f>
        <v>31.994199999999999</v>
      </c>
      <c r="E948" s="12">
        <f>CHOOSE( CONTROL!$C$32, 31.9835, 31.9801) * CHOOSE( CONTROL!$C$15, $D$11, 100%, $F$11)</f>
        <v>31.983499999999999</v>
      </c>
      <c r="F948" s="4">
        <f>CHOOSE( CONTROL!$C$32, 32.6734, 32.67) * CHOOSE(CONTROL!$C$15, $D$11, 100%, $F$11)</f>
        <v>32.673400000000001</v>
      </c>
      <c r="G948" s="8">
        <f>CHOOSE( CONTROL!$C$32, 31.2007, 31.1973) * CHOOSE( CONTROL!$C$15, $D$11, 100%, $F$11)</f>
        <v>31.200700000000001</v>
      </c>
      <c r="H948" s="4">
        <f>CHOOSE( CONTROL!$C$32, 32.147, 32.1437) * CHOOSE(CONTROL!$C$15, $D$11, 100%, $F$11)</f>
        <v>32.146999999999998</v>
      </c>
      <c r="I948" s="8">
        <f>CHOOSE( CONTROL!$C$32, 30.7873, 30.7841) * CHOOSE(CONTROL!$C$15, $D$11, 100%, $F$11)</f>
        <v>30.787299999999998</v>
      </c>
      <c r="J948" s="4">
        <f>CHOOSE( CONTROL!$C$32, 30.6556, 30.6523) * CHOOSE(CONTROL!$C$15, $D$11, 100%, $F$11)</f>
        <v>30.6556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31.2913, 31.2878) * CHOOSE(CONTROL!$C$15, $D$11, 100%, $F$11)</f>
        <v>31.2913</v>
      </c>
      <c r="C949" s="8">
        <f>CHOOSE( CONTROL!$C$32, 31.2993, 31.2959) * CHOOSE(CONTROL!$C$15, $D$11, 100%, $F$11)</f>
        <v>31.299299999999999</v>
      </c>
      <c r="D949" s="8">
        <f>CHOOSE( CONTROL!$C$32, 31.3254, 31.322) * CHOOSE( CONTROL!$C$15, $D$11, 100%, $F$11)</f>
        <v>31.325399999999998</v>
      </c>
      <c r="E949" s="12">
        <f>CHOOSE( CONTROL!$C$32, 31.3147, 31.3113) * CHOOSE( CONTROL!$C$15, $D$11, 100%, $F$11)</f>
        <v>31.314699999999998</v>
      </c>
      <c r="F949" s="4">
        <f>CHOOSE( CONTROL!$C$32, 32.0047, 32.0013) * CHOOSE(CONTROL!$C$15, $D$11, 100%, $F$11)</f>
        <v>32.0047</v>
      </c>
      <c r="G949" s="8">
        <f>CHOOSE( CONTROL!$C$32, 30.5474, 30.5441) * CHOOSE( CONTROL!$C$15, $D$11, 100%, $F$11)</f>
        <v>30.5474</v>
      </c>
      <c r="H949" s="4">
        <f>CHOOSE( CONTROL!$C$32, 31.4939, 31.4905) * CHOOSE(CONTROL!$C$15, $D$11, 100%, $F$11)</f>
        <v>31.4939</v>
      </c>
      <c r="I949" s="8">
        <f>CHOOSE( CONTROL!$C$32, 30.1448, 30.1415) * CHOOSE(CONTROL!$C$15, $D$11, 100%, $F$11)</f>
        <v>30.1448</v>
      </c>
      <c r="J949" s="4">
        <f>CHOOSE( CONTROL!$C$32, 30.0135, 30.0102) * CHOOSE(CONTROL!$C$15, $D$11, 100%, $F$11)</f>
        <v>30.013500000000001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32.6747 * CHOOSE(CONTROL!$C$15, $D$11, 100%, $F$11)</f>
        <v>32.674700000000001</v>
      </c>
      <c r="C950" s="8">
        <f>32.6801 * CHOOSE(CONTROL!$C$15, $D$11, 100%, $F$11)</f>
        <v>32.680100000000003</v>
      </c>
      <c r="D950" s="8">
        <f>32.7112 * CHOOSE( CONTROL!$C$15, $D$11, 100%, $F$11)</f>
        <v>32.711199999999998</v>
      </c>
      <c r="E950" s="12">
        <f>32.7004 * CHOOSE( CONTROL!$C$15, $D$11, 100%, $F$11)</f>
        <v>32.700400000000002</v>
      </c>
      <c r="F950" s="4">
        <f>33.3898 * CHOOSE(CONTROL!$C$15, $D$11, 100%, $F$11)</f>
        <v>33.389800000000001</v>
      </c>
      <c r="G950" s="8">
        <f>31.8999 * CHOOSE( CONTROL!$C$15, $D$11, 100%, $F$11)</f>
        <v>31.899899999999999</v>
      </c>
      <c r="H950" s="4">
        <f>32.8468 * CHOOSE(CONTROL!$C$15, $D$11, 100%, $F$11)</f>
        <v>32.846800000000002</v>
      </c>
      <c r="I950" s="8">
        <f>31.4762 * CHOOSE(CONTROL!$C$15, $D$11, 100%, $F$11)</f>
        <v>31.476199999999999</v>
      </c>
      <c r="J950" s="4">
        <f>31.3434 * CHOOSE(CONTROL!$C$15, $D$11, 100%, $F$11)</f>
        <v>31.343399999999999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35.2373 * CHOOSE(CONTROL!$C$15, $D$11, 100%, $F$11)</f>
        <v>35.237299999999998</v>
      </c>
      <c r="C951" s="8">
        <f>35.2425 * CHOOSE(CONTROL!$C$15, $D$11, 100%, $F$11)</f>
        <v>35.2425</v>
      </c>
      <c r="D951" s="8">
        <f>35.2353 * CHOOSE( CONTROL!$C$15, $D$11, 100%, $F$11)</f>
        <v>35.235300000000002</v>
      </c>
      <c r="E951" s="12">
        <f>35.2374 * CHOOSE( CONTROL!$C$15, $D$11, 100%, $F$11)</f>
        <v>35.237400000000001</v>
      </c>
      <c r="F951" s="4">
        <f>35.8878 * CHOOSE(CONTROL!$C$15, $D$11, 100%, $F$11)</f>
        <v>35.887799999999999</v>
      </c>
      <c r="G951" s="8">
        <f>34.4162 * CHOOSE( CONTROL!$C$15, $D$11, 100%, $F$11)</f>
        <v>34.416200000000003</v>
      </c>
      <c r="H951" s="4">
        <f>35.2865 * CHOOSE(CONTROL!$C$15, $D$11, 100%, $F$11)</f>
        <v>35.286499999999997</v>
      </c>
      <c r="I951" s="8">
        <f>33.9816 * CHOOSE(CONTROL!$C$15, $D$11, 100%, $F$11)</f>
        <v>33.9816</v>
      </c>
      <c r="J951" s="4">
        <f>33.8041 * CHOOSE(CONTROL!$C$15, $D$11, 100%, $F$11)</f>
        <v>33.804099999999998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35.1733 * CHOOSE(CONTROL!$C$15, $D$11, 100%, $F$11)</f>
        <v>35.173299999999998</v>
      </c>
      <c r="C952" s="8">
        <f>35.1784 * CHOOSE(CONTROL!$C$15, $D$11, 100%, $F$11)</f>
        <v>35.178400000000003</v>
      </c>
      <c r="D952" s="8">
        <f>35.1727 * CHOOSE( CONTROL!$C$15, $D$11, 100%, $F$11)</f>
        <v>35.172699999999999</v>
      </c>
      <c r="E952" s="12">
        <f>35.1742 * CHOOSE( CONTROL!$C$15, $D$11, 100%, $F$11)</f>
        <v>35.174199999999999</v>
      </c>
      <c r="F952" s="4">
        <f>35.8237 * CHOOSE(CONTROL!$C$15, $D$11, 100%, $F$11)</f>
        <v>35.823700000000002</v>
      </c>
      <c r="G952" s="8">
        <f>34.3547 * CHOOSE( CONTROL!$C$15, $D$11, 100%, $F$11)</f>
        <v>34.354700000000001</v>
      </c>
      <c r="H952" s="4">
        <f>35.2239 * CHOOSE(CONTROL!$C$15, $D$11, 100%, $F$11)</f>
        <v>35.2239</v>
      </c>
      <c r="I952" s="8">
        <f>33.9247 * CHOOSE(CONTROL!$C$15, $D$11, 100%, $F$11)</f>
        <v>33.924700000000001</v>
      </c>
      <c r="J952" s="4">
        <f>33.7427 * CHOOSE(CONTROL!$C$15, $D$11, 100%, $F$11)</f>
        <v>33.742699999999999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36.2099 * CHOOSE(CONTROL!$C$15, $D$11, 100%, $F$11)</f>
        <v>36.209899999999998</v>
      </c>
      <c r="C953" s="8">
        <f>36.2151 * CHOOSE(CONTROL!$C$15, $D$11, 100%, $F$11)</f>
        <v>36.2151</v>
      </c>
      <c r="D953" s="8">
        <f>36.1952 * CHOOSE( CONTROL!$C$15, $D$11, 100%, $F$11)</f>
        <v>36.1952</v>
      </c>
      <c r="E953" s="12">
        <f>36.2019 * CHOOSE( CONTROL!$C$15, $D$11, 100%, $F$11)</f>
        <v>36.201900000000002</v>
      </c>
      <c r="F953" s="4">
        <f>36.8604 * CHOOSE(CONTROL!$C$15, $D$11, 100%, $F$11)</f>
        <v>36.860399999999998</v>
      </c>
      <c r="G953" s="8">
        <f>35.3504 * CHOOSE( CONTROL!$C$15, $D$11, 100%, $F$11)</f>
        <v>35.3504</v>
      </c>
      <c r="H953" s="4">
        <f>36.2364 * CHOOSE(CONTROL!$C$15, $D$11, 100%, $F$11)</f>
        <v>36.236400000000003</v>
      </c>
      <c r="I953" s="8">
        <f>34.877 * CHOOSE(CONTROL!$C$15, $D$11, 100%, $F$11)</f>
        <v>34.877000000000002</v>
      </c>
      <c r="J953" s="4">
        <f>34.738 * CHOOSE(CONTROL!$C$15, $D$11, 100%, $F$11)</f>
        <v>34.738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33.8708 * CHOOSE(CONTROL!$C$15, $D$11, 100%, $F$11)</f>
        <v>33.870800000000003</v>
      </c>
      <c r="C954" s="8">
        <f>33.876 * CHOOSE(CONTROL!$C$15, $D$11, 100%, $F$11)</f>
        <v>33.875999999999998</v>
      </c>
      <c r="D954" s="8">
        <f>33.8561 * CHOOSE( CONTROL!$C$15, $D$11, 100%, $F$11)</f>
        <v>33.856099999999998</v>
      </c>
      <c r="E954" s="12">
        <f>33.8628 * CHOOSE( CONTROL!$C$15, $D$11, 100%, $F$11)</f>
        <v>33.8628</v>
      </c>
      <c r="F954" s="4">
        <f>34.5213 * CHOOSE(CONTROL!$C$15, $D$11, 100%, $F$11)</f>
        <v>34.521299999999997</v>
      </c>
      <c r="G954" s="8">
        <f>33.0658 * CHOOSE( CONTROL!$C$15, $D$11, 100%, $F$11)</f>
        <v>33.065800000000003</v>
      </c>
      <c r="H954" s="4">
        <f>33.9519 * CHOOSE(CONTROL!$C$15, $D$11, 100%, $F$11)</f>
        <v>33.951900000000002</v>
      </c>
      <c r="I954" s="8">
        <f>32.63 * CHOOSE(CONTROL!$C$15, $D$11, 100%, $F$11)</f>
        <v>32.630000000000003</v>
      </c>
      <c r="J954" s="4">
        <f>32.4922 * CHOOSE(CONTROL!$C$15, $D$11, 100%, $F$11)</f>
        <v>32.492199999999997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33.1504 * CHOOSE(CONTROL!$C$15, $D$11, 100%, $F$11)</f>
        <v>33.150399999999998</v>
      </c>
      <c r="C955" s="8">
        <f>33.1556 * CHOOSE(CONTROL!$C$15, $D$11, 100%, $F$11)</f>
        <v>33.1556</v>
      </c>
      <c r="D955" s="8">
        <f>33.1353 * CHOOSE( CONTROL!$C$15, $D$11, 100%, $F$11)</f>
        <v>33.135300000000001</v>
      </c>
      <c r="E955" s="12">
        <f>33.1422 * CHOOSE( CONTROL!$C$15, $D$11, 100%, $F$11)</f>
        <v>33.142200000000003</v>
      </c>
      <c r="F955" s="4">
        <f>33.8009 * CHOOSE(CONTROL!$C$15, $D$11, 100%, $F$11)</f>
        <v>33.800899999999999</v>
      </c>
      <c r="G955" s="8">
        <f>32.3619 * CHOOSE( CONTROL!$C$15, $D$11, 100%, $F$11)</f>
        <v>32.361899999999999</v>
      </c>
      <c r="H955" s="4">
        <f>33.2482 * CHOOSE(CONTROL!$C$15, $D$11, 100%, $F$11)</f>
        <v>33.248199999999997</v>
      </c>
      <c r="I955" s="8">
        <f>31.9369 * CHOOSE(CONTROL!$C$15, $D$11, 100%, $F$11)</f>
        <v>31.936900000000001</v>
      </c>
      <c r="J955" s="4">
        <f>31.8005 * CHOOSE(CONTROL!$C$15, $D$11, 100%, $F$11)</f>
        <v>31.8005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33.6546 * CHOOSE(CONTROL!$C$15, $D$11, 100%, $F$11)</f>
        <v>33.654600000000002</v>
      </c>
      <c r="C956" s="8">
        <f>33.6592 * CHOOSE(CONTROL!$C$15, $D$11, 100%, $F$11)</f>
        <v>33.659199999999998</v>
      </c>
      <c r="D956" s="8">
        <f>33.6901 * CHOOSE( CONTROL!$C$15, $D$11, 100%, $F$11)</f>
        <v>33.690100000000001</v>
      </c>
      <c r="E956" s="12">
        <f>33.6794 * CHOOSE( CONTROL!$C$15, $D$11, 100%, $F$11)</f>
        <v>33.679400000000001</v>
      </c>
      <c r="F956" s="4">
        <f>34.3694 * CHOOSE(CONTROL!$C$15, $D$11, 100%, $F$11)</f>
        <v>34.369399999999999</v>
      </c>
      <c r="G956" s="8">
        <f>32.8556 * CHOOSE( CONTROL!$C$15, $D$11, 100%, $F$11)</f>
        <v>32.855600000000003</v>
      </c>
      <c r="H956" s="4">
        <f>33.8035 * CHOOSE(CONTROL!$C$15, $D$11, 100%, $F$11)</f>
        <v>33.8035</v>
      </c>
      <c r="I956" s="8">
        <f>32.4138 * CHOOSE(CONTROL!$C$15, $D$11, 100%, $F$11)</f>
        <v>32.413800000000002</v>
      </c>
      <c r="J956" s="4">
        <f>32.2839 * CHOOSE(CONTROL!$C$15, $D$11, 100%, $F$11)</f>
        <v>32.283900000000003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34.5553, 34.5519) * CHOOSE(CONTROL!$C$15, $D$11, 100%, $F$11)</f>
        <v>34.555300000000003</v>
      </c>
      <c r="C957" s="8">
        <f>CHOOSE( CONTROL!$C$32, 34.5634, 34.56) * CHOOSE(CONTROL!$C$15, $D$11, 100%, $F$11)</f>
        <v>34.563400000000001</v>
      </c>
      <c r="D957" s="8">
        <f>CHOOSE( CONTROL!$C$32, 34.589, 34.5856) * CHOOSE( CONTROL!$C$15, $D$11, 100%, $F$11)</f>
        <v>34.588999999999999</v>
      </c>
      <c r="E957" s="12">
        <f>CHOOSE( CONTROL!$C$32, 34.5785, 34.5751) * CHOOSE( CONTROL!$C$15, $D$11, 100%, $F$11)</f>
        <v>34.578499999999998</v>
      </c>
      <c r="F957" s="4">
        <f>CHOOSE( CONTROL!$C$32, 35.2688, 35.2654) * CHOOSE(CONTROL!$C$15, $D$11, 100%, $F$11)</f>
        <v>35.268799999999999</v>
      </c>
      <c r="G957" s="8">
        <f>CHOOSE( CONTROL!$C$32, 33.7348, 33.7314) * CHOOSE( CONTROL!$C$15, $D$11, 100%, $F$11)</f>
        <v>33.7348</v>
      </c>
      <c r="H957" s="4">
        <f>CHOOSE( CONTROL!$C$32, 34.6819, 34.6786) * CHOOSE(CONTROL!$C$15, $D$11, 100%, $F$11)</f>
        <v>34.681899999999999</v>
      </c>
      <c r="I957" s="8">
        <f>CHOOSE( CONTROL!$C$32, 33.2779, 33.2746) * CHOOSE(CONTROL!$C$15, $D$11, 100%, $F$11)</f>
        <v>33.277900000000002</v>
      </c>
      <c r="J957" s="4">
        <f>CHOOSE( CONTROL!$C$32, 33.1474, 33.1441) * CHOOSE(CONTROL!$C$15, $D$11, 100%, $F$11)</f>
        <v>33.147399999999998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34.0003, 33.9969) * CHOOSE(CONTROL!$C$15, $D$11, 100%, $F$11)</f>
        <v>34.000300000000003</v>
      </c>
      <c r="C958" s="8">
        <f>CHOOSE( CONTROL!$C$32, 34.0084, 34.005) * CHOOSE(CONTROL!$C$15, $D$11, 100%, $F$11)</f>
        <v>34.008400000000002</v>
      </c>
      <c r="D958" s="8">
        <f>CHOOSE( CONTROL!$C$32, 34.0342, 34.0308) * CHOOSE( CONTROL!$C$15, $D$11, 100%, $F$11)</f>
        <v>34.034199999999998</v>
      </c>
      <c r="E958" s="12">
        <f>CHOOSE( CONTROL!$C$32, 34.0236, 34.0202) * CHOOSE( CONTROL!$C$15, $D$11, 100%, $F$11)</f>
        <v>34.023600000000002</v>
      </c>
      <c r="F958" s="4">
        <f>CHOOSE( CONTROL!$C$32, 34.7137, 34.7103) * CHOOSE(CONTROL!$C$15, $D$11, 100%, $F$11)</f>
        <v>34.713700000000003</v>
      </c>
      <c r="G958" s="8">
        <f>CHOOSE( CONTROL!$C$32, 33.193, 33.1896) * CHOOSE( CONTROL!$C$15, $D$11, 100%, $F$11)</f>
        <v>33.192999999999998</v>
      </c>
      <c r="H958" s="4">
        <f>CHOOSE( CONTROL!$C$32, 34.1398, 34.1365) * CHOOSE(CONTROL!$C$15, $D$11, 100%, $F$11)</f>
        <v>34.139800000000001</v>
      </c>
      <c r="I958" s="8">
        <f>CHOOSE( CONTROL!$C$32, 32.7457, 32.7424) * CHOOSE(CONTROL!$C$15, $D$11, 100%, $F$11)</f>
        <v>32.745699999999999</v>
      </c>
      <c r="J958" s="4">
        <f>CHOOSE( CONTROL!$C$32, 32.6145, 32.6112) * CHOOSE(CONTROL!$C$15, $D$11, 100%, $F$11)</f>
        <v>32.6145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35.4619, 35.4585) * CHOOSE(CONTROL!$C$15, $D$11, 100%, $F$11)</f>
        <v>35.4619</v>
      </c>
      <c r="C959" s="8">
        <f>CHOOSE( CONTROL!$C$32, 35.47, 35.4666) * CHOOSE(CONTROL!$C$15, $D$11, 100%, $F$11)</f>
        <v>35.47</v>
      </c>
      <c r="D959" s="8">
        <f>CHOOSE( CONTROL!$C$32, 35.496, 35.4926) * CHOOSE( CONTROL!$C$15, $D$11, 100%, $F$11)</f>
        <v>35.496000000000002</v>
      </c>
      <c r="E959" s="12">
        <f>CHOOSE( CONTROL!$C$32, 35.4853, 35.4819) * CHOOSE( CONTROL!$C$15, $D$11, 100%, $F$11)</f>
        <v>35.485300000000002</v>
      </c>
      <c r="F959" s="4">
        <f>CHOOSE( CONTROL!$C$32, 36.1753, 36.1719) * CHOOSE(CONTROL!$C$15, $D$11, 100%, $F$11)</f>
        <v>36.1753</v>
      </c>
      <c r="G959" s="8">
        <f>CHOOSE( CONTROL!$C$32, 34.6208, 34.6175) * CHOOSE( CONTROL!$C$15, $D$11, 100%, $F$11)</f>
        <v>34.620800000000003</v>
      </c>
      <c r="H959" s="4">
        <f>CHOOSE( CONTROL!$C$32, 35.5674, 35.564) * CHOOSE(CONTROL!$C$15, $D$11, 100%, $F$11)</f>
        <v>35.567399999999999</v>
      </c>
      <c r="I959" s="8">
        <f>CHOOSE( CONTROL!$C$32, 34.1507, 34.1475) * CHOOSE(CONTROL!$C$15, $D$11, 100%, $F$11)</f>
        <v>34.150700000000001</v>
      </c>
      <c r="J959" s="4">
        <f>CHOOSE( CONTROL!$C$32, 34.0177, 34.0145) * CHOOSE(CONTROL!$C$15, $D$11, 100%, $F$11)</f>
        <v>34.017699999999998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32.7271, 32.7237) * CHOOSE(CONTROL!$C$15, $D$11, 100%, $F$11)</f>
        <v>32.7271</v>
      </c>
      <c r="C960" s="8">
        <f>CHOOSE( CONTROL!$C$32, 32.7352, 32.7318) * CHOOSE(CONTROL!$C$15, $D$11, 100%, $F$11)</f>
        <v>32.735199999999999</v>
      </c>
      <c r="D960" s="8">
        <f>CHOOSE( CONTROL!$C$32, 32.7613, 32.7579) * CHOOSE( CONTROL!$C$15, $D$11, 100%, $F$11)</f>
        <v>32.761299999999999</v>
      </c>
      <c r="E960" s="12">
        <f>CHOOSE( CONTROL!$C$32, 32.7506, 32.7472) * CHOOSE( CONTROL!$C$15, $D$11, 100%, $F$11)</f>
        <v>32.750599999999999</v>
      </c>
      <c r="F960" s="4">
        <f>CHOOSE( CONTROL!$C$32, 33.4405, 33.4371) * CHOOSE(CONTROL!$C$15, $D$11, 100%, $F$11)</f>
        <v>33.4405</v>
      </c>
      <c r="G960" s="8">
        <f>CHOOSE( CONTROL!$C$32, 31.9499, 31.9466) * CHOOSE( CONTROL!$C$15, $D$11, 100%, $F$11)</f>
        <v>31.9499</v>
      </c>
      <c r="H960" s="4">
        <f>CHOOSE( CONTROL!$C$32, 32.8963, 32.8929) * CHOOSE(CONTROL!$C$15, $D$11, 100%, $F$11)</f>
        <v>32.896299999999997</v>
      </c>
      <c r="I960" s="8">
        <f>CHOOSE( CONTROL!$C$32, 31.5242, 31.5209) * CHOOSE(CONTROL!$C$15, $D$11, 100%, $F$11)</f>
        <v>31.5242</v>
      </c>
      <c r="J960" s="4">
        <f>CHOOSE( CONTROL!$C$32, 31.3921, 31.3888) * CHOOSE(CONTROL!$C$15, $D$11, 100%, $F$11)</f>
        <v>31.392099999999999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32.0423, 32.0389) * CHOOSE(CONTROL!$C$15, $D$11, 100%, $F$11)</f>
        <v>32.042299999999997</v>
      </c>
      <c r="C961" s="8">
        <f>CHOOSE( CONTROL!$C$32, 32.0504, 32.047) * CHOOSE(CONTROL!$C$15, $D$11, 100%, $F$11)</f>
        <v>32.050400000000003</v>
      </c>
      <c r="D961" s="8">
        <f>CHOOSE( CONTROL!$C$32, 32.0765, 32.0731) * CHOOSE( CONTROL!$C$15, $D$11, 100%, $F$11)</f>
        <v>32.076500000000003</v>
      </c>
      <c r="E961" s="12">
        <f>CHOOSE( CONTROL!$C$32, 32.0658, 32.0624) * CHOOSE( CONTROL!$C$15, $D$11, 100%, $F$11)</f>
        <v>32.065800000000003</v>
      </c>
      <c r="F961" s="4">
        <f>CHOOSE( CONTROL!$C$32, 32.7557, 32.7523) * CHOOSE(CONTROL!$C$15, $D$11, 100%, $F$11)</f>
        <v>32.755699999999997</v>
      </c>
      <c r="G961" s="8">
        <f>CHOOSE( CONTROL!$C$32, 31.281, 31.2776) * CHOOSE( CONTROL!$C$15, $D$11, 100%, $F$11)</f>
        <v>31.280999999999999</v>
      </c>
      <c r="H961" s="4">
        <f>CHOOSE( CONTROL!$C$32, 32.2274, 32.2241) * CHOOSE(CONTROL!$C$15, $D$11, 100%, $F$11)</f>
        <v>32.227400000000003</v>
      </c>
      <c r="I961" s="8">
        <f>CHOOSE( CONTROL!$C$32, 30.8662, 30.863) * CHOOSE(CONTROL!$C$15, $D$11, 100%, $F$11)</f>
        <v>30.866199999999999</v>
      </c>
      <c r="J961" s="4">
        <f>CHOOSE( CONTROL!$C$32, 30.7346, 30.7313) * CHOOSE(CONTROL!$C$15, $D$11, 100%, $F$11)</f>
        <v>30.7346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33.4591 * CHOOSE(CONTROL!$C$15, $D$11, 100%, $F$11)</f>
        <v>33.459099999999999</v>
      </c>
      <c r="C962" s="8">
        <f>33.4645 * CHOOSE(CONTROL!$C$15, $D$11, 100%, $F$11)</f>
        <v>33.464500000000001</v>
      </c>
      <c r="D962" s="8">
        <f>33.4956 * CHOOSE( CONTROL!$C$15, $D$11, 100%, $F$11)</f>
        <v>33.495600000000003</v>
      </c>
      <c r="E962" s="12">
        <f>33.4848 * CHOOSE( CONTROL!$C$15, $D$11, 100%, $F$11)</f>
        <v>33.4848</v>
      </c>
      <c r="F962" s="4">
        <f>34.1742 * CHOOSE(CONTROL!$C$15, $D$11, 100%, $F$11)</f>
        <v>34.174199999999999</v>
      </c>
      <c r="G962" s="8">
        <f>32.666 * CHOOSE( CONTROL!$C$15, $D$11, 100%, $F$11)</f>
        <v>32.665999999999997</v>
      </c>
      <c r="H962" s="4">
        <f>33.6129 * CHOOSE(CONTROL!$C$15, $D$11, 100%, $F$11)</f>
        <v>33.612900000000003</v>
      </c>
      <c r="I962" s="8">
        <f>32.2297 * CHOOSE(CONTROL!$C$15, $D$11, 100%, $F$11)</f>
        <v>32.229700000000001</v>
      </c>
      <c r="J962" s="4">
        <f>32.0965 * CHOOSE(CONTROL!$C$15, $D$11, 100%, $F$11)</f>
        <v>32.096499999999999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36.0833 * CHOOSE(CONTROL!$C$15, $D$11, 100%, $F$11)</f>
        <v>36.083300000000001</v>
      </c>
      <c r="C963" s="8">
        <f>36.0885 * CHOOSE(CONTROL!$C$15, $D$11, 100%, $F$11)</f>
        <v>36.088500000000003</v>
      </c>
      <c r="D963" s="8">
        <f>36.0813 * CHOOSE( CONTROL!$C$15, $D$11, 100%, $F$11)</f>
        <v>36.081299999999999</v>
      </c>
      <c r="E963" s="12">
        <f>36.0834 * CHOOSE( CONTROL!$C$15, $D$11, 100%, $F$11)</f>
        <v>36.083399999999997</v>
      </c>
      <c r="F963" s="4">
        <f>36.7337 * CHOOSE(CONTROL!$C$15, $D$11, 100%, $F$11)</f>
        <v>36.733699999999999</v>
      </c>
      <c r="G963" s="8">
        <f>35.2425 * CHOOSE( CONTROL!$C$15, $D$11, 100%, $F$11)</f>
        <v>35.2425</v>
      </c>
      <c r="H963" s="4">
        <f>36.1127 * CHOOSE(CONTROL!$C$15, $D$11, 100%, $F$11)</f>
        <v>36.112699999999997</v>
      </c>
      <c r="I963" s="8">
        <f>34.7942 * CHOOSE(CONTROL!$C$15, $D$11, 100%, $F$11)</f>
        <v>34.794199999999996</v>
      </c>
      <c r="J963" s="4">
        <f>34.6164 * CHOOSE(CONTROL!$C$15, $D$11, 100%, $F$11)</f>
        <v>34.616399999999999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36.0177 * CHOOSE(CONTROL!$C$15, $D$11, 100%, $F$11)</f>
        <v>36.017699999999998</v>
      </c>
      <c r="C964" s="8">
        <f>36.0229 * CHOOSE(CONTROL!$C$15, $D$11, 100%, $F$11)</f>
        <v>36.0229</v>
      </c>
      <c r="D964" s="8">
        <f>36.0172 * CHOOSE( CONTROL!$C$15, $D$11, 100%, $F$11)</f>
        <v>36.017200000000003</v>
      </c>
      <c r="E964" s="12">
        <f>36.0187 * CHOOSE( CONTROL!$C$15, $D$11, 100%, $F$11)</f>
        <v>36.018700000000003</v>
      </c>
      <c r="F964" s="4">
        <f>36.6682 * CHOOSE(CONTROL!$C$15, $D$11, 100%, $F$11)</f>
        <v>36.668199999999999</v>
      </c>
      <c r="G964" s="8">
        <f>35.1795 * CHOOSE( CONTROL!$C$15, $D$11, 100%, $F$11)</f>
        <v>35.179499999999997</v>
      </c>
      <c r="H964" s="4">
        <f>36.0487 * CHOOSE(CONTROL!$C$15, $D$11, 100%, $F$11)</f>
        <v>36.048699999999997</v>
      </c>
      <c r="I964" s="8">
        <f>34.7359 * CHOOSE(CONTROL!$C$15, $D$11, 100%, $F$11)</f>
        <v>34.735900000000001</v>
      </c>
      <c r="J964" s="4">
        <f>34.5534 * CHOOSE(CONTROL!$C$15, $D$11, 100%, $F$11)</f>
        <v>34.553400000000003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37.0793 * CHOOSE(CONTROL!$C$15, $D$11, 100%, $F$11)</f>
        <v>37.079300000000003</v>
      </c>
      <c r="C965" s="8">
        <f>37.0845 * CHOOSE(CONTROL!$C$15, $D$11, 100%, $F$11)</f>
        <v>37.084499999999998</v>
      </c>
      <c r="D965" s="8">
        <f>37.0645 * CHOOSE( CONTROL!$C$15, $D$11, 100%, $F$11)</f>
        <v>37.064500000000002</v>
      </c>
      <c r="E965" s="12">
        <f>37.0713 * CHOOSE( CONTROL!$C$15, $D$11, 100%, $F$11)</f>
        <v>37.071300000000001</v>
      </c>
      <c r="F965" s="4">
        <f>37.7297 * CHOOSE(CONTROL!$C$15, $D$11, 100%, $F$11)</f>
        <v>37.729700000000001</v>
      </c>
      <c r="G965" s="8">
        <f>36.1995 * CHOOSE( CONTROL!$C$15, $D$11, 100%, $F$11)</f>
        <v>36.1995</v>
      </c>
      <c r="H965" s="4">
        <f>37.0855 * CHOOSE(CONTROL!$C$15, $D$11, 100%, $F$11)</f>
        <v>37.085500000000003</v>
      </c>
      <c r="I965" s="8">
        <f>35.7121 * CHOOSE(CONTROL!$C$15, $D$11, 100%, $F$11)</f>
        <v>35.7121</v>
      </c>
      <c r="J965" s="4">
        <f>35.5726 * CHOOSE(CONTROL!$C$15, $D$11, 100%, $F$11)</f>
        <v>35.572600000000001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34.684 * CHOOSE(CONTROL!$C$15, $D$11, 100%, $F$11)</f>
        <v>34.683999999999997</v>
      </c>
      <c r="C966" s="8">
        <f>34.6892 * CHOOSE(CONTROL!$C$15, $D$11, 100%, $F$11)</f>
        <v>34.6892</v>
      </c>
      <c r="D966" s="8">
        <f>34.6692 * CHOOSE( CONTROL!$C$15, $D$11, 100%, $F$11)</f>
        <v>34.669199999999996</v>
      </c>
      <c r="E966" s="12">
        <f>34.676 * CHOOSE( CONTROL!$C$15, $D$11, 100%, $F$11)</f>
        <v>34.676000000000002</v>
      </c>
      <c r="F966" s="4">
        <f>35.3345 * CHOOSE(CONTROL!$C$15, $D$11, 100%, $F$11)</f>
        <v>35.334499999999998</v>
      </c>
      <c r="G966" s="8">
        <f>33.86 * CHOOSE( CONTROL!$C$15, $D$11, 100%, $F$11)</f>
        <v>33.86</v>
      </c>
      <c r="H966" s="4">
        <f>34.7461 * CHOOSE(CONTROL!$C$15, $D$11, 100%, $F$11)</f>
        <v>34.746099999999998</v>
      </c>
      <c r="I966" s="8">
        <f>33.4111 * CHOOSE(CONTROL!$C$15, $D$11, 100%, $F$11)</f>
        <v>33.411099999999998</v>
      </c>
      <c r="J966" s="4">
        <f>33.2729 * CHOOSE(CONTROL!$C$15, $D$11, 100%, $F$11)</f>
        <v>33.2729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33.9462 * CHOOSE(CONTROL!$C$15, $D$11, 100%, $F$11)</f>
        <v>33.946199999999997</v>
      </c>
      <c r="C967" s="8">
        <f>33.9514 * CHOOSE(CONTROL!$C$15, $D$11, 100%, $F$11)</f>
        <v>33.9514</v>
      </c>
      <c r="D967" s="8">
        <f>33.9311 * CHOOSE( CONTROL!$C$15, $D$11, 100%, $F$11)</f>
        <v>33.931100000000001</v>
      </c>
      <c r="E967" s="12">
        <f>33.938 * CHOOSE( CONTROL!$C$15, $D$11, 100%, $F$11)</f>
        <v>33.938000000000002</v>
      </c>
      <c r="F967" s="4">
        <f>34.5967 * CHOOSE(CONTROL!$C$15, $D$11, 100%, $F$11)</f>
        <v>34.596699999999998</v>
      </c>
      <c r="G967" s="8">
        <f>33.1392 * CHOOSE( CONTROL!$C$15, $D$11, 100%, $F$11)</f>
        <v>33.139200000000002</v>
      </c>
      <c r="H967" s="4">
        <f>34.0255 * CHOOSE(CONTROL!$C$15, $D$11, 100%, $F$11)</f>
        <v>34.025500000000001</v>
      </c>
      <c r="I967" s="8">
        <f>32.7013 * CHOOSE(CONTROL!$C$15, $D$11, 100%, $F$11)</f>
        <v>32.701300000000003</v>
      </c>
      <c r="J967" s="4">
        <f>32.5646 * CHOOSE(CONTROL!$C$15, $D$11, 100%, $F$11)</f>
        <v>32.564599999999999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34.4625 * CHOOSE(CONTROL!$C$15, $D$11, 100%, $F$11)</f>
        <v>34.462499999999999</v>
      </c>
      <c r="C968" s="8">
        <f>34.4671 * CHOOSE(CONTROL!$C$15, $D$11, 100%, $F$11)</f>
        <v>34.467100000000002</v>
      </c>
      <c r="D968" s="8">
        <f>34.498 * CHOOSE( CONTROL!$C$15, $D$11, 100%, $F$11)</f>
        <v>34.497999999999998</v>
      </c>
      <c r="E968" s="12">
        <f>34.4873 * CHOOSE( CONTROL!$C$15, $D$11, 100%, $F$11)</f>
        <v>34.487299999999998</v>
      </c>
      <c r="F968" s="4">
        <f>35.1773 * CHOOSE(CONTROL!$C$15, $D$11, 100%, $F$11)</f>
        <v>35.177300000000002</v>
      </c>
      <c r="G968" s="8">
        <f>33.6447 * CHOOSE( CONTROL!$C$15, $D$11, 100%, $F$11)</f>
        <v>33.6447</v>
      </c>
      <c r="H968" s="4">
        <f>34.5926 * CHOOSE(CONTROL!$C$15, $D$11, 100%, $F$11)</f>
        <v>34.592599999999997</v>
      </c>
      <c r="I968" s="8">
        <f>33.1899 * CHOOSE(CONTROL!$C$15, $D$11, 100%, $F$11)</f>
        <v>33.189900000000002</v>
      </c>
      <c r="J968" s="4">
        <f>33.0596 * CHOOSE(CONTROL!$C$15, $D$11, 100%, $F$11)</f>
        <v>33.059600000000003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35.3848, 35.3814) * CHOOSE(CONTROL!$C$15, $D$11, 100%, $F$11)</f>
        <v>35.384799999999998</v>
      </c>
      <c r="C969" s="8">
        <f>CHOOSE( CONTROL!$C$32, 35.3929, 35.3895) * CHOOSE(CONTROL!$C$15, $D$11, 100%, $F$11)</f>
        <v>35.392899999999997</v>
      </c>
      <c r="D969" s="8">
        <f>CHOOSE( CONTROL!$C$32, 35.4185, 35.4151) * CHOOSE( CONTROL!$C$15, $D$11, 100%, $F$11)</f>
        <v>35.418500000000002</v>
      </c>
      <c r="E969" s="12">
        <f>CHOOSE( CONTROL!$C$32, 35.408, 35.4046) * CHOOSE( CONTROL!$C$15, $D$11, 100%, $F$11)</f>
        <v>35.408000000000001</v>
      </c>
      <c r="F969" s="4">
        <f>CHOOSE( CONTROL!$C$32, 36.0982, 36.0948) * CHOOSE(CONTROL!$C$15, $D$11, 100%, $F$11)</f>
        <v>36.098199999999999</v>
      </c>
      <c r="G969" s="8">
        <f>CHOOSE( CONTROL!$C$32, 34.5449, 34.5416) * CHOOSE( CONTROL!$C$15, $D$11, 100%, $F$11)</f>
        <v>34.544899999999998</v>
      </c>
      <c r="H969" s="4">
        <f>CHOOSE( CONTROL!$C$32, 35.492, 35.4887) * CHOOSE(CONTROL!$C$15, $D$11, 100%, $F$11)</f>
        <v>35.491999999999997</v>
      </c>
      <c r="I969" s="8">
        <f>CHOOSE( CONTROL!$C$32, 34.0746, 34.0714) * CHOOSE(CONTROL!$C$15, $D$11, 100%, $F$11)</f>
        <v>34.074599999999997</v>
      </c>
      <c r="J969" s="4">
        <f>CHOOSE( CONTROL!$C$32, 33.9437, 33.9405) * CHOOSE(CONTROL!$C$15, $D$11, 100%, $F$11)</f>
        <v>33.9437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34.8164, 34.813) * CHOOSE(CONTROL!$C$15, $D$11, 100%, $F$11)</f>
        <v>34.816400000000002</v>
      </c>
      <c r="C970" s="8">
        <f>CHOOSE( CONTROL!$C$32, 34.8245, 34.8211) * CHOOSE(CONTROL!$C$15, $D$11, 100%, $F$11)</f>
        <v>34.8245</v>
      </c>
      <c r="D970" s="8">
        <f>CHOOSE( CONTROL!$C$32, 34.8503, 34.8469) * CHOOSE( CONTROL!$C$15, $D$11, 100%, $F$11)</f>
        <v>34.850299999999997</v>
      </c>
      <c r="E970" s="12">
        <f>CHOOSE( CONTROL!$C$32, 34.8397, 34.8363) * CHOOSE( CONTROL!$C$15, $D$11, 100%, $F$11)</f>
        <v>34.839700000000001</v>
      </c>
      <c r="F970" s="4">
        <f>CHOOSE( CONTROL!$C$32, 35.5299, 35.5265) * CHOOSE(CONTROL!$C$15, $D$11, 100%, $F$11)</f>
        <v>35.529899999999998</v>
      </c>
      <c r="G970" s="8">
        <f>CHOOSE( CONTROL!$C$32, 33.9901, 33.9867) * CHOOSE( CONTROL!$C$15, $D$11, 100%, $F$11)</f>
        <v>33.990099999999998</v>
      </c>
      <c r="H970" s="4">
        <f>CHOOSE( CONTROL!$C$32, 34.9369, 34.9336) * CHOOSE(CONTROL!$C$15, $D$11, 100%, $F$11)</f>
        <v>34.936900000000001</v>
      </c>
      <c r="I970" s="8">
        <f>CHOOSE( CONTROL!$C$32, 33.5296, 33.5264) * CHOOSE(CONTROL!$C$15, $D$11, 100%, $F$11)</f>
        <v>33.529600000000002</v>
      </c>
      <c r="J970" s="4">
        <f>CHOOSE( CONTROL!$C$32, 33.398, 33.3948) * CHOOSE(CONTROL!$C$15, $D$11, 100%, $F$11)</f>
        <v>33.398000000000003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36.3131, 36.3097) * CHOOSE(CONTROL!$C$15, $D$11, 100%, $F$11)</f>
        <v>36.313099999999999</v>
      </c>
      <c r="C971" s="8">
        <f>CHOOSE( CONTROL!$C$32, 36.3212, 36.3178) * CHOOSE(CONTROL!$C$15, $D$11, 100%, $F$11)</f>
        <v>36.321199999999997</v>
      </c>
      <c r="D971" s="8">
        <f>CHOOSE( CONTROL!$C$32, 36.3473, 36.3439) * CHOOSE( CONTROL!$C$15, $D$11, 100%, $F$11)</f>
        <v>36.347299999999997</v>
      </c>
      <c r="E971" s="12">
        <f>CHOOSE( CONTROL!$C$32, 36.3366, 36.3332) * CHOOSE( CONTROL!$C$15, $D$11, 100%, $F$11)</f>
        <v>36.336599999999997</v>
      </c>
      <c r="F971" s="4">
        <f>CHOOSE( CONTROL!$C$32, 37.0266, 37.0232) * CHOOSE(CONTROL!$C$15, $D$11, 100%, $F$11)</f>
        <v>37.026600000000002</v>
      </c>
      <c r="G971" s="8">
        <f>CHOOSE( CONTROL!$C$32, 35.4522, 35.4489) * CHOOSE( CONTROL!$C$15, $D$11, 100%, $F$11)</f>
        <v>35.452199999999998</v>
      </c>
      <c r="H971" s="4">
        <f>CHOOSE( CONTROL!$C$32, 36.3988, 36.3954) * CHOOSE(CONTROL!$C$15, $D$11, 100%, $F$11)</f>
        <v>36.398800000000001</v>
      </c>
      <c r="I971" s="8">
        <f>CHOOSE( CONTROL!$C$32, 34.9684, 34.9652) * CHOOSE(CONTROL!$C$15, $D$11, 100%, $F$11)</f>
        <v>34.968400000000003</v>
      </c>
      <c r="J971" s="4">
        <f>CHOOSE( CONTROL!$C$32, 34.835, 34.8318) * CHOOSE(CONTROL!$C$15, $D$11, 100%, $F$11)</f>
        <v>34.835000000000001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33.5126, 33.5092) * CHOOSE(CONTROL!$C$15, $D$11, 100%, $F$11)</f>
        <v>33.512599999999999</v>
      </c>
      <c r="C972" s="8">
        <f>CHOOSE( CONTROL!$C$32, 33.5207, 33.5173) * CHOOSE(CONTROL!$C$15, $D$11, 100%, $F$11)</f>
        <v>33.520699999999998</v>
      </c>
      <c r="D972" s="8">
        <f>CHOOSE( CONTROL!$C$32, 33.5469, 33.5435) * CHOOSE( CONTROL!$C$15, $D$11, 100%, $F$11)</f>
        <v>33.546900000000001</v>
      </c>
      <c r="E972" s="12">
        <f>CHOOSE( CONTROL!$C$32, 33.5362, 33.5328) * CHOOSE( CONTROL!$C$15, $D$11, 100%, $F$11)</f>
        <v>33.536200000000001</v>
      </c>
      <c r="F972" s="4">
        <f>CHOOSE( CONTROL!$C$32, 34.2261, 34.2227) * CHOOSE(CONTROL!$C$15, $D$11, 100%, $F$11)</f>
        <v>34.226100000000002</v>
      </c>
      <c r="G972" s="8">
        <f>CHOOSE( CONTROL!$C$32, 32.7171, 32.7138) * CHOOSE( CONTROL!$C$15, $D$11, 100%, $F$11)</f>
        <v>32.717100000000002</v>
      </c>
      <c r="H972" s="4">
        <f>CHOOSE( CONTROL!$C$32, 33.6635, 33.6602) * CHOOSE(CONTROL!$C$15, $D$11, 100%, $F$11)</f>
        <v>33.663499999999999</v>
      </c>
      <c r="I972" s="8">
        <f>CHOOSE( CONTROL!$C$32, 32.2788, 32.2755) * CHOOSE(CONTROL!$C$15, $D$11, 100%, $F$11)</f>
        <v>32.278799999999997</v>
      </c>
      <c r="J972" s="4">
        <f>CHOOSE( CONTROL!$C$32, 32.1463, 32.143) * CHOOSE(CONTROL!$C$15, $D$11, 100%, $F$11)</f>
        <v>32.146299999999997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32.8114, 32.808) * CHOOSE(CONTROL!$C$15, $D$11, 100%, $F$11)</f>
        <v>32.811399999999999</v>
      </c>
      <c r="C973" s="8">
        <f>CHOOSE( CONTROL!$C$32, 32.8195, 32.8161) * CHOOSE(CONTROL!$C$15, $D$11, 100%, $F$11)</f>
        <v>32.819499999999998</v>
      </c>
      <c r="D973" s="8">
        <f>CHOOSE( CONTROL!$C$32, 32.8456, 32.8421) * CHOOSE( CONTROL!$C$15, $D$11, 100%, $F$11)</f>
        <v>32.845599999999997</v>
      </c>
      <c r="E973" s="12">
        <f>CHOOSE( CONTROL!$C$32, 32.8349, 32.8314) * CHOOSE( CONTROL!$C$15, $D$11, 100%, $F$11)</f>
        <v>32.834899999999998</v>
      </c>
      <c r="F973" s="4">
        <f>CHOOSE( CONTROL!$C$32, 33.5248, 33.5214) * CHOOSE(CONTROL!$C$15, $D$11, 100%, $F$11)</f>
        <v>33.524799999999999</v>
      </c>
      <c r="G973" s="8">
        <f>CHOOSE( CONTROL!$C$32, 32.0321, 32.0288) * CHOOSE( CONTROL!$C$15, $D$11, 100%, $F$11)</f>
        <v>32.0321</v>
      </c>
      <c r="H973" s="4">
        <f>CHOOSE( CONTROL!$C$32, 32.9786, 32.9752) * CHOOSE(CONTROL!$C$15, $D$11, 100%, $F$11)</f>
        <v>32.9786</v>
      </c>
      <c r="I973" s="8">
        <f>CHOOSE( CONTROL!$C$32, 31.605, 31.6017) * CHOOSE(CONTROL!$C$15, $D$11, 100%, $F$11)</f>
        <v>31.605</v>
      </c>
      <c r="J973" s="4">
        <f>CHOOSE( CONTROL!$C$32, 31.473, 31.4697) * CHOOSE(CONTROL!$C$15, $D$11, 100%, $F$11)</f>
        <v>31.472999999999999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34.2623 * CHOOSE(CONTROL!$C$15, $D$11, 100%, $F$11)</f>
        <v>34.262300000000003</v>
      </c>
      <c r="C974" s="8">
        <f>34.2678 * CHOOSE(CONTROL!$C$15, $D$11, 100%, $F$11)</f>
        <v>34.267800000000001</v>
      </c>
      <c r="D974" s="8">
        <f>34.2989 * CHOOSE( CONTROL!$C$15, $D$11, 100%, $F$11)</f>
        <v>34.298900000000003</v>
      </c>
      <c r="E974" s="12">
        <f>34.288 * CHOOSE( CONTROL!$C$15, $D$11, 100%, $F$11)</f>
        <v>34.287999999999997</v>
      </c>
      <c r="F974" s="4">
        <f>34.9775 * CHOOSE(CONTROL!$C$15, $D$11, 100%, $F$11)</f>
        <v>34.977499999999999</v>
      </c>
      <c r="G974" s="8">
        <f>33.4506 * CHOOSE( CONTROL!$C$15, $D$11, 100%, $F$11)</f>
        <v>33.450600000000001</v>
      </c>
      <c r="H974" s="4">
        <f>34.3974 * CHOOSE(CONTROL!$C$15, $D$11, 100%, $F$11)</f>
        <v>34.397399999999998</v>
      </c>
      <c r="I974" s="8">
        <f>33.0012 * CHOOSE(CONTROL!$C$15, $D$11, 100%, $F$11)</f>
        <v>33.001199999999997</v>
      </c>
      <c r="J974" s="4">
        <f>32.8677 * CHOOSE(CONTROL!$C$15, $D$11, 100%, $F$11)</f>
        <v>32.867699999999999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36.9496 * CHOOSE(CONTROL!$C$15, $D$11, 100%, $F$11)</f>
        <v>36.949599999999997</v>
      </c>
      <c r="C975" s="8">
        <f>36.9548 * CHOOSE(CONTROL!$C$15, $D$11, 100%, $F$11)</f>
        <v>36.954799999999999</v>
      </c>
      <c r="D975" s="8">
        <f>36.9476 * CHOOSE( CONTROL!$C$15, $D$11, 100%, $F$11)</f>
        <v>36.947600000000001</v>
      </c>
      <c r="E975" s="12">
        <f>36.9497 * CHOOSE( CONTROL!$C$15, $D$11, 100%, $F$11)</f>
        <v>36.9497</v>
      </c>
      <c r="F975" s="4">
        <f>37.6 * CHOOSE(CONTROL!$C$15, $D$11, 100%, $F$11)</f>
        <v>37.6</v>
      </c>
      <c r="G975" s="8">
        <f>36.0886 * CHOOSE( CONTROL!$C$15, $D$11, 100%, $F$11)</f>
        <v>36.0886</v>
      </c>
      <c r="H975" s="4">
        <f>36.9589 * CHOOSE(CONTROL!$C$15, $D$11, 100%, $F$11)</f>
        <v>36.9589</v>
      </c>
      <c r="I975" s="8">
        <f>35.6264 * CHOOSE(CONTROL!$C$15, $D$11, 100%, $F$11)</f>
        <v>35.626399999999997</v>
      </c>
      <c r="J975" s="4">
        <f>35.4481 * CHOOSE(CONTROL!$C$15, $D$11, 100%, $F$11)</f>
        <v>35.448099999999997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36.8824 * CHOOSE(CONTROL!$C$15, $D$11, 100%, $F$11)</f>
        <v>36.882399999999997</v>
      </c>
      <c r="C976" s="8">
        <f>36.8876 * CHOOSE(CONTROL!$C$15, $D$11, 100%, $F$11)</f>
        <v>36.887599999999999</v>
      </c>
      <c r="D976" s="8">
        <f>36.8819 * CHOOSE( CONTROL!$C$15, $D$11, 100%, $F$11)</f>
        <v>36.881900000000002</v>
      </c>
      <c r="E976" s="12">
        <f>36.8834 * CHOOSE( CONTROL!$C$15, $D$11, 100%, $F$11)</f>
        <v>36.883400000000002</v>
      </c>
      <c r="F976" s="4">
        <f>37.5329 * CHOOSE(CONTROL!$C$15, $D$11, 100%, $F$11)</f>
        <v>37.532899999999998</v>
      </c>
      <c r="G976" s="8">
        <f>36.0241 * CHOOSE( CONTROL!$C$15, $D$11, 100%, $F$11)</f>
        <v>36.024099999999997</v>
      </c>
      <c r="H976" s="4">
        <f>36.8933 * CHOOSE(CONTROL!$C$15, $D$11, 100%, $F$11)</f>
        <v>36.893300000000004</v>
      </c>
      <c r="I976" s="8">
        <f>35.5665 * CHOOSE(CONTROL!$C$15, $D$11, 100%, $F$11)</f>
        <v>35.566499999999998</v>
      </c>
      <c r="J976" s="4">
        <f>35.3836 * CHOOSE(CONTROL!$C$15, $D$11, 100%, $F$11)</f>
        <v>35.383600000000001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37.9695 * CHOOSE(CONTROL!$C$15, $D$11, 100%, $F$11)</f>
        <v>37.969499999999996</v>
      </c>
      <c r="C977" s="8">
        <f>37.9747 * CHOOSE(CONTROL!$C$15, $D$11, 100%, $F$11)</f>
        <v>37.974699999999999</v>
      </c>
      <c r="D977" s="8">
        <f>37.9548 * CHOOSE( CONTROL!$C$15, $D$11, 100%, $F$11)</f>
        <v>37.954799999999999</v>
      </c>
      <c r="E977" s="12">
        <f>37.9615 * CHOOSE( CONTROL!$C$15, $D$11, 100%, $F$11)</f>
        <v>37.961500000000001</v>
      </c>
      <c r="F977" s="4">
        <f>38.62 * CHOOSE(CONTROL!$C$15, $D$11, 100%, $F$11)</f>
        <v>38.619999999999997</v>
      </c>
      <c r="G977" s="8">
        <f>37.069 * CHOOSE( CONTROL!$C$15, $D$11, 100%, $F$11)</f>
        <v>37.069000000000003</v>
      </c>
      <c r="H977" s="4">
        <f>37.955 * CHOOSE(CONTROL!$C$15, $D$11, 100%, $F$11)</f>
        <v>37.954999999999998</v>
      </c>
      <c r="I977" s="8">
        <f>36.5672 * CHOOSE(CONTROL!$C$15, $D$11, 100%, $F$11)</f>
        <v>36.5672</v>
      </c>
      <c r="J977" s="4">
        <f>36.4273 * CHOOSE(CONTROL!$C$15, $D$11, 100%, $F$11)</f>
        <v>36.427300000000002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35.5167 * CHOOSE(CONTROL!$C$15, $D$11, 100%, $F$11)</f>
        <v>35.5167</v>
      </c>
      <c r="C978" s="8">
        <f>35.5219 * CHOOSE(CONTROL!$C$15, $D$11, 100%, $F$11)</f>
        <v>35.521900000000002</v>
      </c>
      <c r="D978" s="8">
        <f>35.5019 * CHOOSE( CONTROL!$C$15, $D$11, 100%, $F$11)</f>
        <v>35.501899999999999</v>
      </c>
      <c r="E978" s="12">
        <f>35.5087 * CHOOSE( CONTROL!$C$15, $D$11, 100%, $F$11)</f>
        <v>35.508699999999997</v>
      </c>
      <c r="F978" s="4">
        <f>36.1671 * CHOOSE(CONTROL!$C$15, $D$11, 100%, $F$11)</f>
        <v>36.167099999999998</v>
      </c>
      <c r="G978" s="8">
        <f>34.6733 * CHOOSE( CONTROL!$C$15, $D$11, 100%, $F$11)</f>
        <v>34.673299999999998</v>
      </c>
      <c r="H978" s="4">
        <f>35.5593 * CHOOSE(CONTROL!$C$15, $D$11, 100%, $F$11)</f>
        <v>35.5593</v>
      </c>
      <c r="I978" s="8">
        <f>34.211 * CHOOSE(CONTROL!$C$15, $D$11, 100%, $F$11)</f>
        <v>34.210999999999999</v>
      </c>
      <c r="J978" s="4">
        <f>34.0724 * CHOOSE(CONTROL!$C$15, $D$11, 100%, $F$11)</f>
        <v>34.072400000000002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34.7612 * CHOOSE(CONTROL!$C$15, $D$11, 100%, $F$11)</f>
        <v>34.761200000000002</v>
      </c>
      <c r="C979" s="8">
        <f>34.7664 * CHOOSE(CONTROL!$C$15, $D$11, 100%, $F$11)</f>
        <v>34.766399999999997</v>
      </c>
      <c r="D979" s="8">
        <f>34.7461 * CHOOSE( CONTROL!$C$15, $D$11, 100%, $F$11)</f>
        <v>34.746099999999998</v>
      </c>
      <c r="E979" s="12">
        <f>34.753 * CHOOSE( CONTROL!$C$15, $D$11, 100%, $F$11)</f>
        <v>34.753</v>
      </c>
      <c r="F979" s="4">
        <f>35.4117 * CHOOSE(CONTROL!$C$15, $D$11, 100%, $F$11)</f>
        <v>35.411700000000003</v>
      </c>
      <c r="G979" s="8">
        <f>33.9352 * CHOOSE( CONTROL!$C$15, $D$11, 100%, $F$11)</f>
        <v>33.935200000000002</v>
      </c>
      <c r="H979" s="4">
        <f>34.8215 * CHOOSE(CONTROL!$C$15, $D$11, 100%, $F$11)</f>
        <v>34.8215</v>
      </c>
      <c r="I979" s="8">
        <f>33.4842 * CHOOSE(CONTROL!$C$15, $D$11, 100%, $F$11)</f>
        <v>33.484200000000001</v>
      </c>
      <c r="J979" s="4">
        <f>33.3471 * CHOOSE(CONTROL!$C$15, $D$11, 100%, $F$11)</f>
        <v>33.347099999999998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35.2899 * CHOOSE(CONTROL!$C$15, $D$11, 100%, $F$11)</f>
        <v>35.289900000000003</v>
      </c>
      <c r="C980" s="8">
        <f>35.2945 * CHOOSE(CONTROL!$C$15, $D$11, 100%, $F$11)</f>
        <v>35.294499999999999</v>
      </c>
      <c r="D980" s="8">
        <f>35.3254 * CHOOSE( CONTROL!$C$15, $D$11, 100%, $F$11)</f>
        <v>35.325400000000002</v>
      </c>
      <c r="E980" s="12">
        <f>35.3147 * CHOOSE( CONTROL!$C$15, $D$11, 100%, $F$11)</f>
        <v>35.314700000000002</v>
      </c>
      <c r="F980" s="4">
        <f>36.0047 * CHOOSE(CONTROL!$C$15, $D$11, 100%, $F$11)</f>
        <v>36.0047</v>
      </c>
      <c r="G980" s="8">
        <f>34.4528 * CHOOSE( CONTROL!$C$15, $D$11, 100%, $F$11)</f>
        <v>34.452800000000003</v>
      </c>
      <c r="H980" s="4">
        <f>35.4007 * CHOOSE(CONTROL!$C$15, $D$11, 100%, $F$11)</f>
        <v>35.400700000000001</v>
      </c>
      <c r="I980" s="8">
        <f>33.9846 * CHOOSE(CONTROL!$C$15, $D$11, 100%, $F$11)</f>
        <v>33.9846</v>
      </c>
      <c r="J980" s="4">
        <f>33.8539 * CHOOSE(CONTROL!$C$15, $D$11, 100%, $F$11)</f>
        <v>33.853900000000003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36.2342, 36.2308) * CHOOSE(CONTROL!$C$15, $D$11, 100%, $F$11)</f>
        <v>36.234200000000001</v>
      </c>
      <c r="C981" s="8">
        <f>CHOOSE( CONTROL!$C$32, 36.2423, 36.2389) * CHOOSE(CONTROL!$C$15, $D$11, 100%, $F$11)</f>
        <v>36.2423</v>
      </c>
      <c r="D981" s="8">
        <f>CHOOSE( CONTROL!$C$32, 36.2679, 36.2645) * CHOOSE( CONTROL!$C$15, $D$11, 100%, $F$11)</f>
        <v>36.267899999999997</v>
      </c>
      <c r="E981" s="12">
        <f>CHOOSE( CONTROL!$C$32, 36.2574, 36.254) * CHOOSE( CONTROL!$C$15, $D$11, 100%, $F$11)</f>
        <v>36.257399999999997</v>
      </c>
      <c r="F981" s="4">
        <f>CHOOSE( CONTROL!$C$32, 36.9476, 36.9442) * CHOOSE(CONTROL!$C$15, $D$11, 100%, $F$11)</f>
        <v>36.947600000000001</v>
      </c>
      <c r="G981" s="8">
        <f>CHOOSE( CONTROL!$C$32, 35.3745, 35.3712) * CHOOSE( CONTROL!$C$15, $D$11, 100%, $F$11)</f>
        <v>35.374499999999998</v>
      </c>
      <c r="H981" s="4">
        <f>CHOOSE( CONTROL!$C$32, 36.3217, 36.3183) * CHOOSE(CONTROL!$C$15, $D$11, 100%, $F$11)</f>
        <v>36.3217</v>
      </c>
      <c r="I981" s="8">
        <f>CHOOSE( CONTROL!$C$32, 34.8906, 34.8873) * CHOOSE(CONTROL!$C$15, $D$11, 100%, $F$11)</f>
        <v>34.890599999999999</v>
      </c>
      <c r="J981" s="4">
        <f>CHOOSE( CONTROL!$C$32, 34.7592, 34.756) * CHOOSE(CONTROL!$C$15, $D$11, 100%, $F$11)</f>
        <v>34.7592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35.6522, 35.6488) * CHOOSE(CONTROL!$C$15, $D$11, 100%, $F$11)</f>
        <v>35.652200000000001</v>
      </c>
      <c r="C982" s="8">
        <f>CHOOSE( CONTROL!$C$32, 35.6603, 35.6569) * CHOOSE(CONTROL!$C$15, $D$11, 100%, $F$11)</f>
        <v>35.660299999999999</v>
      </c>
      <c r="D982" s="8">
        <f>CHOOSE( CONTROL!$C$32, 35.6861, 35.6827) * CHOOSE( CONTROL!$C$15, $D$11, 100%, $F$11)</f>
        <v>35.686100000000003</v>
      </c>
      <c r="E982" s="12">
        <f>CHOOSE( CONTROL!$C$32, 35.6755, 35.6721) * CHOOSE( CONTROL!$C$15, $D$11, 100%, $F$11)</f>
        <v>35.6755</v>
      </c>
      <c r="F982" s="4">
        <f>CHOOSE( CONTROL!$C$32, 36.3656, 36.3622) * CHOOSE(CONTROL!$C$15, $D$11, 100%, $F$11)</f>
        <v>36.365600000000001</v>
      </c>
      <c r="G982" s="8">
        <f>CHOOSE( CONTROL!$C$32, 34.8063, 34.803) * CHOOSE( CONTROL!$C$15, $D$11, 100%, $F$11)</f>
        <v>34.8063</v>
      </c>
      <c r="H982" s="4">
        <f>CHOOSE( CONTROL!$C$32, 35.7532, 35.7499) * CHOOSE(CONTROL!$C$15, $D$11, 100%, $F$11)</f>
        <v>35.7532</v>
      </c>
      <c r="I982" s="8">
        <f>CHOOSE( CONTROL!$C$32, 34.3324, 34.3292) * CHOOSE(CONTROL!$C$15, $D$11, 100%, $F$11)</f>
        <v>34.3324</v>
      </c>
      <c r="J982" s="4">
        <f>CHOOSE( CONTROL!$C$32, 34.2004, 34.1972) * CHOOSE(CONTROL!$C$15, $D$11, 100%, $F$11)</f>
        <v>34.200400000000002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37.1848, 37.1814) * CHOOSE(CONTROL!$C$15, $D$11, 100%, $F$11)</f>
        <v>37.184800000000003</v>
      </c>
      <c r="C983" s="8">
        <f>CHOOSE( CONTROL!$C$32, 37.1929, 37.1895) * CHOOSE(CONTROL!$C$15, $D$11, 100%, $F$11)</f>
        <v>37.192900000000002</v>
      </c>
      <c r="D983" s="8">
        <f>CHOOSE( CONTROL!$C$32, 37.219, 37.2156) * CHOOSE( CONTROL!$C$15, $D$11, 100%, $F$11)</f>
        <v>37.219000000000001</v>
      </c>
      <c r="E983" s="12">
        <f>CHOOSE( CONTROL!$C$32, 37.2083, 37.2049) * CHOOSE( CONTROL!$C$15, $D$11, 100%, $F$11)</f>
        <v>37.208300000000001</v>
      </c>
      <c r="F983" s="4">
        <f>CHOOSE( CONTROL!$C$32, 37.8983, 37.8949) * CHOOSE(CONTROL!$C$15, $D$11, 100%, $F$11)</f>
        <v>37.898299999999999</v>
      </c>
      <c r="G983" s="8">
        <f>CHOOSE( CONTROL!$C$32, 36.3036, 36.3003) * CHOOSE( CONTROL!$C$15, $D$11, 100%, $F$11)</f>
        <v>36.303600000000003</v>
      </c>
      <c r="H983" s="4">
        <f>CHOOSE( CONTROL!$C$32, 37.2502, 37.2468) * CHOOSE(CONTROL!$C$15, $D$11, 100%, $F$11)</f>
        <v>37.2502</v>
      </c>
      <c r="I983" s="8">
        <f>CHOOSE( CONTROL!$C$32, 35.8058, 35.8025) * CHOOSE(CONTROL!$C$15, $D$11, 100%, $F$11)</f>
        <v>35.805799999999998</v>
      </c>
      <c r="J983" s="4">
        <f>CHOOSE( CONTROL!$C$32, 35.6719, 35.6687) * CHOOSE(CONTROL!$C$15, $D$11, 100%, $F$11)</f>
        <v>35.671900000000001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34.3171, 34.3137) * CHOOSE(CONTROL!$C$15, $D$11, 100%, $F$11)</f>
        <v>34.317100000000003</v>
      </c>
      <c r="C984" s="8">
        <f>CHOOSE( CONTROL!$C$32, 34.3251, 34.3217) * CHOOSE(CONTROL!$C$15, $D$11, 100%, $F$11)</f>
        <v>34.325099999999999</v>
      </c>
      <c r="D984" s="8">
        <f>CHOOSE( CONTROL!$C$32, 34.3513, 34.3479) * CHOOSE( CONTROL!$C$15, $D$11, 100%, $F$11)</f>
        <v>34.351300000000002</v>
      </c>
      <c r="E984" s="12">
        <f>CHOOSE( CONTROL!$C$32, 34.3406, 34.3372) * CHOOSE( CONTROL!$C$15, $D$11, 100%, $F$11)</f>
        <v>34.340600000000002</v>
      </c>
      <c r="F984" s="4">
        <f>CHOOSE( CONTROL!$C$32, 35.0305, 35.0271) * CHOOSE(CONTROL!$C$15, $D$11, 100%, $F$11)</f>
        <v>35.030500000000004</v>
      </c>
      <c r="G984" s="8">
        <f>CHOOSE( CONTROL!$C$32, 33.5028, 33.4995) * CHOOSE( CONTROL!$C$15, $D$11, 100%, $F$11)</f>
        <v>33.502800000000001</v>
      </c>
      <c r="H984" s="4">
        <f>CHOOSE( CONTROL!$C$32, 34.4492, 34.4459) * CHOOSE(CONTROL!$C$15, $D$11, 100%, $F$11)</f>
        <v>34.449199999999998</v>
      </c>
      <c r="I984" s="8">
        <f>CHOOSE( CONTROL!$C$32, 33.0515, 33.0482) * CHOOSE(CONTROL!$C$15, $D$11, 100%, $F$11)</f>
        <v>33.051499999999997</v>
      </c>
      <c r="J984" s="4">
        <f>CHOOSE( CONTROL!$C$32, 32.9186, 32.9153) * CHOOSE(CONTROL!$C$15, $D$11, 100%, $F$11)</f>
        <v>32.918599999999998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33.5989, 33.5955) * CHOOSE(CONTROL!$C$15, $D$11, 100%, $F$11)</f>
        <v>33.5989</v>
      </c>
      <c r="C985" s="8">
        <f>CHOOSE( CONTROL!$C$32, 33.607, 33.6036) * CHOOSE(CONTROL!$C$15, $D$11, 100%, $F$11)</f>
        <v>33.606999999999999</v>
      </c>
      <c r="D985" s="8">
        <f>CHOOSE( CONTROL!$C$32, 33.6331, 33.6297) * CHOOSE( CONTROL!$C$15, $D$11, 100%, $F$11)</f>
        <v>33.633099999999999</v>
      </c>
      <c r="E985" s="12">
        <f>CHOOSE( CONTROL!$C$32, 33.6224, 33.619) * CHOOSE( CONTROL!$C$15, $D$11, 100%, $F$11)</f>
        <v>33.622399999999999</v>
      </c>
      <c r="F985" s="4">
        <f>CHOOSE( CONTROL!$C$32, 34.3124, 34.309) * CHOOSE(CONTROL!$C$15, $D$11, 100%, $F$11)</f>
        <v>34.312399999999997</v>
      </c>
      <c r="G985" s="8">
        <f>CHOOSE( CONTROL!$C$32, 32.8014, 32.798) * CHOOSE( CONTROL!$C$15, $D$11, 100%, $F$11)</f>
        <v>32.801400000000001</v>
      </c>
      <c r="H985" s="4">
        <f>CHOOSE( CONTROL!$C$32, 33.7478, 33.7445) * CHOOSE(CONTROL!$C$15, $D$11, 100%, $F$11)</f>
        <v>33.747799999999998</v>
      </c>
      <c r="I985" s="8">
        <f>CHOOSE( CONTROL!$C$32, 32.3615, 32.3582) * CHOOSE(CONTROL!$C$15, $D$11, 100%, $F$11)</f>
        <v>32.361499999999999</v>
      </c>
      <c r="J985" s="4">
        <f>CHOOSE( CONTROL!$C$32, 32.2291, 32.2258) * CHOOSE(CONTROL!$C$15, $D$11, 100%, $F$11)</f>
        <v>32.229100000000003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35.0849 * CHOOSE(CONTROL!$C$15, $D$11, 100%, $F$11)</f>
        <v>35.084899999999998</v>
      </c>
      <c r="C986" s="8">
        <f>35.0903 * CHOOSE(CONTROL!$C$15, $D$11, 100%, $F$11)</f>
        <v>35.090299999999999</v>
      </c>
      <c r="D986" s="8">
        <f>35.1214 * CHOOSE( CONTROL!$C$15, $D$11, 100%, $F$11)</f>
        <v>35.121400000000001</v>
      </c>
      <c r="E986" s="12">
        <f>35.1106 * CHOOSE( CONTROL!$C$15, $D$11, 100%, $F$11)</f>
        <v>35.110599999999998</v>
      </c>
      <c r="F986" s="4">
        <f>35.8 * CHOOSE(CONTROL!$C$15, $D$11, 100%, $F$11)</f>
        <v>35.799999999999997</v>
      </c>
      <c r="G986" s="8">
        <f>34.2539 * CHOOSE( CONTROL!$C$15, $D$11, 100%, $F$11)</f>
        <v>34.253900000000002</v>
      </c>
      <c r="H986" s="4">
        <f>35.2008 * CHOOSE(CONTROL!$C$15, $D$11, 100%, $F$11)</f>
        <v>35.200800000000001</v>
      </c>
      <c r="I986" s="8">
        <f>33.7914 * CHOOSE(CONTROL!$C$15, $D$11, 100%, $F$11)</f>
        <v>33.791400000000003</v>
      </c>
      <c r="J986" s="4">
        <f>33.6574 * CHOOSE(CONTROL!$C$15, $D$11, 100%, $F$11)</f>
        <v>33.657400000000003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37.8367 * CHOOSE(CONTROL!$C$15, $D$11, 100%, $F$11)</f>
        <v>37.8367</v>
      </c>
      <c r="C987" s="8">
        <f>37.8419 * CHOOSE(CONTROL!$C$15, $D$11, 100%, $F$11)</f>
        <v>37.841900000000003</v>
      </c>
      <c r="D987" s="8">
        <f>37.8347 * CHOOSE( CONTROL!$C$15, $D$11, 100%, $F$11)</f>
        <v>37.834699999999998</v>
      </c>
      <c r="E987" s="12">
        <f>37.8368 * CHOOSE( CONTROL!$C$15, $D$11, 100%, $F$11)</f>
        <v>37.836799999999997</v>
      </c>
      <c r="F987" s="4">
        <f>38.4872 * CHOOSE(CONTROL!$C$15, $D$11, 100%, $F$11)</f>
        <v>38.487200000000001</v>
      </c>
      <c r="G987" s="8">
        <f>36.9551 * CHOOSE( CONTROL!$C$15, $D$11, 100%, $F$11)</f>
        <v>36.955100000000002</v>
      </c>
      <c r="H987" s="4">
        <f>37.8253 * CHOOSE(CONTROL!$C$15, $D$11, 100%, $F$11)</f>
        <v>37.825299999999999</v>
      </c>
      <c r="I987" s="8">
        <f>36.4786 * CHOOSE(CONTROL!$C$15, $D$11, 100%, $F$11)</f>
        <v>36.4786</v>
      </c>
      <c r="J987" s="4">
        <f>36.2998 * CHOOSE(CONTROL!$C$15, $D$11, 100%, $F$11)</f>
        <v>36.299799999999998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37.7679 * CHOOSE(CONTROL!$C$15, $D$11, 100%, $F$11)</f>
        <v>37.767899999999997</v>
      </c>
      <c r="C988" s="8">
        <f>37.7731 * CHOOSE(CONTROL!$C$15, $D$11, 100%, $F$11)</f>
        <v>37.773099999999999</v>
      </c>
      <c r="D988" s="8">
        <f>37.7674 * CHOOSE( CONTROL!$C$15, $D$11, 100%, $F$11)</f>
        <v>37.767400000000002</v>
      </c>
      <c r="E988" s="12">
        <f>37.7689 * CHOOSE( CONTROL!$C$15, $D$11, 100%, $F$11)</f>
        <v>37.768900000000002</v>
      </c>
      <c r="F988" s="4">
        <f>38.4184 * CHOOSE(CONTROL!$C$15, $D$11, 100%, $F$11)</f>
        <v>38.418399999999998</v>
      </c>
      <c r="G988" s="8">
        <f>36.889 * CHOOSE( CONTROL!$C$15, $D$11, 100%, $F$11)</f>
        <v>36.889000000000003</v>
      </c>
      <c r="H988" s="4">
        <f>37.7582 * CHOOSE(CONTROL!$C$15, $D$11, 100%, $F$11)</f>
        <v>37.758200000000002</v>
      </c>
      <c r="I988" s="8">
        <f>36.4171 * CHOOSE(CONTROL!$C$15, $D$11, 100%, $F$11)</f>
        <v>36.417099999999998</v>
      </c>
      <c r="J988" s="4">
        <f>36.2338 * CHOOSE(CONTROL!$C$15, $D$11, 100%, $F$11)</f>
        <v>36.233800000000002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38.8811 * CHOOSE(CONTROL!$C$15, $D$11, 100%, $F$11)</f>
        <v>38.881100000000004</v>
      </c>
      <c r="C989" s="8">
        <f>38.8863 * CHOOSE(CONTROL!$C$15, $D$11, 100%, $F$11)</f>
        <v>38.886299999999999</v>
      </c>
      <c r="D989" s="8">
        <f>38.8664 * CHOOSE( CONTROL!$C$15, $D$11, 100%, $F$11)</f>
        <v>38.866399999999999</v>
      </c>
      <c r="E989" s="12">
        <f>38.8731 * CHOOSE( CONTROL!$C$15, $D$11, 100%, $F$11)</f>
        <v>38.873100000000001</v>
      </c>
      <c r="F989" s="4">
        <f>39.5316 * CHOOSE(CONTROL!$C$15, $D$11, 100%, $F$11)</f>
        <v>39.531599999999997</v>
      </c>
      <c r="G989" s="8">
        <f>37.9594 * CHOOSE( CONTROL!$C$15, $D$11, 100%, $F$11)</f>
        <v>37.959400000000002</v>
      </c>
      <c r="H989" s="4">
        <f>38.8454 * CHOOSE(CONTROL!$C$15, $D$11, 100%, $F$11)</f>
        <v>38.845399999999998</v>
      </c>
      <c r="I989" s="8">
        <f>37.4429 * CHOOSE(CONTROL!$C$15, $D$11, 100%, $F$11)</f>
        <v>37.442900000000002</v>
      </c>
      <c r="J989" s="4">
        <f>37.3026 * CHOOSE(CONTROL!$C$15, $D$11, 100%, $F$11)</f>
        <v>37.302599999999998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36.3694 * CHOOSE(CONTROL!$C$15, $D$11, 100%, $F$11)</f>
        <v>36.369399999999999</v>
      </c>
      <c r="C990" s="8">
        <f>36.3746 * CHOOSE(CONTROL!$C$15, $D$11, 100%, $F$11)</f>
        <v>36.374600000000001</v>
      </c>
      <c r="D990" s="8">
        <f>36.3546 * CHOOSE( CONTROL!$C$15, $D$11, 100%, $F$11)</f>
        <v>36.354599999999998</v>
      </c>
      <c r="E990" s="12">
        <f>36.3614 * CHOOSE( CONTROL!$C$15, $D$11, 100%, $F$11)</f>
        <v>36.361400000000003</v>
      </c>
      <c r="F990" s="4">
        <f>37.0198 * CHOOSE(CONTROL!$C$15, $D$11, 100%, $F$11)</f>
        <v>37.019799999999996</v>
      </c>
      <c r="G990" s="8">
        <f>35.5061 * CHOOSE( CONTROL!$C$15, $D$11, 100%, $F$11)</f>
        <v>35.506100000000004</v>
      </c>
      <c r="H990" s="4">
        <f>36.3922 * CHOOSE(CONTROL!$C$15, $D$11, 100%, $F$11)</f>
        <v>36.392200000000003</v>
      </c>
      <c r="I990" s="8">
        <f>35.0301 * CHOOSE(CONTROL!$C$15, $D$11, 100%, $F$11)</f>
        <v>35.030099999999997</v>
      </c>
      <c r="J990" s="4">
        <f>34.8911 * CHOOSE(CONTROL!$C$15, $D$11, 100%, $F$11)</f>
        <v>34.891100000000002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35.5958 * CHOOSE(CONTROL!$C$15, $D$11, 100%, $F$11)</f>
        <v>35.595799999999997</v>
      </c>
      <c r="C991" s="8">
        <f>35.6009 * CHOOSE(CONTROL!$C$15, $D$11, 100%, $F$11)</f>
        <v>35.600900000000003</v>
      </c>
      <c r="D991" s="8">
        <f>35.5807 * CHOOSE( CONTROL!$C$15, $D$11, 100%, $F$11)</f>
        <v>35.5807</v>
      </c>
      <c r="E991" s="12">
        <f>35.5875 * CHOOSE( CONTROL!$C$15, $D$11, 100%, $F$11)</f>
        <v>35.587499999999999</v>
      </c>
      <c r="F991" s="4">
        <f>36.2462 * CHOOSE(CONTROL!$C$15, $D$11, 100%, $F$11)</f>
        <v>36.246200000000002</v>
      </c>
      <c r="G991" s="8">
        <f>34.7503 * CHOOSE( CONTROL!$C$15, $D$11, 100%, $F$11)</f>
        <v>34.750300000000003</v>
      </c>
      <c r="H991" s="4">
        <f>35.6366 * CHOOSE(CONTROL!$C$15, $D$11, 100%, $F$11)</f>
        <v>35.636600000000001</v>
      </c>
      <c r="I991" s="8">
        <f>34.2858 * CHOOSE(CONTROL!$C$15, $D$11, 100%, $F$11)</f>
        <v>34.285800000000002</v>
      </c>
      <c r="J991" s="4">
        <f>34.1483 * CHOOSE(CONTROL!$C$15, $D$11, 100%, $F$11)</f>
        <v>34.148299999999999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36.1371 * CHOOSE(CONTROL!$C$15, $D$11, 100%, $F$11)</f>
        <v>36.137099999999997</v>
      </c>
      <c r="C992" s="8">
        <f>36.1417 * CHOOSE(CONTROL!$C$15, $D$11, 100%, $F$11)</f>
        <v>36.1417</v>
      </c>
      <c r="D992" s="8">
        <f>36.1726 * CHOOSE( CONTROL!$C$15, $D$11, 100%, $F$11)</f>
        <v>36.172600000000003</v>
      </c>
      <c r="E992" s="12">
        <f>36.1619 * CHOOSE( CONTROL!$C$15, $D$11, 100%, $F$11)</f>
        <v>36.161900000000003</v>
      </c>
      <c r="F992" s="4">
        <f>36.8519 * CHOOSE(CONTROL!$C$15, $D$11, 100%, $F$11)</f>
        <v>36.851900000000001</v>
      </c>
      <c r="G992" s="8">
        <f>35.2803 * CHOOSE( CONTROL!$C$15, $D$11, 100%, $F$11)</f>
        <v>35.280299999999997</v>
      </c>
      <c r="H992" s="4">
        <f>36.2282 * CHOOSE(CONTROL!$C$15, $D$11, 100%, $F$11)</f>
        <v>36.228200000000001</v>
      </c>
      <c r="I992" s="8">
        <f>34.7985 * CHOOSE(CONTROL!$C$15, $D$11, 100%, $F$11)</f>
        <v>34.798499999999997</v>
      </c>
      <c r="J992" s="4">
        <f>34.6673 * CHOOSE(CONTROL!$C$15, $D$11, 100%, $F$11)</f>
        <v>34.667299999999997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37.104, 37.1006) * CHOOSE(CONTROL!$C$15, $D$11, 100%, $F$11)</f>
        <v>37.103999999999999</v>
      </c>
      <c r="C993" s="8">
        <f>CHOOSE( CONTROL!$C$32, 37.1121, 37.1087) * CHOOSE(CONTROL!$C$15, $D$11, 100%, $F$11)</f>
        <v>37.112099999999998</v>
      </c>
      <c r="D993" s="8">
        <f>CHOOSE( CONTROL!$C$32, 37.1377, 37.1343) * CHOOSE( CONTROL!$C$15, $D$11, 100%, $F$11)</f>
        <v>37.137700000000002</v>
      </c>
      <c r="E993" s="12">
        <f>CHOOSE( CONTROL!$C$32, 37.1272, 37.1238) * CHOOSE( CONTROL!$C$15, $D$11, 100%, $F$11)</f>
        <v>37.127200000000002</v>
      </c>
      <c r="F993" s="4">
        <f>CHOOSE( CONTROL!$C$32, 37.8174, 37.814) * CHOOSE(CONTROL!$C$15, $D$11, 100%, $F$11)</f>
        <v>37.817399999999999</v>
      </c>
      <c r="G993" s="8">
        <f>CHOOSE( CONTROL!$C$32, 36.224, 36.2207) * CHOOSE( CONTROL!$C$15, $D$11, 100%, $F$11)</f>
        <v>36.223999999999997</v>
      </c>
      <c r="H993" s="4">
        <f>CHOOSE( CONTROL!$C$32, 37.1712, 37.1679) * CHOOSE(CONTROL!$C$15, $D$11, 100%, $F$11)</f>
        <v>37.171199999999999</v>
      </c>
      <c r="I993" s="8">
        <f>CHOOSE( CONTROL!$C$32, 35.7261, 35.7228) * CHOOSE(CONTROL!$C$15, $D$11, 100%, $F$11)</f>
        <v>35.726100000000002</v>
      </c>
      <c r="J993" s="4">
        <f>CHOOSE( CONTROL!$C$32, 35.5943, 35.5911) * CHOOSE(CONTROL!$C$15, $D$11, 100%, $F$11)</f>
        <v>35.594299999999997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36.508, 36.5046) * CHOOSE(CONTROL!$C$15, $D$11, 100%, $F$11)</f>
        <v>36.508000000000003</v>
      </c>
      <c r="C994" s="8">
        <f>CHOOSE( CONTROL!$C$32, 36.5161, 36.5127) * CHOOSE(CONTROL!$C$15, $D$11, 100%, $F$11)</f>
        <v>36.516100000000002</v>
      </c>
      <c r="D994" s="8">
        <f>CHOOSE( CONTROL!$C$32, 36.5419, 36.5385) * CHOOSE( CONTROL!$C$15, $D$11, 100%, $F$11)</f>
        <v>36.541899999999998</v>
      </c>
      <c r="E994" s="12">
        <f>CHOOSE( CONTROL!$C$32, 36.5313, 36.5279) * CHOOSE( CONTROL!$C$15, $D$11, 100%, $F$11)</f>
        <v>36.531300000000002</v>
      </c>
      <c r="F994" s="4">
        <f>CHOOSE( CONTROL!$C$32, 37.2214, 37.218) * CHOOSE(CONTROL!$C$15, $D$11, 100%, $F$11)</f>
        <v>37.221400000000003</v>
      </c>
      <c r="G994" s="8">
        <f>CHOOSE( CONTROL!$C$32, 35.6422, 35.6389) * CHOOSE( CONTROL!$C$15, $D$11, 100%, $F$11)</f>
        <v>35.642200000000003</v>
      </c>
      <c r="H994" s="4">
        <f>CHOOSE( CONTROL!$C$32, 36.5891, 36.5858) * CHOOSE(CONTROL!$C$15, $D$11, 100%, $F$11)</f>
        <v>36.589100000000002</v>
      </c>
      <c r="I994" s="8">
        <f>CHOOSE( CONTROL!$C$32, 35.1545, 35.1512) * CHOOSE(CONTROL!$C$15, $D$11, 100%, $F$11)</f>
        <v>35.154499999999999</v>
      </c>
      <c r="J994" s="4">
        <f>CHOOSE( CONTROL!$C$32, 35.0221, 35.0188) * CHOOSE(CONTROL!$C$15, $D$11, 100%, $F$11)</f>
        <v>35.022100000000002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38.0775, 38.0741) * CHOOSE(CONTROL!$C$15, $D$11, 100%, $F$11)</f>
        <v>38.077500000000001</v>
      </c>
      <c r="C995" s="8">
        <f>CHOOSE( CONTROL!$C$32, 38.0856, 38.0822) * CHOOSE(CONTROL!$C$15, $D$11, 100%, $F$11)</f>
        <v>38.085599999999999</v>
      </c>
      <c r="D995" s="8">
        <f>CHOOSE( CONTROL!$C$32, 38.1116, 38.1082) * CHOOSE( CONTROL!$C$15, $D$11, 100%, $F$11)</f>
        <v>38.111600000000003</v>
      </c>
      <c r="E995" s="12">
        <f>CHOOSE( CONTROL!$C$32, 38.1009, 38.0975) * CHOOSE( CONTROL!$C$15, $D$11, 100%, $F$11)</f>
        <v>38.100900000000003</v>
      </c>
      <c r="F995" s="4">
        <f>CHOOSE( CONTROL!$C$32, 38.7909, 38.7875) * CHOOSE(CONTROL!$C$15, $D$11, 100%, $F$11)</f>
        <v>38.790900000000001</v>
      </c>
      <c r="G995" s="8">
        <f>CHOOSE( CONTROL!$C$32, 37.1755, 37.1722) * CHOOSE( CONTROL!$C$15, $D$11, 100%, $F$11)</f>
        <v>37.1755</v>
      </c>
      <c r="H995" s="4">
        <f>CHOOSE( CONTROL!$C$32, 38.122, 38.1187) * CHOOSE(CONTROL!$C$15, $D$11, 100%, $F$11)</f>
        <v>38.122</v>
      </c>
      <c r="I995" s="8">
        <f>CHOOSE( CONTROL!$C$32, 36.6632, 36.66) * CHOOSE(CONTROL!$C$15, $D$11, 100%, $F$11)</f>
        <v>36.663200000000003</v>
      </c>
      <c r="J995" s="4">
        <f>CHOOSE( CONTROL!$C$32, 36.529, 36.5257) * CHOOSE(CONTROL!$C$15, $D$11, 100%, $F$11)</f>
        <v>36.529000000000003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35.1408, 35.1374) * CHOOSE(CONTROL!$C$15, $D$11, 100%, $F$11)</f>
        <v>35.140799999999999</v>
      </c>
      <c r="C996" s="8">
        <f>CHOOSE( CONTROL!$C$32, 35.1489, 35.1455) * CHOOSE(CONTROL!$C$15, $D$11, 100%, $F$11)</f>
        <v>35.148899999999998</v>
      </c>
      <c r="D996" s="8">
        <f>CHOOSE( CONTROL!$C$32, 35.175, 35.1716) * CHOOSE( CONTROL!$C$15, $D$11, 100%, $F$11)</f>
        <v>35.174999999999997</v>
      </c>
      <c r="E996" s="12">
        <f>CHOOSE( CONTROL!$C$32, 35.1643, 35.1609) * CHOOSE( CONTROL!$C$15, $D$11, 100%, $F$11)</f>
        <v>35.164299999999997</v>
      </c>
      <c r="F996" s="4">
        <f>CHOOSE( CONTROL!$C$32, 35.8542, 35.8508) * CHOOSE(CONTROL!$C$15, $D$11, 100%, $F$11)</f>
        <v>35.854199999999999</v>
      </c>
      <c r="G996" s="8">
        <f>CHOOSE( CONTROL!$C$32, 34.3073, 34.304) * CHOOSE( CONTROL!$C$15, $D$11, 100%, $F$11)</f>
        <v>34.307299999999998</v>
      </c>
      <c r="H996" s="4">
        <f>CHOOSE( CONTROL!$C$32, 35.2537, 35.2504) * CHOOSE(CONTROL!$C$15, $D$11, 100%, $F$11)</f>
        <v>35.253700000000002</v>
      </c>
      <c r="I996" s="8">
        <f>CHOOSE( CONTROL!$C$32, 33.8427, 33.8395) * CHOOSE(CONTROL!$C$15, $D$11, 100%, $F$11)</f>
        <v>33.842700000000001</v>
      </c>
      <c r="J996" s="4">
        <f>CHOOSE( CONTROL!$C$32, 33.7095, 33.7062) * CHOOSE(CONTROL!$C$15, $D$11, 100%, $F$11)</f>
        <v>33.709499999999998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34.4054, 34.402) * CHOOSE(CONTROL!$C$15, $D$11, 100%, $F$11)</f>
        <v>34.4054</v>
      </c>
      <c r="C997" s="8">
        <f>CHOOSE( CONTROL!$C$32, 34.4135, 34.4101) * CHOOSE(CONTROL!$C$15, $D$11, 100%, $F$11)</f>
        <v>34.413499999999999</v>
      </c>
      <c r="D997" s="8">
        <f>CHOOSE( CONTROL!$C$32, 34.4396, 34.4362) * CHOOSE( CONTROL!$C$15, $D$11, 100%, $F$11)</f>
        <v>34.439599999999999</v>
      </c>
      <c r="E997" s="12">
        <f>CHOOSE( CONTROL!$C$32, 34.4289, 34.4255) * CHOOSE( CONTROL!$C$15, $D$11, 100%, $F$11)</f>
        <v>34.428899999999999</v>
      </c>
      <c r="F997" s="4">
        <f>CHOOSE( CONTROL!$C$32, 35.1188, 35.1154) * CHOOSE(CONTROL!$C$15, $D$11, 100%, $F$11)</f>
        <v>35.1188</v>
      </c>
      <c r="G997" s="8">
        <f>CHOOSE( CONTROL!$C$32, 33.5891, 33.5857) * CHOOSE( CONTROL!$C$15, $D$11, 100%, $F$11)</f>
        <v>33.589100000000002</v>
      </c>
      <c r="H997" s="4">
        <f>CHOOSE( CONTROL!$C$32, 34.5355, 34.5322) * CHOOSE(CONTROL!$C$15, $D$11, 100%, $F$11)</f>
        <v>34.535499999999999</v>
      </c>
      <c r="I997" s="8">
        <f>CHOOSE( CONTROL!$C$32, 33.1362, 33.1329) * CHOOSE(CONTROL!$C$15, $D$11, 100%, $F$11)</f>
        <v>33.136200000000002</v>
      </c>
      <c r="J997" s="4">
        <f>CHOOSE( CONTROL!$C$32, 33.0034, 33.0001) * CHOOSE(CONTROL!$C$15, $D$11, 100%, $F$11)</f>
        <v>33.003399999999999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35.9272 * CHOOSE(CONTROL!$C$15, $D$11, 100%, $F$11)</f>
        <v>35.927199999999999</v>
      </c>
      <c r="C998" s="8">
        <f>35.9326 * CHOOSE(CONTROL!$C$15, $D$11, 100%, $F$11)</f>
        <v>35.932600000000001</v>
      </c>
      <c r="D998" s="8">
        <f>35.9637 * CHOOSE( CONTROL!$C$15, $D$11, 100%, $F$11)</f>
        <v>35.963700000000003</v>
      </c>
      <c r="E998" s="12">
        <f>35.9529 * CHOOSE( CONTROL!$C$15, $D$11, 100%, $F$11)</f>
        <v>35.9529</v>
      </c>
      <c r="F998" s="4">
        <f>36.6423 * CHOOSE(CONTROL!$C$15, $D$11, 100%, $F$11)</f>
        <v>36.642299999999999</v>
      </c>
      <c r="G998" s="8">
        <f>35.0766 * CHOOSE( CONTROL!$C$15, $D$11, 100%, $F$11)</f>
        <v>35.076599999999999</v>
      </c>
      <c r="H998" s="4">
        <f>36.0235 * CHOOSE(CONTROL!$C$15, $D$11, 100%, $F$11)</f>
        <v>36.023499999999999</v>
      </c>
      <c r="I998" s="8">
        <f>34.6005 * CHOOSE(CONTROL!$C$15, $D$11, 100%, $F$11)</f>
        <v>34.600499999999997</v>
      </c>
      <c r="J998" s="4">
        <f>34.4661 * CHOOSE(CONTROL!$C$15, $D$11, 100%, $F$11)</f>
        <v>34.466099999999997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38.7451 * CHOOSE(CONTROL!$C$15, $D$11, 100%, $F$11)</f>
        <v>38.745100000000001</v>
      </c>
      <c r="C999" s="8">
        <f>38.7503 * CHOOSE(CONTROL!$C$15, $D$11, 100%, $F$11)</f>
        <v>38.750300000000003</v>
      </c>
      <c r="D999" s="8">
        <f>38.7432 * CHOOSE( CONTROL!$C$15, $D$11, 100%, $F$11)</f>
        <v>38.743200000000002</v>
      </c>
      <c r="E999" s="12">
        <f>38.7452 * CHOOSE( CONTROL!$C$15, $D$11, 100%, $F$11)</f>
        <v>38.745199999999997</v>
      </c>
      <c r="F999" s="4">
        <f>39.3956 * CHOOSE(CONTROL!$C$15, $D$11, 100%, $F$11)</f>
        <v>39.395600000000002</v>
      </c>
      <c r="G999" s="8">
        <f>37.8423 * CHOOSE( CONTROL!$C$15, $D$11, 100%, $F$11)</f>
        <v>37.842300000000002</v>
      </c>
      <c r="H999" s="4">
        <f>38.7126 * CHOOSE(CONTROL!$C$15, $D$11, 100%, $F$11)</f>
        <v>38.712600000000002</v>
      </c>
      <c r="I999" s="8">
        <f>37.3512 * CHOOSE(CONTROL!$C$15, $D$11, 100%, $F$11)</f>
        <v>37.351199999999999</v>
      </c>
      <c r="J999" s="4">
        <f>37.172 * CHOOSE(CONTROL!$C$15, $D$11, 100%, $F$11)</f>
        <v>37.171999999999997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38.6747 * CHOOSE(CONTROL!$C$15, $D$11, 100%, $F$11)</f>
        <v>38.674700000000001</v>
      </c>
      <c r="C1000" s="8">
        <f>38.6799 * CHOOSE(CONTROL!$C$15, $D$11, 100%, $F$11)</f>
        <v>38.679900000000004</v>
      </c>
      <c r="D1000" s="8">
        <f>38.6742 * CHOOSE( CONTROL!$C$15, $D$11, 100%, $F$11)</f>
        <v>38.674199999999999</v>
      </c>
      <c r="E1000" s="12">
        <f>38.6757 * CHOOSE( CONTROL!$C$15, $D$11, 100%, $F$11)</f>
        <v>38.675699999999999</v>
      </c>
      <c r="F1000" s="4">
        <f>39.3252 * CHOOSE(CONTROL!$C$15, $D$11, 100%, $F$11)</f>
        <v>39.325200000000002</v>
      </c>
      <c r="G1000" s="8">
        <f>37.7746 * CHOOSE( CONTROL!$C$15, $D$11, 100%, $F$11)</f>
        <v>37.7746</v>
      </c>
      <c r="H1000" s="4">
        <f>38.6438 * CHOOSE(CONTROL!$C$15, $D$11, 100%, $F$11)</f>
        <v>38.643799999999999</v>
      </c>
      <c r="I1000" s="8">
        <f>37.2882 * CHOOSE(CONTROL!$C$15, $D$11, 100%, $F$11)</f>
        <v>37.288200000000003</v>
      </c>
      <c r="J1000" s="4">
        <f>37.1044 * CHOOSE(CONTROL!$C$15, $D$11, 100%, $F$11)</f>
        <v>37.104399999999998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39.8147 * CHOOSE(CONTROL!$C$15, $D$11, 100%, $F$11)</f>
        <v>39.814700000000002</v>
      </c>
      <c r="C1001" s="8">
        <f>39.8199 * CHOOSE(CONTROL!$C$15, $D$11, 100%, $F$11)</f>
        <v>39.819899999999997</v>
      </c>
      <c r="D1001" s="8">
        <f>39.8 * CHOOSE( CONTROL!$C$15, $D$11, 100%, $F$11)</f>
        <v>39.799999999999997</v>
      </c>
      <c r="E1001" s="12">
        <f>39.8067 * CHOOSE( CONTROL!$C$15, $D$11, 100%, $F$11)</f>
        <v>39.806699999999999</v>
      </c>
      <c r="F1001" s="4">
        <f>40.4651 * CHOOSE(CONTROL!$C$15, $D$11, 100%, $F$11)</f>
        <v>40.4651</v>
      </c>
      <c r="G1001" s="8">
        <f>38.8712 * CHOOSE( CONTROL!$C$15, $D$11, 100%, $F$11)</f>
        <v>38.871200000000002</v>
      </c>
      <c r="H1001" s="4">
        <f>39.7572 * CHOOSE(CONTROL!$C$15, $D$11, 100%, $F$11)</f>
        <v>39.757199999999997</v>
      </c>
      <c r="I1001" s="8">
        <f>38.3396 * CHOOSE(CONTROL!$C$15, $D$11, 100%, $F$11)</f>
        <v>38.339599999999997</v>
      </c>
      <c r="J1001" s="4">
        <f>38.1989 * CHOOSE(CONTROL!$C$15, $D$11, 100%, $F$11)</f>
        <v>38.198900000000002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37.2426 * CHOOSE(CONTROL!$C$15, $D$11, 100%, $F$11)</f>
        <v>37.242600000000003</v>
      </c>
      <c r="C1002" s="8">
        <f>37.2477 * CHOOSE(CONTROL!$C$15, $D$11, 100%, $F$11)</f>
        <v>37.247700000000002</v>
      </c>
      <c r="D1002" s="8">
        <f>37.2278 * CHOOSE( CONTROL!$C$15, $D$11, 100%, $F$11)</f>
        <v>37.227800000000002</v>
      </c>
      <c r="E1002" s="12">
        <f>37.2345 * CHOOSE( CONTROL!$C$15, $D$11, 100%, $F$11)</f>
        <v>37.234499999999997</v>
      </c>
      <c r="F1002" s="4">
        <f>37.893 * CHOOSE(CONTROL!$C$15, $D$11, 100%, $F$11)</f>
        <v>37.893000000000001</v>
      </c>
      <c r="G1002" s="8">
        <f>36.359 * CHOOSE( CONTROL!$C$15, $D$11, 100%, $F$11)</f>
        <v>36.359000000000002</v>
      </c>
      <c r="H1002" s="4">
        <f>37.245 * CHOOSE(CONTROL!$C$15, $D$11, 100%, $F$11)</f>
        <v>37.244999999999997</v>
      </c>
      <c r="I1002" s="8">
        <f>35.8689 * CHOOSE(CONTROL!$C$15, $D$11, 100%, $F$11)</f>
        <v>35.868899999999996</v>
      </c>
      <c r="J1002" s="4">
        <f>35.7294 * CHOOSE(CONTROL!$C$15, $D$11, 100%, $F$11)</f>
        <v>35.729399999999998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36.4503 * CHOOSE(CONTROL!$C$15, $D$11, 100%, $F$11)</f>
        <v>36.450299999999999</v>
      </c>
      <c r="C1003" s="8">
        <f>36.4555 * CHOOSE(CONTROL!$C$15, $D$11, 100%, $F$11)</f>
        <v>36.455500000000001</v>
      </c>
      <c r="D1003" s="8">
        <f>36.4352 * CHOOSE( CONTROL!$C$15, $D$11, 100%, $F$11)</f>
        <v>36.435200000000002</v>
      </c>
      <c r="E1003" s="12">
        <f>36.4421 * CHOOSE( CONTROL!$C$15, $D$11, 100%, $F$11)</f>
        <v>36.442100000000003</v>
      </c>
      <c r="F1003" s="4">
        <f>37.1008 * CHOOSE(CONTROL!$C$15, $D$11, 100%, $F$11)</f>
        <v>37.1008</v>
      </c>
      <c r="G1003" s="8">
        <f>35.5849 * CHOOSE( CONTROL!$C$15, $D$11, 100%, $F$11)</f>
        <v>35.584899999999998</v>
      </c>
      <c r="H1003" s="4">
        <f>36.4713 * CHOOSE(CONTROL!$C$15, $D$11, 100%, $F$11)</f>
        <v>36.471299999999999</v>
      </c>
      <c r="I1003" s="8">
        <f>35.1067 * CHOOSE(CONTROL!$C$15, $D$11, 100%, $F$11)</f>
        <v>35.106699999999996</v>
      </c>
      <c r="J1003" s="4">
        <f>34.9688 * CHOOSE(CONTROL!$C$15, $D$11, 100%, $F$11)</f>
        <v>34.968800000000002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37.0047 * CHOOSE(CONTROL!$C$15, $D$11, 100%, $F$11)</f>
        <v>37.0047</v>
      </c>
      <c r="C1004" s="8">
        <f>37.0093 * CHOOSE(CONTROL!$C$15, $D$11, 100%, $F$11)</f>
        <v>37.009300000000003</v>
      </c>
      <c r="D1004" s="8">
        <f>37.0402 * CHOOSE( CONTROL!$C$15, $D$11, 100%, $F$11)</f>
        <v>37.040199999999999</v>
      </c>
      <c r="E1004" s="12">
        <f>37.0295 * CHOOSE( CONTROL!$C$15, $D$11, 100%, $F$11)</f>
        <v>37.029499999999999</v>
      </c>
      <c r="F1004" s="4">
        <f>37.7195 * CHOOSE(CONTROL!$C$15, $D$11, 100%, $F$11)</f>
        <v>37.719499999999996</v>
      </c>
      <c r="G1004" s="8">
        <f>36.1276 * CHOOSE( CONTROL!$C$15, $D$11, 100%, $F$11)</f>
        <v>36.127600000000001</v>
      </c>
      <c r="H1004" s="4">
        <f>37.0755 * CHOOSE(CONTROL!$C$15, $D$11, 100%, $F$11)</f>
        <v>37.075499999999998</v>
      </c>
      <c r="I1004" s="8">
        <f>35.6318 * CHOOSE(CONTROL!$C$15, $D$11, 100%, $F$11)</f>
        <v>35.631799999999998</v>
      </c>
      <c r="J1004" s="4">
        <f>35.5003 * CHOOSE(CONTROL!$C$15, $D$11, 100%, $F$11)</f>
        <v>35.500300000000003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37.9947, 37.9913) * CHOOSE(CONTROL!$C$15, $D$11, 100%, $F$11)</f>
        <v>37.994700000000002</v>
      </c>
      <c r="C1005" s="8">
        <f>CHOOSE( CONTROL!$C$32, 38.0028, 37.9994) * CHOOSE(CONTROL!$C$15, $D$11, 100%, $F$11)</f>
        <v>38.002800000000001</v>
      </c>
      <c r="D1005" s="8">
        <f>CHOOSE( CONTROL!$C$32, 38.0284, 38.025) * CHOOSE( CONTROL!$C$15, $D$11, 100%, $F$11)</f>
        <v>38.028399999999998</v>
      </c>
      <c r="E1005" s="12">
        <f>CHOOSE( CONTROL!$C$32, 38.0179, 38.0145) * CHOOSE( CONTROL!$C$15, $D$11, 100%, $F$11)</f>
        <v>38.017899999999997</v>
      </c>
      <c r="F1005" s="4">
        <f>CHOOSE( CONTROL!$C$32, 38.7081, 38.7047) * CHOOSE(CONTROL!$C$15, $D$11, 100%, $F$11)</f>
        <v>38.708100000000002</v>
      </c>
      <c r="G1005" s="8">
        <f>CHOOSE( CONTROL!$C$32, 37.094, 37.0907) * CHOOSE( CONTROL!$C$15, $D$11, 100%, $F$11)</f>
        <v>37.094000000000001</v>
      </c>
      <c r="H1005" s="4">
        <f>CHOOSE( CONTROL!$C$32, 38.0411, 38.0378) * CHOOSE(CONTROL!$C$15, $D$11, 100%, $F$11)</f>
        <v>38.0411</v>
      </c>
      <c r="I1005" s="8">
        <f>CHOOSE( CONTROL!$C$32, 36.5817, 36.5784) * CHOOSE(CONTROL!$C$15, $D$11, 100%, $F$11)</f>
        <v>36.581699999999998</v>
      </c>
      <c r="J1005" s="4">
        <f>CHOOSE( CONTROL!$C$32, 36.4495, 36.4462) * CHOOSE(CONTROL!$C$15, $D$11, 100%, $F$11)</f>
        <v>36.4495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37.3844, 37.381) * CHOOSE(CONTROL!$C$15, $D$11, 100%, $F$11)</f>
        <v>37.384399999999999</v>
      </c>
      <c r="C1006" s="8">
        <f>CHOOSE( CONTROL!$C$32, 37.3925, 37.3891) * CHOOSE(CONTROL!$C$15, $D$11, 100%, $F$11)</f>
        <v>37.392499999999998</v>
      </c>
      <c r="D1006" s="8">
        <f>CHOOSE( CONTROL!$C$32, 37.4183, 37.4149) * CHOOSE( CONTROL!$C$15, $D$11, 100%, $F$11)</f>
        <v>37.418300000000002</v>
      </c>
      <c r="E1006" s="12">
        <f>CHOOSE( CONTROL!$C$32, 37.4077, 37.4043) * CHOOSE( CONTROL!$C$15, $D$11, 100%, $F$11)</f>
        <v>37.407699999999998</v>
      </c>
      <c r="F1006" s="4">
        <f>CHOOSE( CONTROL!$C$32, 38.0978, 38.0944) * CHOOSE(CONTROL!$C$15, $D$11, 100%, $F$11)</f>
        <v>38.097799999999999</v>
      </c>
      <c r="G1006" s="8">
        <f>CHOOSE( CONTROL!$C$32, 36.4982, 36.4949) * CHOOSE( CONTROL!$C$15, $D$11, 100%, $F$11)</f>
        <v>36.498199999999997</v>
      </c>
      <c r="H1006" s="4">
        <f>CHOOSE( CONTROL!$C$32, 37.445, 37.4417) * CHOOSE(CONTROL!$C$15, $D$11, 100%, $F$11)</f>
        <v>37.445</v>
      </c>
      <c r="I1006" s="8">
        <f>CHOOSE( CONTROL!$C$32, 35.9963, 35.9931) * CHOOSE(CONTROL!$C$15, $D$11, 100%, $F$11)</f>
        <v>35.996299999999998</v>
      </c>
      <c r="J1006" s="4">
        <f>CHOOSE( CONTROL!$C$32, 35.8635, 35.8602) * CHOOSE(CONTROL!$C$15, $D$11, 100%, $F$11)</f>
        <v>35.863500000000002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38.9916, 38.9882) * CHOOSE(CONTROL!$C$15, $D$11, 100%, $F$11)</f>
        <v>38.991599999999998</v>
      </c>
      <c r="C1007" s="8">
        <f>CHOOSE( CONTROL!$C$32, 38.9997, 38.9963) * CHOOSE(CONTROL!$C$15, $D$11, 100%, $F$11)</f>
        <v>38.999699999999997</v>
      </c>
      <c r="D1007" s="8">
        <f>CHOOSE( CONTROL!$C$32, 39.0257, 39.0223) * CHOOSE( CONTROL!$C$15, $D$11, 100%, $F$11)</f>
        <v>39.025700000000001</v>
      </c>
      <c r="E1007" s="12">
        <f>CHOOSE( CONTROL!$C$32, 39.015, 39.0116) * CHOOSE( CONTROL!$C$15, $D$11, 100%, $F$11)</f>
        <v>39.015000000000001</v>
      </c>
      <c r="F1007" s="4">
        <f>CHOOSE( CONTROL!$C$32, 39.705, 39.7016) * CHOOSE(CONTROL!$C$15, $D$11, 100%, $F$11)</f>
        <v>39.704999999999998</v>
      </c>
      <c r="G1007" s="8">
        <f>CHOOSE( CONTROL!$C$32, 38.0683, 38.065) * CHOOSE( CONTROL!$C$15, $D$11, 100%, $F$11)</f>
        <v>38.068300000000001</v>
      </c>
      <c r="H1007" s="4">
        <f>CHOOSE( CONTROL!$C$32, 39.0148, 39.0115) * CHOOSE(CONTROL!$C$15, $D$11, 100%, $F$11)</f>
        <v>39.014800000000001</v>
      </c>
      <c r="I1007" s="8">
        <f>CHOOSE( CONTROL!$C$32, 37.5413, 37.538) * CHOOSE(CONTROL!$C$15, $D$11, 100%, $F$11)</f>
        <v>37.5413</v>
      </c>
      <c r="J1007" s="4">
        <f>CHOOSE( CONTROL!$C$32, 37.4066, 37.4033) * CHOOSE(CONTROL!$C$15, $D$11, 100%, $F$11)</f>
        <v>37.406599999999997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35.9843, 35.9809) * CHOOSE(CONTROL!$C$15, $D$11, 100%, $F$11)</f>
        <v>35.984299999999998</v>
      </c>
      <c r="C1008" s="8">
        <f>CHOOSE( CONTROL!$C$32, 35.9924, 35.989) * CHOOSE(CONTROL!$C$15, $D$11, 100%, $F$11)</f>
        <v>35.992400000000004</v>
      </c>
      <c r="D1008" s="8">
        <f>CHOOSE( CONTROL!$C$32, 36.0185, 36.0151) * CHOOSE( CONTROL!$C$15, $D$11, 100%, $F$11)</f>
        <v>36.018500000000003</v>
      </c>
      <c r="E1008" s="12">
        <f>CHOOSE( CONTROL!$C$32, 36.0078, 36.0044) * CHOOSE( CONTROL!$C$15, $D$11, 100%, $F$11)</f>
        <v>36.007800000000003</v>
      </c>
      <c r="F1008" s="4">
        <f>CHOOSE( CONTROL!$C$32, 36.6978, 36.6944) * CHOOSE(CONTROL!$C$15, $D$11, 100%, $F$11)</f>
        <v>36.697800000000001</v>
      </c>
      <c r="G1008" s="8">
        <f>CHOOSE( CONTROL!$C$32, 35.1312, 35.1279) * CHOOSE( CONTROL!$C$15, $D$11, 100%, $F$11)</f>
        <v>35.1312</v>
      </c>
      <c r="H1008" s="4">
        <f>CHOOSE( CONTROL!$C$32, 36.0776, 36.0743) * CHOOSE(CONTROL!$C$15, $D$11, 100%, $F$11)</f>
        <v>36.077599999999997</v>
      </c>
      <c r="I1008" s="8">
        <f>CHOOSE( CONTROL!$C$32, 34.653, 34.6497) * CHOOSE(CONTROL!$C$15, $D$11, 100%, $F$11)</f>
        <v>34.652999999999999</v>
      </c>
      <c r="J1008" s="4">
        <f>CHOOSE( CONTROL!$C$32, 34.5193, 34.5161) * CHOOSE(CONTROL!$C$15, $D$11, 100%, $F$11)</f>
        <v>34.519300000000001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35.2313, 35.2279) * CHOOSE(CONTROL!$C$15, $D$11, 100%, $F$11)</f>
        <v>35.231299999999997</v>
      </c>
      <c r="C1009" s="8">
        <f>CHOOSE( CONTROL!$C$32, 35.2394, 35.236) * CHOOSE(CONTROL!$C$15, $D$11, 100%, $F$11)</f>
        <v>35.239400000000003</v>
      </c>
      <c r="D1009" s="8">
        <f>CHOOSE( CONTROL!$C$32, 35.2655, 35.2621) * CHOOSE( CONTROL!$C$15, $D$11, 100%, $F$11)</f>
        <v>35.265500000000003</v>
      </c>
      <c r="E1009" s="12">
        <f>CHOOSE( CONTROL!$C$32, 35.2548, 35.2514) * CHOOSE( CONTROL!$C$15, $D$11, 100%, $F$11)</f>
        <v>35.254800000000003</v>
      </c>
      <c r="F1009" s="4">
        <f>CHOOSE( CONTROL!$C$32, 35.9447, 35.9413) * CHOOSE(CONTROL!$C$15, $D$11, 100%, $F$11)</f>
        <v>35.944699999999997</v>
      </c>
      <c r="G1009" s="8">
        <f>CHOOSE( CONTROL!$C$32, 34.3957, 34.3923) * CHOOSE( CONTROL!$C$15, $D$11, 100%, $F$11)</f>
        <v>34.395699999999998</v>
      </c>
      <c r="H1009" s="4">
        <f>CHOOSE( CONTROL!$C$32, 35.3421, 35.3388) * CHOOSE(CONTROL!$C$15, $D$11, 100%, $F$11)</f>
        <v>35.342100000000002</v>
      </c>
      <c r="I1009" s="8">
        <f>CHOOSE( CONTROL!$C$32, 33.9295, 33.9262) * CHOOSE(CONTROL!$C$15, $D$11, 100%, $F$11)</f>
        <v>33.929499999999997</v>
      </c>
      <c r="J1009" s="4">
        <f>CHOOSE( CONTROL!$C$32, 33.7963, 33.7931) * CHOOSE(CONTROL!$C$15, $D$11, 100%, $F$11)</f>
        <v>33.796300000000002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36.7897 * CHOOSE(CONTROL!$C$15, $D$11, 100%, $F$11)</f>
        <v>36.789700000000003</v>
      </c>
      <c r="C1010" s="8">
        <f>36.7952 * CHOOSE(CONTROL!$C$15, $D$11, 100%, $F$11)</f>
        <v>36.795200000000001</v>
      </c>
      <c r="D1010" s="8">
        <f>36.8263 * CHOOSE( CONTROL!$C$15, $D$11, 100%, $F$11)</f>
        <v>36.826300000000003</v>
      </c>
      <c r="E1010" s="12">
        <f>36.8154 * CHOOSE( CONTROL!$C$15, $D$11, 100%, $F$11)</f>
        <v>36.815399999999997</v>
      </c>
      <c r="F1010" s="4">
        <f>37.5049 * CHOOSE(CONTROL!$C$15, $D$11, 100%, $F$11)</f>
        <v>37.504899999999999</v>
      </c>
      <c r="G1010" s="8">
        <f>35.9191 * CHOOSE( CONTROL!$C$15, $D$11, 100%, $F$11)</f>
        <v>35.9191</v>
      </c>
      <c r="H1010" s="4">
        <f>36.8659 * CHOOSE(CONTROL!$C$15, $D$11, 100%, $F$11)</f>
        <v>36.865900000000003</v>
      </c>
      <c r="I1010" s="8">
        <f>35.429 * CHOOSE(CONTROL!$C$15, $D$11, 100%, $F$11)</f>
        <v>35.429000000000002</v>
      </c>
      <c r="J1010" s="4">
        <f>35.2943 * CHOOSE(CONTROL!$C$15, $D$11, 100%, $F$11)</f>
        <v>35.2943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39.6754 * CHOOSE(CONTROL!$C$15, $D$11, 100%, $F$11)</f>
        <v>39.675400000000003</v>
      </c>
      <c r="C1011" s="8">
        <f>39.6806 * CHOOSE(CONTROL!$C$15, $D$11, 100%, $F$11)</f>
        <v>39.680599999999998</v>
      </c>
      <c r="D1011" s="8">
        <f>39.6734 * CHOOSE( CONTROL!$C$15, $D$11, 100%, $F$11)</f>
        <v>39.673400000000001</v>
      </c>
      <c r="E1011" s="12">
        <f>39.6755 * CHOOSE( CONTROL!$C$15, $D$11, 100%, $F$11)</f>
        <v>39.6755</v>
      </c>
      <c r="F1011" s="4">
        <f>40.3259 * CHOOSE(CONTROL!$C$15, $D$11, 100%, $F$11)</f>
        <v>40.325899999999997</v>
      </c>
      <c r="G1011" s="8">
        <f>38.7509 * CHOOSE( CONTROL!$C$15, $D$11, 100%, $F$11)</f>
        <v>38.750900000000001</v>
      </c>
      <c r="H1011" s="4">
        <f>39.6212 * CHOOSE(CONTROL!$C$15, $D$11, 100%, $F$11)</f>
        <v>39.621200000000002</v>
      </c>
      <c r="I1011" s="8">
        <f>38.2448 * CHOOSE(CONTROL!$C$15, $D$11, 100%, $F$11)</f>
        <v>38.244799999999998</v>
      </c>
      <c r="J1011" s="4">
        <f>38.0652 * CHOOSE(CONTROL!$C$15, $D$11, 100%, $F$11)</f>
        <v>38.065199999999997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39.6033 * CHOOSE(CONTROL!$C$15, $D$11, 100%, $F$11)</f>
        <v>39.603299999999997</v>
      </c>
      <c r="C1012" s="8">
        <f>39.6085 * CHOOSE(CONTROL!$C$15, $D$11, 100%, $F$11)</f>
        <v>39.608499999999999</v>
      </c>
      <c r="D1012" s="8">
        <f>39.6028 * CHOOSE( CONTROL!$C$15, $D$11, 100%, $F$11)</f>
        <v>39.602800000000002</v>
      </c>
      <c r="E1012" s="12">
        <f>39.6043 * CHOOSE( CONTROL!$C$15, $D$11, 100%, $F$11)</f>
        <v>39.604300000000002</v>
      </c>
      <c r="F1012" s="4">
        <f>40.2538 * CHOOSE(CONTROL!$C$15, $D$11, 100%, $F$11)</f>
        <v>40.253799999999998</v>
      </c>
      <c r="G1012" s="8">
        <f>38.6816 * CHOOSE( CONTROL!$C$15, $D$11, 100%, $F$11)</f>
        <v>38.681600000000003</v>
      </c>
      <c r="H1012" s="4">
        <f>39.5508 * CHOOSE(CONTROL!$C$15, $D$11, 100%, $F$11)</f>
        <v>39.550800000000002</v>
      </c>
      <c r="I1012" s="8">
        <f>38.1801 * CHOOSE(CONTROL!$C$15, $D$11, 100%, $F$11)</f>
        <v>38.180100000000003</v>
      </c>
      <c r="J1012" s="4">
        <f>37.996 * CHOOSE(CONTROL!$C$15, $D$11, 100%, $F$11)</f>
        <v>37.996000000000002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40.7706 * CHOOSE(CONTROL!$C$15, $D$11, 100%, $F$11)</f>
        <v>40.770600000000002</v>
      </c>
      <c r="C1013" s="8">
        <f>40.7758 * CHOOSE(CONTROL!$C$15, $D$11, 100%, $F$11)</f>
        <v>40.775799999999997</v>
      </c>
      <c r="D1013" s="8">
        <f>40.7559 * CHOOSE( CONTROL!$C$15, $D$11, 100%, $F$11)</f>
        <v>40.755899999999997</v>
      </c>
      <c r="E1013" s="12">
        <f>40.7626 * CHOOSE( CONTROL!$C$15, $D$11, 100%, $F$11)</f>
        <v>40.762599999999999</v>
      </c>
      <c r="F1013" s="4">
        <f>41.4211 * CHOOSE(CONTROL!$C$15, $D$11, 100%, $F$11)</f>
        <v>41.421100000000003</v>
      </c>
      <c r="G1013" s="8">
        <f>39.8049 * CHOOSE( CONTROL!$C$15, $D$11, 100%, $F$11)</f>
        <v>39.804900000000004</v>
      </c>
      <c r="H1013" s="4">
        <f>40.6909 * CHOOSE(CONTROL!$C$15, $D$11, 100%, $F$11)</f>
        <v>40.690899999999999</v>
      </c>
      <c r="I1013" s="8">
        <f>39.2579 * CHOOSE(CONTROL!$C$15, $D$11, 100%, $F$11)</f>
        <v>39.257899999999999</v>
      </c>
      <c r="J1013" s="4">
        <f>39.1167 * CHOOSE(CONTROL!$C$15, $D$11, 100%, $F$11)</f>
        <v>39.116700000000002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38.1367 * CHOOSE(CONTROL!$C$15, $D$11, 100%, $F$11)</f>
        <v>38.136699999999998</v>
      </c>
      <c r="C1014" s="8">
        <f>38.1419 * CHOOSE(CONTROL!$C$15, $D$11, 100%, $F$11)</f>
        <v>38.1419</v>
      </c>
      <c r="D1014" s="8">
        <f>38.122 * CHOOSE( CONTROL!$C$15, $D$11, 100%, $F$11)</f>
        <v>38.122</v>
      </c>
      <c r="E1014" s="12">
        <f>38.1287 * CHOOSE( CONTROL!$C$15, $D$11, 100%, $F$11)</f>
        <v>38.128700000000002</v>
      </c>
      <c r="F1014" s="4">
        <f>38.7872 * CHOOSE(CONTROL!$C$15, $D$11, 100%, $F$11)</f>
        <v>38.787199999999999</v>
      </c>
      <c r="G1014" s="8">
        <f>37.2323 * CHOOSE( CONTROL!$C$15, $D$11, 100%, $F$11)</f>
        <v>37.232300000000002</v>
      </c>
      <c r="H1014" s="4">
        <f>38.1184 * CHOOSE(CONTROL!$C$15, $D$11, 100%, $F$11)</f>
        <v>38.118400000000001</v>
      </c>
      <c r="I1014" s="8">
        <f>36.7278 * CHOOSE(CONTROL!$C$15, $D$11, 100%, $F$11)</f>
        <v>36.727800000000002</v>
      </c>
      <c r="J1014" s="4">
        <f>36.5879 * CHOOSE(CONTROL!$C$15, $D$11, 100%, $F$11)</f>
        <v>36.587899999999998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37.3255 * CHOOSE(CONTROL!$C$15, $D$11, 100%, $F$11)</f>
        <v>37.325499999999998</v>
      </c>
      <c r="C1015" s="8">
        <f>37.3307 * CHOOSE(CONTROL!$C$15, $D$11, 100%, $F$11)</f>
        <v>37.3307</v>
      </c>
      <c r="D1015" s="8">
        <f>37.3104 * CHOOSE( CONTROL!$C$15, $D$11, 100%, $F$11)</f>
        <v>37.310400000000001</v>
      </c>
      <c r="E1015" s="12">
        <f>37.3173 * CHOOSE( CONTROL!$C$15, $D$11, 100%, $F$11)</f>
        <v>37.317300000000003</v>
      </c>
      <c r="F1015" s="4">
        <f>37.9759 * CHOOSE(CONTROL!$C$15, $D$11, 100%, $F$11)</f>
        <v>37.975900000000003</v>
      </c>
      <c r="G1015" s="8">
        <f>36.4397 * CHOOSE( CONTROL!$C$15, $D$11, 100%, $F$11)</f>
        <v>36.439700000000002</v>
      </c>
      <c r="H1015" s="4">
        <f>37.326 * CHOOSE(CONTROL!$C$15, $D$11, 100%, $F$11)</f>
        <v>37.326000000000001</v>
      </c>
      <c r="I1015" s="8">
        <f>35.9474 * CHOOSE(CONTROL!$C$15, $D$11, 100%, $F$11)</f>
        <v>35.947400000000002</v>
      </c>
      <c r="J1015" s="4">
        <f>35.809 * CHOOSE(CONTROL!$C$15, $D$11, 100%, $F$11)</f>
        <v>35.808999999999997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37.8931 * CHOOSE(CONTROL!$C$15, $D$11, 100%, $F$11)</f>
        <v>37.893099999999997</v>
      </c>
      <c r="C1016" s="8">
        <f>37.8977 * CHOOSE(CONTROL!$C$15, $D$11, 100%, $F$11)</f>
        <v>37.8977</v>
      </c>
      <c r="D1016" s="8">
        <f>37.9286 * CHOOSE( CONTROL!$C$15, $D$11, 100%, $F$11)</f>
        <v>37.928600000000003</v>
      </c>
      <c r="E1016" s="12">
        <f>37.9179 * CHOOSE( CONTROL!$C$15, $D$11, 100%, $F$11)</f>
        <v>37.917900000000003</v>
      </c>
      <c r="F1016" s="4">
        <f>38.6079 * CHOOSE(CONTROL!$C$15, $D$11, 100%, $F$11)</f>
        <v>38.607900000000001</v>
      </c>
      <c r="G1016" s="8">
        <f>36.9954 * CHOOSE( CONTROL!$C$15, $D$11, 100%, $F$11)</f>
        <v>36.995399999999997</v>
      </c>
      <c r="H1016" s="4">
        <f>37.9433 * CHOOSE(CONTROL!$C$15, $D$11, 100%, $F$11)</f>
        <v>37.943300000000001</v>
      </c>
      <c r="I1016" s="8">
        <f>36.4853 * CHOOSE(CONTROL!$C$15, $D$11, 100%, $F$11)</f>
        <v>36.485300000000002</v>
      </c>
      <c r="J1016" s="4">
        <f>36.3533 * CHOOSE(CONTROL!$C$15, $D$11, 100%, $F$11)</f>
        <v>36.353299999999997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38.9068, 38.9034) * CHOOSE(CONTROL!$C$15, $D$11, 100%, $F$11)</f>
        <v>38.906799999999997</v>
      </c>
      <c r="C1017" s="8">
        <f>CHOOSE( CONTROL!$C$32, 38.9149, 38.9115) * CHOOSE(CONTROL!$C$15, $D$11, 100%, $F$11)</f>
        <v>38.914900000000003</v>
      </c>
      <c r="D1017" s="8">
        <f>CHOOSE( CONTROL!$C$32, 38.9405, 38.9371) * CHOOSE( CONTROL!$C$15, $D$11, 100%, $F$11)</f>
        <v>38.9405</v>
      </c>
      <c r="E1017" s="12">
        <f>CHOOSE( CONTROL!$C$32, 38.93, 38.9266) * CHOOSE( CONTROL!$C$15, $D$11, 100%, $F$11)</f>
        <v>38.93</v>
      </c>
      <c r="F1017" s="4">
        <f>CHOOSE( CONTROL!$C$32, 39.6202, 39.6168) * CHOOSE(CONTROL!$C$15, $D$11, 100%, $F$11)</f>
        <v>39.620199999999997</v>
      </c>
      <c r="G1017" s="8">
        <f>CHOOSE( CONTROL!$C$32, 37.9848, 37.9815) * CHOOSE( CONTROL!$C$15, $D$11, 100%, $F$11)</f>
        <v>37.9848</v>
      </c>
      <c r="H1017" s="4">
        <f>CHOOSE( CONTROL!$C$32, 38.932, 38.9287) * CHOOSE(CONTROL!$C$15, $D$11, 100%, $F$11)</f>
        <v>38.932000000000002</v>
      </c>
      <c r="I1017" s="8">
        <f>CHOOSE( CONTROL!$C$32, 37.4578, 37.4545) * CHOOSE(CONTROL!$C$15, $D$11, 100%, $F$11)</f>
        <v>37.457799999999999</v>
      </c>
      <c r="J1017" s="4">
        <f>CHOOSE( CONTROL!$C$32, 37.3252, 37.3219) * CHOOSE(CONTROL!$C$15, $D$11, 100%, $F$11)</f>
        <v>37.325200000000002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38.2818, 38.2784) * CHOOSE(CONTROL!$C$15, $D$11, 100%, $F$11)</f>
        <v>38.281799999999997</v>
      </c>
      <c r="C1018" s="8">
        <f>CHOOSE( CONTROL!$C$32, 38.2899, 38.2865) * CHOOSE(CONTROL!$C$15, $D$11, 100%, $F$11)</f>
        <v>38.289900000000003</v>
      </c>
      <c r="D1018" s="8">
        <f>CHOOSE( CONTROL!$C$32, 38.3157, 38.3123) * CHOOSE( CONTROL!$C$15, $D$11, 100%, $F$11)</f>
        <v>38.3157</v>
      </c>
      <c r="E1018" s="12">
        <f>CHOOSE( CONTROL!$C$32, 38.3051, 38.3017) * CHOOSE( CONTROL!$C$15, $D$11, 100%, $F$11)</f>
        <v>38.305100000000003</v>
      </c>
      <c r="F1018" s="4">
        <f>CHOOSE( CONTROL!$C$32, 38.9952, 38.9918) * CHOOSE(CONTROL!$C$15, $D$11, 100%, $F$11)</f>
        <v>38.995199999999997</v>
      </c>
      <c r="G1018" s="8">
        <f>CHOOSE( CONTROL!$C$32, 37.3747, 37.3714) * CHOOSE( CONTROL!$C$15, $D$11, 100%, $F$11)</f>
        <v>37.374699999999997</v>
      </c>
      <c r="H1018" s="4">
        <f>CHOOSE( CONTROL!$C$32, 38.3216, 38.3182) * CHOOSE(CONTROL!$C$15, $D$11, 100%, $F$11)</f>
        <v>38.321599999999997</v>
      </c>
      <c r="I1018" s="8">
        <f>CHOOSE( CONTROL!$C$32, 36.8584, 36.8551) * CHOOSE(CONTROL!$C$15, $D$11, 100%, $F$11)</f>
        <v>36.858400000000003</v>
      </c>
      <c r="J1018" s="4">
        <f>CHOOSE( CONTROL!$C$32, 36.7251, 36.7219) * CHOOSE(CONTROL!$C$15, $D$11, 100%, $F$11)</f>
        <v>36.725099999999998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39.9276, 39.9242) * CHOOSE(CONTROL!$C$15, $D$11, 100%, $F$11)</f>
        <v>39.927599999999998</v>
      </c>
      <c r="C1019" s="8">
        <f>CHOOSE( CONTROL!$C$32, 39.9357, 39.9323) * CHOOSE(CONTROL!$C$15, $D$11, 100%, $F$11)</f>
        <v>39.935699999999997</v>
      </c>
      <c r="D1019" s="8">
        <f>CHOOSE( CONTROL!$C$32, 39.9618, 39.9584) * CHOOSE( CONTROL!$C$15, $D$11, 100%, $F$11)</f>
        <v>39.961799999999997</v>
      </c>
      <c r="E1019" s="12">
        <f>CHOOSE( CONTROL!$C$32, 39.9511, 39.9477) * CHOOSE( CONTROL!$C$15, $D$11, 100%, $F$11)</f>
        <v>39.951099999999997</v>
      </c>
      <c r="F1019" s="4">
        <f>CHOOSE( CONTROL!$C$32, 40.6411, 40.6377) * CHOOSE(CONTROL!$C$15, $D$11, 100%, $F$11)</f>
        <v>40.641100000000002</v>
      </c>
      <c r="G1019" s="8">
        <f>CHOOSE( CONTROL!$C$32, 38.9825, 38.9792) * CHOOSE( CONTROL!$C$15, $D$11, 100%, $F$11)</f>
        <v>38.982500000000002</v>
      </c>
      <c r="H1019" s="4">
        <f>CHOOSE( CONTROL!$C$32, 39.9291, 39.9257) * CHOOSE(CONTROL!$C$15, $D$11, 100%, $F$11)</f>
        <v>39.929099999999998</v>
      </c>
      <c r="I1019" s="8">
        <f>CHOOSE( CONTROL!$C$32, 38.4404, 38.4372) * CHOOSE(CONTROL!$C$15, $D$11, 100%, $F$11)</f>
        <v>38.440399999999997</v>
      </c>
      <c r="J1019" s="4">
        <f>CHOOSE( CONTROL!$C$32, 38.3053, 38.302) * CHOOSE(CONTROL!$C$15, $D$11, 100%, $F$11)</f>
        <v>38.305300000000003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36.8481, 36.8447) * CHOOSE(CONTROL!$C$15, $D$11, 100%, $F$11)</f>
        <v>36.848100000000002</v>
      </c>
      <c r="C1020" s="8">
        <f>CHOOSE( CONTROL!$C$32, 36.8562, 36.8528) * CHOOSE(CONTROL!$C$15, $D$11, 100%, $F$11)</f>
        <v>36.856200000000001</v>
      </c>
      <c r="D1020" s="8">
        <f>CHOOSE( CONTROL!$C$32, 36.8823, 36.8789) * CHOOSE( CONTROL!$C$15, $D$11, 100%, $F$11)</f>
        <v>36.882300000000001</v>
      </c>
      <c r="E1020" s="12">
        <f>CHOOSE( CONTROL!$C$32, 36.8716, 36.8682) * CHOOSE( CONTROL!$C$15, $D$11, 100%, $F$11)</f>
        <v>36.871600000000001</v>
      </c>
      <c r="F1020" s="4">
        <f>CHOOSE( CONTROL!$C$32, 37.5616, 37.5582) * CHOOSE(CONTROL!$C$15, $D$11, 100%, $F$11)</f>
        <v>37.561599999999999</v>
      </c>
      <c r="G1020" s="8">
        <f>CHOOSE( CONTROL!$C$32, 35.9749, 35.9716) * CHOOSE( CONTROL!$C$15, $D$11, 100%, $F$11)</f>
        <v>35.974899999999998</v>
      </c>
      <c r="H1020" s="4">
        <f>CHOOSE( CONTROL!$C$32, 36.9213, 36.918) * CHOOSE(CONTROL!$C$15, $D$11, 100%, $F$11)</f>
        <v>36.921300000000002</v>
      </c>
      <c r="I1020" s="8">
        <f>CHOOSE( CONTROL!$C$32, 35.4828, 35.4795) * CHOOSE(CONTROL!$C$15, $D$11, 100%, $F$11)</f>
        <v>35.482799999999997</v>
      </c>
      <c r="J1020" s="4">
        <f>CHOOSE( CONTROL!$C$32, 35.3487, 35.3454) * CHOOSE(CONTROL!$C$15, $D$11, 100%, $F$11)</f>
        <v>35.348700000000001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36.077, 36.0736) * CHOOSE(CONTROL!$C$15, $D$11, 100%, $F$11)</f>
        <v>36.076999999999998</v>
      </c>
      <c r="C1021" s="8">
        <f>CHOOSE( CONTROL!$C$32, 36.0851, 36.0817) * CHOOSE(CONTROL!$C$15, $D$11, 100%, $F$11)</f>
        <v>36.085099999999997</v>
      </c>
      <c r="D1021" s="8">
        <f>CHOOSE( CONTROL!$C$32, 36.1112, 36.1078) * CHOOSE( CONTROL!$C$15, $D$11, 100%, $F$11)</f>
        <v>36.111199999999997</v>
      </c>
      <c r="E1021" s="12">
        <f>CHOOSE( CONTROL!$C$32, 36.1005, 36.0971) * CHOOSE( CONTROL!$C$15, $D$11, 100%, $F$11)</f>
        <v>36.100499999999997</v>
      </c>
      <c r="F1021" s="4">
        <f>CHOOSE( CONTROL!$C$32, 36.7904, 36.787) * CHOOSE(CONTROL!$C$15, $D$11, 100%, $F$11)</f>
        <v>36.790399999999998</v>
      </c>
      <c r="G1021" s="8">
        <f>CHOOSE( CONTROL!$C$32, 35.2217, 35.2183) * CHOOSE( CONTROL!$C$15, $D$11, 100%, $F$11)</f>
        <v>35.221699999999998</v>
      </c>
      <c r="H1021" s="4">
        <f>CHOOSE( CONTROL!$C$32, 36.1681, 36.1648) * CHOOSE(CONTROL!$C$15, $D$11, 100%, $F$11)</f>
        <v>36.168100000000003</v>
      </c>
      <c r="I1021" s="8">
        <f>CHOOSE( CONTROL!$C$32, 34.7419, 34.7386) * CHOOSE(CONTROL!$C$15, $D$11, 100%, $F$11)</f>
        <v>34.741900000000001</v>
      </c>
      <c r="J1021" s="4">
        <f>CHOOSE( CONTROL!$C$32, 34.6083, 34.605) * CHOOSE(CONTROL!$C$15, $D$11, 100%, $F$11)</f>
        <v>34.6083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37.673 * CHOOSE(CONTROL!$C$15, $D$11, 100%, $F$11)</f>
        <v>37.673000000000002</v>
      </c>
      <c r="C1022" s="8">
        <f>37.6785 * CHOOSE(CONTROL!$C$15, $D$11, 100%, $F$11)</f>
        <v>37.6785</v>
      </c>
      <c r="D1022" s="8">
        <f>37.7095 * CHOOSE( CONTROL!$C$15, $D$11, 100%, $F$11)</f>
        <v>37.709499999999998</v>
      </c>
      <c r="E1022" s="12">
        <f>37.6987 * CHOOSE( CONTROL!$C$15, $D$11, 100%, $F$11)</f>
        <v>37.698700000000002</v>
      </c>
      <c r="F1022" s="4">
        <f>38.3882 * CHOOSE(CONTROL!$C$15, $D$11, 100%, $F$11)</f>
        <v>38.388199999999998</v>
      </c>
      <c r="G1022" s="8">
        <f>36.7818 * CHOOSE( CONTROL!$C$15, $D$11, 100%, $F$11)</f>
        <v>36.781799999999997</v>
      </c>
      <c r="H1022" s="4">
        <f>37.7286 * CHOOSE(CONTROL!$C$15, $D$11, 100%, $F$11)</f>
        <v>37.7286</v>
      </c>
      <c r="I1022" s="8">
        <f>36.2775 * CHOOSE(CONTROL!$C$15, $D$11, 100%, $F$11)</f>
        <v>36.277500000000003</v>
      </c>
      <c r="J1022" s="4">
        <f>36.1423 * CHOOSE(CONTROL!$C$15, $D$11, 100%, $F$11)</f>
        <v>36.142299999999999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40.628 * CHOOSE(CONTROL!$C$15, $D$11, 100%, $F$11)</f>
        <v>40.628</v>
      </c>
      <c r="C1023" s="8">
        <f>40.6332 * CHOOSE(CONTROL!$C$15, $D$11, 100%, $F$11)</f>
        <v>40.633200000000002</v>
      </c>
      <c r="D1023" s="8">
        <f>40.6261 * CHOOSE( CONTROL!$C$15, $D$11, 100%, $F$11)</f>
        <v>40.626100000000001</v>
      </c>
      <c r="E1023" s="12">
        <f>40.6281 * CHOOSE( CONTROL!$C$15, $D$11, 100%, $F$11)</f>
        <v>40.628100000000003</v>
      </c>
      <c r="F1023" s="4">
        <f>41.2785 * CHOOSE(CONTROL!$C$15, $D$11, 100%, $F$11)</f>
        <v>41.278500000000001</v>
      </c>
      <c r="G1023" s="8">
        <f>39.6814 * CHOOSE( CONTROL!$C$15, $D$11, 100%, $F$11)</f>
        <v>39.681399999999996</v>
      </c>
      <c r="H1023" s="4">
        <f>40.5516 * CHOOSE(CONTROL!$C$15, $D$11, 100%, $F$11)</f>
        <v>40.551600000000001</v>
      </c>
      <c r="I1023" s="8">
        <f>39.1599 * CHOOSE(CONTROL!$C$15, $D$11, 100%, $F$11)</f>
        <v>39.1599</v>
      </c>
      <c r="J1023" s="4">
        <f>38.9798 * CHOOSE(CONTROL!$C$15, $D$11, 100%, $F$11)</f>
        <v>38.979799999999997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40.5542 * CHOOSE(CONTROL!$C$15, $D$11, 100%, $F$11)</f>
        <v>40.554200000000002</v>
      </c>
      <c r="C1024" s="8">
        <f>40.5594 * CHOOSE(CONTROL!$C$15, $D$11, 100%, $F$11)</f>
        <v>40.559399999999997</v>
      </c>
      <c r="D1024" s="8">
        <f>40.5537 * CHOOSE( CONTROL!$C$15, $D$11, 100%, $F$11)</f>
        <v>40.553699999999999</v>
      </c>
      <c r="E1024" s="12">
        <f>40.5552 * CHOOSE( CONTROL!$C$15, $D$11, 100%, $F$11)</f>
        <v>40.555199999999999</v>
      </c>
      <c r="F1024" s="4">
        <f>41.2047 * CHOOSE(CONTROL!$C$15, $D$11, 100%, $F$11)</f>
        <v>41.204700000000003</v>
      </c>
      <c r="G1024" s="8">
        <f>39.6103 * CHOOSE( CONTROL!$C$15, $D$11, 100%, $F$11)</f>
        <v>39.610300000000002</v>
      </c>
      <c r="H1024" s="4">
        <f>40.4795 * CHOOSE(CONTROL!$C$15, $D$11, 100%, $F$11)</f>
        <v>40.479500000000002</v>
      </c>
      <c r="I1024" s="8">
        <f>39.0935 * CHOOSE(CONTROL!$C$15, $D$11, 100%, $F$11)</f>
        <v>39.093499999999999</v>
      </c>
      <c r="J1024" s="4">
        <f>38.9089 * CHOOSE(CONTROL!$C$15, $D$11, 100%, $F$11)</f>
        <v>38.908900000000003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41.7496 * CHOOSE(CONTROL!$C$15, $D$11, 100%, $F$11)</f>
        <v>41.749600000000001</v>
      </c>
      <c r="C1025" s="8">
        <f>41.7548 * CHOOSE(CONTROL!$C$15, $D$11, 100%, $F$11)</f>
        <v>41.754800000000003</v>
      </c>
      <c r="D1025" s="8">
        <f>41.7349 * CHOOSE( CONTROL!$C$15, $D$11, 100%, $F$11)</f>
        <v>41.734900000000003</v>
      </c>
      <c r="E1025" s="12">
        <f>41.7416 * CHOOSE( CONTROL!$C$15, $D$11, 100%, $F$11)</f>
        <v>41.741599999999998</v>
      </c>
      <c r="F1025" s="4">
        <f>42.4 * CHOOSE(CONTROL!$C$15, $D$11, 100%, $F$11)</f>
        <v>42.4</v>
      </c>
      <c r="G1025" s="8">
        <f>40.761 * CHOOSE( CONTROL!$C$15, $D$11, 100%, $F$11)</f>
        <v>40.761000000000003</v>
      </c>
      <c r="H1025" s="4">
        <f>41.647 * CHOOSE(CONTROL!$C$15, $D$11, 100%, $F$11)</f>
        <v>41.646999999999998</v>
      </c>
      <c r="I1025" s="8">
        <f>40.1983 * CHOOSE(CONTROL!$C$15, $D$11, 100%, $F$11)</f>
        <v>40.198300000000003</v>
      </c>
      <c r="J1025" s="4">
        <f>40.0566 * CHOOSE(CONTROL!$C$15, $D$11, 100%, $F$11)</f>
        <v>40.056600000000003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39.0524 * CHOOSE(CONTROL!$C$15, $D$11, 100%, $F$11)</f>
        <v>39.052399999999999</v>
      </c>
      <c r="C1026" s="8">
        <f>39.0576 * CHOOSE(CONTROL!$C$15, $D$11, 100%, $F$11)</f>
        <v>39.057600000000001</v>
      </c>
      <c r="D1026" s="8">
        <f>39.0376 * CHOOSE( CONTROL!$C$15, $D$11, 100%, $F$11)</f>
        <v>39.037599999999998</v>
      </c>
      <c r="E1026" s="12">
        <f>39.0444 * CHOOSE( CONTROL!$C$15, $D$11, 100%, $F$11)</f>
        <v>39.044400000000003</v>
      </c>
      <c r="F1026" s="4">
        <f>39.7028 * CHOOSE(CONTROL!$C$15, $D$11, 100%, $F$11)</f>
        <v>39.702800000000003</v>
      </c>
      <c r="G1026" s="8">
        <f>38.1266 * CHOOSE( CONTROL!$C$15, $D$11, 100%, $F$11)</f>
        <v>38.126600000000003</v>
      </c>
      <c r="H1026" s="4">
        <f>39.0127 * CHOOSE(CONTROL!$C$15, $D$11, 100%, $F$11)</f>
        <v>39.012700000000002</v>
      </c>
      <c r="I1026" s="8">
        <f>37.6073 * CHOOSE(CONTROL!$C$15, $D$11, 100%, $F$11)</f>
        <v>37.607300000000002</v>
      </c>
      <c r="J1026" s="4">
        <f>37.467 * CHOOSE(CONTROL!$C$15, $D$11, 100%, $F$11)</f>
        <v>37.466999999999999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38.2216 * CHOOSE(CONTROL!$C$15, $D$11, 100%, $F$11)</f>
        <v>38.221600000000002</v>
      </c>
      <c r="C1027" s="8">
        <f>38.2268 * CHOOSE(CONTROL!$C$15, $D$11, 100%, $F$11)</f>
        <v>38.226799999999997</v>
      </c>
      <c r="D1027" s="8">
        <f>38.2065 * CHOOSE( CONTROL!$C$15, $D$11, 100%, $F$11)</f>
        <v>38.206499999999998</v>
      </c>
      <c r="E1027" s="12">
        <f>38.2134 * CHOOSE( CONTROL!$C$15, $D$11, 100%, $F$11)</f>
        <v>38.2134</v>
      </c>
      <c r="F1027" s="4">
        <f>38.8721 * CHOOSE(CONTROL!$C$15, $D$11, 100%, $F$11)</f>
        <v>38.872100000000003</v>
      </c>
      <c r="G1027" s="8">
        <f>37.315 * CHOOSE( CONTROL!$C$15, $D$11, 100%, $F$11)</f>
        <v>37.314999999999998</v>
      </c>
      <c r="H1027" s="4">
        <f>38.2013 * CHOOSE(CONTROL!$C$15, $D$11, 100%, $F$11)</f>
        <v>38.201300000000003</v>
      </c>
      <c r="I1027" s="8">
        <f>36.8082 * CHOOSE(CONTROL!$C$15, $D$11, 100%, $F$11)</f>
        <v>36.808199999999999</v>
      </c>
      <c r="J1027" s="4">
        <f>36.6694 * CHOOSE(CONTROL!$C$15, $D$11, 100%, $F$11)</f>
        <v>36.669400000000003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38.8029 * CHOOSE(CONTROL!$C$15, $D$11, 100%, $F$11)</f>
        <v>38.802900000000001</v>
      </c>
      <c r="C1028" s="8">
        <f>38.8075 * CHOOSE(CONTROL!$C$15, $D$11, 100%, $F$11)</f>
        <v>38.807499999999997</v>
      </c>
      <c r="D1028" s="8">
        <f>38.8384 * CHOOSE( CONTROL!$C$15, $D$11, 100%, $F$11)</f>
        <v>38.8384</v>
      </c>
      <c r="E1028" s="12">
        <f>38.8277 * CHOOSE( CONTROL!$C$15, $D$11, 100%, $F$11)</f>
        <v>38.8277</v>
      </c>
      <c r="F1028" s="4">
        <f>39.5177 * CHOOSE(CONTROL!$C$15, $D$11, 100%, $F$11)</f>
        <v>39.517699999999998</v>
      </c>
      <c r="G1028" s="8">
        <f>37.884 * CHOOSE( CONTROL!$C$15, $D$11, 100%, $F$11)</f>
        <v>37.884</v>
      </c>
      <c r="H1028" s="4">
        <f>38.8318 * CHOOSE(CONTROL!$C$15, $D$11, 100%, $F$11)</f>
        <v>38.831800000000001</v>
      </c>
      <c r="I1028" s="8">
        <f>37.3592 * CHOOSE(CONTROL!$C$15, $D$11, 100%, $F$11)</f>
        <v>37.359200000000001</v>
      </c>
      <c r="J1028" s="4">
        <f>37.2267 * CHOOSE(CONTROL!$C$15, $D$11, 100%, $F$11)</f>
        <v>37.226700000000001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39.8408, 39.8374) * CHOOSE(CONTROL!$C$15, $D$11, 100%, $F$11)</f>
        <v>39.840800000000002</v>
      </c>
      <c r="C1029" s="8">
        <f>CHOOSE( CONTROL!$C$32, 39.8489, 39.8455) * CHOOSE(CONTROL!$C$15, $D$11, 100%, $F$11)</f>
        <v>39.8489</v>
      </c>
      <c r="D1029" s="8">
        <f>CHOOSE( CONTROL!$C$32, 39.8745, 39.8711) * CHOOSE( CONTROL!$C$15, $D$11, 100%, $F$11)</f>
        <v>39.874499999999998</v>
      </c>
      <c r="E1029" s="12">
        <f>CHOOSE( CONTROL!$C$32, 39.864, 39.8606) * CHOOSE( CONTROL!$C$15, $D$11, 100%, $F$11)</f>
        <v>39.863999999999997</v>
      </c>
      <c r="F1029" s="4">
        <f>CHOOSE( CONTROL!$C$32, 40.5543, 40.5508) * CHOOSE(CONTROL!$C$15, $D$11, 100%, $F$11)</f>
        <v>40.554299999999998</v>
      </c>
      <c r="G1029" s="8">
        <f>CHOOSE( CONTROL!$C$32, 38.8971, 38.8938) * CHOOSE( CONTROL!$C$15, $D$11, 100%, $F$11)</f>
        <v>38.897100000000002</v>
      </c>
      <c r="H1029" s="4">
        <f>CHOOSE( CONTROL!$C$32, 39.8443, 39.8409) * CHOOSE(CONTROL!$C$15, $D$11, 100%, $F$11)</f>
        <v>39.844299999999997</v>
      </c>
      <c r="I1029" s="8">
        <f>CHOOSE( CONTROL!$C$32, 38.355, 38.3517) * CHOOSE(CONTROL!$C$15, $D$11, 100%, $F$11)</f>
        <v>38.354999999999997</v>
      </c>
      <c r="J1029" s="4">
        <f>CHOOSE( CONTROL!$C$32, 38.2219, 38.2187) * CHOOSE(CONTROL!$C$15, $D$11, 100%, $F$11)</f>
        <v>38.221899999999998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39.2008, 39.1974) * CHOOSE(CONTROL!$C$15, $D$11, 100%, $F$11)</f>
        <v>39.200800000000001</v>
      </c>
      <c r="C1030" s="8">
        <f>CHOOSE( CONTROL!$C$32, 39.2089, 39.2055) * CHOOSE(CONTROL!$C$15, $D$11, 100%, $F$11)</f>
        <v>39.2089</v>
      </c>
      <c r="D1030" s="8">
        <f>CHOOSE( CONTROL!$C$32, 39.2347, 39.2313) * CHOOSE( CONTROL!$C$15, $D$11, 100%, $F$11)</f>
        <v>39.234699999999997</v>
      </c>
      <c r="E1030" s="12">
        <f>CHOOSE( CONTROL!$C$32, 39.2241, 39.2207) * CHOOSE( CONTROL!$C$15, $D$11, 100%, $F$11)</f>
        <v>39.2241</v>
      </c>
      <c r="F1030" s="4">
        <f>CHOOSE( CONTROL!$C$32, 39.9142, 39.9108) * CHOOSE(CONTROL!$C$15, $D$11, 100%, $F$11)</f>
        <v>39.914200000000001</v>
      </c>
      <c r="G1030" s="8">
        <f>CHOOSE( CONTROL!$C$32, 38.2723, 38.269) * CHOOSE( CONTROL!$C$15, $D$11, 100%, $F$11)</f>
        <v>38.272300000000001</v>
      </c>
      <c r="H1030" s="4">
        <f>CHOOSE( CONTROL!$C$32, 39.2192, 39.2158) * CHOOSE(CONTROL!$C$15, $D$11, 100%, $F$11)</f>
        <v>39.219200000000001</v>
      </c>
      <c r="I1030" s="8">
        <f>CHOOSE( CONTROL!$C$32, 37.7412, 37.7379) * CHOOSE(CONTROL!$C$15, $D$11, 100%, $F$11)</f>
        <v>37.741199999999999</v>
      </c>
      <c r="J1030" s="4">
        <f>CHOOSE( CONTROL!$C$32, 37.6075, 37.6042) * CHOOSE(CONTROL!$C$15, $D$11, 100%, $F$11)</f>
        <v>37.607500000000002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40.8862, 40.8828) * CHOOSE(CONTROL!$C$15, $D$11, 100%, $F$11)</f>
        <v>40.886200000000002</v>
      </c>
      <c r="C1031" s="8">
        <f>CHOOSE( CONTROL!$C$32, 40.8943, 40.8909) * CHOOSE(CONTROL!$C$15, $D$11, 100%, $F$11)</f>
        <v>40.894300000000001</v>
      </c>
      <c r="D1031" s="8">
        <f>CHOOSE( CONTROL!$C$32, 40.9203, 40.9169) * CHOOSE( CONTROL!$C$15, $D$11, 100%, $F$11)</f>
        <v>40.920299999999997</v>
      </c>
      <c r="E1031" s="12">
        <f>CHOOSE( CONTROL!$C$32, 40.9096, 40.9062) * CHOOSE( CONTROL!$C$15, $D$11, 100%, $F$11)</f>
        <v>40.909599999999998</v>
      </c>
      <c r="F1031" s="4">
        <f>CHOOSE( CONTROL!$C$32, 41.5996, 41.5962) * CHOOSE(CONTROL!$C$15, $D$11, 100%, $F$11)</f>
        <v>41.599600000000002</v>
      </c>
      <c r="G1031" s="8">
        <f>CHOOSE( CONTROL!$C$32, 39.9188, 39.9154) * CHOOSE( CONTROL!$C$15, $D$11, 100%, $F$11)</f>
        <v>39.918799999999997</v>
      </c>
      <c r="H1031" s="4">
        <f>CHOOSE( CONTROL!$C$32, 40.8653, 40.8619) * CHOOSE(CONTROL!$C$15, $D$11, 100%, $F$11)</f>
        <v>40.865299999999998</v>
      </c>
      <c r="I1031" s="8">
        <f>CHOOSE( CONTROL!$C$32, 39.3612, 39.3579) * CHOOSE(CONTROL!$C$15, $D$11, 100%, $F$11)</f>
        <v>39.361199999999997</v>
      </c>
      <c r="J1031" s="4">
        <f>CHOOSE( CONTROL!$C$32, 39.2256, 39.2223) * CHOOSE(CONTROL!$C$15, $D$11, 100%, $F$11)</f>
        <v>39.2256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37.7327, 37.7293) * CHOOSE(CONTROL!$C$15, $D$11, 100%, $F$11)</f>
        <v>37.732700000000001</v>
      </c>
      <c r="C1032" s="8">
        <f>CHOOSE( CONTROL!$C$32, 37.7408, 37.7374) * CHOOSE(CONTROL!$C$15, $D$11, 100%, $F$11)</f>
        <v>37.7408</v>
      </c>
      <c r="D1032" s="8">
        <f>CHOOSE( CONTROL!$C$32, 37.7669, 37.7635) * CHOOSE( CONTROL!$C$15, $D$11, 100%, $F$11)</f>
        <v>37.7669</v>
      </c>
      <c r="E1032" s="12">
        <f>CHOOSE( CONTROL!$C$32, 37.7562, 37.7528) * CHOOSE( CONTROL!$C$15, $D$11, 100%, $F$11)</f>
        <v>37.7562</v>
      </c>
      <c r="F1032" s="4">
        <f>CHOOSE( CONTROL!$C$32, 38.4461, 38.4427) * CHOOSE(CONTROL!$C$15, $D$11, 100%, $F$11)</f>
        <v>38.446100000000001</v>
      </c>
      <c r="G1032" s="8">
        <f>CHOOSE( CONTROL!$C$32, 36.8388, 36.8355) * CHOOSE( CONTROL!$C$15, $D$11, 100%, $F$11)</f>
        <v>36.838799999999999</v>
      </c>
      <c r="H1032" s="4">
        <f>CHOOSE( CONTROL!$C$32, 37.7852, 37.7819) * CHOOSE(CONTROL!$C$15, $D$11, 100%, $F$11)</f>
        <v>37.785200000000003</v>
      </c>
      <c r="I1032" s="8">
        <f>CHOOSE( CONTROL!$C$32, 36.3324, 36.3292) * CHOOSE(CONTROL!$C$15, $D$11, 100%, $F$11)</f>
        <v>36.3324</v>
      </c>
      <c r="J1032" s="4">
        <f>CHOOSE( CONTROL!$C$32, 36.1979, 36.1947) * CHOOSE(CONTROL!$C$15, $D$11, 100%, $F$11)</f>
        <v>36.197899999999997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36.943, 36.9396) * CHOOSE(CONTROL!$C$15, $D$11, 100%, $F$11)</f>
        <v>36.942999999999998</v>
      </c>
      <c r="C1033" s="8">
        <f>CHOOSE( CONTROL!$C$32, 36.9511, 36.9477) * CHOOSE(CONTROL!$C$15, $D$11, 100%, $F$11)</f>
        <v>36.951099999999997</v>
      </c>
      <c r="D1033" s="8">
        <f>CHOOSE( CONTROL!$C$32, 36.9772, 36.9738) * CHOOSE( CONTROL!$C$15, $D$11, 100%, $F$11)</f>
        <v>36.977200000000003</v>
      </c>
      <c r="E1033" s="12">
        <f>CHOOSE( CONTROL!$C$32, 36.9665, 36.9631) * CHOOSE( CONTROL!$C$15, $D$11, 100%, $F$11)</f>
        <v>36.966500000000003</v>
      </c>
      <c r="F1033" s="4">
        <f>CHOOSE( CONTROL!$C$32, 37.6564, 37.653) * CHOOSE(CONTROL!$C$15, $D$11, 100%, $F$11)</f>
        <v>37.656399999999998</v>
      </c>
      <c r="G1033" s="8">
        <f>CHOOSE( CONTROL!$C$32, 36.0675, 36.0642) * CHOOSE( CONTROL!$C$15, $D$11, 100%, $F$11)</f>
        <v>36.067500000000003</v>
      </c>
      <c r="H1033" s="4">
        <f>CHOOSE( CONTROL!$C$32, 37.014, 37.0106) * CHOOSE(CONTROL!$C$15, $D$11, 100%, $F$11)</f>
        <v>37.014000000000003</v>
      </c>
      <c r="I1033" s="8">
        <f>CHOOSE( CONTROL!$C$32, 35.5738, 35.5705) * CHOOSE(CONTROL!$C$15, $D$11, 100%, $F$11)</f>
        <v>35.573799999999999</v>
      </c>
      <c r="J1033" s="4">
        <f>CHOOSE( CONTROL!$C$32, 35.4398, 35.4365) * CHOOSE(CONTROL!$C$15, $D$11, 100%, $F$11)</f>
        <v>35.439799999999998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38.5775 * CHOOSE(CONTROL!$C$15, $D$11, 100%, $F$11)</f>
        <v>38.577500000000001</v>
      </c>
      <c r="C1034" s="8">
        <f>38.583 * CHOOSE(CONTROL!$C$15, $D$11, 100%, $F$11)</f>
        <v>38.582999999999998</v>
      </c>
      <c r="D1034" s="8">
        <f>38.614 * CHOOSE( CONTROL!$C$15, $D$11, 100%, $F$11)</f>
        <v>38.613999999999997</v>
      </c>
      <c r="E1034" s="12">
        <f>38.6032 * CHOOSE( CONTROL!$C$15, $D$11, 100%, $F$11)</f>
        <v>38.603200000000001</v>
      </c>
      <c r="F1034" s="4">
        <f>39.2927 * CHOOSE(CONTROL!$C$15, $D$11, 100%, $F$11)</f>
        <v>39.292700000000004</v>
      </c>
      <c r="G1034" s="8">
        <f>37.6652 * CHOOSE( CONTROL!$C$15, $D$11, 100%, $F$11)</f>
        <v>37.665199999999999</v>
      </c>
      <c r="H1034" s="4">
        <f>38.6121 * CHOOSE(CONTROL!$C$15, $D$11, 100%, $F$11)</f>
        <v>38.612099999999998</v>
      </c>
      <c r="I1034" s="8">
        <f>37.1463 * CHOOSE(CONTROL!$C$15, $D$11, 100%, $F$11)</f>
        <v>37.146299999999997</v>
      </c>
      <c r="J1034" s="4">
        <f>37.0107 * CHOOSE(CONTROL!$C$15, $D$11, 100%, $F$11)</f>
        <v>37.0107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41.6035 * CHOOSE(CONTROL!$C$15, $D$11, 100%, $F$11)</f>
        <v>41.603499999999997</v>
      </c>
      <c r="C1035" s="8">
        <f>41.6087 * CHOOSE(CONTROL!$C$15, $D$11, 100%, $F$11)</f>
        <v>41.608699999999999</v>
      </c>
      <c r="D1035" s="8">
        <f>41.6016 * CHOOSE( CONTROL!$C$15, $D$11, 100%, $F$11)</f>
        <v>41.601599999999998</v>
      </c>
      <c r="E1035" s="12">
        <f>41.6036 * CHOOSE( CONTROL!$C$15, $D$11, 100%, $F$11)</f>
        <v>41.6036</v>
      </c>
      <c r="F1035" s="4">
        <f>42.254 * CHOOSE(CONTROL!$C$15, $D$11, 100%, $F$11)</f>
        <v>42.253999999999998</v>
      </c>
      <c r="G1035" s="8">
        <f>40.6341 * CHOOSE( CONTROL!$C$15, $D$11, 100%, $F$11)</f>
        <v>40.634099999999997</v>
      </c>
      <c r="H1035" s="4">
        <f>41.5044 * CHOOSE(CONTROL!$C$15, $D$11, 100%, $F$11)</f>
        <v>41.504399999999997</v>
      </c>
      <c r="I1035" s="8">
        <f>40.0969 * CHOOSE(CONTROL!$C$15, $D$11, 100%, $F$11)</f>
        <v>40.096899999999998</v>
      </c>
      <c r="J1035" s="4">
        <f>39.9164 * CHOOSE(CONTROL!$C$15, $D$11, 100%, $F$11)</f>
        <v>39.916400000000003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41.5279 * CHOOSE(CONTROL!$C$15, $D$11, 100%, $F$11)</f>
        <v>41.527900000000002</v>
      </c>
      <c r="C1036" s="8">
        <f>41.5331 * CHOOSE(CONTROL!$C$15, $D$11, 100%, $F$11)</f>
        <v>41.533099999999997</v>
      </c>
      <c r="D1036" s="8">
        <f>41.5274 * CHOOSE( CONTROL!$C$15, $D$11, 100%, $F$11)</f>
        <v>41.5274</v>
      </c>
      <c r="E1036" s="12">
        <f>41.5289 * CHOOSE( CONTROL!$C$15, $D$11, 100%, $F$11)</f>
        <v>41.5289</v>
      </c>
      <c r="F1036" s="4">
        <f>42.1784 * CHOOSE(CONTROL!$C$15, $D$11, 100%, $F$11)</f>
        <v>42.178400000000003</v>
      </c>
      <c r="G1036" s="8">
        <f>40.5613 * CHOOSE( CONTROL!$C$15, $D$11, 100%, $F$11)</f>
        <v>40.561300000000003</v>
      </c>
      <c r="H1036" s="4">
        <f>41.4306 * CHOOSE(CONTROL!$C$15, $D$11, 100%, $F$11)</f>
        <v>41.430599999999998</v>
      </c>
      <c r="I1036" s="8">
        <f>40.0289 * CHOOSE(CONTROL!$C$15, $D$11, 100%, $F$11)</f>
        <v>40.0289</v>
      </c>
      <c r="J1036" s="4">
        <f>39.8438 * CHOOSE(CONTROL!$C$15, $D$11, 100%, $F$11)</f>
        <v>39.843800000000002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42.752 * CHOOSE(CONTROL!$C$15, $D$11, 100%, $F$11)</f>
        <v>42.752000000000002</v>
      </c>
      <c r="C1037" s="8">
        <f>42.7572 * CHOOSE(CONTROL!$C$15, $D$11, 100%, $F$11)</f>
        <v>42.757199999999997</v>
      </c>
      <c r="D1037" s="8">
        <f>42.7373 * CHOOSE( CONTROL!$C$15, $D$11, 100%, $F$11)</f>
        <v>42.737299999999998</v>
      </c>
      <c r="E1037" s="12">
        <f>42.744 * CHOOSE( CONTROL!$C$15, $D$11, 100%, $F$11)</f>
        <v>42.744</v>
      </c>
      <c r="F1037" s="4">
        <f>43.4025 * CHOOSE(CONTROL!$C$15, $D$11, 100%, $F$11)</f>
        <v>43.402500000000003</v>
      </c>
      <c r="G1037" s="8">
        <f>41.7401 * CHOOSE( CONTROL!$C$15, $D$11, 100%, $F$11)</f>
        <v>41.740099999999998</v>
      </c>
      <c r="H1037" s="4">
        <f>42.6262 * CHOOSE(CONTROL!$C$15, $D$11, 100%, $F$11)</f>
        <v>42.626199999999997</v>
      </c>
      <c r="I1037" s="8">
        <f>41.1612 * CHOOSE(CONTROL!$C$15, $D$11, 100%, $F$11)</f>
        <v>41.161200000000001</v>
      </c>
      <c r="J1037" s="4">
        <f>41.019 * CHOOSE(CONTROL!$C$15, $D$11, 100%, $F$11)</f>
        <v>41.018999999999998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39.99 * CHOOSE(CONTROL!$C$15, $D$11, 100%, $F$11)</f>
        <v>39.99</v>
      </c>
      <c r="C1038" s="8">
        <f>39.9952 * CHOOSE(CONTROL!$C$15, $D$11, 100%, $F$11)</f>
        <v>39.995199999999997</v>
      </c>
      <c r="D1038" s="8">
        <f>39.9753 * CHOOSE( CONTROL!$C$15, $D$11, 100%, $F$11)</f>
        <v>39.975299999999997</v>
      </c>
      <c r="E1038" s="12">
        <f>39.982 * CHOOSE( CONTROL!$C$15, $D$11, 100%, $F$11)</f>
        <v>39.981999999999999</v>
      </c>
      <c r="F1038" s="4">
        <f>40.6405 * CHOOSE(CONTROL!$C$15, $D$11, 100%, $F$11)</f>
        <v>40.640500000000003</v>
      </c>
      <c r="G1038" s="8">
        <f>39.0424 * CHOOSE( CONTROL!$C$15, $D$11, 100%, $F$11)</f>
        <v>39.042400000000001</v>
      </c>
      <c r="H1038" s="4">
        <f>39.9285 * CHOOSE(CONTROL!$C$15, $D$11, 100%, $F$11)</f>
        <v>39.9285</v>
      </c>
      <c r="I1038" s="8">
        <f>38.508 * CHOOSE(CONTROL!$C$15, $D$11, 100%, $F$11)</f>
        <v>38.508000000000003</v>
      </c>
      <c r="J1038" s="4">
        <f>38.3672 * CHOOSE(CONTROL!$C$15, $D$11, 100%, $F$11)</f>
        <v>38.367199999999997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39.1393 * CHOOSE(CONTROL!$C$15, $D$11, 100%, $F$11)</f>
        <v>39.139299999999999</v>
      </c>
      <c r="C1039" s="8">
        <f>39.1445 * CHOOSE(CONTROL!$C$15, $D$11, 100%, $F$11)</f>
        <v>39.144500000000001</v>
      </c>
      <c r="D1039" s="8">
        <f>39.1242 * CHOOSE( CONTROL!$C$15, $D$11, 100%, $F$11)</f>
        <v>39.124200000000002</v>
      </c>
      <c r="E1039" s="12">
        <f>39.1311 * CHOOSE( CONTROL!$C$15, $D$11, 100%, $F$11)</f>
        <v>39.131100000000004</v>
      </c>
      <c r="F1039" s="4">
        <f>39.7898 * CHOOSE(CONTROL!$C$15, $D$11, 100%, $F$11)</f>
        <v>39.7898</v>
      </c>
      <c r="G1039" s="8">
        <f>38.2113 * CHOOSE( CONTROL!$C$15, $D$11, 100%, $F$11)</f>
        <v>38.211300000000001</v>
      </c>
      <c r="H1039" s="4">
        <f>39.0976 * CHOOSE(CONTROL!$C$15, $D$11, 100%, $F$11)</f>
        <v>39.0976</v>
      </c>
      <c r="I1039" s="8">
        <f>37.6897 * CHOOSE(CONTROL!$C$15, $D$11, 100%, $F$11)</f>
        <v>37.689700000000002</v>
      </c>
      <c r="J1039" s="4">
        <f>37.5505 * CHOOSE(CONTROL!$C$15, $D$11, 100%, $F$11)</f>
        <v>37.5505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39.7345 * CHOOSE(CONTROL!$C$15, $D$11, 100%, $F$11)</f>
        <v>39.734499999999997</v>
      </c>
      <c r="C1040" s="8">
        <f>39.7392 * CHOOSE(CONTROL!$C$15, $D$11, 100%, $F$11)</f>
        <v>39.739199999999997</v>
      </c>
      <c r="D1040" s="8">
        <f>39.77 * CHOOSE( CONTROL!$C$15, $D$11, 100%, $F$11)</f>
        <v>39.770000000000003</v>
      </c>
      <c r="E1040" s="12">
        <f>39.7593 * CHOOSE( CONTROL!$C$15, $D$11, 100%, $F$11)</f>
        <v>39.759300000000003</v>
      </c>
      <c r="F1040" s="4">
        <f>40.4493 * CHOOSE(CONTROL!$C$15, $D$11, 100%, $F$11)</f>
        <v>40.449300000000001</v>
      </c>
      <c r="G1040" s="8">
        <f>38.7939 * CHOOSE( CONTROL!$C$15, $D$11, 100%, $F$11)</f>
        <v>38.793900000000001</v>
      </c>
      <c r="H1040" s="4">
        <f>39.7418 * CHOOSE(CONTROL!$C$15, $D$11, 100%, $F$11)</f>
        <v>39.741799999999998</v>
      </c>
      <c r="I1040" s="8">
        <f>38.2541 * CHOOSE(CONTROL!$C$15, $D$11, 100%, $F$11)</f>
        <v>38.254100000000001</v>
      </c>
      <c r="J1040" s="4">
        <f>38.1212 * CHOOSE(CONTROL!$C$15, $D$11, 100%, $F$11)</f>
        <v>38.121200000000002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40.7973, 40.7939) * CHOOSE(CONTROL!$C$15, $D$11, 100%, $F$11)</f>
        <v>40.7973</v>
      </c>
      <c r="C1041" s="8">
        <f>CHOOSE( CONTROL!$C$32, 40.8054, 40.802) * CHOOSE(CONTROL!$C$15, $D$11, 100%, $F$11)</f>
        <v>40.805399999999999</v>
      </c>
      <c r="D1041" s="8">
        <f>CHOOSE( CONTROL!$C$32, 40.831, 40.8276) * CHOOSE( CONTROL!$C$15, $D$11, 100%, $F$11)</f>
        <v>40.831000000000003</v>
      </c>
      <c r="E1041" s="12">
        <f>CHOOSE( CONTROL!$C$32, 40.8205, 40.8171) * CHOOSE( CONTROL!$C$15, $D$11, 100%, $F$11)</f>
        <v>40.820500000000003</v>
      </c>
      <c r="F1041" s="4">
        <f>CHOOSE( CONTROL!$C$32, 41.5107, 41.5073) * CHOOSE(CONTROL!$C$15, $D$11, 100%, $F$11)</f>
        <v>41.5107</v>
      </c>
      <c r="G1041" s="8">
        <f>CHOOSE( CONTROL!$C$32, 39.8313, 39.828) * CHOOSE( CONTROL!$C$15, $D$11, 100%, $F$11)</f>
        <v>39.831299999999999</v>
      </c>
      <c r="H1041" s="4">
        <f>CHOOSE( CONTROL!$C$32, 40.7784, 40.7751) * CHOOSE(CONTROL!$C$15, $D$11, 100%, $F$11)</f>
        <v>40.778399999999998</v>
      </c>
      <c r="I1041" s="8">
        <f>CHOOSE( CONTROL!$C$32, 39.2738, 39.2705) * CHOOSE(CONTROL!$C$15, $D$11, 100%, $F$11)</f>
        <v>39.273800000000001</v>
      </c>
      <c r="J1041" s="4">
        <f>CHOOSE( CONTROL!$C$32, 39.1402, 39.137) * CHOOSE(CONTROL!$C$15, $D$11, 100%, $F$11)</f>
        <v>39.1402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40.1419, 40.1385) * CHOOSE(CONTROL!$C$15, $D$11, 100%, $F$11)</f>
        <v>40.1419</v>
      </c>
      <c r="C1042" s="8">
        <f>CHOOSE( CONTROL!$C$32, 40.15, 40.1466) * CHOOSE(CONTROL!$C$15, $D$11, 100%, $F$11)</f>
        <v>40.15</v>
      </c>
      <c r="D1042" s="8">
        <f>CHOOSE( CONTROL!$C$32, 40.1758, 40.1724) * CHOOSE( CONTROL!$C$15, $D$11, 100%, $F$11)</f>
        <v>40.175800000000002</v>
      </c>
      <c r="E1042" s="12">
        <f>CHOOSE( CONTROL!$C$32, 40.1652, 40.1618) * CHOOSE( CONTROL!$C$15, $D$11, 100%, $F$11)</f>
        <v>40.165199999999999</v>
      </c>
      <c r="F1042" s="4">
        <f>CHOOSE( CONTROL!$C$32, 40.8553, 40.8519) * CHOOSE(CONTROL!$C$15, $D$11, 100%, $F$11)</f>
        <v>40.8553</v>
      </c>
      <c r="G1042" s="8">
        <f>CHOOSE( CONTROL!$C$32, 39.1915, 39.1881) * CHOOSE( CONTROL!$C$15, $D$11, 100%, $F$11)</f>
        <v>39.191499999999998</v>
      </c>
      <c r="H1042" s="4">
        <f>CHOOSE( CONTROL!$C$32, 40.1383, 40.135) * CHOOSE(CONTROL!$C$15, $D$11, 100%, $F$11)</f>
        <v>40.138300000000001</v>
      </c>
      <c r="I1042" s="8">
        <f>CHOOSE( CONTROL!$C$32, 38.6452, 38.6419) * CHOOSE(CONTROL!$C$15, $D$11, 100%, $F$11)</f>
        <v>38.645200000000003</v>
      </c>
      <c r="J1042" s="4">
        <f>CHOOSE( CONTROL!$C$32, 38.511, 38.5077) * CHOOSE(CONTROL!$C$15, $D$11, 100%, $F$11)</f>
        <v>38.511000000000003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41.8678, 41.8644) * CHOOSE(CONTROL!$C$15, $D$11, 100%, $F$11)</f>
        <v>41.867800000000003</v>
      </c>
      <c r="C1043" s="8">
        <f>CHOOSE( CONTROL!$C$32, 41.8758, 41.8724) * CHOOSE(CONTROL!$C$15, $D$11, 100%, $F$11)</f>
        <v>41.875799999999998</v>
      </c>
      <c r="D1043" s="8">
        <f>CHOOSE( CONTROL!$C$32, 41.9019, 41.8985) * CHOOSE( CONTROL!$C$15, $D$11, 100%, $F$11)</f>
        <v>41.901899999999998</v>
      </c>
      <c r="E1043" s="12">
        <f>CHOOSE( CONTROL!$C$32, 41.8912, 41.8878) * CHOOSE( CONTROL!$C$15, $D$11, 100%, $F$11)</f>
        <v>41.891199999999998</v>
      </c>
      <c r="F1043" s="4">
        <f>CHOOSE( CONTROL!$C$32, 42.5812, 42.5778) * CHOOSE(CONTROL!$C$15, $D$11, 100%, $F$11)</f>
        <v>42.581200000000003</v>
      </c>
      <c r="G1043" s="8">
        <f>CHOOSE( CONTROL!$C$32, 40.8775, 40.8741) * CHOOSE( CONTROL!$C$15, $D$11, 100%, $F$11)</f>
        <v>40.877499999999998</v>
      </c>
      <c r="H1043" s="4">
        <f>CHOOSE( CONTROL!$C$32, 41.824, 41.8207) * CHOOSE(CONTROL!$C$15, $D$11, 100%, $F$11)</f>
        <v>41.823999999999998</v>
      </c>
      <c r="I1043" s="8">
        <f>CHOOSE( CONTROL!$C$32, 40.3041, 40.3008) * CHOOSE(CONTROL!$C$15, $D$11, 100%, $F$11)</f>
        <v>40.304099999999998</v>
      </c>
      <c r="J1043" s="4">
        <f>CHOOSE( CONTROL!$C$32, 40.168, 40.1647) * CHOOSE(CONTROL!$C$15, $D$11, 100%, $F$11)</f>
        <v>40.167999999999999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38.6385, 38.6351) * CHOOSE(CONTROL!$C$15, $D$11, 100%, $F$11)</f>
        <v>38.638500000000001</v>
      </c>
      <c r="C1044" s="8">
        <f>CHOOSE( CONTROL!$C$32, 38.6466, 38.6432) * CHOOSE(CONTROL!$C$15, $D$11, 100%, $F$11)</f>
        <v>38.646599999999999</v>
      </c>
      <c r="D1044" s="8">
        <f>CHOOSE( CONTROL!$C$32, 38.6727, 38.6693) * CHOOSE( CONTROL!$C$15, $D$11, 100%, $F$11)</f>
        <v>38.672699999999999</v>
      </c>
      <c r="E1044" s="12">
        <f>CHOOSE( CONTROL!$C$32, 38.662, 38.6586) * CHOOSE( CONTROL!$C$15, $D$11, 100%, $F$11)</f>
        <v>38.661999999999999</v>
      </c>
      <c r="F1044" s="4">
        <f>CHOOSE( CONTROL!$C$32, 39.3519, 39.3485) * CHOOSE(CONTROL!$C$15, $D$11, 100%, $F$11)</f>
        <v>39.351900000000001</v>
      </c>
      <c r="G1044" s="8">
        <f>CHOOSE( CONTROL!$C$32, 37.7236, 37.7202) * CHOOSE( CONTROL!$C$15, $D$11, 100%, $F$11)</f>
        <v>37.723599999999998</v>
      </c>
      <c r="H1044" s="4">
        <f>CHOOSE( CONTROL!$C$32, 38.6699, 38.6666) * CHOOSE(CONTROL!$C$15, $D$11, 100%, $F$11)</f>
        <v>38.669899999999998</v>
      </c>
      <c r="I1044" s="8">
        <f>CHOOSE( CONTROL!$C$32, 37.2025, 37.1993) * CHOOSE(CONTROL!$C$15, $D$11, 100%, $F$11)</f>
        <v>37.202500000000001</v>
      </c>
      <c r="J1044" s="4">
        <f>CHOOSE( CONTROL!$C$32, 37.0676, 37.0643) * CHOOSE(CONTROL!$C$15, $D$11, 100%, $F$11)</f>
        <v>37.067599999999999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37.8298, 37.8264) * CHOOSE(CONTROL!$C$15, $D$11, 100%, $F$11)</f>
        <v>37.829799999999999</v>
      </c>
      <c r="C1045" s="8">
        <f>CHOOSE( CONTROL!$C$32, 37.8379, 37.8345) * CHOOSE(CONTROL!$C$15, $D$11, 100%, $F$11)</f>
        <v>37.837899999999998</v>
      </c>
      <c r="D1045" s="8">
        <f>CHOOSE( CONTROL!$C$32, 37.864, 37.8606) * CHOOSE( CONTROL!$C$15, $D$11, 100%, $F$11)</f>
        <v>37.863999999999997</v>
      </c>
      <c r="E1045" s="12">
        <f>CHOOSE( CONTROL!$C$32, 37.8533, 37.8499) * CHOOSE( CONTROL!$C$15, $D$11, 100%, $F$11)</f>
        <v>37.853299999999997</v>
      </c>
      <c r="F1045" s="4">
        <f>CHOOSE( CONTROL!$C$32, 38.5433, 38.5399) * CHOOSE(CONTROL!$C$15, $D$11, 100%, $F$11)</f>
        <v>38.543300000000002</v>
      </c>
      <c r="G1045" s="8">
        <f>CHOOSE( CONTROL!$C$32, 36.9337, 36.9304) * CHOOSE( CONTROL!$C$15, $D$11, 100%, $F$11)</f>
        <v>36.933700000000002</v>
      </c>
      <c r="H1045" s="4">
        <f>CHOOSE( CONTROL!$C$32, 37.8801, 37.8768) * CHOOSE(CONTROL!$C$15, $D$11, 100%, $F$11)</f>
        <v>37.880099999999999</v>
      </c>
      <c r="I1045" s="8">
        <f>CHOOSE( CONTROL!$C$32, 36.4256, 36.4224) * CHOOSE(CONTROL!$C$15, $D$11, 100%, $F$11)</f>
        <v>36.425600000000003</v>
      </c>
      <c r="J1045" s="4">
        <f>CHOOSE( CONTROL!$C$32, 36.2912, 36.2879) * CHOOSE(CONTROL!$C$15, $D$11, 100%, $F$11)</f>
        <v>36.291200000000003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39.5037 * CHOOSE(CONTROL!$C$15, $D$11, 100%, $F$11)</f>
        <v>39.503700000000002</v>
      </c>
      <c r="C1046" s="8">
        <f>39.5092 * CHOOSE(CONTROL!$C$15, $D$11, 100%, $F$11)</f>
        <v>39.5092</v>
      </c>
      <c r="D1046" s="8">
        <f>39.5403 * CHOOSE( CONTROL!$C$15, $D$11, 100%, $F$11)</f>
        <v>39.540300000000002</v>
      </c>
      <c r="E1046" s="12">
        <f>39.5294 * CHOOSE( CONTROL!$C$15, $D$11, 100%, $F$11)</f>
        <v>39.529400000000003</v>
      </c>
      <c r="F1046" s="4">
        <f>40.2189 * CHOOSE(CONTROL!$C$15, $D$11, 100%, $F$11)</f>
        <v>40.218899999999998</v>
      </c>
      <c r="G1046" s="8">
        <f>38.5699 * CHOOSE( CONTROL!$C$15, $D$11, 100%, $F$11)</f>
        <v>38.569899999999997</v>
      </c>
      <c r="H1046" s="4">
        <f>39.5167 * CHOOSE(CONTROL!$C$15, $D$11, 100%, $F$11)</f>
        <v>39.5167</v>
      </c>
      <c r="I1046" s="8">
        <f>38.036 * CHOOSE(CONTROL!$C$15, $D$11, 100%, $F$11)</f>
        <v>38.036000000000001</v>
      </c>
      <c r="J1046" s="4">
        <f>37.9 * CHOOSE(CONTROL!$C$15, $D$11, 100%, $F$11)</f>
        <v>37.9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42.6025 * CHOOSE(CONTROL!$C$15, $D$11, 100%, $F$11)</f>
        <v>42.602499999999999</v>
      </c>
      <c r="C1047" s="8">
        <f>42.6077 * CHOOSE(CONTROL!$C$15, $D$11, 100%, $F$11)</f>
        <v>42.607700000000001</v>
      </c>
      <c r="D1047" s="8">
        <f>42.6005 * CHOOSE( CONTROL!$C$15, $D$11, 100%, $F$11)</f>
        <v>42.600499999999997</v>
      </c>
      <c r="E1047" s="12">
        <f>42.6026 * CHOOSE( CONTROL!$C$15, $D$11, 100%, $F$11)</f>
        <v>42.602600000000002</v>
      </c>
      <c r="F1047" s="4">
        <f>43.253 * CHOOSE(CONTROL!$C$15, $D$11, 100%, $F$11)</f>
        <v>43.253</v>
      </c>
      <c r="G1047" s="8">
        <f>41.6098 * CHOOSE( CONTROL!$C$15, $D$11, 100%, $F$11)</f>
        <v>41.6098</v>
      </c>
      <c r="H1047" s="4">
        <f>42.4801 * CHOOSE(CONTROL!$C$15, $D$11, 100%, $F$11)</f>
        <v>42.4801</v>
      </c>
      <c r="I1047" s="8">
        <f>41.0565 * CHOOSE(CONTROL!$C$15, $D$11, 100%, $F$11)</f>
        <v>41.0565</v>
      </c>
      <c r="J1047" s="4">
        <f>40.8755 * CHOOSE(CONTROL!$C$15, $D$11, 100%, $F$11)</f>
        <v>40.875500000000002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42.5251 * CHOOSE(CONTROL!$C$15, $D$11, 100%, $F$11)</f>
        <v>42.525100000000002</v>
      </c>
      <c r="C1048" s="8">
        <f>42.5302 * CHOOSE(CONTROL!$C$15, $D$11, 100%, $F$11)</f>
        <v>42.530200000000001</v>
      </c>
      <c r="D1048" s="8">
        <f>42.5245 * CHOOSE( CONTROL!$C$15, $D$11, 100%, $F$11)</f>
        <v>42.524500000000003</v>
      </c>
      <c r="E1048" s="12">
        <f>42.526 * CHOOSE( CONTROL!$C$15, $D$11, 100%, $F$11)</f>
        <v>42.526000000000003</v>
      </c>
      <c r="F1048" s="4">
        <f>43.1755 * CHOOSE(CONTROL!$C$15, $D$11, 100%, $F$11)</f>
        <v>43.1755</v>
      </c>
      <c r="G1048" s="8">
        <f>41.5352 * CHOOSE( CONTROL!$C$15, $D$11, 100%, $F$11)</f>
        <v>41.535200000000003</v>
      </c>
      <c r="H1048" s="4">
        <f>42.4045 * CHOOSE(CONTROL!$C$15, $D$11, 100%, $F$11)</f>
        <v>42.404499999999999</v>
      </c>
      <c r="I1048" s="8">
        <f>40.9867 * CHOOSE(CONTROL!$C$15, $D$11, 100%, $F$11)</f>
        <v>40.986699999999999</v>
      </c>
      <c r="J1048" s="4">
        <f>40.8011 * CHOOSE(CONTROL!$C$15, $D$11, 100%, $F$11)</f>
        <v>40.801099999999998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1">AVERAGE(B17:B28)</f>
        <v>2.9781499999999999</v>
      </c>
      <c r="C1050" s="8">
        <f t="shared" si="1"/>
        <v>2.9845249999999997</v>
      </c>
      <c r="D1050" s="8">
        <f t="shared" si="1"/>
        <v>2.9751499999999997</v>
      </c>
      <c r="E1050" s="8">
        <f t="shared" si="1"/>
        <v>2.9775833333333335</v>
      </c>
      <c r="F1050" s="4">
        <f t="shared" si="1"/>
        <v>3.6475916666666666</v>
      </c>
      <c r="G1050" s="8">
        <f t="shared" si="1"/>
        <v>2.8926500000000002</v>
      </c>
      <c r="H1050" s="4">
        <f t="shared" si="1"/>
        <v>3.7973750000000006</v>
      </c>
      <c r="I1050" s="8"/>
      <c r="J1050" s="4">
        <f>AVERAGE(J17:J28)</f>
        <v>2.8312083333333331</v>
      </c>
      <c r="K1050" s="4">
        <f>AVERAGE(K17:K28)</f>
        <v>2.8985500000000002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2">AVERAGE(B29:B40)</f>
        <v>3.3001666666666671</v>
      </c>
      <c r="C1051" s="8">
        <f t="shared" si="2"/>
        <v>3.3065333333333338</v>
      </c>
      <c r="D1051" s="8">
        <f t="shared" si="2"/>
        <v>3.3053500000000002</v>
      </c>
      <c r="E1051" s="8">
        <f t="shared" si="2"/>
        <v>3.3051416666666671</v>
      </c>
      <c r="F1051" s="4">
        <f t="shared" si="2"/>
        <v>3.9876166666666673</v>
      </c>
      <c r="G1051" s="8">
        <f t="shared" si="2"/>
        <v>3.2110500000000002</v>
      </c>
      <c r="H1051" s="4">
        <f t="shared" si="2"/>
        <v>4.1294916666666666</v>
      </c>
      <c r="I1051" s="8"/>
      <c r="J1051" s="4">
        <f>AVERAGE(J29:J40)</f>
        <v>3.1403750000000001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3.5999999999999992</v>
      </c>
      <c r="S1051" s="5"/>
    </row>
    <row r="1052" spans="1:19" ht="15" customHeight="1">
      <c r="A1052" s="3">
        <v>2017</v>
      </c>
      <c r="B1052" s="8">
        <f t="shared" ref="B1052:J1052" si="3">AVERAGE(B41:B52)</f>
        <v>3.4941583333333335</v>
      </c>
      <c r="C1052" s="8">
        <f t="shared" si="3"/>
        <v>3.5005166666666665</v>
      </c>
      <c r="D1052" s="8">
        <f t="shared" si="3"/>
        <v>3.4976499999999997</v>
      </c>
      <c r="E1052" s="8">
        <f t="shared" si="3"/>
        <v>3.4979333333333336</v>
      </c>
      <c r="F1052" s="4">
        <f t="shared" si="3"/>
        <v>4.1815916666666668</v>
      </c>
      <c r="G1052" s="8">
        <f t="shared" si="3"/>
        <v>3.4001166666666669</v>
      </c>
      <c r="H1052" s="4">
        <f t="shared" si="3"/>
        <v>4.3189499999999992</v>
      </c>
      <c r="I1052" s="8">
        <f t="shared" si="3"/>
        <v>3.4530833333333333</v>
      </c>
      <c r="J1052" s="4">
        <f t="shared" si="3"/>
        <v>3.3266249999999995</v>
      </c>
      <c r="K1052" s="4"/>
      <c r="L1052" s="5">
        <f t="shared" ref="L1052:Q1052" si="4">SUM(L41:L52)</f>
        <v>355.53689999999995</v>
      </c>
      <c r="M1052" s="5">
        <f t="shared" si="4"/>
        <v>142.0401</v>
      </c>
      <c r="N1052" s="5">
        <f t="shared" si="4"/>
        <v>58.217499999999994</v>
      </c>
      <c r="O1052" s="5">
        <f t="shared" si="4"/>
        <v>4.4046000000000003</v>
      </c>
      <c r="P1052" s="5">
        <f t="shared" si="4"/>
        <v>20.805900000000001</v>
      </c>
      <c r="Q1052" s="5">
        <f t="shared" si="4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5">AVERAGE(B53:B64)</f>
        <v>4.0070583333333332</v>
      </c>
      <c r="C1053" s="8">
        <f t="shared" si="5"/>
        <v>4.0134166666666671</v>
      </c>
      <c r="D1053" s="8">
        <f t="shared" si="5"/>
        <v>4.0232999999999999</v>
      </c>
      <c r="E1053" s="8">
        <f t="shared" si="5"/>
        <v>4.0190666666666663</v>
      </c>
      <c r="F1053" s="4">
        <f t="shared" si="5"/>
        <v>4.6944833333333333</v>
      </c>
      <c r="G1053" s="8">
        <f t="shared" si="5"/>
        <v>3.9010583333333329</v>
      </c>
      <c r="H1053" s="4">
        <f t="shared" si="5"/>
        <v>4.8199000000000005</v>
      </c>
      <c r="I1053" s="8">
        <f t="shared" si="5"/>
        <v>3.9457749999999998</v>
      </c>
      <c r="J1053" s="4">
        <f t="shared" si="5"/>
        <v>3.8190416666666671</v>
      </c>
      <c r="K1053" s="4"/>
      <c r="L1053" s="5">
        <f t="shared" ref="L1053:Q1053" si="6">SUM(L53:L64)</f>
        <v>355.53689999999995</v>
      </c>
      <c r="M1053" s="5">
        <f t="shared" si="6"/>
        <v>142.0401</v>
      </c>
      <c r="N1053" s="5">
        <f t="shared" si="6"/>
        <v>58.217499999999994</v>
      </c>
      <c r="O1053" s="5">
        <f t="shared" si="6"/>
        <v>4.4046000000000003</v>
      </c>
      <c r="P1053" s="5">
        <f t="shared" si="6"/>
        <v>14.707600000000001</v>
      </c>
      <c r="Q1053" s="5">
        <f t="shared" si="6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7">AVERAGE(B65:B76)</f>
        <v>4.2124083333333333</v>
      </c>
      <c r="C1054" s="8">
        <f t="shared" si="7"/>
        <v>4.2187749999999999</v>
      </c>
      <c r="D1054" s="8">
        <f t="shared" si="7"/>
        <v>4.2286666666666664</v>
      </c>
      <c r="E1054" s="8">
        <f t="shared" si="7"/>
        <v>4.2244249999999992</v>
      </c>
      <c r="F1054" s="4">
        <f t="shared" si="7"/>
        <v>4.8998666666666661</v>
      </c>
      <c r="G1054" s="8">
        <f t="shared" si="7"/>
        <v>4.1016416666666666</v>
      </c>
      <c r="H1054" s="4">
        <f t="shared" si="7"/>
        <v>5.0204750000000002</v>
      </c>
      <c r="I1054" s="8">
        <f t="shared" si="7"/>
        <v>4.1430333333333342</v>
      </c>
      <c r="J1054" s="4">
        <f t="shared" si="7"/>
        <v>4.0162166666666668</v>
      </c>
      <c r="K1054" s="4"/>
      <c r="L1054" s="5">
        <f t="shared" ref="L1054:Q1054" si="8">SUM(L65:L76)</f>
        <v>355.53689999999995</v>
      </c>
      <c r="M1054" s="5">
        <f t="shared" si="8"/>
        <v>142.0401</v>
      </c>
      <c r="N1054" s="5">
        <f t="shared" si="8"/>
        <v>58.217499999999994</v>
      </c>
      <c r="O1054" s="5">
        <f t="shared" si="8"/>
        <v>4.4046000000000003</v>
      </c>
      <c r="P1054" s="5">
        <f t="shared" si="8"/>
        <v>14.707600000000001</v>
      </c>
      <c r="Q1054" s="5">
        <f t="shared" si="8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9">AVERAGE(B77:B88)</f>
        <v>5.2382666666666671</v>
      </c>
      <c r="C1055" s="8">
        <f t="shared" si="9"/>
        <v>5.2446416666666664</v>
      </c>
      <c r="D1055" s="8">
        <f t="shared" si="9"/>
        <v>5.2545333333333337</v>
      </c>
      <c r="E1055" s="8">
        <f t="shared" si="9"/>
        <v>5.2502916666666666</v>
      </c>
      <c r="F1055" s="4">
        <f t="shared" si="9"/>
        <v>5.9257249999999999</v>
      </c>
      <c r="G1055" s="8">
        <f t="shared" si="9"/>
        <v>5.1035916666666665</v>
      </c>
      <c r="H1055" s="4">
        <f t="shared" si="9"/>
        <v>6.0224500000000001</v>
      </c>
      <c r="I1055" s="8">
        <f t="shared" si="9"/>
        <v>5.1284666666666663</v>
      </c>
      <c r="J1055" s="4">
        <f t="shared" si="9"/>
        <v>5.001125</v>
      </c>
      <c r="K1055" s="4"/>
      <c r="L1055" s="5">
        <f t="shared" ref="L1055:Q1055" si="10">SUM(L77:L88)</f>
        <v>356.48229999999995</v>
      </c>
      <c r="M1055" s="5">
        <f t="shared" si="10"/>
        <v>142.42920000000001</v>
      </c>
      <c r="N1055" s="5">
        <f t="shared" si="10"/>
        <v>58.377000000000002</v>
      </c>
      <c r="O1055" s="5">
        <f t="shared" si="10"/>
        <v>4.4165999999999999</v>
      </c>
      <c r="P1055" s="5">
        <f t="shared" si="10"/>
        <v>14.7493</v>
      </c>
      <c r="Q1055" s="5">
        <f t="shared" si="10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1">AVERAGE(B89:B100)</f>
        <v>5.6474833333333336</v>
      </c>
      <c r="C1056" s="8">
        <f t="shared" si="11"/>
        <v>5.6538499999999994</v>
      </c>
      <c r="D1056" s="8">
        <f t="shared" si="11"/>
        <v>5.6637333333333331</v>
      </c>
      <c r="E1056" s="8">
        <f t="shared" si="11"/>
        <v>5.6595000000000004</v>
      </c>
      <c r="F1056" s="4">
        <f t="shared" si="11"/>
        <v>6.3349416666666665</v>
      </c>
      <c r="G1056" s="8">
        <f t="shared" si="11"/>
        <v>5.5032750000000012</v>
      </c>
      <c r="H1056" s="4">
        <f t="shared" si="11"/>
        <v>6.422108333333334</v>
      </c>
      <c r="I1056" s="8">
        <f t="shared" si="11"/>
        <v>5.5215250000000005</v>
      </c>
      <c r="J1056" s="4">
        <f t="shared" si="11"/>
        <v>5.3940333333333328</v>
      </c>
      <c r="K1056" s="4"/>
      <c r="L1056" s="5">
        <f t="shared" ref="L1056:Q1056" si="12">SUM(L89:L100)</f>
        <v>355.53689999999995</v>
      </c>
      <c r="M1056" s="5">
        <f t="shared" si="12"/>
        <v>142.0401</v>
      </c>
      <c r="N1056" s="5">
        <f t="shared" si="12"/>
        <v>58.217499999999994</v>
      </c>
      <c r="O1056" s="5">
        <f t="shared" si="12"/>
        <v>4.4046000000000003</v>
      </c>
      <c r="P1056" s="5">
        <f t="shared" si="12"/>
        <v>14.707600000000001</v>
      </c>
      <c r="Q1056" s="5">
        <f t="shared" si="12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3">AVERAGE(B101:B112)</f>
        <v>5.9526583333333329</v>
      </c>
      <c r="C1057" s="8">
        <f t="shared" si="13"/>
        <v>5.9590250000000005</v>
      </c>
      <c r="D1057" s="8">
        <f t="shared" si="13"/>
        <v>5.9689083333333324</v>
      </c>
      <c r="E1057" s="8">
        <f t="shared" si="13"/>
        <v>5.9646749999999997</v>
      </c>
      <c r="F1057" s="4">
        <f t="shared" si="13"/>
        <v>6.6401083333333331</v>
      </c>
      <c r="G1057" s="8">
        <f t="shared" si="13"/>
        <v>5.8013416666666666</v>
      </c>
      <c r="H1057" s="4">
        <f t="shared" si="13"/>
        <v>6.7201750000000002</v>
      </c>
      <c r="I1057" s="8">
        <f t="shared" si="13"/>
        <v>5.8146666666666667</v>
      </c>
      <c r="J1057" s="4">
        <f t="shared" si="13"/>
        <v>5.6870166666666675</v>
      </c>
      <c r="K1057" s="4"/>
      <c r="L1057" s="5">
        <f t="shared" ref="L1057:Q1057" si="14">SUM(L101:L112)</f>
        <v>355.53689999999995</v>
      </c>
      <c r="M1057" s="5">
        <f t="shared" si="14"/>
        <v>142.0401</v>
      </c>
      <c r="N1057" s="5">
        <f t="shared" si="14"/>
        <v>58.217499999999994</v>
      </c>
      <c r="O1057" s="5">
        <f t="shared" si="14"/>
        <v>4.4046000000000003</v>
      </c>
      <c r="P1057" s="5">
        <f t="shared" si="14"/>
        <v>14.707600000000001</v>
      </c>
      <c r="Q1057" s="5">
        <f t="shared" si="14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5">AVERAGE(B113:B124)</f>
        <v>6.1996083333333338</v>
      </c>
      <c r="C1058" s="8">
        <f t="shared" si="15"/>
        <v>6.2059749999999996</v>
      </c>
      <c r="D1058" s="8">
        <f t="shared" si="15"/>
        <v>6.2158749999999996</v>
      </c>
      <c r="E1058" s="8">
        <f t="shared" si="15"/>
        <v>6.2116416666666661</v>
      </c>
      <c r="F1058" s="4">
        <f t="shared" si="15"/>
        <v>6.8870499999999995</v>
      </c>
      <c r="G1058" s="8">
        <f t="shared" si="15"/>
        <v>6.042558333333333</v>
      </c>
      <c r="H1058" s="4">
        <f t="shared" si="15"/>
        <v>6.9613749999999994</v>
      </c>
      <c r="I1058" s="8">
        <f t="shared" si="15"/>
        <v>6.0518916666666671</v>
      </c>
      <c r="J1058" s="4">
        <f t="shared" si="15"/>
        <v>5.9241166666666665</v>
      </c>
      <c r="K1058" s="4"/>
      <c r="L1058" s="5">
        <f t="shared" ref="L1058:Q1058" si="16">SUM(L113:L124)</f>
        <v>355.53689999999995</v>
      </c>
      <c r="M1058" s="5">
        <f t="shared" si="16"/>
        <v>142.0401</v>
      </c>
      <c r="N1058" s="5">
        <f t="shared" si="16"/>
        <v>58.217499999999994</v>
      </c>
      <c r="O1058" s="5">
        <f t="shared" si="16"/>
        <v>4.4046000000000003</v>
      </c>
      <c r="P1058" s="5">
        <f t="shared" si="16"/>
        <v>14.707600000000001</v>
      </c>
      <c r="Q1058" s="5">
        <f t="shared" si="16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7">AVERAGE(B125:B136)</f>
        <v>6.3885250000000005</v>
      </c>
      <c r="C1059" s="8">
        <f t="shared" si="17"/>
        <v>6.394916666666667</v>
      </c>
      <c r="D1059" s="8">
        <f t="shared" si="17"/>
        <v>6.4047833333333335</v>
      </c>
      <c r="E1059" s="8">
        <f t="shared" si="17"/>
        <v>6.4005499999999991</v>
      </c>
      <c r="F1059" s="4">
        <f t="shared" si="17"/>
        <v>7.0760000000000014</v>
      </c>
      <c r="G1059" s="8">
        <f t="shared" si="17"/>
        <v>6.2270749999999992</v>
      </c>
      <c r="H1059" s="4">
        <f t="shared" si="17"/>
        <v>7.1459083333333338</v>
      </c>
      <c r="I1059" s="8">
        <f t="shared" si="17"/>
        <v>6.2333666666666661</v>
      </c>
      <c r="J1059" s="4">
        <f t="shared" si="17"/>
        <v>6.1055083333333329</v>
      </c>
      <c r="K1059" s="4"/>
      <c r="L1059" s="5">
        <f t="shared" ref="L1059:Q1059" si="18">SUM(L125:L136)</f>
        <v>356.48229999999995</v>
      </c>
      <c r="M1059" s="5">
        <f t="shared" si="18"/>
        <v>142.42920000000001</v>
      </c>
      <c r="N1059" s="5">
        <f t="shared" si="18"/>
        <v>58.377000000000002</v>
      </c>
      <c r="O1059" s="5">
        <f t="shared" si="18"/>
        <v>4.4165999999999999</v>
      </c>
      <c r="P1059" s="5">
        <f t="shared" si="18"/>
        <v>14.7493</v>
      </c>
      <c r="Q1059" s="5">
        <f t="shared" si="18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19">AVERAGE(B137:B148)</f>
        <v>6.582558333333334</v>
      </c>
      <c r="C1060" s="8">
        <f t="shared" si="19"/>
        <v>6.5889166666666661</v>
      </c>
      <c r="D1060" s="8">
        <f t="shared" si="19"/>
        <v>6.5988083333333334</v>
      </c>
      <c r="E1060" s="8">
        <f t="shared" si="19"/>
        <v>6.5945749999999999</v>
      </c>
      <c r="F1060" s="4">
        <f t="shared" si="19"/>
        <v>7.2699916666666669</v>
      </c>
      <c r="G1060" s="8">
        <f t="shared" si="19"/>
        <v>6.4165583333333345</v>
      </c>
      <c r="H1060" s="4">
        <f t="shared" si="19"/>
        <v>7.3353999999999999</v>
      </c>
      <c r="I1060" s="8">
        <f t="shared" si="19"/>
        <v>6.4197333333333333</v>
      </c>
      <c r="J1060" s="4">
        <f t="shared" si="19"/>
        <v>6.2917833333333322</v>
      </c>
      <c r="K1060" s="4"/>
      <c r="L1060" s="5">
        <f t="shared" ref="L1060:Q1060" si="20">SUM(L137:L148)</f>
        <v>355.53689999999995</v>
      </c>
      <c r="M1060" s="5">
        <f t="shared" si="20"/>
        <v>142.0401</v>
      </c>
      <c r="N1060" s="5">
        <f t="shared" si="20"/>
        <v>58.217499999999994</v>
      </c>
      <c r="O1060" s="5">
        <f t="shared" si="20"/>
        <v>4.4046000000000003</v>
      </c>
      <c r="P1060" s="5">
        <f t="shared" si="20"/>
        <v>14.707600000000001</v>
      </c>
      <c r="Q1060" s="5">
        <f t="shared" si="20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1">AVERAGE(B149:B160)</f>
        <v>6.7817833333333333</v>
      </c>
      <c r="C1061" s="8">
        <f t="shared" si="21"/>
        <v>6.7881500000000017</v>
      </c>
      <c r="D1061" s="8">
        <f t="shared" si="21"/>
        <v>6.7980166666666664</v>
      </c>
      <c r="E1061" s="8">
        <f t="shared" si="21"/>
        <v>6.7937916666666673</v>
      </c>
      <c r="F1061" s="4">
        <f t="shared" si="21"/>
        <v>7.4692333333333325</v>
      </c>
      <c r="G1061" s="8">
        <f t="shared" si="21"/>
        <v>6.6111416666666676</v>
      </c>
      <c r="H1061" s="4">
        <f t="shared" si="21"/>
        <v>7.5299916666666675</v>
      </c>
      <c r="I1061" s="8">
        <f t="shared" si="21"/>
        <v>6.6111166666666668</v>
      </c>
      <c r="J1061" s="4">
        <f t="shared" si="21"/>
        <v>6.4830500000000013</v>
      </c>
      <c r="K1061" s="4"/>
      <c r="L1061" s="5">
        <f t="shared" ref="L1061:Q1061" si="22">SUM(L149:L160)</f>
        <v>355.53689999999995</v>
      </c>
      <c r="M1061" s="5">
        <f t="shared" si="22"/>
        <v>142.0401</v>
      </c>
      <c r="N1061" s="5">
        <f t="shared" si="22"/>
        <v>58.217499999999994</v>
      </c>
      <c r="O1061" s="5">
        <f t="shared" si="22"/>
        <v>4.4046000000000003</v>
      </c>
      <c r="P1061" s="5">
        <f t="shared" si="22"/>
        <v>14.707600000000001</v>
      </c>
      <c r="Q1061" s="5">
        <f t="shared" si="22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3">AVERAGE(B161:B172)</f>
        <v>6.9863416666666671</v>
      </c>
      <c r="C1062" s="8">
        <f t="shared" si="23"/>
        <v>6.9927249999999992</v>
      </c>
      <c r="D1062" s="8">
        <f t="shared" si="23"/>
        <v>7.0026083333333338</v>
      </c>
      <c r="E1062" s="8">
        <f t="shared" si="23"/>
        <v>6.9983666666666657</v>
      </c>
      <c r="F1062" s="4">
        <f t="shared" si="23"/>
        <v>7.6738</v>
      </c>
      <c r="G1062" s="8">
        <f t="shared" si="23"/>
        <v>6.8109666666666655</v>
      </c>
      <c r="H1062" s="4">
        <f t="shared" si="23"/>
        <v>7.7297833333333337</v>
      </c>
      <c r="I1062" s="8">
        <f t="shared" si="23"/>
        <v>6.8076249999999989</v>
      </c>
      <c r="J1062" s="4">
        <f t="shared" si="23"/>
        <v>6.6794833333333337</v>
      </c>
      <c r="K1062" s="4"/>
      <c r="L1062" s="5">
        <f t="shared" ref="L1062:Q1062" si="24">SUM(L161:L172)</f>
        <v>355.53689999999995</v>
      </c>
      <c r="M1062" s="5">
        <f t="shared" si="24"/>
        <v>142.0401</v>
      </c>
      <c r="N1062" s="5">
        <f t="shared" si="24"/>
        <v>58.217499999999994</v>
      </c>
      <c r="O1062" s="5">
        <f t="shared" si="24"/>
        <v>4.4046000000000003</v>
      </c>
      <c r="P1062" s="5">
        <f t="shared" si="24"/>
        <v>14.707600000000001</v>
      </c>
      <c r="Q1062" s="5">
        <f t="shared" si="24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5">AVERAGE(B173:B184)</f>
        <v>7.1964000000000006</v>
      </c>
      <c r="C1063" s="8">
        <f t="shared" si="25"/>
        <v>7.2027916666666671</v>
      </c>
      <c r="D1063" s="8">
        <f t="shared" si="25"/>
        <v>7.2126833333333318</v>
      </c>
      <c r="E1063" s="8">
        <f t="shared" si="25"/>
        <v>7.2084333333333346</v>
      </c>
      <c r="F1063" s="4">
        <f t="shared" si="25"/>
        <v>7.8838666666666661</v>
      </c>
      <c r="G1063" s="8">
        <f t="shared" si="25"/>
        <v>7.0161249999999988</v>
      </c>
      <c r="H1063" s="4">
        <f t="shared" si="25"/>
        <v>7.9349583333333333</v>
      </c>
      <c r="I1063" s="8">
        <f t="shared" si="25"/>
        <v>7.0094166666666666</v>
      </c>
      <c r="J1063" s="4">
        <f t="shared" si="25"/>
        <v>6.881149999999999</v>
      </c>
      <c r="K1063" s="4"/>
      <c r="L1063" s="5">
        <f t="shared" ref="L1063:Q1063" si="26">SUM(L173:L184)</f>
        <v>356.48229999999995</v>
      </c>
      <c r="M1063" s="5">
        <f t="shared" si="26"/>
        <v>142.42920000000001</v>
      </c>
      <c r="N1063" s="5">
        <f t="shared" si="26"/>
        <v>58.377000000000002</v>
      </c>
      <c r="O1063" s="5">
        <f t="shared" si="26"/>
        <v>4.4165999999999999</v>
      </c>
      <c r="P1063" s="5">
        <f t="shared" si="26"/>
        <v>14.7493</v>
      </c>
      <c r="Q1063" s="5">
        <f t="shared" si="26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7">AVERAGE(B185:B196)</f>
        <v>7.4120999999999988</v>
      </c>
      <c r="C1064" s="8">
        <f t="shared" si="27"/>
        <v>7.4184583333333327</v>
      </c>
      <c r="D1064" s="8">
        <f t="shared" si="27"/>
        <v>7.4283583333333354</v>
      </c>
      <c r="E1064" s="8">
        <f t="shared" si="27"/>
        <v>7.424125000000001</v>
      </c>
      <c r="F1064" s="4">
        <f t="shared" si="27"/>
        <v>8.0995583333333325</v>
      </c>
      <c r="G1064" s="8">
        <f t="shared" si="27"/>
        <v>7.2267916666666663</v>
      </c>
      <c r="H1064" s="4">
        <f t="shared" si="27"/>
        <v>8.1456083333333353</v>
      </c>
      <c r="I1064" s="8">
        <f t="shared" si="27"/>
        <v>7.2165916666666661</v>
      </c>
      <c r="J1064" s="4">
        <f t="shared" si="27"/>
        <v>7.0882416666666677</v>
      </c>
      <c r="K1064" s="4"/>
      <c r="L1064" s="5">
        <f t="shared" ref="L1064:Q1064" si="28">SUM(L185:L196)</f>
        <v>355.53689999999995</v>
      </c>
      <c r="M1064" s="5">
        <f t="shared" si="28"/>
        <v>142.0401</v>
      </c>
      <c r="N1064" s="5">
        <f t="shared" si="28"/>
        <v>58.217499999999994</v>
      </c>
      <c r="O1064" s="5">
        <f t="shared" si="28"/>
        <v>4.4046000000000003</v>
      </c>
      <c r="P1064" s="5">
        <f t="shared" si="28"/>
        <v>14.707600000000001</v>
      </c>
      <c r="Q1064" s="5">
        <f t="shared" si="28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29">AVERAGE(B197:B208)</f>
        <v>7.633541666666666</v>
      </c>
      <c r="C1065" s="8">
        <f t="shared" si="29"/>
        <v>7.639924999999999</v>
      </c>
      <c r="D1065" s="8">
        <f t="shared" si="29"/>
        <v>7.6497916666666663</v>
      </c>
      <c r="E1065" s="8">
        <f t="shared" si="29"/>
        <v>7.6455666666666664</v>
      </c>
      <c r="F1065" s="4">
        <f t="shared" si="29"/>
        <v>8.3209833333333325</v>
      </c>
      <c r="G1065" s="8">
        <f t="shared" si="29"/>
        <v>7.4430583333333331</v>
      </c>
      <c r="H1065" s="4">
        <f t="shared" si="29"/>
        <v>8.3619000000000003</v>
      </c>
      <c r="I1065" s="8">
        <f t="shared" si="29"/>
        <v>7.4293083333333341</v>
      </c>
      <c r="J1065" s="4">
        <f t="shared" si="29"/>
        <v>7.3008250000000006</v>
      </c>
      <c r="K1065" s="4"/>
      <c r="L1065" s="5">
        <f t="shared" ref="L1065:Q1065" si="30">SUM(L197:L208)</f>
        <v>355.53689999999995</v>
      </c>
      <c r="M1065" s="5">
        <f t="shared" si="30"/>
        <v>142.0401</v>
      </c>
      <c r="N1065" s="5">
        <f t="shared" si="30"/>
        <v>58.217499999999994</v>
      </c>
      <c r="O1065" s="5">
        <f t="shared" si="30"/>
        <v>4.4046000000000003</v>
      </c>
      <c r="P1065" s="5">
        <f t="shared" si="30"/>
        <v>14.707600000000001</v>
      </c>
      <c r="Q1065" s="5">
        <f t="shared" si="30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1">AVERAGE(B209:B220)</f>
        <v>7.8608833333333328</v>
      </c>
      <c r="C1066" s="8">
        <f t="shared" si="31"/>
        <v>7.8672500000000012</v>
      </c>
      <c r="D1066" s="8">
        <f t="shared" si="31"/>
        <v>7.8771416666666676</v>
      </c>
      <c r="E1066" s="8">
        <f t="shared" si="31"/>
        <v>7.8729000000000005</v>
      </c>
      <c r="F1066" s="4">
        <f t="shared" si="31"/>
        <v>8.5483250000000002</v>
      </c>
      <c r="G1066" s="8">
        <f t="shared" si="31"/>
        <v>7.6650999999999998</v>
      </c>
      <c r="H1066" s="4">
        <f t="shared" si="31"/>
        <v>8.583966666666667</v>
      </c>
      <c r="I1066" s="8">
        <f t="shared" si="31"/>
        <v>7.6476833333333332</v>
      </c>
      <c r="J1066" s="4">
        <f t="shared" si="31"/>
        <v>7.5191083333333326</v>
      </c>
      <c r="K1066" s="4"/>
      <c r="L1066" s="5">
        <f t="shared" ref="L1066:Q1066" si="32">SUM(L209:L220)</f>
        <v>355.53689999999995</v>
      </c>
      <c r="M1066" s="5">
        <f t="shared" si="32"/>
        <v>142.0401</v>
      </c>
      <c r="N1066" s="5">
        <f t="shared" si="32"/>
        <v>58.217499999999994</v>
      </c>
      <c r="O1066" s="5">
        <f t="shared" si="32"/>
        <v>4.4046000000000003</v>
      </c>
      <c r="P1066" s="5">
        <f t="shared" si="32"/>
        <v>14.707600000000001</v>
      </c>
      <c r="Q1066" s="5">
        <f t="shared" si="32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3">AVERAGE(B221:B232)</f>
        <v>8.0942833333333315</v>
      </c>
      <c r="C1067" s="8">
        <f t="shared" si="33"/>
        <v>8.1006583333333317</v>
      </c>
      <c r="D1067" s="8">
        <f t="shared" si="33"/>
        <v>8.1105250000000009</v>
      </c>
      <c r="E1067" s="8">
        <f t="shared" si="33"/>
        <v>8.1062916666666673</v>
      </c>
      <c r="F1067" s="4">
        <f t="shared" si="33"/>
        <v>8.7817333333333352</v>
      </c>
      <c r="G1067" s="8">
        <f t="shared" si="33"/>
        <v>7.893066666666666</v>
      </c>
      <c r="H1067" s="4">
        <f t="shared" si="33"/>
        <v>8.8119083333333332</v>
      </c>
      <c r="I1067" s="8">
        <f t="shared" si="33"/>
        <v>7.8718916666666674</v>
      </c>
      <c r="J1067" s="4">
        <f t="shared" si="33"/>
        <v>7.7432000000000007</v>
      </c>
      <c r="K1067" s="4"/>
      <c r="L1067" s="5">
        <f t="shared" ref="L1067:Q1067" si="34">SUM(L221:L232)</f>
        <v>356.48229999999995</v>
      </c>
      <c r="M1067" s="5">
        <f t="shared" si="34"/>
        <v>142.42920000000001</v>
      </c>
      <c r="N1067" s="5">
        <f t="shared" si="34"/>
        <v>58.377000000000002</v>
      </c>
      <c r="O1067" s="5">
        <f t="shared" si="34"/>
        <v>4.4165999999999999</v>
      </c>
      <c r="P1067" s="5">
        <f t="shared" si="34"/>
        <v>14.7493</v>
      </c>
      <c r="Q1067" s="5">
        <f t="shared" si="34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5">AVERAGE(B233:B244)</f>
        <v>8.3338750000000008</v>
      </c>
      <c r="C1068" s="8">
        <f t="shared" si="35"/>
        <v>8.3402416666666657</v>
      </c>
      <c r="D1068" s="8">
        <f t="shared" si="35"/>
        <v>8.3501499999999975</v>
      </c>
      <c r="E1068" s="8">
        <f t="shared" si="35"/>
        <v>8.3459083333333322</v>
      </c>
      <c r="F1068" s="4">
        <f t="shared" si="35"/>
        <v>9.0213333333333328</v>
      </c>
      <c r="G1068" s="8">
        <f t="shared" si="35"/>
        <v>8.1270999999999987</v>
      </c>
      <c r="H1068" s="4">
        <f t="shared" si="35"/>
        <v>9.0459416666666659</v>
      </c>
      <c r="I1068" s="8">
        <f t="shared" si="35"/>
        <v>8.1020500000000002</v>
      </c>
      <c r="J1068" s="4">
        <f t="shared" si="35"/>
        <v>7.9732500000000002</v>
      </c>
      <c r="K1068" s="4"/>
      <c r="L1068" s="5">
        <f t="shared" ref="L1068:Q1068" si="36">SUM(L233:L244)</f>
        <v>355.53689999999995</v>
      </c>
      <c r="M1068" s="5">
        <f t="shared" si="36"/>
        <v>142.0401</v>
      </c>
      <c r="N1068" s="5">
        <f t="shared" si="36"/>
        <v>58.217499999999994</v>
      </c>
      <c r="O1068" s="5">
        <f t="shared" si="36"/>
        <v>4.4046000000000003</v>
      </c>
      <c r="P1068" s="5">
        <f t="shared" si="36"/>
        <v>14.707600000000001</v>
      </c>
      <c r="Q1068" s="5">
        <f t="shared" si="36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7">AVERAGE(B245:B256)</f>
        <v>8.4999249999999993</v>
      </c>
      <c r="C1069" s="8">
        <f t="shared" si="37"/>
        <v>8.5063083333333331</v>
      </c>
      <c r="D1069" s="8">
        <f t="shared" si="37"/>
        <v>8.5161833333333341</v>
      </c>
      <c r="E1069" s="8">
        <f t="shared" si="37"/>
        <v>8.5119500000000006</v>
      </c>
      <c r="F1069" s="4">
        <f t="shared" si="37"/>
        <v>9.1873999999999985</v>
      </c>
      <c r="G1069" s="8">
        <f t="shared" si="37"/>
        <v>8.2892916666666672</v>
      </c>
      <c r="H1069" s="4">
        <f t="shared" si="37"/>
        <v>9.2081333333333344</v>
      </c>
      <c r="I1069" s="8">
        <f t="shared" si="37"/>
        <v>8.2615583333333333</v>
      </c>
      <c r="J1069" s="4">
        <f t="shared" si="37"/>
        <v>8.1326583333333335</v>
      </c>
      <c r="K1069" s="4"/>
      <c r="L1069" s="5">
        <f t="shared" ref="L1069:Q1069" si="38">SUM(L245:L256)</f>
        <v>355.53689999999995</v>
      </c>
      <c r="M1069" s="5">
        <f t="shared" si="38"/>
        <v>142.0401</v>
      </c>
      <c r="N1069" s="5">
        <f t="shared" si="38"/>
        <v>58.217499999999994</v>
      </c>
      <c r="O1069" s="5">
        <f t="shared" si="38"/>
        <v>4.4046000000000003</v>
      </c>
      <c r="P1069" s="5">
        <f t="shared" si="38"/>
        <v>14.707600000000001</v>
      </c>
      <c r="Q1069" s="5">
        <f t="shared" si="38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39">AVERAGE(B257:B268)</f>
        <v>8.6693250000000006</v>
      </c>
      <c r="C1070" s="8">
        <f t="shared" si="39"/>
        <v>8.6756916666666672</v>
      </c>
      <c r="D1070" s="8">
        <f t="shared" si="39"/>
        <v>8.6855833333333337</v>
      </c>
      <c r="E1070" s="8">
        <f t="shared" si="39"/>
        <v>8.681358333333332</v>
      </c>
      <c r="F1070" s="4">
        <f t="shared" si="39"/>
        <v>9.356774999999999</v>
      </c>
      <c r="G1070" s="8">
        <f t="shared" si="39"/>
        <v>8.4547333333333352</v>
      </c>
      <c r="H1070" s="4">
        <f t="shared" si="39"/>
        <v>9.3735750000000007</v>
      </c>
      <c r="I1070" s="8">
        <f t="shared" si="39"/>
        <v>8.4242666666666679</v>
      </c>
      <c r="J1070" s="4">
        <f t="shared" si="39"/>
        <v>8.295300000000001</v>
      </c>
      <c r="K1070" s="4"/>
      <c r="L1070" s="5">
        <f t="shared" ref="L1070:Q1070" si="40">SUM(L257:L268)</f>
        <v>355.53689999999995</v>
      </c>
      <c r="M1070" s="5">
        <f t="shared" si="40"/>
        <v>142.0401</v>
      </c>
      <c r="N1070" s="5">
        <f t="shared" si="40"/>
        <v>58.217499999999994</v>
      </c>
      <c r="O1070" s="5">
        <f t="shared" si="40"/>
        <v>4.4046000000000003</v>
      </c>
      <c r="P1070" s="5">
        <f t="shared" si="40"/>
        <v>14.707600000000001</v>
      </c>
      <c r="Q1070" s="5">
        <f t="shared" si="40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1">AVERAGE(B269:B280)</f>
        <v>8.8768916666666673</v>
      </c>
      <c r="C1071" s="8">
        <f t="shared" si="41"/>
        <v>8.8832583333333321</v>
      </c>
      <c r="D1071" s="8">
        <f t="shared" si="41"/>
        <v>8.8931583333333339</v>
      </c>
      <c r="E1071" s="8">
        <f t="shared" si="41"/>
        <v>8.8889249999999986</v>
      </c>
      <c r="F1071" s="4">
        <f t="shared" si="41"/>
        <v>9.5643416666666674</v>
      </c>
      <c r="G1071" s="8">
        <f t="shared" si="41"/>
        <v>8.6574666666666662</v>
      </c>
      <c r="H1071" s="4">
        <f t="shared" si="41"/>
        <v>9.5763000000000016</v>
      </c>
      <c r="I1071" s="8">
        <f t="shared" si="41"/>
        <v>8.6236499999999996</v>
      </c>
      <c r="J1071" s="4">
        <f t="shared" si="41"/>
        <v>8.4945749999999993</v>
      </c>
      <c r="K1071" s="4"/>
      <c r="L1071" s="5">
        <f t="shared" ref="L1071:Q1071" si="42">SUM(L269:L280)</f>
        <v>356.48229999999995</v>
      </c>
      <c r="M1071" s="5">
        <f t="shared" si="42"/>
        <v>142.42920000000001</v>
      </c>
      <c r="N1071" s="5">
        <f t="shared" si="42"/>
        <v>58.377000000000002</v>
      </c>
      <c r="O1071" s="5">
        <f t="shared" si="42"/>
        <v>4.4165999999999999</v>
      </c>
      <c r="P1071" s="5">
        <f t="shared" si="42"/>
        <v>14.7493</v>
      </c>
      <c r="Q1071" s="5">
        <f t="shared" si="42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3">AVERAGE(B281:B292)</f>
        <v>9.0894499999999994</v>
      </c>
      <c r="C1072" s="8">
        <f t="shared" si="43"/>
        <v>9.0958083333333342</v>
      </c>
      <c r="D1072" s="8">
        <f t="shared" si="43"/>
        <v>9.1057000000000006</v>
      </c>
      <c r="E1072" s="8">
        <f t="shared" si="43"/>
        <v>9.1014666666666653</v>
      </c>
      <c r="F1072" s="4">
        <f t="shared" si="43"/>
        <v>9.7769000000000013</v>
      </c>
      <c r="G1072" s="8">
        <f t="shared" si="43"/>
        <v>8.8650666666666655</v>
      </c>
      <c r="H1072" s="4">
        <f t="shared" si="43"/>
        <v>9.7839000000000009</v>
      </c>
      <c r="I1072" s="8">
        <f t="shared" si="43"/>
        <v>8.8278166666666671</v>
      </c>
      <c r="J1072" s="4">
        <f t="shared" si="43"/>
        <v>8.6986583333333325</v>
      </c>
      <c r="K1072" s="4"/>
      <c r="L1072" s="5">
        <f t="shared" ref="L1072:Q1072" si="44">SUM(L281:L292)</f>
        <v>355.53689999999995</v>
      </c>
      <c r="M1072" s="5">
        <f t="shared" si="44"/>
        <v>142.0401</v>
      </c>
      <c r="N1072" s="5">
        <f t="shared" si="44"/>
        <v>58.217499999999994</v>
      </c>
      <c r="O1072" s="5">
        <f t="shared" si="44"/>
        <v>4.4046000000000003</v>
      </c>
      <c r="P1072" s="5">
        <f t="shared" si="44"/>
        <v>14.707600000000001</v>
      </c>
      <c r="Q1072" s="5">
        <f t="shared" si="44"/>
        <v>359.29169999999999</v>
      </c>
      <c r="R1072" s="5"/>
      <c r="S1072" s="4"/>
    </row>
    <row r="1073" spans="1:19" ht="15" customHeight="1">
      <c r="A1073" s="3">
        <f t="shared" ref="A1073:A1104" si="45">A1072+1</f>
        <v>2038</v>
      </c>
      <c r="B1073" s="8">
        <f t="shared" ref="B1073:J1073" si="46">AVERAGE(B293:B304)</f>
        <v>9.3071083333333338</v>
      </c>
      <c r="C1073" s="8">
        <f t="shared" si="46"/>
        <v>9.3134833333333322</v>
      </c>
      <c r="D1073" s="8">
        <f t="shared" si="46"/>
        <v>9.3233499999999996</v>
      </c>
      <c r="E1073" s="8">
        <f t="shared" si="46"/>
        <v>9.3191250000000014</v>
      </c>
      <c r="F1073" s="4">
        <f t="shared" si="46"/>
        <v>9.9945583333333339</v>
      </c>
      <c r="G1073" s="8">
        <f t="shared" si="46"/>
        <v>9.0776416666666666</v>
      </c>
      <c r="H1073" s="4">
        <f t="shared" si="46"/>
        <v>9.9964749999999984</v>
      </c>
      <c r="I1073" s="8">
        <f t="shared" si="46"/>
        <v>9.0368916666666639</v>
      </c>
      <c r="J1073" s="4">
        <f t="shared" si="46"/>
        <v>8.9076249999999977</v>
      </c>
      <c r="K1073" s="4"/>
      <c r="L1073" s="5">
        <f t="shared" ref="L1073:Q1073" si="47">SUM(L293:L304)</f>
        <v>355.53689999999995</v>
      </c>
      <c r="M1073" s="5">
        <f t="shared" si="47"/>
        <v>142.0401</v>
      </c>
      <c r="N1073" s="5">
        <f t="shared" si="47"/>
        <v>58.217499999999994</v>
      </c>
      <c r="O1073" s="5">
        <f t="shared" si="47"/>
        <v>4.4046000000000003</v>
      </c>
      <c r="P1073" s="5">
        <f t="shared" si="47"/>
        <v>14.707600000000001</v>
      </c>
      <c r="Q1073" s="5">
        <f t="shared" si="47"/>
        <v>358.54670000000004</v>
      </c>
      <c r="R1073" s="5"/>
      <c r="S1073" s="4"/>
    </row>
    <row r="1074" spans="1:19" ht="15" customHeight="1">
      <c r="A1074" s="3">
        <f t="shared" si="45"/>
        <v>2039</v>
      </c>
      <c r="B1074" s="8">
        <f t="shared" ref="B1074:J1074" si="48">AVERAGE(B305:B316)</f>
        <v>9.5299916666666658</v>
      </c>
      <c r="C1074" s="8">
        <f t="shared" si="48"/>
        <v>9.536366666666666</v>
      </c>
      <c r="D1074" s="8">
        <f t="shared" si="48"/>
        <v>9.5462416666666652</v>
      </c>
      <c r="E1074" s="8">
        <f t="shared" si="48"/>
        <v>9.5420083333333334</v>
      </c>
      <c r="F1074" s="4">
        <f t="shared" si="48"/>
        <v>10.217441666666668</v>
      </c>
      <c r="G1074" s="8">
        <f t="shared" si="48"/>
        <v>9.2953416666666673</v>
      </c>
      <c r="H1074" s="4">
        <f t="shared" si="48"/>
        <v>10.214166666666667</v>
      </c>
      <c r="I1074" s="8">
        <f t="shared" si="48"/>
        <v>9.2509916666666676</v>
      </c>
      <c r="J1074" s="4">
        <f t="shared" si="48"/>
        <v>9.1216166666666663</v>
      </c>
      <c r="K1074" s="7"/>
      <c r="L1074" s="5">
        <f t="shared" ref="L1074:Q1074" si="49">SUM(L305:L316)</f>
        <v>355.53689999999995</v>
      </c>
      <c r="M1074" s="5">
        <f t="shared" si="49"/>
        <v>142.0401</v>
      </c>
      <c r="N1074" s="5">
        <f t="shared" si="49"/>
        <v>58.217499999999994</v>
      </c>
      <c r="O1074" s="5">
        <f t="shared" si="49"/>
        <v>4.4046000000000003</v>
      </c>
      <c r="P1074" s="5">
        <f t="shared" si="49"/>
        <v>14.707600000000001</v>
      </c>
      <c r="Q1074" s="5">
        <f t="shared" si="49"/>
        <v>357.78019999999998</v>
      </c>
      <c r="R1074" s="5"/>
      <c r="S1074" s="6"/>
    </row>
    <row r="1075" spans="1:19" ht="15" customHeight="1">
      <c r="A1075" s="3">
        <f t="shared" si="45"/>
        <v>2040</v>
      </c>
      <c r="B1075" s="8">
        <f t="shared" ref="B1075:J1075" si="50">AVERAGE(B317:B328)</f>
        <v>9.7582333333333349</v>
      </c>
      <c r="C1075" s="8">
        <f t="shared" si="50"/>
        <v>9.7645999999999997</v>
      </c>
      <c r="D1075" s="8">
        <f t="shared" si="50"/>
        <v>9.7744833333333343</v>
      </c>
      <c r="E1075" s="8">
        <f t="shared" si="50"/>
        <v>9.7702583333333326</v>
      </c>
      <c r="F1075" s="4">
        <f t="shared" si="50"/>
        <v>10.445683333333333</v>
      </c>
      <c r="G1075" s="8">
        <f t="shared" si="50"/>
        <v>9.5182750000000009</v>
      </c>
      <c r="H1075" s="4">
        <f t="shared" si="50"/>
        <v>10.437108333333333</v>
      </c>
      <c r="I1075" s="8">
        <f t="shared" si="50"/>
        <v>9.4702416666666664</v>
      </c>
      <c r="J1075" s="4">
        <f t="shared" si="50"/>
        <v>9.3407416666666681</v>
      </c>
      <c r="K1075" s="7"/>
      <c r="L1075" s="5">
        <f t="shared" ref="L1075:Q1075" si="51">SUM(L317:L328)</f>
        <v>356.48229999999995</v>
      </c>
      <c r="M1075" s="5">
        <f t="shared" si="51"/>
        <v>142.42920000000001</v>
      </c>
      <c r="N1075" s="5">
        <f t="shared" si="51"/>
        <v>58.377000000000002</v>
      </c>
      <c r="O1075" s="5">
        <f t="shared" si="51"/>
        <v>4.4165999999999999</v>
      </c>
      <c r="P1075" s="5">
        <f t="shared" si="51"/>
        <v>14.7493</v>
      </c>
      <c r="Q1075" s="5">
        <f t="shared" si="51"/>
        <v>357.99180000000001</v>
      </c>
      <c r="R1075" s="5"/>
      <c r="S1075" s="6"/>
    </row>
    <row r="1076" spans="1:19" ht="15" customHeight="1">
      <c r="A1076" s="3">
        <f t="shared" si="45"/>
        <v>2041</v>
      </c>
      <c r="B1076" s="8">
        <f t="shared" ref="B1076:J1076" si="52">AVERAGE(B329:B340)</f>
        <v>9.9919583333333346</v>
      </c>
      <c r="C1076" s="8">
        <f t="shared" si="52"/>
        <v>9.9983333333333331</v>
      </c>
      <c r="D1076" s="8">
        <f t="shared" si="52"/>
        <v>10.008216666666666</v>
      </c>
      <c r="E1076" s="8">
        <f t="shared" si="52"/>
        <v>10.003983333333332</v>
      </c>
      <c r="F1076" s="4">
        <f t="shared" si="52"/>
        <v>10.679425</v>
      </c>
      <c r="G1076" s="8">
        <f t="shared" si="52"/>
        <v>9.7465583333333345</v>
      </c>
      <c r="H1076" s="4">
        <f t="shared" si="52"/>
        <v>10.665391666666666</v>
      </c>
      <c r="I1076" s="8">
        <f t="shared" si="52"/>
        <v>9.6947583333333345</v>
      </c>
      <c r="J1076" s="4">
        <f t="shared" si="52"/>
        <v>9.5651500000000009</v>
      </c>
      <c r="K1076" s="7"/>
      <c r="L1076" s="5">
        <f t="shared" ref="L1076:Q1076" si="53">SUM(L329:L340)</f>
        <v>355.53689999999995</v>
      </c>
      <c r="M1076" s="5">
        <f t="shared" si="53"/>
        <v>142.0401</v>
      </c>
      <c r="N1076" s="5">
        <f t="shared" si="53"/>
        <v>58.217499999999994</v>
      </c>
      <c r="O1076" s="5">
        <f t="shared" si="53"/>
        <v>4.4046000000000003</v>
      </c>
      <c r="P1076" s="5">
        <f t="shared" si="53"/>
        <v>14.707600000000001</v>
      </c>
      <c r="Q1076" s="5">
        <f t="shared" si="53"/>
        <v>356.26930000000004</v>
      </c>
      <c r="R1076" s="5"/>
      <c r="S1076" s="6"/>
    </row>
    <row r="1077" spans="1:19" ht="15" customHeight="1">
      <c r="A1077" s="3">
        <f t="shared" si="45"/>
        <v>2042</v>
      </c>
      <c r="B1077" s="8">
        <f t="shared" ref="B1077:J1077" si="54">AVERAGE(B341:B352)</f>
        <v>10.231300000000001</v>
      </c>
      <c r="C1077" s="8">
        <f t="shared" si="54"/>
        <v>10.237675000000001</v>
      </c>
      <c r="D1077" s="8">
        <f t="shared" si="54"/>
        <v>10.247550000000002</v>
      </c>
      <c r="E1077" s="8">
        <f t="shared" si="54"/>
        <v>10.243325</v>
      </c>
      <c r="F1077" s="4">
        <f t="shared" si="54"/>
        <v>10.918750000000001</v>
      </c>
      <c r="G1077" s="8">
        <f t="shared" si="54"/>
        <v>9.9803083333333316</v>
      </c>
      <c r="H1077" s="4">
        <f t="shared" si="54"/>
        <v>10.899158333333334</v>
      </c>
      <c r="I1077" s="8">
        <f t="shared" si="54"/>
        <v>9.9246666666666652</v>
      </c>
      <c r="J1077" s="4">
        <f t="shared" si="54"/>
        <v>9.7949583333333337</v>
      </c>
      <c r="K1077" s="7"/>
      <c r="L1077" s="5">
        <f t="shared" ref="L1077:Q1077" si="55">SUM(L341:L352)</f>
        <v>355.53689999999995</v>
      </c>
      <c r="M1077" s="5">
        <f t="shared" si="55"/>
        <v>142.0401</v>
      </c>
      <c r="N1077" s="5">
        <f t="shared" si="55"/>
        <v>58.217499999999994</v>
      </c>
      <c r="O1077" s="5">
        <f t="shared" si="55"/>
        <v>4.4046000000000003</v>
      </c>
      <c r="P1077" s="5">
        <f t="shared" si="55"/>
        <v>14.707600000000001</v>
      </c>
      <c r="Q1077" s="5">
        <f t="shared" si="55"/>
        <v>242.47669999999997</v>
      </c>
      <c r="R1077" s="5"/>
      <c r="S1077" s="6"/>
    </row>
    <row r="1078" spans="1:19" ht="15" customHeight="1">
      <c r="A1078" s="3">
        <f t="shared" si="45"/>
        <v>2043</v>
      </c>
      <c r="B1078" s="8">
        <f t="shared" ref="B1078:J1078" si="56">AVERAGE(B353:B364)</f>
        <v>10.476391666666666</v>
      </c>
      <c r="C1078" s="8">
        <f t="shared" si="56"/>
        <v>10.482758333333331</v>
      </c>
      <c r="D1078" s="8">
        <f t="shared" si="56"/>
        <v>10.492649999999999</v>
      </c>
      <c r="E1078" s="8">
        <f t="shared" si="56"/>
        <v>10.488416666666668</v>
      </c>
      <c r="F1078" s="4">
        <f t="shared" si="56"/>
        <v>11.163858333333335</v>
      </c>
      <c r="G1078" s="8">
        <f t="shared" si="56"/>
        <v>10.219708333333331</v>
      </c>
      <c r="H1078" s="4">
        <f t="shared" si="56"/>
        <v>11.138533333333333</v>
      </c>
      <c r="I1078" s="8">
        <f t="shared" si="56"/>
        <v>10.160091666666666</v>
      </c>
      <c r="J1078" s="4">
        <f t="shared" si="56"/>
        <v>10.030258333333334</v>
      </c>
      <c r="K1078" s="7"/>
      <c r="L1078" s="5">
        <f t="shared" ref="L1078:Q1078" si="57">SUM(L353:L364)</f>
        <v>355.53689999999995</v>
      </c>
      <c r="M1078" s="5">
        <f t="shared" si="57"/>
        <v>142.0401</v>
      </c>
      <c r="N1078" s="5">
        <f t="shared" si="57"/>
        <v>58.217499999999994</v>
      </c>
      <c r="O1078" s="5">
        <f t="shared" si="57"/>
        <v>4.4046000000000003</v>
      </c>
      <c r="P1078" s="5">
        <f t="shared" si="57"/>
        <v>14.707600000000001</v>
      </c>
      <c r="Q1078" s="5">
        <f t="shared" si="57"/>
        <v>241.71019999999996</v>
      </c>
      <c r="R1078" s="5"/>
      <c r="S1078" s="6"/>
    </row>
    <row r="1079" spans="1:19" ht="15" customHeight="1">
      <c r="A1079" s="3">
        <f t="shared" si="45"/>
        <v>2044</v>
      </c>
      <c r="B1079" s="8">
        <f t="shared" ref="B1079:J1079" si="58">AVERAGE(B365:B376)</f>
        <v>10.727391666666664</v>
      </c>
      <c r="C1079" s="8">
        <f t="shared" si="58"/>
        <v>10.733758333333334</v>
      </c>
      <c r="D1079" s="8">
        <f t="shared" si="58"/>
        <v>10.743641666666667</v>
      </c>
      <c r="E1079" s="8">
        <f t="shared" si="58"/>
        <v>10.739408333333332</v>
      </c>
      <c r="F1079" s="4">
        <f t="shared" si="58"/>
        <v>11.414833333333334</v>
      </c>
      <c r="G1079" s="8">
        <f t="shared" si="58"/>
        <v>10.46485</v>
      </c>
      <c r="H1079" s="4">
        <f t="shared" si="58"/>
        <v>11.383666666666668</v>
      </c>
      <c r="I1079" s="8">
        <f t="shared" si="58"/>
        <v>10.401191666666666</v>
      </c>
      <c r="J1079" s="4">
        <f t="shared" si="58"/>
        <v>10.27125</v>
      </c>
      <c r="K1079" s="7"/>
      <c r="L1079" s="5">
        <f t="shared" ref="L1079:Q1079" si="59">SUM(L365:L376)</f>
        <v>356.48229999999995</v>
      </c>
      <c r="M1079" s="5">
        <f t="shared" si="59"/>
        <v>142.42920000000001</v>
      </c>
      <c r="N1079" s="5">
        <f t="shared" si="59"/>
        <v>58.377000000000002</v>
      </c>
      <c r="O1079" s="5">
        <f t="shared" si="59"/>
        <v>4.4165999999999999</v>
      </c>
      <c r="P1079" s="5">
        <f t="shared" si="59"/>
        <v>14.7493</v>
      </c>
      <c r="Q1079" s="5">
        <f t="shared" si="59"/>
        <v>241.58220000000006</v>
      </c>
      <c r="R1079" s="5"/>
      <c r="S1079" s="6"/>
    </row>
    <row r="1080" spans="1:19" ht="15" customHeight="1">
      <c r="A1080" s="3">
        <f t="shared" si="45"/>
        <v>2045</v>
      </c>
      <c r="B1080" s="8">
        <f t="shared" ref="B1080:J1080" si="60">AVERAGE(B377:B388)</f>
        <v>10.984400000000001</v>
      </c>
      <c r="C1080" s="8">
        <f t="shared" si="60"/>
        <v>10.990758333333334</v>
      </c>
      <c r="D1080" s="8">
        <f t="shared" si="60"/>
        <v>11.000658333333334</v>
      </c>
      <c r="E1080" s="8">
        <f t="shared" si="60"/>
        <v>10.996424999999997</v>
      </c>
      <c r="F1080" s="4">
        <f t="shared" si="60"/>
        <v>11.671849999999999</v>
      </c>
      <c r="G1080" s="8">
        <f t="shared" si="60"/>
        <v>10.715866666666669</v>
      </c>
      <c r="H1080" s="4">
        <f t="shared" si="60"/>
        <v>11.6347</v>
      </c>
      <c r="I1080" s="8">
        <f t="shared" si="60"/>
        <v>10.648083333333334</v>
      </c>
      <c r="J1080" s="4">
        <f t="shared" si="60"/>
        <v>10.518008333333333</v>
      </c>
      <c r="K1080" s="7"/>
      <c r="L1080" s="5">
        <f t="shared" ref="L1080:Q1080" si="61">SUM(L377:L388)</f>
        <v>355.53689999999995</v>
      </c>
      <c r="M1080" s="5">
        <f t="shared" si="61"/>
        <v>142.0401</v>
      </c>
      <c r="N1080" s="5">
        <f t="shared" si="61"/>
        <v>58.217499999999994</v>
      </c>
      <c r="O1080" s="5">
        <f t="shared" si="61"/>
        <v>4.4046000000000003</v>
      </c>
      <c r="P1080" s="5">
        <f t="shared" si="61"/>
        <v>14.707600000000001</v>
      </c>
      <c r="Q1080" s="5">
        <f t="shared" si="61"/>
        <v>240.15570000000002</v>
      </c>
      <c r="R1080" s="5"/>
      <c r="S1080" s="6"/>
    </row>
    <row r="1081" spans="1:19" ht="15" customHeight="1">
      <c r="A1081" s="3">
        <f t="shared" si="45"/>
        <v>2046</v>
      </c>
      <c r="B1081" s="8">
        <f t="shared" ref="B1081:J1081" si="62">AVERAGE(B389:B400)</f>
        <v>11.247591666666667</v>
      </c>
      <c r="C1081" s="8">
        <f t="shared" si="62"/>
        <v>11.253966666666665</v>
      </c>
      <c r="D1081" s="8">
        <f t="shared" si="62"/>
        <v>11.263849999999998</v>
      </c>
      <c r="E1081" s="8">
        <f t="shared" si="62"/>
        <v>11.259616666666666</v>
      </c>
      <c r="F1081" s="4">
        <f t="shared" si="62"/>
        <v>11.935049999999999</v>
      </c>
      <c r="G1081" s="8">
        <f t="shared" si="62"/>
        <v>10.972916666666665</v>
      </c>
      <c r="H1081" s="4">
        <f t="shared" si="62"/>
        <v>11.891775000000001</v>
      </c>
      <c r="I1081" s="8">
        <f t="shared" si="62"/>
        <v>10.900883333333333</v>
      </c>
      <c r="J1081" s="4">
        <f t="shared" si="62"/>
        <v>10.770683333333332</v>
      </c>
      <c r="K1081" s="7"/>
      <c r="L1081" s="5">
        <f t="shared" ref="L1081:Q1081" si="63">SUM(L389:L400)</f>
        <v>355.53689999999995</v>
      </c>
      <c r="M1081" s="5">
        <f t="shared" si="63"/>
        <v>142.0401</v>
      </c>
      <c r="N1081" s="5">
        <f t="shared" si="63"/>
        <v>58.217499999999994</v>
      </c>
      <c r="O1081" s="5">
        <f t="shared" si="63"/>
        <v>4.4046000000000003</v>
      </c>
      <c r="P1081" s="5">
        <f t="shared" si="63"/>
        <v>14.707600000000001</v>
      </c>
      <c r="Q1081" s="5">
        <f t="shared" si="63"/>
        <v>239.38920000000005</v>
      </c>
      <c r="R1081" s="5"/>
      <c r="S1081" s="6"/>
    </row>
    <row r="1082" spans="1:19" ht="15" customHeight="1">
      <c r="A1082" s="3">
        <f t="shared" si="45"/>
        <v>2047</v>
      </c>
      <c r="B1082" s="8">
        <f t="shared" ref="B1082:J1082" si="64">AVERAGE(B401:B412)</f>
        <v>11.517091666666666</v>
      </c>
      <c r="C1082" s="8">
        <f t="shared" si="64"/>
        <v>11.523474999999999</v>
      </c>
      <c r="D1082" s="8">
        <f t="shared" si="64"/>
        <v>11.533375000000001</v>
      </c>
      <c r="E1082" s="8">
        <f t="shared" si="64"/>
        <v>11.529125000000001</v>
      </c>
      <c r="F1082" s="4">
        <f t="shared" si="64"/>
        <v>12.204566666666665</v>
      </c>
      <c r="G1082" s="8">
        <f t="shared" si="64"/>
        <v>11.23615</v>
      </c>
      <c r="H1082" s="4">
        <f t="shared" si="64"/>
        <v>12.155000000000001</v>
      </c>
      <c r="I1082" s="8">
        <f t="shared" si="64"/>
        <v>11.159766666666664</v>
      </c>
      <c r="J1082" s="4">
        <f t="shared" si="64"/>
        <v>11.029441666666669</v>
      </c>
      <c r="K1082" s="7"/>
      <c r="L1082" s="5">
        <f t="shared" ref="L1082:Q1082" si="65">SUM(L401:L412)</f>
        <v>355.53689999999995</v>
      </c>
      <c r="M1082" s="5">
        <f t="shared" si="65"/>
        <v>142.0401</v>
      </c>
      <c r="N1082" s="5">
        <f t="shared" si="65"/>
        <v>58.217499999999994</v>
      </c>
      <c r="O1082" s="5">
        <f t="shared" si="65"/>
        <v>4.4046000000000003</v>
      </c>
      <c r="P1082" s="5">
        <f t="shared" si="65"/>
        <v>14.707600000000001</v>
      </c>
      <c r="Q1082" s="5">
        <f t="shared" si="65"/>
        <v>238.62270000000004</v>
      </c>
      <c r="R1082" s="5"/>
      <c r="S1082" s="6"/>
    </row>
    <row r="1083" spans="1:19" ht="15" customHeight="1">
      <c r="A1083" s="3">
        <f t="shared" si="45"/>
        <v>2048</v>
      </c>
      <c r="B1083" s="8">
        <f t="shared" ref="B1083:J1083" si="66">AVERAGE(B413:B424)</f>
        <v>11.793083333333334</v>
      </c>
      <c r="C1083" s="8">
        <f t="shared" si="66"/>
        <v>11.79945</v>
      </c>
      <c r="D1083" s="8">
        <f t="shared" si="66"/>
        <v>11.809333333333333</v>
      </c>
      <c r="E1083" s="8">
        <f t="shared" si="66"/>
        <v>11.805100000000001</v>
      </c>
      <c r="F1083" s="4">
        <f t="shared" si="66"/>
        <v>12.480541666666666</v>
      </c>
      <c r="G1083" s="8">
        <f t="shared" si="66"/>
        <v>11.505708333333333</v>
      </c>
      <c r="H1083" s="4">
        <f t="shared" si="66"/>
        <v>12.424549999999998</v>
      </c>
      <c r="I1083" s="8">
        <f t="shared" si="66"/>
        <v>11.424891666666667</v>
      </c>
      <c r="J1083" s="4">
        <f t="shared" si="66"/>
        <v>11.294408333333331</v>
      </c>
      <c r="K1083" s="7"/>
      <c r="L1083" s="5">
        <f t="shared" ref="L1083:Q1083" si="67">SUM(L413:L424)</f>
        <v>356.48229999999995</v>
      </c>
      <c r="M1083" s="5">
        <f t="shared" si="67"/>
        <v>142.42920000000001</v>
      </c>
      <c r="N1083" s="5">
        <f t="shared" si="67"/>
        <v>58.377000000000002</v>
      </c>
      <c r="O1083" s="5">
        <f t="shared" si="67"/>
        <v>4.4165999999999999</v>
      </c>
      <c r="P1083" s="5">
        <f t="shared" si="67"/>
        <v>14.7493</v>
      </c>
      <c r="Q1083" s="5">
        <f t="shared" si="67"/>
        <v>238.50780000000003</v>
      </c>
      <c r="R1083" s="5"/>
      <c r="S1083" s="6"/>
    </row>
    <row r="1084" spans="1:19" ht="15" customHeight="1">
      <c r="A1084" s="3">
        <f t="shared" si="45"/>
        <v>2049</v>
      </c>
      <c r="B1084" s="8">
        <f t="shared" ref="B1084:J1084" si="68">AVERAGE(B425:B436)</f>
        <v>12.075716666666667</v>
      </c>
      <c r="C1084" s="8">
        <f t="shared" si="68"/>
        <v>12.082075000000001</v>
      </c>
      <c r="D1084" s="8">
        <f t="shared" si="68"/>
        <v>12.091975000000003</v>
      </c>
      <c r="E1084" s="8">
        <f t="shared" si="68"/>
        <v>12.087733333333334</v>
      </c>
      <c r="F1084" s="4">
        <f t="shared" si="68"/>
        <v>12.763174999999999</v>
      </c>
      <c r="G1084" s="8">
        <f t="shared" si="68"/>
        <v>11.78173333333333</v>
      </c>
      <c r="H1084" s="4">
        <f t="shared" si="68"/>
        <v>12.7006</v>
      </c>
      <c r="I1084" s="8">
        <f t="shared" si="68"/>
        <v>11.696375000000002</v>
      </c>
      <c r="J1084" s="4">
        <f t="shared" si="68"/>
        <v>11.565766666666667</v>
      </c>
      <c r="K1084" s="7"/>
      <c r="L1084" s="5">
        <f t="shared" ref="L1084:Q1084" si="69">SUM(L425:L436)</f>
        <v>355.53689999999995</v>
      </c>
      <c r="M1084" s="5">
        <f t="shared" si="69"/>
        <v>142.0401</v>
      </c>
      <c r="N1084" s="5">
        <f t="shared" si="69"/>
        <v>58.217499999999994</v>
      </c>
      <c r="O1084" s="5">
        <f t="shared" si="69"/>
        <v>4.4046000000000003</v>
      </c>
      <c r="P1084" s="5">
        <f t="shared" si="69"/>
        <v>14.707600000000001</v>
      </c>
      <c r="Q1084" s="5">
        <f t="shared" si="69"/>
        <v>237.08969999999999</v>
      </c>
      <c r="R1084" s="5"/>
      <c r="S1084" s="6"/>
    </row>
    <row r="1085" spans="1:19" ht="15" customHeight="1">
      <c r="A1085" s="3">
        <f t="shared" si="45"/>
        <v>2050</v>
      </c>
      <c r="B1085" s="8">
        <f t="shared" ref="B1085:J1085" si="70">AVERAGE(B437:B448)</f>
        <v>12.365108333333334</v>
      </c>
      <c r="C1085" s="8">
        <f t="shared" si="70"/>
        <v>12.371491666666666</v>
      </c>
      <c r="D1085" s="8">
        <f t="shared" si="70"/>
        <v>12.381383333333332</v>
      </c>
      <c r="E1085" s="8">
        <f t="shared" si="70"/>
        <v>12.377133333333333</v>
      </c>
      <c r="F1085" s="4">
        <f t="shared" si="70"/>
        <v>13.052583333333333</v>
      </c>
      <c r="G1085" s="8">
        <f t="shared" si="70"/>
        <v>12.064425</v>
      </c>
      <c r="H1085" s="4">
        <f t="shared" si="70"/>
        <v>12.983266666666665</v>
      </c>
      <c r="I1085" s="8">
        <f t="shared" si="70"/>
        <v>11.974375000000002</v>
      </c>
      <c r="J1085" s="4">
        <f t="shared" si="70"/>
        <v>11.843633333333331</v>
      </c>
      <c r="K1085" s="7"/>
      <c r="L1085" s="5">
        <f t="shared" ref="L1085:Q1085" si="71">SUM(L437:L448)</f>
        <v>355.53689999999995</v>
      </c>
      <c r="M1085" s="5">
        <f t="shared" si="71"/>
        <v>142.0401</v>
      </c>
      <c r="N1085" s="5">
        <f t="shared" si="71"/>
        <v>58.217499999999994</v>
      </c>
      <c r="O1085" s="5">
        <f t="shared" si="71"/>
        <v>4.4046000000000003</v>
      </c>
      <c r="P1085" s="5">
        <f t="shared" si="71"/>
        <v>14.707600000000001</v>
      </c>
      <c r="Q1085" s="5">
        <f t="shared" si="71"/>
        <v>236.32320000000004</v>
      </c>
      <c r="R1085" s="5"/>
      <c r="S1085" s="6"/>
    </row>
    <row r="1086" spans="1:19" ht="15" customHeight="1">
      <c r="A1086" s="3">
        <f t="shared" si="45"/>
        <v>2051</v>
      </c>
      <c r="B1086" s="8">
        <f t="shared" ref="B1086:J1086" si="72">AVERAGE(B449:B460)</f>
        <v>12.661475000000001</v>
      </c>
      <c r="C1086" s="8">
        <f t="shared" si="72"/>
        <v>12.667858333333333</v>
      </c>
      <c r="D1086" s="8">
        <f t="shared" si="72"/>
        <v>12.677741666666664</v>
      </c>
      <c r="E1086" s="8">
        <f t="shared" si="72"/>
        <v>12.673508333333332</v>
      </c>
      <c r="F1086" s="4">
        <f t="shared" si="72"/>
        <v>13.348933333333335</v>
      </c>
      <c r="G1086" s="8">
        <f t="shared" si="72"/>
        <v>12.353866666666669</v>
      </c>
      <c r="H1086" s="4">
        <f t="shared" si="72"/>
        <v>13.272724999999999</v>
      </c>
      <c r="I1086" s="8">
        <f t="shared" si="72"/>
        <v>12.259041666666667</v>
      </c>
      <c r="J1086" s="4">
        <f t="shared" si="72"/>
        <v>12.128166666666665</v>
      </c>
      <c r="K1086" s="7"/>
      <c r="L1086" s="5">
        <f t="shared" ref="L1086:Q1086" si="73">SUM(L449:L460)</f>
        <v>355.53689999999995</v>
      </c>
      <c r="M1086" s="5">
        <f t="shared" si="73"/>
        <v>142.0401</v>
      </c>
      <c r="N1086" s="5">
        <f t="shared" si="73"/>
        <v>58.217499999999994</v>
      </c>
      <c r="O1086" s="5">
        <f t="shared" si="73"/>
        <v>4.4046000000000003</v>
      </c>
      <c r="P1086" s="5">
        <f t="shared" si="73"/>
        <v>14.707600000000001</v>
      </c>
      <c r="Q1086" s="5">
        <f t="shared" si="73"/>
        <v>235.57820000000007</v>
      </c>
      <c r="R1086" s="5"/>
      <c r="S1086" s="6"/>
    </row>
    <row r="1087" spans="1:19" ht="15" customHeight="1">
      <c r="A1087" s="3">
        <f t="shared" si="45"/>
        <v>2052</v>
      </c>
      <c r="B1087" s="8">
        <f t="shared" ref="B1087:J1087" si="74">AVERAGE(B461:B472)</f>
        <v>12.964966666666667</v>
      </c>
      <c r="C1087" s="8">
        <f t="shared" si="74"/>
        <v>12.971341666666667</v>
      </c>
      <c r="D1087" s="8">
        <f t="shared" si="74"/>
        <v>12.981225</v>
      </c>
      <c r="E1087" s="8">
        <f t="shared" si="74"/>
        <v>12.976983333333331</v>
      </c>
      <c r="F1087" s="4">
        <f t="shared" si="74"/>
        <v>13.652425000000003</v>
      </c>
      <c r="G1087" s="8">
        <f t="shared" si="74"/>
        <v>12.6503</v>
      </c>
      <c r="H1087" s="4">
        <f t="shared" si="74"/>
        <v>13.569133333333333</v>
      </c>
      <c r="I1087" s="8">
        <f t="shared" si="74"/>
        <v>12.550558333333333</v>
      </c>
      <c r="J1087" s="4">
        <f t="shared" si="74"/>
        <v>12.419533333333334</v>
      </c>
      <c r="K1087" s="7"/>
      <c r="L1087" s="5">
        <f t="shared" ref="L1087:Q1087" si="75">SUM(L461:L472)</f>
        <v>356.48229999999995</v>
      </c>
      <c r="M1087" s="5">
        <f t="shared" si="75"/>
        <v>142.42920000000001</v>
      </c>
      <c r="N1087" s="5">
        <f t="shared" si="75"/>
        <v>58.377000000000002</v>
      </c>
      <c r="O1087" s="5">
        <f t="shared" si="75"/>
        <v>4.4165999999999999</v>
      </c>
      <c r="P1087" s="5">
        <f t="shared" si="75"/>
        <v>14.7493</v>
      </c>
      <c r="Q1087" s="5">
        <f t="shared" si="75"/>
        <v>235.45500000000004</v>
      </c>
      <c r="R1087" s="5"/>
      <c r="S1087" s="6"/>
    </row>
    <row r="1088" spans="1:19" ht="15" customHeight="1">
      <c r="A1088" s="3">
        <f t="shared" si="45"/>
        <v>2053</v>
      </c>
      <c r="B1088" s="8">
        <f t="shared" ref="B1088:J1088" si="76">AVERAGE(B473:B484)</f>
        <v>13.275750000000002</v>
      </c>
      <c r="C1088" s="8">
        <f t="shared" si="76"/>
        <v>13.282116666666667</v>
      </c>
      <c r="D1088" s="8">
        <f t="shared" si="76"/>
        <v>13.292016666666663</v>
      </c>
      <c r="E1088" s="8">
        <f t="shared" si="76"/>
        <v>13.287783333333332</v>
      </c>
      <c r="F1088" s="4">
        <f t="shared" si="76"/>
        <v>13.963208333333332</v>
      </c>
      <c r="G1088" s="8">
        <f t="shared" si="76"/>
        <v>12.953825</v>
      </c>
      <c r="H1088" s="4">
        <f t="shared" si="76"/>
        <v>13.872675000000001</v>
      </c>
      <c r="I1088" s="8">
        <f t="shared" si="76"/>
        <v>12.849083333333333</v>
      </c>
      <c r="J1088" s="4">
        <f t="shared" si="76"/>
        <v>12.717908333333334</v>
      </c>
      <c r="K1088" s="7"/>
      <c r="L1088" s="5">
        <f t="shared" ref="L1088:Q1088" si="77">SUM(L473:L484)</f>
        <v>355.53689999999995</v>
      </c>
      <c r="M1088" s="5">
        <f t="shared" si="77"/>
        <v>142.0401</v>
      </c>
      <c r="N1088" s="5">
        <f t="shared" si="77"/>
        <v>58.217499999999994</v>
      </c>
      <c r="O1088" s="5">
        <f t="shared" si="77"/>
        <v>4.4046000000000003</v>
      </c>
      <c r="P1088" s="5">
        <f t="shared" si="77"/>
        <v>14.707600000000001</v>
      </c>
      <c r="Q1088" s="5">
        <f t="shared" si="77"/>
        <v>234.04520000000002</v>
      </c>
      <c r="R1088" s="5"/>
      <c r="S1088" s="6"/>
    </row>
    <row r="1089" spans="1:19" ht="15" customHeight="1">
      <c r="A1089" s="3">
        <f t="shared" si="45"/>
        <v>2054</v>
      </c>
      <c r="B1089" s="8">
        <f t="shared" ref="B1089:J1089" si="78">AVERAGE(B485:B496)</f>
        <v>13.594008333333335</v>
      </c>
      <c r="C1089" s="8">
        <f t="shared" si="78"/>
        <v>13.600350000000001</v>
      </c>
      <c r="D1089" s="8">
        <f t="shared" si="78"/>
        <v>13.610241666666667</v>
      </c>
      <c r="E1089" s="8">
        <f t="shared" si="78"/>
        <v>13.606000000000002</v>
      </c>
      <c r="F1089" s="4">
        <f t="shared" si="78"/>
        <v>14.28145</v>
      </c>
      <c r="G1089" s="8">
        <f t="shared" si="78"/>
        <v>13.264675000000002</v>
      </c>
      <c r="H1089" s="4">
        <f t="shared" si="78"/>
        <v>14.183516666666668</v>
      </c>
      <c r="I1089" s="8">
        <f t="shared" si="78"/>
        <v>13.1548</v>
      </c>
      <c r="J1089" s="4">
        <f t="shared" si="78"/>
        <v>13.023458333333332</v>
      </c>
      <c r="K1089" s="7"/>
      <c r="L1089" s="5">
        <f t="shared" ref="L1089:Q1089" si="79">SUM(L485:L496)</f>
        <v>355.53689999999995</v>
      </c>
      <c r="M1089" s="5">
        <f t="shared" si="79"/>
        <v>142.0401</v>
      </c>
      <c r="N1089" s="5">
        <f t="shared" si="79"/>
        <v>58.217499999999994</v>
      </c>
      <c r="O1089" s="5">
        <f t="shared" si="79"/>
        <v>4.4046000000000003</v>
      </c>
      <c r="P1089" s="5">
        <f t="shared" si="79"/>
        <v>14.707600000000001</v>
      </c>
      <c r="Q1089" s="5">
        <f t="shared" si="79"/>
        <v>233.30079999999998</v>
      </c>
      <c r="R1089" s="5"/>
      <c r="S1089" s="6"/>
    </row>
    <row r="1090" spans="1:19" ht="15" customHeight="1">
      <c r="A1090" s="3">
        <f t="shared" si="45"/>
        <v>2055</v>
      </c>
      <c r="B1090" s="8">
        <f t="shared" ref="B1090:J1090" si="80">AVERAGE(B497:B508)</f>
        <v>13.919883333333333</v>
      </c>
      <c r="C1090" s="8">
        <f t="shared" si="80"/>
        <v>13.926241666666668</v>
      </c>
      <c r="D1090" s="8">
        <f t="shared" si="80"/>
        <v>13.936124999999999</v>
      </c>
      <c r="E1090" s="8">
        <f t="shared" si="80"/>
        <v>13.931899999999999</v>
      </c>
      <c r="F1090" s="4">
        <f t="shared" si="80"/>
        <v>14.607316666666668</v>
      </c>
      <c r="G1090" s="8">
        <f t="shared" si="80"/>
        <v>13.582966666666666</v>
      </c>
      <c r="H1090" s="4">
        <f t="shared" si="80"/>
        <v>14.501800000000001</v>
      </c>
      <c r="I1090" s="8">
        <f t="shared" si="80"/>
        <v>13.467850000000004</v>
      </c>
      <c r="J1090" s="4">
        <f t="shared" si="80"/>
        <v>13.336350000000001</v>
      </c>
      <c r="K1090" s="7"/>
      <c r="L1090" s="5">
        <f t="shared" ref="L1090:Q1090" si="81">SUM(L497:L508)</f>
        <v>355.53689999999995</v>
      </c>
      <c r="M1090" s="5">
        <f t="shared" si="81"/>
        <v>142.0401</v>
      </c>
      <c r="N1090" s="5">
        <f t="shared" si="81"/>
        <v>58.217499999999994</v>
      </c>
      <c r="O1090" s="5">
        <f t="shared" si="81"/>
        <v>4.4046000000000003</v>
      </c>
      <c r="P1090" s="5">
        <f t="shared" si="81"/>
        <v>14.707600000000001</v>
      </c>
      <c r="Q1090" s="5">
        <f t="shared" si="81"/>
        <v>232.55579999999998</v>
      </c>
      <c r="R1090" s="5"/>
      <c r="S1090" s="6"/>
    </row>
    <row r="1091" spans="1:19" ht="15" customHeight="1">
      <c r="A1091" s="3">
        <f t="shared" si="45"/>
        <v>2056</v>
      </c>
      <c r="B1091" s="8">
        <f t="shared" ref="B1091:J1091" si="82">AVERAGE(B509:B520)</f>
        <v>14.253608333333331</v>
      </c>
      <c r="C1091" s="8">
        <f t="shared" si="82"/>
        <v>14.259974999999999</v>
      </c>
      <c r="D1091" s="8">
        <f t="shared" si="82"/>
        <v>14.269866666666667</v>
      </c>
      <c r="E1091" s="8">
        <f t="shared" si="82"/>
        <v>14.265624999999998</v>
      </c>
      <c r="F1091" s="4">
        <f t="shared" si="82"/>
        <v>14.941058333333332</v>
      </c>
      <c r="G1091" s="8">
        <f t="shared" si="82"/>
        <v>13.908916666666668</v>
      </c>
      <c r="H1091" s="4">
        <f t="shared" si="82"/>
        <v>14.827741666666666</v>
      </c>
      <c r="I1091" s="8">
        <f t="shared" si="82"/>
        <v>13.788408333333336</v>
      </c>
      <c r="J1091" s="4">
        <f t="shared" si="82"/>
        <v>13.656758333333331</v>
      </c>
      <c r="K1091" s="7"/>
      <c r="L1091" s="5">
        <f t="shared" ref="L1091:Q1091" si="83">SUM(L509:L520)</f>
        <v>356.48229999999995</v>
      </c>
      <c r="M1091" s="5">
        <f t="shared" si="83"/>
        <v>142.42920000000001</v>
      </c>
      <c r="N1091" s="5">
        <f t="shared" si="83"/>
        <v>58.377000000000002</v>
      </c>
      <c r="O1091" s="5">
        <f t="shared" si="83"/>
        <v>4.4165999999999999</v>
      </c>
      <c r="P1091" s="5">
        <f t="shared" si="83"/>
        <v>14.7493</v>
      </c>
      <c r="Q1091" s="5">
        <f t="shared" si="83"/>
        <v>232.44659999999996</v>
      </c>
      <c r="R1091" s="5"/>
      <c r="S1091" s="6"/>
    </row>
    <row r="1092" spans="1:19" ht="15" customHeight="1">
      <c r="A1092" s="3">
        <f t="shared" si="45"/>
        <v>2057</v>
      </c>
      <c r="B1092" s="8">
        <f t="shared" ref="B1092:J1092" si="84">AVERAGE(B521:B532)</f>
        <v>14.595358333333337</v>
      </c>
      <c r="C1092" s="8">
        <f t="shared" si="84"/>
        <v>14.601700000000001</v>
      </c>
      <c r="D1092" s="8">
        <f t="shared" si="84"/>
        <v>14.611599999999997</v>
      </c>
      <c r="E1092" s="8">
        <f t="shared" si="84"/>
        <v>14.607358333333332</v>
      </c>
      <c r="F1092" s="4">
        <f t="shared" si="84"/>
        <v>15.282791666666666</v>
      </c>
      <c r="G1092" s="8">
        <f t="shared" si="84"/>
        <v>14.242683333333332</v>
      </c>
      <c r="H1092" s="4">
        <f t="shared" si="84"/>
        <v>15.161541666666666</v>
      </c>
      <c r="I1092" s="8">
        <f t="shared" si="84"/>
        <v>14.116658333333334</v>
      </c>
      <c r="J1092" s="4">
        <f t="shared" si="84"/>
        <v>13.984866666666667</v>
      </c>
      <c r="K1092" s="7"/>
      <c r="L1092" s="5">
        <f t="shared" ref="L1092:Q1092" si="85">SUM(L521:L532)</f>
        <v>355.53689999999995</v>
      </c>
      <c r="M1092" s="5">
        <f t="shared" si="85"/>
        <v>142.0401</v>
      </c>
      <c r="N1092" s="5">
        <f t="shared" si="85"/>
        <v>58.217499999999994</v>
      </c>
      <c r="O1092" s="5">
        <f t="shared" si="85"/>
        <v>4.4046000000000003</v>
      </c>
      <c r="P1092" s="5">
        <f t="shared" si="85"/>
        <v>14.707600000000001</v>
      </c>
      <c r="Q1092" s="5">
        <f t="shared" si="85"/>
        <v>231.81149999999997</v>
      </c>
      <c r="R1092" s="5"/>
      <c r="S1092" s="6"/>
    </row>
    <row r="1093" spans="1:19" ht="15" customHeight="1">
      <c r="A1093" s="3">
        <f t="shared" si="45"/>
        <v>2058</v>
      </c>
      <c r="B1093" s="8">
        <f t="shared" ref="B1093:J1093" si="86">AVERAGE(B533:B544)</f>
        <v>14.945283333333334</v>
      </c>
      <c r="C1093" s="8">
        <f t="shared" si="86"/>
        <v>14.951658333333334</v>
      </c>
      <c r="D1093" s="8">
        <f t="shared" si="86"/>
        <v>14.961541666666669</v>
      </c>
      <c r="E1093" s="8">
        <f t="shared" si="86"/>
        <v>14.957308333333332</v>
      </c>
      <c r="F1093" s="4">
        <f t="shared" si="86"/>
        <v>15.632766666666667</v>
      </c>
      <c r="G1093" s="8">
        <f t="shared" si="86"/>
        <v>14.584499999999998</v>
      </c>
      <c r="H1093" s="4">
        <f t="shared" si="86"/>
        <v>15.503324999999998</v>
      </c>
      <c r="I1093" s="8">
        <f t="shared" si="86"/>
        <v>14.452841666666666</v>
      </c>
      <c r="J1093" s="4">
        <f t="shared" si="86"/>
        <v>14.320841666666668</v>
      </c>
      <c r="K1093" s="7"/>
      <c r="L1093" s="5">
        <f t="shared" ref="L1093:Q1093" si="87">SUM(L533:L544)</f>
        <v>355.53689999999995</v>
      </c>
      <c r="M1093" s="5">
        <f t="shared" si="87"/>
        <v>142.0401</v>
      </c>
      <c r="N1093" s="5">
        <f t="shared" si="87"/>
        <v>58.217499999999994</v>
      </c>
      <c r="O1093" s="5">
        <f t="shared" si="87"/>
        <v>4.4046000000000003</v>
      </c>
      <c r="P1093" s="5">
        <f t="shared" si="87"/>
        <v>14.707600000000001</v>
      </c>
      <c r="Q1093" s="5">
        <f t="shared" si="87"/>
        <v>231.81149999999997</v>
      </c>
      <c r="R1093" s="5"/>
      <c r="S1093" s="6"/>
    </row>
    <row r="1094" spans="1:19" ht="15" customHeight="1">
      <c r="A1094" s="3">
        <f t="shared" si="45"/>
        <v>2059</v>
      </c>
      <c r="B1094" s="8">
        <f t="shared" ref="B1094:J1094" si="88">AVERAGE(B545:B556)</f>
        <v>15.303641666666669</v>
      </c>
      <c r="C1094" s="8">
        <f t="shared" si="88"/>
        <v>15.310008333333334</v>
      </c>
      <c r="D1094" s="8">
        <f t="shared" si="88"/>
        <v>15.319908333333332</v>
      </c>
      <c r="E1094" s="8">
        <f t="shared" si="88"/>
        <v>15.315666666666671</v>
      </c>
      <c r="F1094" s="4">
        <f t="shared" si="88"/>
        <v>15.991108333333331</v>
      </c>
      <c r="G1094" s="8">
        <f t="shared" si="88"/>
        <v>14.934500000000002</v>
      </c>
      <c r="H1094" s="4">
        <f t="shared" si="88"/>
        <v>15.853358333333331</v>
      </c>
      <c r="I1094" s="8">
        <f t="shared" si="88"/>
        <v>14.797058333333332</v>
      </c>
      <c r="J1094" s="4">
        <f t="shared" si="88"/>
        <v>14.664908333333329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5"/>
        <v>2060</v>
      </c>
      <c r="B1095" s="8">
        <f t="shared" ref="B1095:J1095" si="89">AVERAGE(B557:B568)</f>
        <v>15.670616666666666</v>
      </c>
      <c r="C1095" s="8">
        <f t="shared" si="89"/>
        <v>15.676983333333332</v>
      </c>
      <c r="D1095" s="8">
        <f t="shared" si="89"/>
        <v>15.686874999999999</v>
      </c>
      <c r="E1095" s="8">
        <f t="shared" si="89"/>
        <v>15.682641666666663</v>
      </c>
      <c r="F1095" s="4">
        <f t="shared" si="89"/>
        <v>16.358075000000003</v>
      </c>
      <c r="G1095" s="8">
        <f t="shared" si="89"/>
        <v>15.292916666666665</v>
      </c>
      <c r="H1095" s="4">
        <f t="shared" si="89"/>
        <v>16.211750000000002</v>
      </c>
      <c r="I1095" s="8">
        <f t="shared" si="89"/>
        <v>15.149558333333333</v>
      </c>
      <c r="J1095" s="4">
        <f t="shared" si="89"/>
        <v>15.017250000000002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5"/>
        <v>2061</v>
      </c>
      <c r="B1096" s="8">
        <f t="shared" ref="B1096:J1096" si="90">AVERAGE(B569:B580)</f>
        <v>16.046400000000002</v>
      </c>
      <c r="C1096" s="8">
        <f t="shared" si="90"/>
        <v>16.052775</v>
      </c>
      <c r="D1096" s="8">
        <f t="shared" si="90"/>
        <v>16.062666666666669</v>
      </c>
      <c r="E1096" s="8">
        <f t="shared" si="90"/>
        <v>16.058433333333333</v>
      </c>
      <c r="F1096" s="4">
        <f t="shared" si="90"/>
        <v>16.733874999999998</v>
      </c>
      <c r="G1096" s="8">
        <f t="shared" si="90"/>
        <v>15.65995</v>
      </c>
      <c r="H1096" s="4">
        <f t="shared" si="90"/>
        <v>16.578800000000001</v>
      </c>
      <c r="I1096" s="8">
        <f t="shared" si="90"/>
        <v>15.51053333333333</v>
      </c>
      <c r="J1096" s="4">
        <f t="shared" si="90"/>
        <v>15.378033333333335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5"/>
        <v>2062</v>
      </c>
      <c r="B1097" s="4">
        <f t="shared" ref="B1097:J1106" ca="1" si="91">AVERAGE(OFFSET(B$581,($A1097-$A$1097)*12,0,12,1))</f>
        <v>16.431233333333335</v>
      </c>
      <c r="C1097" s="4">
        <f t="shared" ca="1" si="91"/>
        <v>16.43759166666667</v>
      </c>
      <c r="D1097" s="4">
        <f t="shared" ca="1" si="91"/>
        <v>16.447491666666668</v>
      </c>
      <c r="E1097" s="4">
        <f t="shared" ca="1" si="91"/>
        <v>16.443241666666665</v>
      </c>
      <c r="F1097" s="4">
        <f t="shared" ca="1" si="91"/>
        <v>17.118683333333333</v>
      </c>
      <c r="G1097" s="4">
        <f t="shared" ca="1" si="91"/>
        <v>16.035799999999998</v>
      </c>
      <c r="H1097" s="4">
        <f t="shared" ca="1" si="91"/>
        <v>16.954649999999997</v>
      </c>
      <c r="I1097" s="4">
        <f t="shared" ca="1" si="91"/>
        <v>15.880183333333335</v>
      </c>
      <c r="J1097" s="4">
        <f t="shared" ca="1" si="91"/>
        <v>15.747491666666669</v>
      </c>
      <c r="K1097" s="4"/>
      <c r="L1097" s="5">
        <f t="shared" ref="L1097:Q1106" ca="1" si="92">SUM(OFFSET(L$581,($A1097-$A$1097)*12,0,12,1))</f>
        <v>355.53689999999995</v>
      </c>
      <c r="M1097" s="5">
        <f t="shared" ca="1" si="92"/>
        <v>142.0401</v>
      </c>
      <c r="N1097" s="5">
        <f t="shared" ca="1" si="92"/>
        <v>58.217499999999994</v>
      </c>
      <c r="O1097" s="5">
        <f t="shared" ca="1" si="92"/>
        <v>4.4046000000000003</v>
      </c>
      <c r="P1097" s="5">
        <f t="shared" ca="1" si="92"/>
        <v>14.707600000000001</v>
      </c>
      <c r="Q1097" s="5">
        <f t="shared" ca="1" si="92"/>
        <v>231.81149999999997</v>
      </c>
      <c r="R1097" s="4"/>
      <c r="S1097" s="4"/>
    </row>
    <row r="1098" spans="1:19" ht="15" customHeight="1">
      <c r="A1098" s="3">
        <f t="shared" si="45"/>
        <v>2063</v>
      </c>
      <c r="B1098" s="4">
        <f t="shared" ca="1" si="91"/>
        <v>16.825291666666669</v>
      </c>
      <c r="C1098" s="4">
        <f t="shared" ca="1" si="91"/>
        <v>16.831658333333333</v>
      </c>
      <c r="D1098" s="4">
        <f t="shared" ca="1" si="91"/>
        <v>16.841533333333334</v>
      </c>
      <c r="E1098" s="4">
        <f t="shared" ca="1" si="91"/>
        <v>16.837308333333336</v>
      </c>
      <c r="F1098" s="4">
        <f t="shared" ca="1" si="91"/>
        <v>17.51275</v>
      </c>
      <c r="G1098" s="4">
        <f t="shared" ca="1" si="91"/>
        <v>16.420691666666666</v>
      </c>
      <c r="H1098" s="4">
        <f t="shared" ca="1" si="91"/>
        <v>17.339533333333332</v>
      </c>
      <c r="I1098" s="4">
        <f t="shared" ca="1" si="91"/>
        <v>16.258716666666668</v>
      </c>
      <c r="J1098" s="4">
        <f t="shared" ca="1" si="91"/>
        <v>16.125825000000003</v>
      </c>
      <c r="K1098" s="4"/>
      <c r="L1098" s="5">
        <f t="shared" ca="1" si="92"/>
        <v>355.53689999999995</v>
      </c>
      <c r="M1098" s="5">
        <f t="shared" ca="1" si="92"/>
        <v>142.0401</v>
      </c>
      <c r="N1098" s="5">
        <f t="shared" ca="1" si="92"/>
        <v>58.217499999999994</v>
      </c>
      <c r="O1098" s="5">
        <f t="shared" ca="1" si="92"/>
        <v>4.4046000000000003</v>
      </c>
      <c r="P1098" s="5">
        <f t="shared" ca="1" si="92"/>
        <v>14.707600000000001</v>
      </c>
      <c r="Q1098" s="5">
        <f t="shared" ca="1" si="92"/>
        <v>231.81149999999997</v>
      </c>
      <c r="R1098" s="4"/>
      <c r="S1098" s="4"/>
    </row>
    <row r="1099" spans="1:19" ht="15" customHeight="1">
      <c r="A1099" s="3">
        <f t="shared" si="45"/>
        <v>2064</v>
      </c>
      <c r="B1099" s="4">
        <f t="shared" ca="1" si="91"/>
        <v>17.228816666666663</v>
      </c>
      <c r="C1099" s="4">
        <f t="shared" ca="1" si="91"/>
        <v>17.235183333333332</v>
      </c>
      <c r="D1099" s="4">
        <f t="shared" ca="1" si="91"/>
        <v>17.245083333333334</v>
      </c>
      <c r="E1099" s="4">
        <f t="shared" ca="1" si="91"/>
        <v>17.240833333333331</v>
      </c>
      <c r="F1099" s="4">
        <f t="shared" ca="1" si="91"/>
        <v>17.916266666666665</v>
      </c>
      <c r="G1099" s="4">
        <f t="shared" ca="1" si="91"/>
        <v>16.814825000000003</v>
      </c>
      <c r="H1099" s="4">
        <f t="shared" ca="1" si="91"/>
        <v>17.733641666666667</v>
      </c>
      <c r="I1099" s="4">
        <f t="shared" ca="1" si="91"/>
        <v>16.646341666666668</v>
      </c>
      <c r="J1099" s="4">
        <f t="shared" ca="1" si="91"/>
        <v>16.513275</v>
      </c>
      <c r="K1099" s="4"/>
      <c r="L1099" s="5">
        <f t="shared" ca="1" si="92"/>
        <v>356.48229999999995</v>
      </c>
      <c r="M1099" s="5">
        <f t="shared" ca="1" si="92"/>
        <v>142.42920000000001</v>
      </c>
      <c r="N1099" s="5">
        <f t="shared" ca="1" si="92"/>
        <v>58.377000000000002</v>
      </c>
      <c r="O1099" s="5">
        <f t="shared" ca="1" si="92"/>
        <v>4.4165999999999999</v>
      </c>
      <c r="P1099" s="5">
        <f t="shared" ca="1" si="92"/>
        <v>14.7493</v>
      </c>
      <c r="Q1099" s="5">
        <f t="shared" ca="1" si="92"/>
        <v>232.44659999999996</v>
      </c>
      <c r="R1099" s="4"/>
      <c r="S1099" s="4"/>
    </row>
    <row r="1100" spans="1:19" ht="15" customHeight="1">
      <c r="A1100" s="3">
        <f t="shared" si="45"/>
        <v>2065</v>
      </c>
      <c r="B1100" s="4">
        <f t="shared" ca="1" si="91"/>
        <v>17.642058333333335</v>
      </c>
      <c r="C1100" s="4">
        <f t="shared" ca="1" si="91"/>
        <v>17.648399999999999</v>
      </c>
      <c r="D1100" s="4">
        <f t="shared" ca="1" si="91"/>
        <v>17.658291666666667</v>
      </c>
      <c r="E1100" s="4">
        <f t="shared" ca="1" si="91"/>
        <v>17.654066666666669</v>
      </c>
      <c r="F1100" s="4">
        <f t="shared" ca="1" si="91"/>
        <v>18.329491666666666</v>
      </c>
      <c r="G1100" s="4">
        <f t="shared" ca="1" si="91"/>
        <v>17.21841666666667</v>
      </c>
      <c r="H1100" s="4">
        <f t="shared" ca="1" si="91"/>
        <v>18.137258333333332</v>
      </c>
      <c r="I1100" s="4">
        <f t="shared" ca="1" si="91"/>
        <v>17.043266666666664</v>
      </c>
      <c r="J1100" s="4">
        <f t="shared" ca="1" si="91"/>
        <v>16.91</v>
      </c>
      <c r="K1100" s="4"/>
      <c r="L1100" s="5">
        <f t="shared" ca="1" si="92"/>
        <v>355.53689999999995</v>
      </c>
      <c r="M1100" s="5">
        <f t="shared" ca="1" si="92"/>
        <v>142.0401</v>
      </c>
      <c r="N1100" s="5">
        <f t="shared" ca="1" si="92"/>
        <v>58.217499999999994</v>
      </c>
      <c r="O1100" s="5">
        <f t="shared" ca="1" si="92"/>
        <v>4.4046000000000003</v>
      </c>
      <c r="P1100" s="5">
        <f t="shared" ca="1" si="92"/>
        <v>14.707600000000001</v>
      </c>
      <c r="Q1100" s="5">
        <f t="shared" ca="1" si="92"/>
        <v>231.81149999999997</v>
      </c>
      <c r="R1100" s="4"/>
      <c r="S1100" s="4"/>
    </row>
    <row r="1101" spans="1:19" ht="15" customHeight="1">
      <c r="A1101" s="3">
        <f t="shared" si="45"/>
        <v>2066</v>
      </c>
      <c r="B1101" s="4">
        <f t="shared" ca="1" si="91"/>
        <v>18.065191666666667</v>
      </c>
      <c r="C1101" s="4">
        <f t="shared" ca="1" si="91"/>
        <v>18.071566666666666</v>
      </c>
      <c r="D1101" s="4">
        <f t="shared" ca="1" si="91"/>
        <v>18.08145833333333</v>
      </c>
      <c r="E1101" s="4">
        <f t="shared" ca="1" si="91"/>
        <v>18.077208333333331</v>
      </c>
      <c r="F1101" s="4">
        <f t="shared" ca="1" si="91"/>
        <v>18.752650000000003</v>
      </c>
      <c r="G1101" s="4">
        <f t="shared" ca="1" si="91"/>
        <v>17.631716666666662</v>
      </c>
      <c r="H1101" s="4">
        <f t="shared" ca="1" si="91"/>
        <v>18.550541666666668</v>
      </c>
      <c r="I1101" s="4">
        <f t="shared" ca="1" si="91"/>
        <v>17.449750000000002</v>
      </c>
      <c r="J1101" s="4">
        <f t="shared" ca="1" si="91"/>
        <v>17.316266666666667</v>
      </c>
      <c r="K1101" s="4"/>
      <c r="L1101" s="5">
        <f t="shared" ca="1" si="92"/>
        <v>355.53689999999995</v>
      </c>
      <c r="M1101" s="5">
        <f t="shared" ca="1" si="92"/>
        <v>142.0401</v>
      </c>
      <c r="N1101" s="5">
        <f t="shared" ca="1" si="92"/>
        <v>58.217499999999994</v>
      </c>
      <c r="O1101" s="5">
        <f t="shared" ca="1" si="92"/>
        <v>4.4046000000000003</v>
      </c>
      <c r="P1101" s="5">
        <f t="shared" ca="1" si="92"/>
        <v>14.707600000000001</v>
      </c>
      <c r="Q1101" s="5">
        <f t="shared" ca="1" si="92"/>
        <v>231.81149999999997</v>
      </c>
      <c r="R1101" s="4"/>
      <c r="S1101" s="4"/>
    </row>
    <row r="1102" spans="1:19" ht="15" customHeight="1">
      <c r="A1102" s="3">
        <f t="shared" si="45"/>
        <v>2067</v>
      </c>
      <c r="B1102" s="4">
        <f t="shared" ca="1" si="91"/>
        <v>18.498525000000001</v>
      </c>
      <c r="C1102" s="4">
        <f t="shared" ca="1" si="91"/>
        <v>18.504900000000003</v>
      </c>
      <c r="D1102" s="4">
        <f t="shared" ca="1" si="91"/>
        <v>18.514791666666667</v>
      </c>
      <c r="E1102" s="4">
        <f t="shared" ca="1" si="91"/>
        <v>18.510541666666668</v>
      </c>
      <c r="F1102" s="4">
        <f t="shared" ca="1" si="91"/>
        <v>19.185983333333333</v>
      </c>
      <c r="G1102" s="4">
        <f t="shared" ca="1" si="91"/>
        <v>18.054941666666668</v>
      </c>
      <c r="H1102" s="4">
        <f t="shared" ca="1" si="91"/>
        <v>18.973800000000001</v>
      </c>
      <c r="I1102" s="4">
        <f t="shared" ca="1" si="91"/>
        <v>17.865983333333332</v>
      </c>
      <c r="J1102" s="4">
        <f t="shared" ca="1" si="91"/>
        <v>17.732308333333332</v>
      </c>
      <c r="K1102" s="4"/>
      <c r="L1102" s="5">
        <f t="shared" ca="1" si="92"/>
        <v>355.53689999999995</v>
      </c>
      <c r="M1102" s="5">
        <f t="shared" ca="1" si="92"/>
        <v>142.0401</v>
      </c>
      <c r="N1102" s="5">
        <f t="shared" ca="1" si="92"/>
        <v>58.217499999999994</v>
      </c>
      <c r="O1102" s="5">
        <f t="shared" ca="1" si="92"/>
        <v>4.4046000000000003</v>
      </c>
      <c r="P1102" s="5">
        <f t="shared" ca="1" si="92"/>
        <v>14.707600000000001</v>
      </c>
      <c r="Q1102" s="5">
        <f t="shared" ca="1" si="92"/>
        <v>231.81149999999997</v>
      </c>
      <c r="R1102" s="4"/>
      <c r="S1102" s="4"/>
    </row>
    <row r="1103" spans="1:19" ht="15" customHeight="1">
      <c r="A1103" s="3">
        <f t="shared" si="45"/>
        <v>2068</v>
      </c>
      <c r="B1103" s="4">
        <f t="shared" ca="1" si="91"/>
        <v>18.942241666666668</v>
      </c>
      <c r="C1103" s="4">
        <f t="shared" ca="1" si="91"/>
        <v>18.948624999999996</v>
      </c>
      <c r="D1103" s="4">
        <f t="shared" ca="1" si="91"/>
        <v>18.958508333333338</v>
      </c>
      <c r="E1103" s="4">
        <f t="shared" ca="1" si="91"/>
        <v>18.954274999999999</v>
      </c>
      <c r="F1103" s="4">
        <f t="shared" ca="1" si="91"/>
        <v>19.629716666666663</v>
      </c>
      <c r="G1103" s="4">
        <f t="shared" ca="1" si="91"/>
        <v>18.48833333333333</v>
      </c>
      <c r="H1103" s="4">
        <f t="shared" ca="1" si="91"/>
        <v>19.407174999999999</v>
      </c>
      <c r="I1103" s="4">
        <f t="shared" ca="1" si="91"/>
        <v>18.292249999999999</v>
      </c>
      <c r="J1103" s="4">
        <f t="shared" ca="1" si="91"/>
        <v>18.158333333333331</v>
      </c>
      <c r="K1103" s="4"/>
      <c r="L1103" s="5">
        <f t="shared" ca="1" si="92"/>
        <v>356.48229999999995</v>
      </c>
      <c r="M1103" s="5">
        <f t="shared" ca="1" si="92"/>
        <v>142.42920000000001</v>
      </c>
      <c r="N1103" s="5">
        <f t="shared" ca="1" si="92"/>
        <v>58.377000000000002</v>
      </c>
      <c r="O1103" s="5">
        <f t="shared" ca="1" si="92"/>
        <v>4.4165999999999999</v>
      </c>
      <c r="P1103" s="5">
        <f t="shared" ca="1" si="92"/>
        <v>14.7493</v>
      </c>
      <c r="Q1103" s="5">
        <f t="shared" ca="1" si="92"/>
        <v>232.44659999999996</v>
      </c>
      <c r="R1103" s="4"/>
      <c r="S1103" s="4"/>
    </row>
    <row r="1104" spans="1:19" ht="15" customHeight="1">
      <c r="A1104" s="3">
        <f t="shared" si="45"/>
        <v>2069</v>
      </c>
      <c r="B1104" s="4">
        <f t="shared" ca="1" si="91"/>
        <v>19.396658333333335</v>
      </c>
      <c r="C1104" s="4">
        <f t="shared" ca="1" si="91"/>
        <v>19.40303333333333</v>
      </c>
      <c r="D1104" s="4">
        <f t="shared" ca="1" si="91"/>
        <v>19.412908333333334</v>
      </c>
      <c r="E1104" s="4">
        <f t="shared" ca="1" si="91"/>
        <v>19.408683333333332</v>
      </c>
      <c r="F1104" s="4">
        <f t="shared" ca="1" si="91"/>
        <v>20.084100000000003</v>
      </c>
      <c r="G1104" s="4">
        <f t="shared" ca="1" si="91"/>
        <v>18.932158333333334</v>
      </c>
      <c r="H1104" s="4">
        <f t="shared" ca="1" si="91"/>
        <v>19.851016666666666</v>
      </c>
      <c r="I1104" s="4">
        <f t="shared" ca="1" si="91"/>
        <v>18.728725000000001</v>
      </c>
      <c r="J1104" s="4">
        <f t="shared" ca="1" si="91"/>
        <v>18.594616666666671</v>
      </c>
      <c r="K1104" s="4"/>
      <c r="L1104" s="5">
        <f t="shared" ca="1" si="92"/>
        <v>355.53689999999995</v>
      </c>
      <c r="M1104" s="5">
        <f t="shared" ca="1" si="92"/>
        <v>142.0401</v>
      </c>
      <c r="N1104" s="5">
        <f t="shared" ca="1" si="92"/>
        <v>58.217499999999994</v>
      </c>
      <c r="O1104" s="5">
        <f t="shared" ca="1" si="92"/>
        <v>4.4046000000000003</v>
      </c>
      <c r="P1104" s="5">
        <f t="shared" ca="1" si="92"/>
        <v>14.707600000000001</v>
      </c>
      <c r="Q1104" s="5">
        <f t="shared" ca="1" si="92"/>
        <v>231.81149999999997</v>
      </c>
      <c r="R1104" s="4"/>
      <c r="S1104" s="4"/>
    </row>
    <row r="1105" spans="1:19" ht="15" customHeight="1">
      <c r="A1105" s="3">
        <f t="shared" ref="A1105:A1135" si="93">A1104+1</f>
        <v>2070</v>
      </c>
      <c r="B1105" s="4">
        <f t="shared" ca="1" si="91"/>
        <v>19.861966666666664</v>
      </c>
      <c r="C1105" s="4">
        <f t="shared" ca="1" si="91"/>
        <v>19.868341666666666</v>
      </c>
      <c r="D1105" s="4">
        <f t="shared" ca="1" si="91"/>
        <v>19.878225</v>
      </c>
      <c r="E1105" s="4">
        <f t="shared" ca="1" si="91"/>
        <v>19.873991666666669</v>
      </c>
      <c r="F1105" s="4">
        <f t="shared" ca="1" si="91"/>
        <v>20.549425000000003</v>
      </c>
      <c r="G1105" s="4">
        <f t="shared" ca="1" si="91"/>
        <v>19.386625000000002</v>
      </c>
      <c r="H1105" s="4">
        <f t="shared" ca="1" si="91"/>
        <v>20.305458333333331</v>
      </c>
      <c r="I1105" s="4">
        <f t="shared" ca="1" si="91"/>
        <v>19.175691666666669</v>
      </c>
      <c r="J1105" s="4">
        <f t="shared" ca="1" si="91"/>
        <v>19.041349999999998</v>
      </c>
      <c r="K1105" s="4"/>
      <c r="L1105" s="5">
        <f t="shared" ca="1" si="92"/>
        <v>355.53689999999995</v>
      </c>
      <c r="M1105" s="5">
        <f t="shared" ca="1" si="92"/>
        <v>142.0401</v>
      </c>
      <c r="N1105" s="5">
        <f t="shared" ca="1" si="92"/>
        <v>58.217499999999994</v>
      </c>
      <c r="O1105" s="5">
        <f t="shared" ca="1" si="92"/>
        <v>4.4046000000000003</v>
      </c>
      <c r="P1105" s="5">
        <f t="shared" ca="1" si="92"/>
        <v>14.707600000000001</v>
      </c>
      <c r="Q1105" s="5">
        <f t="shared" ca="1" si="92"/>
        <v>231.81149999999997</v>
      </c>
      <c r="R1105" s="4"/>
      <c r="S1105" s="4"/>
    </row>
    <row r="1106" spans="1:19" ht="15" customHeight="1">
      <c r="A1106" s="3">
        <f t="shared" si="93"/>
        <v>2071</v>
      </c>
      <c r="B1106" s="4">
        <f t="shared" ca="1" si="91"/>
        <v>20.338449999999998</v>
      </c>
      <c r="C1106" s="4">
        <f t="shared" ca="1" si="91"/>
        <v>20.344833333333337</v>
      </c>
      <c r="D1106" s="4">
        <f t="shared" ca="1" si="91"/>
        <v>20.354733333333332</v>
      </c>
      <c r="E1106" s="4">
        <f t="shared" ca="1" si="91"/>
        <v>20.350483333333333</v>
      </c>
      <c r="F1106" s="4">
        <f t="shared" ca="1" si="91"/>
        <v>21.025925000000001</v>
      </c>
      <c r="G1106" s="4">
        <f t="shared" ca="1" si="91"/>
        <v>19.852025000000001</v>
      </c>
      <c r="H1106" s="4">
        <f t="shared" ca="1" si="91"/>
        <v>20.770858333333333</v>
      </c>
      <c r="I1106" s="4">
        <f t="shared" ca="1" si="91"/>
        <v>19.633399999999998</v>
      </c>
      <c r="J1106" s="4">
        <f t="shared" ca="1" si="91"/>
        <v>19.498833333333334</v>
      </c>
      <c r="K1106" s="4"/>
      <c r="L1106" s="5">
        <f t="shared" ca="1" si="92"/>
        <v>355.53689999999995</v>
      </c>
      <c r="M1106" s="5">
        <f t="shared" ca="1" si="92"/>
        <v>142.0401</v>
      </c>
      <c r="N1106" s="5">
        <f t="shared" ca="1" si="92"/>
        <v>58.217499999999994</v>
      </c>
      <c r="O1106" s="5">
        <f t="shared" ca="1" si="92"/>
        <v>4.4046000000000003</v>
      </c>
      <c r="P1106" s="5">
        <f t="shared" ca="1" si="92"/>
        <v>14.707600000000001</v>
      </c>
      <c r="Q1106" s="5">
        <f t="shared" ca="1" si="92"/>
        <v>231.81149999999997</v>
      </c>
      <c r="R1106" s="4"/>
      <c r="S1106" s="4"/>
    </row>
    <row r="1107" spans="1:19" ht="15" customHeight="1">
      <c r="A1107" s="3">
        <f t="shared" si="93"/>
        <v>2072</v>
      </c>
      <c r="B1107" s="4">
        <f t="shared" ref="B1107:J1116" ca="1" si="94">AVERAGE(OFFSET(B$581,($A1107-$A$1097)*12,0,12,1))</f>
        <v>20.826399999999996</v>
      </c>
      <c r="C1107" s="4">
        <f t="shared" ca="1" si="94"/>
        <v>20.832783333333335</v>
      </c>
      <c r="D1107" s="4">
        <f t="shared" ca="1" si="94"/>
        <v>20.842674999999996</v>
      </c>
      <c r="E1107" s="4">
        <f t="shared" ca="1" si="94"/>
        <v>20.838441666666668</v>
      </c>
      <c r="F1107" s="4">
        <f t="shared" ca="1" si="94"/>
        <v>21.513858333333332</v>
      </c>
      <c r="G1107" s="4">
        <f t="shared" ca="1" si="94"/>
        <v>20.328591666666668</v>
      </c>
      <c r="H1107" s="4">
        <f t="shared" ca="1" si="94"/>
        <v>21.247433333333333</v>
      </c>
      <c r="I1107" s="4">
        <f t="shared" ca="1" si="94"/>
        <v>20.10210833333333</v>
      </c>
      <c r="J1107" s="4">
        <f t="shared" ca="1" si="94"/>
        <v>19.967308333333335</v>
      </c>
      <c r="K1107" s="4"/>
      <c r="L1107" s="5">
        <f t="shared" ref="L1107:Q1116" ca="1" si="95">SUM(OFFSET(L$581,($A1107-$A$1097)*12,0,12,1))</f>
        <v>356.48229999999995</v>
      </c>
      <c r="M1107" s="5">
        <f t="shared" ca="1" si="95"/>
        <v>142.42920000000001</v>
      </c>
      <c r="N1107" s="5">
        <f t="shared" ca="1" si="95"/>
        <v>58.377000000000002</v>
      </c>
      <c r="O1107" s="5">
        <f t="shared" ca="1" si="95"/>
        <v>4.4165999999999999</v>
      </c>
      <c r="P1107" s="5">
        <f t="shared" ca="1" si="95"/>
        <v>14.7493</v>
      </c>
      <c r="Q1107" s="5">
        <f t="shared" ca="1" si="95"/>
        <v>232.44659999999996</v>
      </c>
      <c r="R1107" s="4"/>
      <c r="S1107" s="4"/>
    </row>
    <row r="1108" spans="1:19" ht="15" customHeight="1">
      <c r="A1108" s="3">
        <f t="shared" si="93"/>
        <v>2073</v>
      </c>
      <c r="B1108" s="4">
        <f t="shared" ca="1" si="94"/>
        <v>21.326083333333333</v>
      </c>
      <c r="C1108" s="4">
        <f t="shared" ca="1" si="94"/>
        <v>21.332449999999998</v>
      </c>
      <c r="D1108" s="4">
        <f t="shared" ca="1" si="94"/>
        <v>21.342341666666666</v>
      </c>
      <c r="E1108" s="4">
        <f t="shared" ca="1" si="94"/>
        <v>21.338099999999997</v>
      </c>
      <c r="F1108" s="4">
        <f t="shared" ca="1" si="94"/>
        <v>22.013524999999998</v>
      </c>
      <c r="G1108" s="4">
        <f t="shared" ca="1" si="94"/>
        <v>20.816633333333336</v>
      </c>
      <c r="H1108" s="4">
        <f t="shared" ca="1" si="94"/>
        <v>21.73545833333333</v>
      </c>
      <c r="I1108" s="4">
        <f t="shared" ca="1" si="94"/>
        <v>20.582083333333333</v>
      </c>
      <c r="J1108" s="4">
        <f t="shared" ca="1" si="94"/>
        <v>20.447041666666667</v>
      </c>
      <c r="K1108" s="4"/>
      <c r="L1108" s="5">
        <f t="shared" ca="1" si="95"/>
        <v>355.53689999999995</v>
      </c>
      <c r="M1108" s="5">
        <f t="shared" ca="1" si="95"/>
        <v>142.0401</v>
      </c>
      <c r="N1108" s="5">
        <f t="shared" ca="1" si="95"/>
        <v>58.217499999999994</v>
      </c>
      <c r="O1108" s="5">
        <f t="shared" ca="1" si="95"/>
        <v>4.4046000000000003</v>
      </c>
      <c r="P1108" s="5">
        <f t="shared" ca="1" si="95"/>
        <v>14.707600000000001</v>
      </c>
      <c r="Q1108" s="5">
        <f t="shared" ca="1" si="95"/>
        <v>231.81149999999997</v>
      </c>
      <c r="R1108" s="4"/>
      <c r="S1108" s="4"/>
    </row>
    <row r="1109" spans="1:19" ht="15" customHeight="1">
      <c r="A1109" s="3">
        <f t="shared" si="93"/>
        <v>2074</v>
      </c>
      <c r="B1109" s="4">
        <f t="shared" ca="1" si="94"/>
        <v>21.83775</v>
      </c>
      <c r="C1109" s="4">
        <f t="shared" ca="1" si="94"/>
        <v>21.844125000000002</v>
      </c>
      <c r="D1109" s="4">
        <f t="shared" ca="1" si="94"/>
        <v>21.854016666666666</v>
      </c>
      <c r="E1109" s="4">
        <f t="shared" ca="1" si="94"/>
        <v>21.849774999999998</v>
      </c>
      <c r="F1109" s="4">
        <f t="shared" ca="1" si="94"/>
        <v>22.525191666666672</v>
      </c>
      <c r="G1109" s="4">
        <f t="shared" ca="1" si="94"/>
        <v>21.31635833333333</v>
      </c>
      <c r="H1109" s="4">
        <f t="shared" ca="1" si="94"/>
        <v>22.235216666666663</v>
      </c>
      <c r="I1109" s="4">
        <f t="shared" ca="1" si="94"/>
        <v>21.073583333333332</v>
      </c>
      <c r="J1109" s="4">
        <f t="shared" ca="1" si="94"/>
        <v>20.938291666666668</v>
      </c>
      <c r="K1109" s="4"/>
      <c r="L1109" s="5">
        <f t="shared" ca="1" si="95"/>
        <v>355.53689999999995</v>
      </c>
      <c r="M1109" s="5">
        <f t="shared" ca="1" si="95"/>
        <v>142.0401</v>
      </c>
      <c r="N1109" s="5">
        <f t="shared" ca="1" si="95"/>
        <v>58.217499999999994</v>
      </c>
      <c r="O1109" s="5">
        <f t="shared" ca="1" si="95"/>
        <v>4.4046000000000003</v>
      </c>
      <c r="P1109" s="5">
        <f t="shared" ca="1" si="95"/>
        <v>14.707600000000001</v>
      </c>
      <c r="Q1109" s="5">
        <f t="shared" ca="1" si="95"/>
        <v>231.81149999999997</v>
      </c>
      <c r="R1109" s="4"/>
      <c r="S1109" s="4"/>
    </row>
    <row r="1110" spans="1:19" ht="15" customHeight="1">
      <c r="A1110" s="3">
        <f t="shared" si="93"/>
        <v>2075</v>
      </c>
      <c r="B1110" s="4">
        <f t="shared" ca="1" si="94"/>
        <v>22.36171666666667</v>
      </c>
      <c r="C1110" s="4">
        <f t="shared" ca="1" si="94"/>
        <v>22.368083333333331</v>
      </c>
      <c r="D1110" s="4">
        <f t="shared" ca="1" si="94"/>
        <v>22.377975000000003</v>
      </c>
      <c r="E1110" s="4">
        <f t="shared" ca="1" si="94"/>
        <v>22.373725000000004</v>
      </c>
      <c r="F1110" s="4">
        <f t="shared" ca="1" si="94"/>
        <v>23.049166666666665</v>
      </c>
      <c r="G1110" s="4">
        <f t="shared" ca="1" si="94"/>
        <v>21.828133333333337</v>
      </c>
      <c r="H1110" s="4">
        <f t="shared" ca="1" si="94"/>
        <v>22.746974999999996</v>
      </c>
      <c r="I1110" s="4">
        <f t="shared" ca="1" si="94"/>
        <v>21.576891666666668</v>
      </c>
      <c r="J1110" s="4">
        <f t="shared" ca="1" si="94"/>
        <v>21.441341666666663</v>
      </c>
      <c r="K1110" s="4"/>
      <c r="L1110" s="5">
        <f t="shared" ca="1" si="95"/>
        <v>355.53689999999995</v>
      </c>
      <c r="M1110" s="5">
        <f t="shared" ca="1" si="95"/>
        <v>142.0401</v>
      </c>
      <c r="N1110" s="5">
        <f t="shared" ca="1" si="95"/>
        <v>58.217499999999994</v>
      </c>
      <c r="O1110" s="5">
        <f t="shared" ca="1" si="95"/>
        <v>4.4046000000000003</v>
      </c>
      <c r="P1110" s="5">
        <f t="shared" ca="1" si="95"/>
        <v>14.707600000000001</v>
      </c>
      <c r="Q1110" s="5">
        <f t="shared" ca="1" si="95"/>
        <v>231.81149999999997</v>
      </c>
      <c r="R1110" s="4"/>
      <c r="S1110" s="4"/>
    </row>
    <row r="1111" spans="1:19" ht="15" customHeight="1">
      <c r="A1111" s="3">
        <f t="shared" si="93"/>
        <v>2076</v>
      </c>
      <c r="B1111" s="4">
        <f t="shared" ca="1" si="94"/>
        <v>22.898266666666668</v>
      </c>
      <c r="C1111" s="4">
        <f t="shared" ca="1" si="94"/>
        <v>22.904641666666663</v>
      </c>
      <c r="D1111" s="4">
        <f t="shared" ca="1" si="94"/>
        <v>22.914524999999998</v>
      </c>
      <c r="E1111" s="4">
        <f t="shared" ca="1" si="94"/>
        <v>22.910291666666669</v>
      </c>
      <c r="F1111" s="4">
        <f t="shared" ca="1" si="94"/>
        <v>23.585724999999996</v>
      </c>
      <c r="G1111" s="4">
        <f t="shared" ca="1" si="94"/>
        <v>22.3522</v>
      </c>
      <c r="H1111" s="4">
        <f t="shared" ca="1" si="94"/>
        <v>23.271041666666672</v>
      </c>
      <c r="I1111" s="4">
        <f t="shared" ca="1" si="94"/>
        <v>22.092299999999998</v>
      </c>
      <c r="J1111" s="4">
        <f t="shared" ca="1" si="94"/>
        <v>21.956508333333332</v>
      </c>
      <c r="K1111" s="4"/>
      <c r="L1111" s="5">
        <f t="shared" ca="1" si="95"/>
        <v>356.48229999999995</v>
      </c>
      <c r="M1111" s="5">
        <f t="shared" ca="1" si="95"/>
        <v>142.42920000000001</v>
      </c>
      <c r="N1111" s="5">
        <f t="shared" ca="1" si="95"/>
        <v>58.377000000000002</v>
      </c>
      <c r="O1111" s="5">
        <f t="shared" ca="1" si="95"/>
        <v>4.4165999999999999</v>
      </c>
      <c r="P1111" s="5">
        <f t="shared" ca="1" si="95"/>
        <v>14.7493</v>
      </c>
      <c r="Q1111" s="5">
        <f t="shared" ca="1" si="95"/>
        <v>232.44659999999996</v>
      </c>
      <c r="R1111" s="4"/>
      <c r="S1111" s="4"/>
    </row>
    <row r="1112" spans="1:19" ht="15" customHeight="1">
      <c r="A1112" s="3">
        <f t="shared" si="93"/>
        <v>2077</v>
      </c>
      <c r="B1112" s="4">
        <f t="shared" ca="1" si="94"/>
        <v>23.447725000000002</v>
      </c>
      <c r="C1112" s="4">
        <f t="shared" ca="1" si="94"/>
        <v>23.45409166666667</v>
      </c>
      <c r="D1112" s="4">
        <f t="shared" ca="1" si="94"/>
        <v>23.463975000000005</v>
      </c>
      <c r="E1112" s="4">
        <f t="shared" ca="1" si="94"/>
        <v>23.459741666666673</v>
      </c>
      <c r="F1112" s="4">
        <f t="shared" ca="1" si="94"/>
        <v>24.135166666666674</v>
      </c>
      <c r="G1112" s="4">
        <f t="shared" ca="1" si="94"/>
        <v>22.888850000000001</v>
      </c>
      <c r="H1112" s="4">
        <f t="shared" ca="1" si="94"/>
        <v>23.807683333333333</v>
      </c>
      <c r="I1112" s="4">
        <f t="shared" ca="1" si="94"/>
        <v>22.620099999999997</v>
      </c>
      <c r="J1112" s="4">
        <f t="shared" ca="1" si="94"/>
        <v>22.484033333333333</v>
      </c>
      <c r="K1112" s="4"/>
      <c r="L1112" s="5">
        <f t="shared" ca="1" si="95"/>
        <v>355.53689999999995</v>
      </c>
      <c r="M1112" s="5">
        <f t="shared" ca="1" si="95"/>
        <v>142.0401</v>
      </c>
      <c r="N1112" s="5">
        <f t="shared" ca="1" si="95"/>
        <v>58.217499999999994</v>
      </c>
      <c r="O1112" s="5">
        <f t="shared" ca="1" si="95"/>
        <v>4.4046000000000003</v>
      </c>
      <c r="P1112" s="5">
        <f t="shared" ca="1" si="95"/>
        <v>14.707600000000001</v>
      </c>
      <c r="Q1112" s="5">
        <f t="shared" ca="1" si="95"/>
        <v>231.81149999999997</v>
      </c>
      <c r="R1112" s="4"/>
      <c r="S1112" s="4"/>
    </row>
    <row r="1113" spans="1:19" ht="15" customHeight="1">
      <c r="A1113" s="3">
        <f t="shared" si="93"/>
        <v>2078</v>
      </c>
      <c r="B1113" s="4">
        <f t="shared" ca="1" si="94"/>
        <v>24.010375</v>
      </c>
      <c r="C1113" s="4">
        <f t="shared" ca="1" si="94"/>
        <v>24.016733333333335</v>
      </c>
      <c r="D1113" s="4">
        <f t="shared" ca="1" si="94"/>
        <v>24.026641666666674</v>
      </c>
      <c r="E1113" s="4">
        <f t="shared" ca="1" si="94"/>
        <v>24.022391666666664</v>
      </c>
      <c r="F1113" s="4">
        <f t="shared" ca="1" si="94"/>
        <v>24.697833333333332</v>
      </c>
      <c r="G1113" s="4">
        <f t="shared" ca="1" si="94"/>
        <v>23.438383333333338</v>
      </c>
      <c r="H1113" s="4">
        <f t="shared" ca="1" si="94"/>
        <v>24.35723333333333</v>
      </c>
      <c r="I1113" s="4">
        <f t="shared" ca="1" si="94"/>
        <v>23.160583333333332</v>
      </c>
      <c r="J1113" s="4">
        <f t="shared" ca="1" si="94"/>
        <v>23.024241666666668</v>
      </c>
      <c r="K1113" s="4"/>
      <c r="L1113" s="5">
        <f t="shared" ca="1" si="95"/>
        <v>355.53689999999995</v>
      </c>
      <c r="M1113" s="5">
        <f t="shared" ca="1" si="95"/>
        <v>142.0401</v>
      </c>
      <c r="N1113" s="5">
        <f t="shared" ca="1" si="95"/>
        <v>58.217499999999994</v>
      </c>
      <c r="O1113" s="5">
        <f t="shared" ca="1" si="95"/>
        <v>4.4046000000000003</v>
      </c>
      <c r="P1113" s="5">
        <f t="shared" ca="1" si="95"/>
        <v>14.707600000000001</v>
      </c>
      <c r="Q1113" s="5">
        <f t="shared" ca="1" si="95"/>
        <v>231.81149999999997</v>
      </c>
      <c r="R1113" s="4"/>
      <c r="S1113" s="4"/>
    </row>
    <row r="1114" spans="1:19" ht="15" customHeight="1">
      <c r="A1114" s="3">
        <f t="shared" si="93"/>
        <v>2079</v>
      </c>
      <c r="B1114" s="4">
        <f t="shared" ca="1" si="94"/>
        <v>24.586533333333332</v>
      </c>
      <c r="C1114" s="4">
        <f t="shared" ca="1" si="94"/>
        <v>24.592916666666667</v>
      </c>
      <c r="D1114" s="4">
        <f t="shared" ca="1" si="94"/>
        <v>24.602800000000002</v>
      </c>
      <c r="E1114" s="4">
        <f t="shared" ca="1" si="94"/>
        <v>24.59855833333333</v>
      </c>
      <c r="F1114" s="4">
        <f t="shared" ca="1" si="94"/>
        <v>25.273991666666671</v>
      </c>
      <c r="G1114" s="4">
        <f t="shared" ca="1" si="94"/>
        <v>24.001133333333332</v>
      </c>
      <c r="H1114" s="4">
        <f t="shared" ca="1" si="94"/>
        <v>24.919974999999997</v>
      </c>
      <c r="I1114" s="4">
        <f t="shared" ca="1" si="94"/>
        <v>23.714024999999996</v>
      </c>
      <c r="J1114" s="4">
        <f t="shared" ca="1" si="94"/>
        <v>23.577425000000005</v>
      </c>
      <c r="K1114" s="4"/>
      <c r="L1114" s="5">
        <f t="shared" ca="1" si="95"/>
        <v>355.53689999999995</v>
      </c>
      <c r="M1114" s="5">
        <f t="shared" ca="1" si="95"/>
        <v>142.0401</v>
      </c>
      <c r="N1114" s="5">
        <f t="shared" ca="1" si="95"/>
        <v>58.217499999999994</v>
      </c>
      <c r="O1114" s="5">
        <f t="shared" ca="1" si="95"/>
        <v>4.4046000000000003</v>
      </c>
      <c r="P1114" s="5">
        <f t="shared" ca="1" si="95"/>
        <v>14.707600000000001</v>
      </c>
      <c r="Q1114" s="5">
        <f t="shared" ca="1" si="95"/>
        <v>231.81149999999997</v>
      </c>
      <c r="R1114" s="4"/>
      <c r="S1114" s="4"/>
    </row>
    <row r="1115" spans="1:19" ht="15" customHeight="1">
      <c r="A1115" s="3">
        <f t="shared" si="93"/>
        <v>2080</v>
      </c>
      <c r="B1115" s="4">
        <f t="shared" ca="1" si="94"/>
        <v>25.176558333333332</v>
      </c>
      <c r="C1115" s="4">
        <f t="shared" ca="1" si="94"/>
        <v>25.182941666666665</v>
      </c>
      <c r="D1115" s="4">
        <f t="shared" ca="1" si="94"/>
        <v>25.192816666666669</v>
      </c>
      <c r="E1115" s="4">
        <f t="shared" ca="1" si="94"/>
        <v>25.18858333333333</v>
      </c>
      <c r="F1115" s="4">
        <f t="shared" ca="1" si="94"/>
        <v>25.864016666666668</v>
      </c>
      <c r="G1115" s="4">
        <f t="shared" ca="1" si="94"/>
        <v>24.577399999999997</v>
      </c>
      <c r="H1115" s="4">
        <f t="shared" ca="1" si="94"/>
        <v>25.496233333333333</v>
      </c>
      <c r="I1115" s="4">
        <f t="shared" ca="1" si="94"/>
        <v>24.280774999999995</v>
      </c>
      <c r="J1115" s="4">
        <f t="shared" ca="1" si="94"/>
        <v>24.143899999999999</v>
      </c>
      <c r="K1115" s="4"/>
      <c r="L1115" s="5">
        <f t="shared" ca="1" si="95"/>
        <v>356.48229999999995</v>
      </c>
      <c r="M1115" s="5">
        <f t="shared" ca="1" si="95"/>
        <v>142.42920000000001</v>
      </c>
      <c r="N1115" s="5">
        <f t="shared" ca="1" si="95"/>
        <v>58.377000000000002</v>
      </c>
      <c r="O1115" s="5">
        <f t="shared" ca="1" si="95"/>
        <v>4.4165999999999999</v>
      </c>
      <c r="P1115" s="5">
        <f t="shared" ca="1" si="95"/>
        <v>14.7493</v>
      </c>
      <c r="Q1115" s="5">
        <f t="shared" ca="1" si="95"/>
        <v>232.44659999999996</v>
      </c>
      <c r="R1115" s="4"/>
      <c r="S1115" s="4"/>
    </row>
    <row r="1116" spans="1:19" ht="15" customHeight="1">
      <c r="A1116" s="3">
        <f t="shared" si="93"/>
        <v>2081</v>
      </c>
      <c r="B1116" s="4">
        <f t="shared" ca="1" si="94"/>
        <v>25.780758333333335</v>
      </c>
      <c r="C1116" s="4">
        <f t="shared" ca="1" si="94"/>
        <v>25.787133333333333</v>
      </c>
      <c r="D1116" s="4">
        <f t="shared" ca="1" si="94"/>
        <v>25.797016666666668</v>
      </c>
      <c r="E1116" s="4">
        <f t="shared" ca="1" si="94"/>
        <v>25.792774999999995</v>
      </c>
      <c r="F1116" s="4">
        <f t="shared" ca="1" si="94"/>
        <v>26.468208333333333</v>
      </c>
      <c r="G1116" s="4">
        <f t="shared" ca="1" si="94"/>
        <v>25.167533333333335</v>
      </c>
      <c r="H1116" s="4">
        <f t="shared" ca="1" si="94"/>
        <v>26.086358333333333</v>
      </c>
      <c r="I1116" s="4">
        <f t="shared" ca="1" si="94"/>
        <v>24.861158333333336</v>
      </c>
      <c r="J1116" s="4">
        <f t="shared" ca="1" si="94"/>
        <v>24.723983333333333</v>
      </c>
      <c r="K1116" s="4"/>
      <c r="L1116" s="5">
        <f t="shared" ca="1" si="95"/>
        <v>355.53689999999995</v>
      </c>
      <c r="M1116" s="5">
        <f t="shared" ca="1" si="95"/>
        <v>142.0401</v>
      </c>
      <c r="N1116" s="5">
        <f t="shared" ca="1" si="95"/>
        <v>58.217499999999994</v>
      </c>
      <c r="O1116" s="5">
        <f t="shared" ca="1" si="95"/>
        <v>4.4046000000000003</v>
      </c>
      <c r="P1116" s="5">
        <f t="shared" ca="1" si="95"/>
        <v>14.707600000000001</v>
      </c>
      <c r="Q1116" s="5">
        <f t="shared" ca="1" si="95"/>
        <v>231.81149999999997</v>
      </c>
      <c r="R1116" s="4"/>
      <c r="S1116" s="4"/>
    </row>
    <row r="1117" spans="1:19" ht="15" customHeight="1">
      <c r="A1117" s="3">
        <f t="shared" si="93"/>
        <v>2082</v>
      </c>
      <c r="B1117" s="4">
        <f t="shared" ref="B1117:J1126" ca="1" si="96">AVERAGE(OFFSET(B$581,($A1117-$A$1097)*12,0,12,1))</f>
        <v>26.399458333333332</v>
      </c>
      <c r="C1117" s="4">
        <f t="shared" ca="1" si="96"/>
        <v>26.405824999999997</v>
      </c>
      <c r="D1117" s="4">
        <f t="shared" ca="1" si="96"/>
        <v>26.415716666666668</v>
      </c>
      <c r="E1117" s="4">
        <f t="shared" ca="1" si="96"/>
        <v>26.411474999999999</v>
      </c>
      <c r="F1117" s="4">
        <f t="shared" ca="1" si="96"/>
        <v>27.086908333333337</v>
      </c>
      <c r="G1117" s="4">
        <f t="shared" ca="1" si="96"/>
        <v>25.771808333333336</v>
      </c>
      <c r="H1117" s="4">
        <f t="shared" ca="1" si="96"/>
        <v>26.690650000000005</v>
      </c>
      <c r="I1117" s="4">
        <f t="shared" ca="1" si="96"/>
        <v>25.455466666666666</v>
      </c>
      <c r="J1117" s="4">
        <f t="shared" ca="1" si="96"/>
        <v>25.317983333333334</v>
      </c>
      <c r="K1117" s="4"/>
      <c r="L1117" s="5">
        <f t="shared" ref="L1117:Q1126" ca="1" si="97">SUM(OFFSET(L$581,($A1117-$A$1097)*12,0,12,1))</f>
        <v>355.53689999999995</v>
      </c>
      <c r="M1117" s="5">
        <f t="shared" ca="1" si="97"/>
        <v>142.0401</v>
      </c>
      <c r="N1117" s="5">
        <f t="shared" ca="1" si="97"/>
        <v>58.217499999999994</v>
      </c>
      <c r="O1117" s="5">
        <f t="shared" ca="1" si="97"/>
        <v>4.4046000000000003</v>
      </c>
      <c r="P1117" s="5">
        <f t="shared" ca="1" si="97"/>
        <v>14.707600000000001</v>
      </c>
      <c r="Q1117" s="5">
        <f t="shared" ca="1" si="97"/>
        <v>231.81149999999997</v>
      </c>
      <c r="R1117" s="4"/>
      <c r="S1117" s="4"/>
    </row>
    <row r="1118" spans="1:19" ht="15" customHeight="1">
      <c r="A1118" s="3">
        <f t="shared" si="93"/>
        <v>2083</v>
      </c>
      <c r="B1118" s="4">
        <f t="shared" ca="1" si="96"/>
        <v>27.033033333333332</v>
      </c>
      <c r="C1118" s="4">
        <f t="shared" ca="1" si="96"/>
        <v>27.039400000000004</v>
      </c>
      <c r="D1118" s="4">
        <f t="shared" ca="1" si="96"/>
        <v>27.049299999999999</v>
      </c>
      <c r="E1118" s="4">
        <f t="shared" ca="1" si="96"/>
        <v>27.045058333333333</v>
      </c>
      <c r="F1118" s="4">
        <f t="shared" ca="1" si="96"/>
        <v>27.720483333333334</v>
      </c>
      <c r="G1118" s="4">
        <f t="shared" ca="1" si="96"/>
        <v>26.390641666666664</v>
      </c>
      <c r="H1118" s="4">
        <f t="shared" ca="1" si="96"/>
        <v>27.309458333333335</v>
      </c>
      <c r="I1118" s="4">
        <f t="shared" ca="1" si="96"/>
        <v>26.064066666666665</v>
      </c>
      <c r="J1118" s="4">
        <f t="shared" ca="1" si="96"/>
        <v>25.926291666666668</v>
      </c>
      <c r="K1118" s="4"/>
      <c r="L1118" s="5">
        <f t="shared" ca="1" si="97"/>
        <v>355.53689999999995</v>
      </c>
      <c r="M1118" s="5">
        <f t="shared" ca="1" si="97"/>
        <v>142.0401</v>
      </c>
      <c r="N1118" s="5">
        <f t="shared" ca="1" si="97"/>
        <v>58.217499999999994</v>
      </c>
      <c r="O1118" s="5">
        <f t="shared" ca="1" si="97"/>
        <v>4.4046000000000003</v>
      </c>
      <c r="P1118" s="5">
        <f t="shared" ca="1" si="97"/>
        <v>14.707600000000001</v>
      </c>
      <c r="Q1118" s="5">
        <f t="shared" ca="1" si="97"/>
        <v>231.81149999999997</v>
      </c>
      <c r="R1118" s="4"/>
      <c r="S1118" s="4"/>
    </row>
    <row r="1119" spans="1:19" ht="15" customHeight="1">
      <c r="A1119" s="3">
        <f t="shared" si="93"/>
        <v>2084</v>
      </c>
      <c r="B1119" s="4">
        <f t="shared" ca="1" si="96"/>
        <v>27.681825000000003</v>
      </c>
      <c r="C1119" s="4">
        <f t="shared" ca="1" si="96"/>
        <v>27.688199999999998</v>
      </c>
      <c r="D1119" s="4">
        <f t="shared" ca="1" si="96"/>
        <v>27.698091666666667</v>
      </c>
      <c r="E1119" s="4">
        <f t="shared" ca="1" si="96"/>
        <v>27.69384166666666</v>
      </c>
      <c r="F1119" s="4">
        <f t="shared" ca="1" si="96"/>
        <v>28.369291666666665</v>
      </c>
      <c r="G1119" s="4">
        <f t="shared" ca="1" si="96"/>
        <v>27.024316666666667</v>
      </c>
      <c r="H1119" s="4">
        <f t="shared" ca="1" si="96"/>
        <v>27.943149999999999</v>
      </c>
      <c r="I1119" s="4">
        <f t="shared" ca="1" si="96"/>
        <v>26.687283333333337</v>
      </c>
      <c r="J1119" s="4">
        <f t="shared" ca="1" si="96"/>
        <v>26.549191666666669</v>
      </c>
      <c r="K1119" s="4"/>
      <c r="L1119" s="5">
        <f t="shared" ca="1" si="97"/>
        <v>356.48229999999995</v>
      </c>
      <c r="M1119" s="5">
        <f t="shared" ca="1" si="97"/>
        <v>142.42920000000001</v>
      </c>
      <c r="N1119" s="5">
        <f t="shared" ca="1" si="97"/>
        <v>58.377000000000002</v>
      </c>
      <c r="O1119" s="5">
        <f t="shared" ca="1" si="97"/>
        <v>4.4165999999999999</v>
      </c>
      <c r="P1119" s="5">
        <f t="shared" ca="1" si="97"/>
        <v>14.7493</v>
      </c>
      <c r="Q1119" s="5">
        <f t="shared" ca="1" si="97"/>
        <v>232.44659999999996</v>
      </c>
      <c r="R1119" s="4"/>
      <c r="S1119" s="4"/>
    </row>
    <row r="1120" spans="1:19" ht="15" customHeight="1">
      <c r="A1120" s="3">
        <f t="shared" si="93"/>
        <v>2085</v>
      </c>
      <c r="B1120" s="4">
        <f t="shared" ca="1" si="96"/>
        <v>28.346208333333333</v>
      </c>
      <c r="C1120" s="4">
        <f t="shared" ca="1" si="96"/>
        <v>28.352583333333332</v>
      </c>
      <c r="D1120" s="4">
        <f t="shared" ca="1" si="96"/>
        <v>28.362466666666666</v>
      </c>
      <c r="E1120" s="4">
        <f t="shared" ca="1" si="96"/>
        <v>28.358233333333335</v>
      </c>
      <c r="F1120" s="4">
        <f t="shared" ca="1" si="96"/>
        <v>29.033683333333332</v>
      </c>
      <c r="G1120" s="4">
        <f t="shared" ca="1" si="96"/>
        <v>27.673225000000002</v>
      </c>
      <c r="H1120" s="4">
        <f t="shared" ca="1" si="96"/>
        <v>28.592066666666664</v>
      </c>
      <c r="I1120" s="4">
        <f t="shared" ca="1" si="96"/>
        <v>27.325475000000001</v>
      </c>
      <c r="J1120" s="4">
        <f t="shared" ca="1" si="96"/>
        <v>27.187083333333337</v>
      </c>
      <c r="K1120" s="4"/>
      <c r="L1120" s="5">
        <f t="shared" ca="1" si="97"/>
        <v>355.53689999999995</v>
      </c>
      <c r="M1120" s="5">
        <f t="shared" ca="1" si="97"/>
        <v>142.0401</v>
      </c>
      <c r="N1120" s="5">
        <f t="shared" ca="1" si="97"/>
        <v>58.217499999999994</v>
      </c>
      <c r="O1120" s="5">
        <f t="shared" ca="1" si="97"/>
        <v>4.4046000000000003</v>
      </c>
      <c r="P1120" s="5">
        <f t="shared" ca="1" si="97"/>
        <v>14.707600000000001</v>
      </c>
      <c r="Q1120" s="5">
        <f t="shared" ca="1" si="97"/>
        <v>231.81149999999997</v>
      </c>
      <c r="R1120" s="4"/>
      <c r="S1120" s="4"/>
    </row>
    <row r="1121" spans="1:19" ht="15" customHeight="1">
      <c r="A1121" s="3">
        <f t="shared" si="93"/>
        <v>2086</v>
      </c>
      <c r="B1121" s="4">
        <f t="shared" ca="1" si="96"/>
        <v>29.026574999999998</v>
      </c>
      <c r="C1121" s="4">
        <f t="shared" ca="1" si="96"/>
        <v>29.032933333333332</v>
      </c>
      <c r="D1121" s="4">
        <f t="shared" ca="1" si="96"/>
        <v>29.042841666666671</v>
      </c>
      <c r="E1121" s="4">
        <f t="shared" ca="1" si="96"/>
        <v>29.038591666666665</v>
      </c>
      <c r="F1121" s="4">
        <f t="shared" ca="1" si="96"/>
        <v>29.714025000000007</v>
      </c>
      <c r="G1121" s="4">
        <f t="shared" ca="1" si="96"/>
        <v>28.337725000000002</v>
      </c>
      <c r="H1121" s="4">
        <f t="shared" ca="1" si="96"/>
        <v>29.256566666666661</v>
      </c>
      <c r="I1121" s="4">
        <f t="shared" ca="1" si="96"/>
        <v>27.979016666666666</v>
      </c>
      <c r="J1121" s="4">
        <f t="shared" ca="1" si="96"/>
        <v>27.840275000000002</v>
      </c>
      <c r="K1121" s="4"/>
      <c r="L1121" s="5">
        <f t="shared" ca="1" si="97"/>
        <v>355.53689999999995</v>
      </c>
      <c r="M1121" s="5">
        <f t="shared" ca="1" si="97"/>
        <v>142.0401</v>
      </c>
      <c r="N1121" s="5">
        <f t="shared" ca="1" si="97"/>
        <v>58.217499999999994</v>
      </c>
      <c r="O1121" s="5">
        <f t="shared" ca="1" si="97"/>
        <v>4.4046000000000003</v>
      </c>
      <c r="P1121" s="5">
        <f t="shared" ca="1" si="97"/>
        <v>14.707600000000001</v>
      </c>
      <c r="Q1121" s="5">
        <f t="shared" ca="1" si="97"/>
        <v>231.81149999999997</v>
      </c>
      <c r="R1121" s="4"/>
      <c r="S1121" s="4"/>
    </row>
    <row r="1122" spans="1:19" ht="15" customHeight="1">
      <c r="A1122" s="3">
        <f t="shared" si="93"/>
        <v>2087</v>
      </c>
      <c r="B1122" s="4">
        <f t="shared" ca="1" si="96"/>
        <v>29.723258333333334</v>
      </c>
      <c r="C1122" s="4">
        <f t="shared" ca="1" si="96"/>
        <v>29.729633333333336</v>
      </c>
      <c r="D1122" s="4">
        <f t="shared" ca="1" si="96"/>
        <v>29.739525</v>
      </c>
      <c r="E1122" s="4">
        <f t="shared" ca="1" si="96"/>
        <v>29.735291666666669</v>
      </c>
      <c r="F1122" s="4">
        <f t="shared" ca="1" si="96"/>
        <v>30.410725000000003</v>
      </c>
      <c r="G1122" s="4">
        <f t="shared" ca="1" si="96"/>
        <v>29.01818333333334</v>
      </c>
      <c r="H1122" s="4">
        <f t="shared" ca="1" si="96"/>
        <v>29.937033333333332</v>
      </c>
      <c r="I1122" s="4">
        <f t="shared" ca="1" si="96"/>
        <v>28.648250000000004</v>
      </c>
      <c r="J1122" s="4">
        <f t="shared" ca="1" si="96"/>
        <v>28.509175000000003</v>
      </c>
      <c r="K1122" s="4"/>
      <c r="L1122" s="5">
        <f t="shared" ca="1" si="97"/>
        <v>355.53689999999995</v>
      </c>
      <c r="M1122" s="5">
        <f t="shared" ca="1" si="97"/>
        <v>142.0401</v>
      </c>
      <c r="N1122" s="5">
        <f t="shared" ca="1" si="97"/>
        <v>58.217499999999994</v>
      </c>
      <c r="O1122" s="5">
        <f t="shared" ca="1" si="97"/>
        <v>4.4046000000000003</v>
      </c>
      <c r="P1122" s="5">
        <f t="shared" ca="1" si="97"/>
        <v>14.707600000000001</v>
      </c>
      <c r="Q1122" s="5">
        <f t="shared" ca="1" si="97"/>
        <v>231.81149999999997</v>
      </c>
      <c r="R1122" s="4"/>
      <c r="S1122" s="4"/>
    </row>
    <row r="1123" spans="1:19" ht="15" customHeight="1">
      <c r="A1123" s="3">
        <f t="shared" si="93"/>
        <v>2088</v>
      </c>
      <c r="B1123" s="4">
        <f t="shared" ca="1" si="96"/>
        <v>30.436699999999998</v>
      </c>
      <c r="C1123" s="4">
        <f t="shared" ca="1" si="96"/>
        <v>30.44305833333333</v>
      </c>
      <c r="D1123" s="4">
        <f t="shared" ca="1" si="96"/>
        <v>30.452949999999998</v>
      </c>
      <c r="E1123" s="4">
        <f t="shared" ca="1" si="96"/>
        <v>30.448724999999996</v>
      </c>
      <c r="F1123" s="4">
        <f t="shared" ca="1" si="96"/>
        <v>31.12414166666667</v>
      </c>
      <c r="G1123" s="4">
        <f t="shared" ca="1" si="96"/>
        <v>29.715000000000003</v>
      </c>
      <c r="H1123" s="4">
        <f t="shared" ca="1" si="96"/>
        <v>30.633849999999999</v>
      </c>
      <c r="I1123" s="4">
        <f t="shared" ca="1" si="96"/>
        <v>29.333549999999999</v>
      </c>
      <c r="J1123" s="4">
        <f t="shared" ca="1" si="96"/>
        <v>29.194158333333334</v>
      </c>
      <c r="K1123" s="4"/>
      <c r="L1123" s="5">
        <f t="shared" ca="1" si="97"/>
        <v>356.48229999999995</v>
      </c>
      <c r="M1123" s="5">
        <f t="shared" ca="1" si="97"/>
        <v>142.42920000000001</v>
      </c>
      <c r="N1123" s="5">
        <f t="shared" ca="1" si="97"/>
        <v>58.377000000000002</v>
      </c>
      <c r="O1123" s="5">
        <f t="shared" ca="1" si="97"/>
        <v>4.4165999999999999</v>
      </c>
      <c r="P1123" s="5">
        <f t="shared" ca="1" si="97"/>
        <v>14.7493</v>
      </c>
      <c r="Q1123" s="5">
        <f t="shared" ca="1" si="97"/>
        <v>232.44659999999996</v>
      </c>
      <c r="R1123" s="4"/>
      <c r="S1123" s="4"/>
    </row>
    <row r="1124" spans="1:19" ht="15" customHeight="1">
      <c r="A1124" s="3">
        <f t="shared" si="93"/>
        <v>2089</v>
      </c>
      <c r="B1124" s="4">
        <f t="shared" ca="1" si="96"/>
        <v>31.167283333333334</v>
      </c>
      <c r="C1124" s="4">
        <f t="shared" ca="1" si="96"/>
        <v>31.173625000000001</v>
      </c>
      <c r="D1124" s="4">
        <f t="shared" ca="1" si="96"/>
        <v>31.183516666666666</v>
      </c>
      <c r="E1124" s="4">
        <f t="shared" ca="1" si="96"/>
        <v>31.179274999999993</v>
      </c>
      <c r="F1124" s="4">
        <f t="shared" ca="1" si="96"/>
        <v>31.854733333333332</v>
      </c>
      <c r="G1124" s="4">
        <f t="shared" ca="1" si="96"/>
        <v>30.428566666666669</v>
      </c>
      <c r="H1124" s="4">
        <f t="shared" ca="1" si="96"/>
        <v>31.34740833333333</v>
      </c>
      <c r="I1124" s="4">
        <f t="shared" ca="1" si="96"/>
        <v>30.035341666666667</v>
      </c>
      <c r="J1124" s="4">
        <f t="shared" ca="1" si="96"/>
        <v>29.895574999999997</v>
      </c>
      <c r="K1124" s="4"/>
      <c r="L1124" s="5">
        <f t="shared" ca="1" si="97"/>
        <v>355.53689999999995</v>
      </c>
      <c r="M1124" s="5">
        <f t="shared" ca="1" si="97"/>
        <v>142.0401</v>
      </c>
      <c r="N1124" s="5">
        <f t="shared" ca="1" si="97"/>
        <v>58.217499999999994</v>
      </c>
      <c r="O1124" s="5">
        <f t="shared" ca="1" si="97"/>
        <v>4.4046000000000003</v>
      </c>
      <c r="P1124" s="5">
        <f t="shared" ca="1" si="97"/>
        <v>14.707600000000001</v>
      </c>
      <c r="Q1124" s="5">
        <f t="shared" ca="1" si="97"/>
        <v>231.81149999999997</v>
      </c>
      <c r="R1124" s="4"/>
      <c r="S1124" s="4"/>
    </row>
    <row r="1125" spans="1:19" ht="15" customHeight="1">
      <c r="A1125" s="3">
        <f t="shared" si="93"/>
        <v>2090</v>
      </c>
      <c r="B1125" s="4">
        <f t="shared" ca="1" si="96"/>
        <v>31.915399999999995</v>
      </c>
      <c r="C1125" s="4">
        <f t="shared" ca="1" si="96"/>
        <v>31.921774999999997</v>
      </c>
      <c r="D1125" s="4">
        <f t="shared" ca="1" si="96"/>
        <v>31.931658333333335</v>
      </c>
      <c r="E1125" s="4">
        <f t="shared" ca="1" si="96"/>
        <v>31.92743333333333</v>
      </c>
      <c r="F1125" s="4">
        <f t="shared" ca="1" si="96"/>
        <v>32.602866666666664</v>
      </c>
      <c r="G1125" s="4">
        <f t="shared" ca="1" si="96"/>
        <v>31.159266666666667</v>
      </c>
      <c r="H1125" s="4">
        <f t="shared" ca="1" si="96"/>
        <v>32.078091666666666</v>
      </c>
      <c r="I1125" s="4">
        <f t="shared" ca="1" si="96"/>
        <v>30.754000000000005</v>
      </c>
      <c r="J1125" s="4">
        <f t="shared" ca="1" si="96"/>
        <v>30.613858333333329</v>
      </c>
      <c r="K1125" s="4"/>
      <c r="L1125" s="5">
        <f t="shared" ca="1" si="97"/>
        <v>355.53689999999995</v>
      </c>
      <c r="M1125" s="5">
        <f t="shared" ca="1" si="97"/>
        <v>142.0401</v>
      </c>
      <c r="N1125" s="5">
        <f t="shared" ca="1" si="97"/>
        <v>58.217499999999994</v>
      </c>
      <c r="O1125" s="5">
        <f t="shared" ca="1" si="97"/>
        <v>4.4046000000000003</v>
      </c>
      <c r="P1125" s="5">
        <f t="shared" ca="1" si="97"/>
        <v>14.707600000000001</v>
      </c>
      <c r="Q1125" s="5">
        <f t="shared" ca="1" si="97"/>
        <v>231.81149999999997</v>
      </c>
      <c r="R1125" s="4"/>
      <c r="S1125" s="4"/>
    </row>
    <row r="1126" spans="1:19" ht="15" customHeight="1">
      <c r="A1126" s="3">
        <f t="shared" si="93"/>
        <v>2091</v>
      </c>
      <c r="B1126" s="4">
        <f t="shared" ca="1" si="96"/>
        <v>32.681508333333326</v>
      </c>
      <c r="C1126" s="4">
        <f t="shared" ca="1" si="96"/>
        <v>32.687866666666665</v>
      </c>
      <c r="D1126" s="4">
        <f t="shared" ca="1" si="96"/>
        <v>32.697766666666659</v>
      </c>
      <c r="E1126" s="4">
        <f t="shared" ca="1" si="96"/>
        <v>32.693533333333328</v>
      </c>
      <c r="F1126" s="4">
        <f t="shared" ca="1" si="96"/>
        <v>33.368966666666665</v>
      </c>
      <c r="G1126" s="4">
        <f t="shared" ca="1" si="96"/>
        <v>31.907525000000003</v>
      </c>
      <c r="H1126" s="4">
        <f t="shared" ca="1" si="96"/>
        <v>32.826366666666665</v>
      </c>
      <c r="I1126" s="4">
        <f t="shared" ca="1" si="96"/>
        <v>31.489891666666665</v>
      </c>
      <c r="J1126" s="4">
        <f t="shared" ca="1" si="96"/>
        <v>31.349400000000003</v>
      </c>
      <c r="K1126" s="4"/>
      <c r="L1126" s="5">
        <f t="shared" ca="1" si="97"/>
        <v>355.53689999999995</v>
      </c>
      <c r="M1126" s="5">
        <f t="shared" ca="1" si="97"/>
        <v>142.0401</v>
      </c>
      <c r="N1126" s="5">
        <f t="shared" ca="1" si="97"/>
        <v>58.217499999999994</v>
      </c>
      <c r="O1126" s="5">
        <f t="shared" ca="1" si="97"/>
        <v>4.4046000000000003</v>
      </c>
      <c r="P1126" s="5">
        <f t="shared" ca="1" si="97"/>
        <v>14.707600000000001</v>
      </c>
      <c r="Q1126" s="5">
        <f t="shared" ca="1" si="97"/>
        <v>231.81149999999997</v>
      </c>
      <c r="R1126" s="4"/>
      <c r="S1126" s="4"/>
    </row>
    <row r="1127" spans="1:19" ht="15" customHeight="1">
      <c r="A1127" s="3">
        <f t="shared" si="93"/>
        <v>2092</v>
      </c>
      <c r="B1127" s="4">
        <f t="shared" ref="B1127:J1135" ca="1" si="98">AVERAGE(OFFSET(B$581,($A1127-$A$1097)*12,0,12,1))</f>
        <v>33.466033333333328</v>
      </c>
      <c r="C1127" s="4">
        <f t="shared" ca="1" si="98"/>
        <v>33.472383333333333</v>
      </c>
      <c r="D1127" s="4">
        <f t="shared" ca="1" si="98"/>
        <v>33.482258333333334</v>
      </c>
      <c r="E1127" s="4">
        <f t="shared" ca="1" si="98"/>
        <v>33.478033333333336</v>
      </c>
      <c r="F1127" s="4">
        <f t="shared" ca="1" si="98"/>
        <v>34.153483333333334</v>
      </c>
      <c r="G1127" s="4">
        <f t="shared" ca="1" si="98"/>
        <v>32.673758333333332</v>
      </c>
      <c r="H1127" s="4">
        <f t="shared" ca="1" si="98"/>
        <v>33.592608333333338</v>
      </c>
      <c r="I1127" s="4">
        <f t="shared" ca="1" si="98"/>
        <v>32.243474999999997</v>
      </c>
      <c r="J1127" s="4">
        <f t="shared" ca="1" si="98"/>
        <v>32.10261666666667</v>
      </c>
      <c r="K1127" s="4"/>
      <c r="L1127" s="5">
        <f t="shared" ref="L1127:Q1135" ca="1" si="99">SUM(OFFSET(L$581,($A1127-$A$1097)*12,0,12,1))</f>
        <v>356.48229999999995</v>
      </c>
      <c r="M1127" s="5">
        <f t="shared" ca="1" si="99"/>
        <v>142.42920000000001</v>
      </c>
      <c r="N1127" s="5">
        <f t="shared" ca="1" si="99"/>
        <v>58.377000000000002</v>
      </c>
      <c r="O1127" s="5">
        <f t="shared" ca="1" si="99"/>
        <v>4.4165999999999999</v>
      </c>
      <c r="P1127" s="5">
        <f t="shared" ca="1" si="99"/>
        <v>14.7493</v>
      </c>
      <c r="Q1127" s="5">
        <f t="shared" ca="1" si="99"/>
        <v>232.44659999999996</v>
      </c>
      <c r="R1127" s="4"/>
      <c r="S1127" s="4"/>
    </row>
    <row r="1128" spans="1:19" ht="15" customHeight="1">
      <c r="A1128" s="3">
        <f t="shared" si="93"/>
        <v>2093</v>
      </c>
      <c r="B1128" s="4">
        <f t="shared" ca="1" si="98"/>
        <v>34.269391666666664</v>
      </c>
      <c r="C1128" s="4">
        <f t="shared" ca="1" si="98"/>
        <v>34.275766666666669</v>
      </c>
      <c r="D1128" s="4">
        <f t="shared" ca="1" si="98"/>
        <v>34.285650000000004</v>
      </c>
      <c r="E1128" s="4">
        <f t="shared" ca="1" si="98"/>
        <v>34.281416666666672</v>
      </c>
      <c r="F1128" s="4">
        <f t="shared" ca="1" si="98"/>
        <v>34.956841666666662</v>
      </c>
      <c r="G1128" s="4">
        <f t="shared" ca="1" si="98"/>
        <v>33.458433333333339</v>
      </c>
      <c r="H1128" s="4">
        <f t="shared" ca="1" si="98"/>
        <v>34.377258333333337</v>
      </c>
      <c r="I1128" s="4">
        <f t="shared" ca="1" si="98"/>
        <v>33.015183333333333</v>
      </c>
      <c r="J1128" s="4">
        <f t="shared" ca="1" si="98"/>
        <v>32.873933333333333</v>
      </c>
      <c r="K1128" s="4"/>
      <c r="L1128" s="5">
        <f t="shared" ca="1" si="99"/>
        <v>355.53689999999995</v>
      </c>
      <c r="M1128" s="5">
        <f t="shared" ca="1" si="99"/>
        <v>142.0401</v>
      </c>
      <c r="N1128" s="5">
        <f t="shared" ca="1" si="99"/>
        <v>58.217499999999994</v>
      </c>
      <c r="O1128" s="5">
        <f t="shared" ca="1" si="99"/>
        <v>4.4046000000000003</v>
      </c>
      <c r="P1128" s="5">
        <f t="shared" ca="1" si="99"/>
        <v>14.707600000000001</v>
      </c>
      <c r="Q1128" s="5">
        <f t="shared" ca="1" si="99"/>
        <v>231.81149999999997</v>
      </c>
      <c r="R1128" s="4"/>
      <c r="S1128" s="4"/>
    </row>
    <row r="1129" spans="1:19" ht="15" customHeight="1">
      <c r="A1129" s="3">
        <f t="shared" si="93"/>
        <v>2094</v>
      </c>
      <c r="B1129" s="4">
        <f t="shared" ca="1" si="98"/>
        <v>35.092049999999993</v>
      </c>
      <c r="C1129" s="4">
        <f t="shared" ca="1" si="98"/>
        <v>35.09843333333334</v>
      </c>
      <c r="D1129" s="4">
        <f t="shared" ca="1" si="98"/>
        <v>35.108316666666667</v>
      </c>
      <c r="E1129" s="4">
        <f t="shared" ca="1" si="98"/>
        <v>35.104091666666669</v>
      </c>
      <c r="F1129" s="4">
        <f t="shared" ca="1" si="98"/>
        <v>35.779516666666666</v>
      </c>
      <c r="G1129" s="4">
        <f t="shared" ca="1" si="98"/>
        <v>34.261924999999998</v>
      </c>
      <c r="H1129" s="4">
        <f t="shared" ca="1" si="98"/>
        <v>35.180758333333337</v>
      </c>
      <c r="I1129" s="4">
        <f t="shared" ca="1" si="98"/>
        <v>33.805408333333339</v>
      </c>
      <c r="J1129" s="4">
        <f t="shared" ca="1" si="98"/>
        <v>33.663758333333334</v>
      </c>
      <c r="K1129" s="4"/>
      <c r="L1129" s="5">
        <f t="shared" ca="1" si="99"/>
        <v>355.53689999999995</v>
      </c>
      <c r="M1129" s="5">
        <f t="shared" ca="1" si="99"/>
        <v>142.0401</v>
      </c>
      <c r="N1129" s="5">
        <f t="shared" ca="1" si="99"/>
        <v>58.217499999999994</v>
      </c>
      <c r="O1129" s="5">
        <f t="shared" ca="1" si="99"/>
        <v>4.4046000000000003</v>
      </c>
      <c r="P1129" s="5">
        <f t="shared" ca="1" si="99"/>
        <v>14.707600000000001</v>
      </c>
      <c r="Q1129" s="5">
        <f t="shared" ca="1" si="99"/>
        <v>231.81149999999997</v>
      </c>
      <c r="R1129" s="4"/>
      <c r="S1129" s="4"/>
    </row>
    <row r="1130" spans="1:19" ht="15" customHeight="1">
      <c r="A1130" s="3">
        <f t="shared" si="93"/>
        <v>2095</v>
      </c>
      <c r="B1130" s="4">
        <f t="shared" ca="1" si="98"/>
        <v>35.9345</v>
      </c>
      <c r="C1130" s="4">
        <f t="shared" ca="1" si="98"/>
        <v>35.940866666666672</v>
      </c>
      <c r="D1130" s="4">
        <f t="shared" ca="1" si="98"/>
        <v>35.950758333333333</v>
      </c>
      <c r="E1130" s="4">
        <f t="shared" ca="1" si="98"/>
        <v>35.946533333333328</v>
      </c>
      <c r="F1130" s="4">
        <f t="shared" ca="1" si="98"/>
        <v>36.621958333333339</v>
      </c>
      <c r="G1130" s="4">
        <f t="shared" ca="1" si="98"/>
        <v>35.084741666666666</v>
      </c>
      <c r="H1130" s="4">
        <f t="shared" ca="1" si="98"/>
        <v>36.003574999999991</v>
      </c>
      <c r="I1130" s="4">
        <f t="shared" ca="1" si="98"/>
        <v>34.614658333333331</v>
      </c>
      <c r="J1130" s="4">
        <f t="shared" ca="1" si="98"/>
        <v>34.472575000000006</v>
      </c>
      <c r="K1130" s="4"/>
      <c r="L1130" s="5">
        <f t="shared" ca="1" si="99"/>
        <v>355.53689999999995</v>
      </c>
      <c r="M1130" s="5">
        <f t="shared" ca="1" si="99"/>
        <v>142.0401</v>
      </c>
      <c r="N1130" s="5">
        <f t="shared" ca="1" si="99"/>
        <v>58.217499999999994</v>
      </c>
      <c r="O1130" s="5">
        <f t="shared" ca="1" si="99"/>
        <v>4.4046000000000003</v>
      </c>
      <c r="P1130" s="5">
        <f t="shared" ca="1" si="99"/>
        <v>14.707600000000001</v>
      </c>
      <c r="Q1130" s="5">
        <f t="shared" ca="1" si="99"/>
        <v>231.81149999999997</v>
      </c>
      <c r="R1130" s="4"/>
      <c r="S1130" s="4"/>
    </row>
    <row r="1131" spans="1:19" ht="15" customHeight="1">
      <c r="A1131" s="3">
        <f t="shared" si="93"/>
        <v>2096</v>
      </c>
      <c r="B1131" s="4">
        <f t="shared" ca="1" si="98"/>
        <v>36.797175000000003</v>
      </c>
      <c r="C1131" s="4">
        <f t="shared" ca="1" si="98"/>
        <v>36.803541666666661</v>
      </c>
      <c r="D1131" s="4">
        <f t="shared" ca="1" si="98"/>
        <v>36.813433333333336</v>
      </c>
      <c r="E1131" s="4">
        <f t="shared" ca="1" si="98"/>
        <v>36.809191666666671</v>
      </c>
      <c r="F1131" s="4">
        <f t="shared" ca="1" si="98"/>
        <v>37.484608333333334</v>
      </c>
      <c r="G1131" s="4">
        <f t="shared" ca="1" si="98"/>
        <v>35.927308333333336</v>
      </c>
      <c r="H1131" s="4">
        <f t="shared" ca="1" si="98"/>
        <v>36.846150000000002</v>
      </c>
      <c r="I1131" s="4">
        <f t="shared" ca="1" si="98"/>
        <v>35.443325000000009</v>
      </c>
      <c r="J1131" s="4">
        <f t="shared" ca="1" si="98"/>
        <v>35.300841666666663</v>
      </c>
      <c r="K1131" s="4"/>
      <c r="L1131" s="5">
        <f t="shared" ca="1" si="99"/>
        <v>356.48229999999995</v>
      </c>
      <c r="M1131" s="5">
        <f t="shared" ca="1" si="99"/>
        <v>142.42920000000001</v>
      </c>
      <c r="N1131" s="5">
        <f t="shared" ca="1" si="99"/>
        <v>58.377000000000002</v>
      </c>
      <c r="O1131" s="5">
        <f t="shared" ca="1" si="99"/>
        <v>4.4165999999999999</v>
      </c>
      <c r="P1131" s="5">
        <f t="shared" ca="1" si="99"/>
        <v>14.7493</v>
      </c>
      <c r="Q1131" s="5">
        <f t="shared" ca="1" si="99"/>
        <v>232.44659999999996</v>
      </c>
      <c r="R1131" s="4"/>
      <c r="S1131" s="4"/>
    </row>
    <row r="1132" spans="1:19" ht="15" customHeight="1">
      <c r="A1132" s="3">
        <f t="shared" si="93"/>
        <v>2097</v>
      </c>
      <c r="B1132" s="4">
        <f t="shared" ca="1" si="98"/>
        <v>37.680583333333331</v>
      </c>
      <c r="C1132" s="4">
        <f t="shared" ca="1" si="98"/>
        <v>37.68695833333333</v>
      </c>
      <c r="D1132" s="4">
        <f t="shared" ca="1" si="98"/>
        <v>37.696841666666664</v>
      </c>
      <c r="E1132" s="4">
        <f t="shared" ca="1" si="98"/>
        <v>37.692600000000006</v>
      </c>
      <c r="F1132" s="4">
        <f t="shared" ca="1" si="98"/>
        <v>38.368033333333337</v>
      </c>
      <c r="G1132" s="4">
        <f t="shared" ca="1" si="98"/>
        <v>36.790141666666663</v>
      </c>
      <c r="H1132" s="4">
        <f t="shared" ca="1" si="98"/>
        <v>37.708958333333335</v>
      </c>
      <c r="I1132" s="4">
        <f t="shared" ca="1" si="98"/>
        <v>36.291891666666665</v>
      </c>
      <c r="J1132" s="4">
        <f t="shared" ca="1" si="98"/>
        <v>36.149008333333335</v>
      </c>
      <c r="K1132" s="4"/>
      <c r="L1132" s="5">
        <f t="shared" ca="1" si="99"/>
        <v>355.53689999999995</v>
      </c>
      <c r="M1132" s="5">
        <f t="shared" ca="1" si="99"/>
        <v>142.0401</v>
      </c>
      <c r="N1132" s="5">
        <f t="shared" ca="1" si="99"/>
        <v>58.217499999999994</v>
      </c>
      <c r="O1132" s="5">
        <f t="shared" ca="1" si="99"/>
        <v>4.4046000000000003</v>
      </c>
      <c r="P1132" s="5">
        <f t="shared" ca="1" si="99"/>
        <v>14.707600000000001</v>
      </c>
      <c r="Q1132" s="5">
        <f t="shared" ca="1" si="99"/>
        <v>231.81149999999997</v>
      </c>
      <c r="R1132" s="4"/>
      <c r="S1132" s="4"/>
    </row>
    <row r="1133" spans="1:19" ht="15" customHeight="1">
      <c r="A1133" s="3">
        <f t="shared" si="93"/>
        <v>2098</v>
      </c>
      <c r="B1133" s="4">
        <f t="shared" ca="1" si="98"/>
        <v>38.585199999999993</v>
      </c>
      <c r="C1133" s="4">
        <f t="shared" ca="1" si="98"/>
        <v>38.591583333333325</v>
      </c>
      <c r="D1133" s="4">
        <f t="shared" ca="1" si="98"/>
        <v>38.601474999999994</v>
      </c>
      <c r="E1133" s="4">
        <f t="shared" ca="1" si="98"/>
        <v>38.597233333333342</v>
      </c>
      <c r="F1133" s="4">
        <f t="shared" ca="1" si="98"/>
        <v>39.272666666666666</v>
      </c>
      <c r="G1133" s="4">
        <f t="shared" ca="1" si="98"/>
        <v>37.673699999999997</v>
      </c>
      <c r="H1133" s="4">
        <f t="shared" ca="1" si="98"/>
        <v>38.592533333333336</v>
      </c>
      <c r="I1133" s="4">
        <f t="shared" ca="1" si="98"/>
        <v>37.160883333333331</v>
      </c>
      <c r="J1133" s="4">
        <f t="shared" ca="1" si="98"/>
        <v>37.017541666666666</v>
      </c>
      <c r="K1133" s="4"/>
      <c r="L1133" s="5">
        <f t="shared" ca="1" si="99"/>
        <v>355.53689999999995</v>
      </c>
      <c r="M1133" s="5">
        <f t="shared" ca="1" si="99"/>
        <v>142.0401</v>
      </c>
      <c r="N1133" s="5">
        <f t="shared" ca="1" si="99"/>
        <v>58.217499999999994</v>
      </c>
      <c r="O1133" s="5">
        <f t="shared" ca="1" si="99"/>
        <v>4.4046000000000003</v>
      </c>
      <c r="P1133" s="5">
        <f t="shared" ca="1" si="99"/>
        <v>14.707600000000001</v>
      </c>
      <c r="Q1133" s="5">
        <f t="shared" ca="1" si="99"/>
        <v>231.81149999999997</v>
      </c>
      <c r="R1133" s="4"/>
      <c r="S1133" s="4"/>
    </row>
    <row r="1134" spans="1:19" ht="15" customHeight="1">
      <c r="A1134" s="3">
        <f t="shared" si="93"/>
        <v>2099</v>
      </c>
      <c r="B1134" s="4">
        <f t="shared" ca="1" si="98"/>
        <v>39.511574999999993</v>
      </c>
      <c r="C1134" s="4">
        <f t="shared" ca="1" si="98"/>
        <v>39.517958333333333</v>
      </c>
      <c r="D1134" s="4">
        <f t="shared" ca="1" si="98"/>
        <v>39.527833333333334</v>
      </c>
      <c r="E1134" s="4">
        <f t="shared" ca="1" si="98"/>
        <v>39.523599999999995</v>
      </c>
      <c r="F1134" s="4">
        <f t="shared" ca="1" si="98"/>
        <v>40.199025000000006</v>
      </c>
      <c r="G1134" s="4">
        <f t="shared" ca="1" si="98"/>
        <v>38.578475000000005</v>
      </c>
      <c r="H1134" s="4">
        <f t="shared" ca="1" si="98"/>
        <v>39.497324999999996</v>
      </c>
      <c r="I1134" s="4">
        <f t="shared" ca="1" si="98"/>
        <v>38.050725</v>
      </c>
      <c r="J1134" s="4">
        <f t="shared" ca="1" si="98"/>
        <v>37.906941666666661</v>
      </c>
      <c r="K1134" s="4"/>
      <c r="L1134" s="5">
        <f t="shared" ca="1" si="99"/>
        <v>355.53689999999995</v>
      </c>
      <c r="M1134" s="5">
        <f t="shared" ca="1" si="99"/>
        <v>142.0401</v>
      </c>
      <c r="N1134" s="5">
        <f t="shared" ca="1" si="99"/>
        <v>58.217499999999994</v>
      </c>
      <c r="O1134" s="5">
        <f t="shared" ca="1" si="99"/>
        <v>4.4046000000000003</v>
      </c>
      <c r="P1134" s="5">
        <f t="shared" ca="1" si="99"/>
        <v>14.707600000000001</v>
      </c>
      <c r="Q1134" s="5">
        <f t="shared" ca="1" si="99"/>
        <v>231.81149999999997</v>
      </c>
      <c r="R1134" s="4"/>
      <c r="S1134" s="4"/>
    </row>
    <row r="1135" spans="1:19" ht="15" customHeight="1">
      <c r="A1135" s="3">
        <f t="shared" si="93"/>
        <v>2100</v>
      </c>
      <c r="B1135" s="4">
        <f t="shared" ca="1" si="98"/>
        <v>40.4602</v>
      </c>
      <c r="C1135" s="4">
        <f t="shared" ca="1" si="98"/>
        <v>40.466574999999999</v>
      </c>
      <c r="D1135" s="4">
        <f t="shared" ca="1" si="98"/>
        <v>40.476458333333333</v>
      </c>
      <c r="E1135" s="4">
        <f t="shared" ca="1" si="98"/>
        <v>40.472216666666661</v>
      </c>
      <c r="F1135" s="4">
        <f t="shared" ca="1" si="98"/>
        <v>41.147658333333332</v>
      </c>
      <c r="G1135" s="4">
        <f t="shared" ca="1" si="98"/>
        <v>39.50501666666667</v>
      </c>
      <c r="H1135" s="4">
        <f t="shared" ca="1" si="98"/>
        <v>40.423841666666668</v>
      </c>
      <c r="I1135" s="4">
        <f t="shared" ca="1" si="98"/>
        <v>38.961949999999995</v>
      </c>
      <c r="J1135" s="4">
        <f t="shared" ca="1" si="98"/>
        <v>38.817708333333336</v>
      </c>
      <c r="K1135" s="4"/>
      <c r="L1135" s="5">
        <f t="shared" ca="1" si="99"/>
        <v>355.53689999999995</v>
      </c>
      <c r="M1135" s="5">
        <f t="shared" ca="1" si="99"/>
        <v>142.0401</v>
      </c>
      <c r="N1135" s="5">
        <f t="shared" ca="1" si="99"/>
        <v>58.217499999999994</v>
      </c>
      <c r="O1135" s="5">
        <f t="shared" ca="1" si="99"/>
        <v>4.4046000000000003</v>
      </c>
      <c r="P1135" s="5">
        <f t="shared" ca="1" si="99"/>
        <v>14.707600000000001</v>
      </c>
      <c r="Q1135" s="5">
        <f t="shared" ca="1" si="99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73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8.4414062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72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30.6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0.0003, 0)</f>
        <v>8.0408999999999988</v>
      </c>
      <c r="C17" s="4">
        <f>7.6773 * CHOOSE(CONTROL!$C$9, $C$13, 100%, $E$13) + CHOOSE(CONTROL!$C$28, 0.0003, 0)</f>
        <v>7.6776</v>
      </c>
      <c r="D17" s="4">
        <f>15.1549 * CHOOSE(CONTROL!$C$9, $C$13, 100%, $E$13) + CHOOSE(CONTROL!$C$28, 0, 0)</f>
        <v>15.1549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9.525 * CHOOSE(CONTROL!$C$9, $C$13, 100%, $E$13) + CHOOSE(CONTROL!$C$28, 0.0003, 0)</f>
        <v>9.5252999999999997</v>
      </c>
      <c r="C18" s="4">
        <f>9.1617 * CHOOSE(CONTROL!$C$9, $C$13, 100%, $E$13) + CHOOSE(CONTROL!$C$28, 0.0003, 0)</f>
        <v>9.161999999999999</v>
      </c>
      <c r="D18" s="4">
        <f>14.0001 * CHOOSE(CONTROL!$C$9, $C$13, 100%, $E$13) + CHOOSE(CONTROL!$C$28, 0, 0)</f>
        <v>14.0001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8.4906 * CHOOSE(CONTROL!$C$9, $C$13, 100%, $E$13) + CHOOSE(CONTROL!$C$28, 0.0003, 0)</f>
        <v>8.4908999999999999</v>
      </c>
      <c r="C19" s="4">
        <f>8.1273 * CHOOSE(CONTROL!$C$9, $C$13, 100%, $E$13) + CHOOSE(CONTROL!$C$28, 0.0003, 0)</f>
        <v>8.1275999999999993</v>
      </c>
      <c r="D19" s="4">
        <f>18.4133 * CHOOSE(CONTROL!$C$9, $C$13, 100%, $E$13) + CHOOSE(CONTROL!$C$28, 0, 0)</f>
        <v>18.4133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8.6812 * CHOOSE(CONTROL!$C$9, $C$13, 100%, $E$13) + CHOOSE(CONTROL!$C$28, 0.0003, 0)</f>
        <v>8.6814999999999998</v>
      </c>
      <c r="C20" s="4">
        <f>8.318 * CHOOSE(CONTROL!$C$9, $C$13, 100%, $E$13) + CHOOSE(CONTROL!$C$28, 0.0003, 0)</f>
        <v>8.3182999999999989</v>
      </c>
      <c r="D20" s="4">
        <f>14.2277 * CHOOSE(CONTROL!$C$9, $C$13, 100%, $E$13) + CHOOSE(CONTROL!$C$28, 0, 0)</f>
        <v>14.2277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9.1891 * CHOOSE(CONTROL!$C$9, $C$13, 100%, $E$13) + CHOOSE(CONTROL!$C$28, 0.0192, 0)</f>
        <v>9.2082999999999995</v>
      </c>
      <c r="C21" s="4">
        <f>8.8258 * CHOOSE(CONTROL!$C$9, $C$13, 100%, $E$13) + CHOOSE(CONTROL!$C$28, 0.0192, 0)</f>
        <v>8.8449999999999989</v>
      </c>
      <c r="D21" s="4">
        <f>16.0893 * CHOOSE(CONTROL!$C$9, $C$13, 100%, $E$13) + CHOOSE(CONTROL!$C$28, 0, 0)</f>
        <v>16.089300000000001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8.9625 * CHOOSE(CONTROL!$C$9, $C$13, 100%, $E$13) + CHOOSE(CONTROL!$C$28, 0.0192, 0)</f>
        <v>8.9817</v>
      </c>
      <c r="C22" s="4">
        <f>8.5992 * CHOOSE(CONTROL!$C$9, $C$13, 100%, $E$13) + CHOOSE(CONTROL!$C$28, 0.0192, 0)</f>
        <v>8.6183999999999994</v>
      </c>
      <c r="D22" s="4">
        <f>15.938 * CHOOSE(CONTROL!$C$9, $C$13, 100%, $E$13) + CHOOSE(CONTROL!$C$28, 0, 0)</f>
        <v>15.938000000000001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8.3797 * CHOOSE(CONTROL!$C$9, $C$13, 100%, $E$13) + CHOOSE(CONTROL!$C$28, 0.0192, 0)</f>
        <v>8.3988999999999994</v>
      </c>
      <c r="C23" s="4">
        <f>8.0164 * CHOOSE(CONTROL!$C$9, $C$13, 100%, $E$13) + CHOOSE(CONTROL!$C$28, 0.0192, 0)</f>
        <v>8.0356000000000005</v>
      </c>
      <c r="D23" s="4">
        <f>15.4431 * CHOOSE(CONTROL!$C$9, $C$13, 100%, $E$13) + CHOOSE(CONTROL!$C$28, 0, 0)</f>
        <v>15.443099999999999</v>
      </c>
      <c r="E23" s="4">
        <f>59.68 * CHOOSE(CONTROL!$C$9, $C$13, 100%, $E$13) + CHOOSE(CONTROL!$C$28, 0, 0)</f>
        <v>59.68</v>
      </c>
    </row>
    <row r="24" spans="1:5" ht="15">
      <c r="A24" s="13">
        <v>42217</v>
      </c>
      <c r="B24" s="4">
        <f>8.4453 * CHOOSE(CONTROL!$C$9, $C$13, 100%, $E$13) + CHOOSE(CONTROL!$C$28, 0.0192, 0)</f>
        <v>8.4644999999999992</v>
      </c>
      <c r="C24" s="4">
        <f>8.082 * CHOOSE(CONTROL!$C$9, $C$13, 100%, $E$13) + CHOOSE(CONTROL!$C$28, 0.0192, 0)</f>
        <v>8.1012000000000004</v>
      </c>
      <c r="D24" s="4">
        <f>14.1629 * CHOOSE(CONTROL!$C$9, $C$13, 100%, $E$13) + CHOOSE(CONTROL!$C$28, 0, 0)</f>
        <v>14.1629</v>
      </c>
      <c r="E24" s="4">
        <f>52.53 * CHOOSE(CONTROL!$C$9, $C$13, 100%, $E$13) + CHOOSE(CONTROL!$C$28, 0, 0)</f>
        <v>52.53</v>
      </c>
    </row>
    <row r="25" spans="1:5" ht="15">
      <c r="A25" s="13">
        <v>42248</v>
      </c>
      <c r="B25" s="4">
        <f>8.5 * CHOOSE(CONTROL!$C$9, $C$13, 100%, $E$13) + CHOOSE(CONTROL!$C$28, 0.0192, 0)</f>
        <v>8.5191999999999997</v>
      </c>
      <c r="C25" s="4">
        <f>8.1367 * CHOOSE(CONTROL!$C$9, $C$13, 100%, $E$13) + CHOOSE(CONTROL!$C$28, 0.0192, 0)</f>
        <v>8.155899999999999</v>
      </c>
      <c r="D25" s="4">
        <f>14.2832 * CHOOSE(CONTROL!$C$9, $C$13, 100%, $E$13) + CHOOSE(CONTROL!$C$28, 0, 0)</f>
        <v>14.283200000000001</v>
      </c>
      <c r="E25" s="4">
        <f>52.84 * CHOOSE(CONTROL!$C$9, $C$13, 100%, $E$13) + CHOOSE(CONTROL!$C$28, 0, 0)</f>
        <v>52.84</v>
      </c>
    </row>
    <row r="26" spans="1:5" ht="15">
      <c r="A26" s="13">
        <v>42278</v>
      </c>
      <c r="B26" s="4">
        <f>8.5547 * CHOOSE(CONTROL!$C$9, $C$13, 100%, $E$13) + CHOOSE(CONTROL!$C$28, 0.0003, 0)</f>
        <v>8.5549999999999997</v>
      </c>
      <c r="C26" s="4">
        <f>8.1914 * CHOOSE(CONTROL!$C$9, $C$13, 100%, $E$13) + CHOOSE(CONTROL!$C$28, 0.0003, 0)</f>
        <v>8.1916999999999991</v>
      </c>
      <c r="D26" s="4">
        <f>14.4086 * CHOOSE(CONTROL!$C$9, $C$13, 100%, $E$13) + CHOOSE(CONTROL!$C$28, 0, 0)</f>
        <v>14.4086</v>
      </c>
      <c r="E26" s="4">
        <f>53.13 * CHOOSE(CONTROL!$C$9, $C$13, 100%, $E$13) + CHOOSE(CONTROL!$C$28, 0, 0)</f>
        <v>53.13</v>
      </c>
    </row>
    <row r="27" spans="1:5" ht="15">
      <c r="A27" s="13">
        <v>42309</v>
      </c>
      <c r="B27" s="4">
        <f>8.6172 * CHOOSE(CONTROL!$C$9, $C$13, 100%, $E$13) + CHOOSE(CONTROL!$C$28, 0.0003, 0)</f>
        <v>8.6174999999999997</v>
      </c>
      <c r="C27" s="4">
        <f>8.2539 * CHOOSE(CONTROL!$C$9, $C$13, 100%, $E$13) + CHOOSE(CONTROL!$C$28, 0.0003, 0)</f>
        <v>8.2541999999999991</v>
      </c>
      <c r="D27" s="4">
        <f>14.5454 * CHOOSE(CONTROL!$C$9, $C$13, 100%, $E$13) + CHOOSE(CONTROL!$C$28, 0, 0)</f>
        <v>14.545400000000001</v>
      </c>
      <c r="E27" s="4">
        <f>53.54 * CHOOSE(CONTROL!$C$9, $C$13, 100%, $E$13) + CHOOSE(CONTROL!$C$28, 0, 0)</f>
        <v>53.54</v>
      </c>
    </row>
    <row r="28" spans="1:5" ht="15">
      <c r="A28" s="13">
        <v>42339</v>
      </c>
      <c r="B28" s="4">
        <f>8.6797 * CHOOSE(CONTROL!$C$9, $C$13, 100%, $E$13) + CHOOSE(CONTROL!$C$28, 0.0003, 0)</f>
        <v>8.68</v>
      </c>
      <c r="C28" s="4">
        <f>8.3164 * CHOOSE(CONTROL!$C$9, $C$13, 100%, $E$13) + CHOOSE(CONTROL!$C$28, 0.0003, 0)</f>
        <v>8.3166999999999991</v>
      </c>
      <c r="D28" s="4">
        <f>14.678 * CHOOSE(CONTROL!$C$9, $C$13, 100%, $E$13) + CHOOSE(CONTROL!$C$28, 0, 0)</f>
        <v>14.678000000000001</v>
      </c>
      <c r="E28" s="4">
        <f>54 * CHOOSE(CONTROL!$C$9, $C$13, 100%, $E$13) + CHOOSE(CONTROL!$C$28, 0, 0)</f>
        <v>54</v>
      </c>
    </row>
    <row r="29" spans="1:5" ht="15">
      <c r="A29" s="13">
        <v>42370</v>
      </c>
      <c r="B29" s="4">
        <f>8.7891 * CHOOSE(CONTROL!$C$9, $C$13, 100%, $E$13) + CHOOSE(CONTROL!$C$28, 0.0003, 0)</f>
        <v>8.7893999999999988</v>
      </c>
      <c r="C29" s="4">
        <f>8.4258 * CHOOSE(CONTROL!$C$9, $C$13, 100%, $E$13) + CHOOSE(CONTROL!$C$28, 0.0003, 0)</f>
        <v>8.4260999999999999</v>
      </c>
      <c r="D29" s="4">
        <f>14.7933 * CHOOSE(CONTROL!$C$9, $C$13, 100%, $E$13) + CHOOSE(CONTROL!$C$28, 0, 0)</f>
        <v>14.7933</v>
      </c>
      <c r="E29" s="4">
        <f>54.41 * CHOOSE(CONTROL!$C$9, $C$13, 100%, $E$13) + CHOOSE(CONTROL!$C$28, 0, 0)</f>
        <v>54.41</v>
      </c>
    </row>
    <row r="30" spans="1:5" ht="15">
      <c r="A30" s="13">
        <v>42401</v>
      </c>
      <c r="B30" s="4">
        <f>8.8516 * CHOOSE(CONTROL!$C$9, $C$13, 100%, $E$13) + CHOOSE(CONTROL!$C$28, 0.0003, 0)</f>
        <v>8.8518999999999988</v>
      </c>
      <c r="C30" s="4">
        <f>8.4883 * CHOOSE(CONTROL!$C$9, $C$13, 100%, $E$13) + CHOOSE(CONTROL!$C$28, 0.0003, 0)</f>
        <v>8.4885999999999999</v>
      </c>
      <c r="D30" s="4">
        <f>14.8394 * CHOOSE(CONTROL!$C$9, $C$13, 100%, $E$13) + CHOOSE(CONTROL!$C$28, 0, 0)</f>
        <v>14.839399999999999</v>
      </c>
      <c r="E30" s="4">
        <f>54.74 * CHOOSE(CONTROL!$C$9, $C$13, 100%, $E$13) + CHOOSE(CONTROL!$C$28, 0, 0)</f>
        <v>54.74</v>
      </c>
    </row>
    <row r="31" spans="1:5" ht="15">
      <c r="A31" s="13">
        <v>42430</v>
      </c>
      <c r="B31" s="4">
        <f>8.9141 * CHOOSE(CONTROL!$C$9, $C$13, 100%, $E$13) + CHOOSE(CONTROL!$C$28, 0.0003, 0)</f>
        <v>8.9143999999999988</v>
      </c>
      <c r="C31" s="4">
        <f>8.5508 * CHOOSE(CONTROL!$C$9, $C$13, 100%, $E$13) + CHOOSE(CONTROL!$C$28, 0.0003, 0)</f>
        <v>8.5510999999999999</v>
      </c>
      <c r="D31" s="4">
        <f>14.8192 * CHOOSE(CONTROL!$C$9, $C$13, 100%, $E$13) + CHOOSE(CONTROL!$C$28, 0, 0)</f>
        <v>14.8192</v>
      </c>
      <c r="E31" s="4">
        <f>55.02 * CHOOSE(CONTROL!$C$9, $C$13, 100%, $E$13) + CHOOSE(CONTROL!$C$28, 0, 0)</f>
        <v>55.02</v>
      </c>
    </row>
    <row r="32" spans="1:5" ht="15">
      <c r="A32" s="13">
        <v>42461</v>
      </c>
      <c r="B32" s="4">
        <f>8.9766 * CHOOSE(CONTROL!$C$9, $C$13, 100%, $E$13) + CHOOSE(CONTROL!$C$28, 0.0003, 0)</f>
        <v>8.9768999999999988</v>
      </c>
      <c r="C32" s="4">
        <f>8.6133 * CHOOSE(CONTROL!$C$9, $C$13, 100%, $E$13) + CHOOSE(CONTROL!$C$28, 0.0003, 0)</f>
        <v>8.6135999999999999</v>
      </c>
      <c r="D32" s="4">
        <f>14.7464 * CHOOSE(CONTROL!$C$9, $C$13, 100%, $E$13) + CHOOSE(CONTROL!$C$28, 0, 0)</f>
        <v>14.7464</v>
      </c>
      <c r="E32" s="4">
        <f>55.29 * CHOOSE(CONTROL!$C$9, $C$13, 100%, $E$13) + CHOOSE(CONTROL!$C$28, 0, 0)</f>
        <v>55.29</v>
      </c>
    </row>
    <row r="33" spans="1:5" ht="15">
      <c r="A33" s="13">
        <v>42491</v>
      </c>
      <c r="B33" s="4">
        <f>9.0391 * CHOOSE(CONTROL!$C$9, $C$13, 100%, $E$13) + CHOOSE(CONTROL!$C$28, 0.0192, 0)</f>
        <v>9.0582999999999991</v>
      </c>
      <c r="C33" s="4">
        <f>8.6758 * CHOOSE(CONTROL!$C$9, $C$13, 100%, $E$13) + CHOOSE(CONTROL!$C$28, 0.0192, 0)</f>
        <v>8.6950000000000003</v>
      </c>
      <c r="D33" s="4">
        <f>14.758 * CHOOSE(CONTROL!$C$9, $C$13, 100%, $E$13) + CHOOSE(CONTROL!$C$28, 0, 0)</f>
        <v>14.757999999999999</v>
      </c>
      <c r="E33" s="4">
        <f>55.58 * CHOOSE(CONTROL!$C$9, $C$13, 100%, $E$13) + CHOOSE(CONTROL!$C$28, 0, 0)</f>
        <v>55.58</v>
      </c>
    </row>
    <row r="34" spans="1:5" ht="15">
      <c r="A34" s="13">
        <v>42522</v>
      </c>
      <c r="B34" s="4">
        <f>9.0938 * CHOOSE(CONTROL!$C$9, $C$13, 100%, $E$13) + CHOOSE(CONTROL!$C$28, 0.0192, 0)</f>
        <v>9.1129999999999995</v>
      </c>
      <c r="C34" s="4">
        <f>8.7305 * CHOOSE(CONTROL!$C$9, $C$13, 100%, $E$13) + CHOOSE(CONTROL!$C$28, 0.0192, 0)</f>
        <v>8.7496999999999989</v>
      </c>
      <c r="D34" s="4">
        <f>14.8084 * CHOOSE(CONTROL!$C$9, $C$13, 100%, $E$13) + CHOOSE(CONTROL!$C$28, 0, 0)</f>
        <v>14.808400000000001</v>
      </c>
      <c r="E34" s="4">
        <f>55.88 * CHOOSE(CONTROL!$C$9, $C$13, 100%, $E$13) + CHOOSE(CONTROL!$C$28, 0, 0)</f>
        <v>55.88</v>
      </c>
    </row>
    <row r="35" spans="1:5" ht="15">
      <c r="A35" s="13">
        <v>42552</v>
      </c>
      <c r="B35" s="4">
        <f>9.1484 * CHOOSE(CONTROL!$C$9, $C$13, 100%, $E$13) + CHOOSE(CONTROL!$C$28, 0.0192, 0)</f>
        <v>9.1676000000000002</v>
      </c>
      <c r="C35" s="4">
        <f>8.7852 * CHOOSE(CONTROL!$C$9, $C$13, 100%, $E$13) + CHOOSE(CONTROL!$C$28, 0.0192, 0)</f>
        <v>8.8043999999999993</v>
      </c>
      <c r="D35" s="4">
        <f>14.9013 * CHOOSE(CONTROL!$C$9, $C$13, 100%, $E$13) + CHOOSE(CONTROL!$C$28, 0, 0)</f>
        <v>14.901300000000001</v>
      </c>
      <c r="E35" s="4">
        <f>56.12 * CHOOSE(CONTROL!$C$9, $C$13, 100%, $E$13) + CHOOSE(CONTROL!$C$28, 0, 0)</f>
        <v>56.12</v>
      </c>
    </row>
    <row r="36" spans="1:5" ht="15">
      <c r="A36" s="13">
        <v>42583</v>
      </c>
      <c r="B36" s="4">
        <f>9.1953 * CHOOSE(CONTROL!$C$9, $C$13, 100%, $E$13) + CHOOSE(CONTROL!$C$28, 0.0192, 0)</f>
        <v>9.2144999999999992</v>
      </c>
      <c r="C36" s="4">
        <f>8.832 * CHOOSE(CONTROL!$C$9, $C$13, 100%, $E$13) + CHOOSE(CONTROL!$C$28, 0.0192, 0)</f>
        <v>8.8512000000000004</v>
      </c>
      <c r="D36" s="4">
        <f>14.9986 * CHOOSE(CONTROL!$C$9, $C$13, 100%, $E$13) + CHOOSE(CONTROL!$C$28, 0, 0)</f>
        <v>14.9986</v>
      </c>
      <c r="E36" s="4">
        <f>56.36 * CHOOSE(CONTROL!$C$9, $C$13, 100%, $E$13) + CHOOSE(CONTROL!$C$28, 0, 0)</f>
        <v>56.36</v>
      </c>
    </row>
    <row r="37" spans="1:5" ht="15">
      <c r="A37" s="13">
        <v>42614</v>
      </c>
      <c r="B37" s="4">
        <f>9.2422 * CHOOSE(CONTROL!$C$9, $C$13, 100%, $E$13) + CHOOSE(CONTROL!$C$28, 0.0192, 0)</f>
        <v>9.2614000000000001</v>
      </c>
      <c r="C37" s="4">
        <f>8.8789 * CHOOSE(CONTROL!$C$9, $C$13, 100%, $E$13) + CHOOSE(CONTROL!$C$28, 0.0192, 0)</f>
        <v>8.8980999999999995</v>
      </c>
      <c r="D37" s="4">
        <f>15.0857 * CHOOSE(CONTROL!$C$9, $C$13, 100%, $E$13) + CHOOSE(CONTROL!$C$28, 0, 0)</f>
        <v>15.085699999999999</v>
      </c>
      <c r="E37" s="4">
        <f>56.61 * CHOOSE(CONTROL!$C$9, $C$13, 100%, $E$13) + CHOOSE(CONTROL!$C$28, 0, 0)</f>
        <v>56.61</v>
      </c>
    </row>
    <row r="38" spans="1:5" ht="15">
      <c r="A38" s="13">
        <v>42644</v>
      </c>
      <c r="B38" s="4">
        <f>9.2891 * CHOOSE(CONTROL!$C$9, $C$13, 100%, $E$13) + CHOOSE(CONTROL!$C$28, 0.0003, 0)</f>
        <v>9.2893999999999988</v>
      </c>
      <c r="C38" s="4">
        <f>8.9258 * CHOOSE(CONTROL!$C$9, $C$13, 100%, $E$13) + CHOOSE(CONTROL!$C$28, 0.0003, 0)</f>
        <v>8.9260999999999999</v>
      </c>
      <c r="D38" s="4">
        <f>15.1787 * CHOOSE(CONTROL!$C$9, $C$13, 100%, $E$13) + CHOOSE(CONTROL!$C$28, 0, 0)</f>
        <v>15.178699999999999</v>
      </c>
      <c r="E38" s="4">
        <f>56.91 * CHOOSE(CONTROL!$C$9, $C$13, 100%, $E$13) + CHOOSE(CONTROL!$C$28, 0, 0)</f>
        <v>56.91</v>
      </c>
    </row>
    <row r="39" spans="1:5" ht="15">
      <c r="A39" s="13">
        <v>42675</v>
      </c>
      <c r="B39" s="4">
        <f>9.3281 * CHOOSE(CONTROL!$C$9, $C$13, 100%, $E$13) + CHOOSE(CONTROL!$C$28, 0.0003, 0)</f>
        <v>9.3283999999999985</v>
      </c>
      <c r="C39" s="4">
        <f>8.9648 * CHOOSE(CONTROL!$C$9, $C$13, 100%, $E$13) + CHOOSE(CONTROL!$C$28, 0.0003, 0)</f>
        <v>8.9650999999999996</v>
      </c>
      <c r="D39" s="4">
        <f>15.2644 * CHOOSE(CONTROL!$C$9, $C$13, 100%, $E$13) + CHOOSE(CONTROL!$C$28, 0, 0)</f>
        <v>15.2644</v>
      </c>
      <c r="E39" s="4">
        <f>57.23 * CHOOSE(CONTROL!$C$9, $C$13, 100%, $E$13) + CHOOSE(CONTROL!$C$28, 0, 0)</f>
        <v>57.23</v>
      </c>
    </row>
    <row r="40" spans="1:5" ht="15">
      <c r="A40" s="13">
        <v>42705</v>
      </c>
      <c r="B40" s="4">
        <f>9.3672 * CHOOSE(CONTROL!$C$9, $C$13, 100%, $E$13) + CHOOSE(CONTROL!$C$28, 0.0003, 0)</f>
        <v>9.3674999999999997</v>
      </c>
      <c r="C40" s="4">
        <f>9.0039 * CHOOSE(CONTROL!$C$9, $C$13, 100%, $E$13) + CHOOSE(CONTROL!$C$28, 0.0003, 0)</f>
        <v>9.0041999999999991</v>
      </c>
      <c r="D40" s="4">
        <f>15.3537 * CHOOSE(CONTROL!$C$9, $C$13, 100%, $E$13) + CHOOSE(CONTROL!$C$28, 0, 0)</f>
        <v>15.3537</v>
      </c>
      <c r="E40" s="4">
        <f>57.54 * CHOOSE(CONTROL!$C$9, $C$13, 100%, $E$13) + CHOOSE(CONTROL!$C$28, 0, 0)</f>
        <v>57.54</v>
      </c>
    </row>
    <row r="41" spans="1:5" ht="15">
      <c r="A41" s="13">
        <v>42736</v>
      </c>
      <c r="B41" s="4">
        <f>9.3078 * CHOOSE(CONTROL!$C$9, $C$13, 100%, $E$13) + CHOOSE(CONTROL!$C$28, 0.0003, 0)</f>
        <v>9.3080999999999996</v>
      </c>
      <c r="C41" s="4">
        <f>8.9445 * CHOOSE(CONTROL!$C$9, $C$13, 100%, $E$13) + CHOOSE(CONTROL!$C$28, 0.0003, 0)</f>
        <v>8.944799999999999</v>
      </c>
      <c r="D41" s="4">
        <f>15.4438 * CHOOSE(CONTROL!$C$9, $C$13, 100%, $E$13) + CHOOSE(CONTROL!$C$28, 0, 0)</f>
        <v>15.4438</v>
      </c>
      <c r="E41" s="4">
        <f>57.73 * CHOOSE(CONTROL!$C$9, $C$13, 100%, $E$13) + CHOOSE(CONTROL!$C$28, 0, 0)</f>
        <v>57.73</v>
      </c>
    </row>
    <row r="42" spans="1:5" ht="15">
      <c r="A42" s="13">
        <v>42767</v>
      </c>
      <c r="B42" s="4">
        <f>9.3484 * CHOOSE(CONTROL!$C$9, $C$13, 100%, $E$13) + CHOOSE(CONTROL!$C$28, 0.0003, 0)</f>
        <v>9.3486999999999991</v>
      </c>
      <c r="C42" s="4">
        <f>8.9852 * CHOOSE(CONTROL!$C$9, $C$13, 100%, $E$13) + CHOOSE(CONTROL!$C$28, 0.0003, 0)</f>
        <v>8.9855</v>
      </c>
      <c r="D42" s="4">
        <f>15.487 * CHOOSE(CONTROL!$C$9, $C$13, 100%, $E$13) + CHOOSE(CONTROL!$C$28, 0, 0)</f>
        <v>15.487</v>
      </c>
      <c r="E42" s="4">
        <f>57.92 * CHOOSE(CONTROL!$C$9, $C$13, 100%, $E$13) + CHOOSE(CONTROL!$C$28, 0, 0)</f>
        <v>57.92</v>
      </c>
    </row>
    <row r="43" spans="1:5" ht="15">
      <c r="A43" s="13">
        <v>42795</v>
      </c>
      <c r="B43" s="4">
        <f>9.4 * CHOOSE(CONTROL!$C$9, $C$13, 100%, $E$13) + CHOOSE(CONTROL!$C$28, 0.0003, 0)</f>
        <v>9.4002999999999997</v>
      </c>
      <c r="C43" s="4">
        <f>9.0367 * CHOOSE(CONTROL!$C$9, $C$13, 100%, $E$13) + CHOOSE(CONTROL!$C$28, 0.0003, 0)</f>
        <v>9.036999999999999</v>
      </c>
      <c r="D43" s="4">
        <f>15.4813 * CHOOSE(CONTROL!$C$9, $C$13, 100%, $E$13) + CHOOSE(CONTROL!$C$28, 0, 0)</f>
        <v>15.481299999999999</v>
      </c>
      <c r="E43" s="4">
        <f>58.13 * CHOOSE(CONTROL!$C$9, $C$13, 100%, $E$13) + CHOOSE(CONTROL!$C$28, 0, 0)</f>
        <v>58.13</v>
      </c>
    </row>
    <row r="44" spans="1:5" ht="15">
      <c r="A44" s="13">
        <v>42826</v>
      </c>
      <c r="B44" s="4">
        <f>9.4531 * CHOOSE(CONTROL!$C$9, $C$13, 100%, $E$13) + CHOOSE(CONTROL!$C$28, 0.0003, 0)</f>
        <v>9.4533999999999985</v>
      </c>
      <c r="C44" s="4">
        <f>9.0898 * CHOOSE(CONTROL!$C$9, $C$13, 100%, $E$13) + CHOOSE(CONTROL!$C$28, 0.0003, 0)</f>
        <v>9.0900999999999996</v>
      </c>
      <c r="D44" s="4">
        <f>15.4496 * CHOOSE(CONTROL!$C$9, $C$13, 100%, $E$13) + CHOOSE(CONTROL!$C$28, 0, 0)</f>
        <v>15.4496</v>
      </c>
      <c r="E44" s="4">
        <f>58.34 * CHOOSE(CONTROL!$C$9, $C$13, 100%, $E$13) + CHOOSE(CONTROL!$C$28, 0, 0)</f>
        <v>58.34</v>
      </c>
    </row>
    <row r="45" spans="1:5" ht="15">
      <c r="A45" s="13">
        <v>42856</v>
      </c>
      <c r="B45" s="4">
        <f>9.5062 * CHOOSE(CONTROL!$C$9, $C$13, 100%, $E$13) + CHOOSE(CONTROL!$C$28, 0.0192, 0)</f>
        <v>9.5253999999999994</v>
      </c>
      <c r="C45" s="4">
        <f>9.143 * CHOOSE(CONTROL!$C$9, $C$13, 100%, $E$13) + CHOOSE(CONTROL!$C$28, 0.0192, 0)</f>
        <v>9.1622000000000003</v>
      </c>
      <c r="D45" s="4">
        <f>15.4409 * CHOOSE(CONTROL!$C$9, $C$13, 100%, $E$13) + CHOOSE(CONTROL!$C$28, 0, 0)</f>
        <v>15.440899999999999</v>
      </c>
      <c r="E45" s="4">
        <f>58.57 * CHOOSE(CONTROL!$C$9, $C$13, 100%, $E$13) + CHOOSE(CONTROL!$C$28, 0, 0)</f>
        <v>58.57</v>
      </c>
    </row>
    <row r="46" spans="1:5" ht="15">
      <c r="A46" s="13">
        <v>42887</v>
      </c>
      <c r="B46" s="4">
        <f>9.55 * CHOOSE(CONTROL!$C$9, $C$13, 100%, $E$13) + CHOOSE(CONTROL!$C$28, 0.0192, 0)</f>
        <v>9.5692000000000004</v>
      </c>
      <c r="C46" s="4">
        <f>9.1867 * CHOOSE(CONTROL!$C$9, $C$13, 100%, $E$13) + CHOOSE(CONTROL!$C$28, 0.0192, 0)</f>
        <v>9.2058999999999997</v>
      </c>
      <c r="D46" s="4">
        <f>15.4366 * CHOOSE(CONTROL!$C$9, $C$13, 100%, $E$13) + CHOOSE(CONTROL!$C$28, 0, 0)</f>
        <v>15.4366</v>
      </c>
      <c r="E46" s="4">
        <f>58.8 * CHOOSE(CONTROL!$C$9, $C$13, 100%, $E$13) + CHOOSE(CONTROL!$C$28, 0, 0)</f>
        <v>58.8</v>
      </c>
    </row>
    <row r="47" spans="1:5" ht="15">
      <c r="A47" s="13">
        <v>42917</v>
      </c>
      <c r="B47" s="4">
        <f>9.5906 * CHOOSE(CONTROL!$C$9, $C$13, 100%, $E$13) + CHOOSE(CONTROL!$C$28, 0.0192, 0)</f>
        <v>9.6097999999999999</v>
      </c>
      <c r="C47" s="4">
        <f>9.2273 * CHOOSE(CONTROL!$C$9, $C$13, 100%, $E$13) + CHOOSE(CONTROL!$C$28, 0.0192, 0)</f>
        <v>9.2464999999999993</v>
      </c>
      <c r="D47" s="4">
        <f>15.4704 * CHOOSE(CONTROL!$C$9, $C$13, 100%, $E$13) + CHOOSE(CONTROL!$C$28, 0, 0)</f>
        <v>15.4704</v>
      </c>
      <c r="E47" s="4">
        <f>58.95 * CHOOSE(CONTROL!$C$9, $C$13, 100%, $E$13) + CHOOSE(CONTROL!$C$28, 0, 0)</f>
        <v>58.95</v>
      </c>
    </row>
    <row r="48" spans="1:5" ht="15">
      <c r="A48" s="13">
        <v>42948</v>
      </c>
      <c r="B48" s="4">
        <f>9.6281 * CHOOSE(CONTROL!$C$9, $C$13, 100%, $E$13) + CHOOSE(CONTROL!$C$28, 0.0192, 0)</f>
        <v>9.6472999999999995</v>
      </c>
      <c r="C48" s="4">
        <f>9.2648 * CHOOSE(CONTROL!$C$9, $C$13, 100%, $E$13) + CHOOSE(CONTROL!$C$28, 0.0192, 0)</f>
        <v>9.2839999999999989</v>
      </c>
      <c r="D48" s="4">
        <f>15.5259 * CHOOSE(CONTROL!$C$9, $C$13, 100%, $E$13) + CHOOSE(CONTROL!$C$28, 0, 0)</f>
        <v>15.5259</v>
      </c>
      <c r="E48" s="4">
        <f>59.13 * CHOOSE(CONTROL!$C$9, $C$13, 100%, $E$13) + CHOOSE(CONTROL!$C$28, 0, 0)</f>
        <v>59.13</v>
      </c>
    </row>
    <row r="49" spans="1:5" ht="15">
      <c r="A49" s="13">
        <v>42979</v>
      </c>
      <c r="B49" s="4">
        <f>9.6687 * CHOOSE(CONTROL!$C$9, $C$13, 100%, $E$13) + CHOOSE(CONTROL!$C$28, 0.0192, 0)</f>
        <v>9.6878999999999991</v>
      </c>
      <c r="C49" s="4">
        <f>9.3055 * CHOOSE(CONTROL!$C$9, $C$13, 100%, $E$13) + CHOOSE(CONTROL!$C$28, 0.0192, 0)</f>
        <v>9.3247</v>
      </c>
      <c r="D49" s="4">
        <f>15.5922 * CHOOSE(CONTROL!$C$9, $C$13, 100%, $E$13) + CHOOSE(CONTROL!$C$28, 0, 0)</f>
        <v>15.5922</v>
      </c>
      <c r="E49" s="4">
        <f>59.34 * CHOOSE(CONTROL!$C$9, $C$13, 100%, $E$13) + CHOOSE(CONTROL!$C$28, 0, 0)</f>
        <v>59.34</v>
      </c>
    </row>
    <row r="50" spans="1:5" ht="15">
      <c r="A50" s="13">
        <v>43009</v>
      </c>
      <c r="B50" s="4">
        <f>9.7047 * CHOOSE(CONTROL!$C$9, $C$13, 100%, $E$13) + CHOOSE(CONTROL!$C$28, 0.0003, 0)</f>
        <v>9.7050000000000001</v>
      </c>
      <c r="C50" s="4">
        <f>9.3414 * CHOOSE(CONTROL!$C$9, $C$13, 100%, $E$13) + CHOOSE(CONTROL!$C$28, 0.0003, 0)</f>
        <v>9.3416999999999994</v>
      </c>
      <c r="D50" s="4">
        <f>15.6441 * CHOOSE(CONTROL!$C$9, $C$13, 100%, $E$13) + CHOOSE(CONTROL!$C$28, 0, 0)</f>
        <v>15.6441</v>
      </c>
      <c r="E50" s="4">
        <f>59.57 * CHOOSE(CONTROL!$C$9, $C$13, 100%, $E$13) + CHOOSE(CONTROL!$C$28, 0, 0)</f>
        <v>59.57</v>
      </c>
    </row>
    <row r="51" spans="1:5" ht="15">
      <c r="A51" s="13">
        <v>43040</v>
      </c>
      <c r="B51" s="4">
        <f>9.7312 * CHOOSE(CONTROL!$C$9, $C$13, 100%, $E$13) + CHOOSE(CONTROL!$C$28, 0.0003, 0)</f>
        <v>9.7314999999999987</v>
      </c>
      <c r="C51" s="4">
        <f>9.368 * CHOOSE(CONTROL!$C$9, $C$13, 100%, $E$13) + CHOOSE(CONTROL!$C$28, 0.0003, 0)</f>
        <v>9.3682999999999996</v>
      </c>
      <c r="D51" s="4">
        <f>15.6779 * CHOOSE(CONTROL!$C$9, $C$13, 100%, $E$13) + CHOOSE(CONTROL!$C$28, 0, 0)</f>
        <v>15.677899999999999</v>
      </c>
      <c r="E51" s="4">
        <f>59.81 * CHOOSE(CONTROL!$C$9, $C$13, 100%, $E$13) + CHOOSE(CONTROL!$C$28, 0, 0)</f>
        <v>59.81</v>
      </c>
    </row>
    <row r="52" spans="1:5" ht="15">
      <c r="A52" s="13">
        <v>43070</v>
      </c>
      <c r="B52" s="4">
        <f>9.7609 * CHOOSE(CONTROL!$C$9, $C$13, 100%, $E$13) + CHOOSE(CONTROL!$C$28, 0.0003, 0)</f>
        <v>9.7611999999999988</v>
      </c>
      <c r="C52" s="4">
        <f>9.3977 * CHOOSE(CONTROL!$C$9, $C$13, 100%, $E$13) + CHOOSE(CONTROL!$C$28, 0.0003, 0)</f>
        <v>9.3979999999999997</v>
      </c>
      <c r="D52" s="4">
        <f>15.7082 * CHOOSE(CONTROL!$C$9, $C$13, 100%, $E$13) + CHOOSE(CONTROL!$C$28, 0, 0)</f>
        <v>15.7082</v>
      </c>
      <c r="E52" s="4">
        <f>60.06 * CHOOSE(CONTROL!$C$9, $C$13, 100%, $E$13) + CHOOSE(CONTROL!$C$28, 0, 0)</f>
        <v>60.06</v>
      </c>
    </row>
    <row r="53" spans="1:5" ht="15">
      <c r="A53" s="13">
        <v>43101</v>
      </c>
      <c r="B53" s="4">
        <f>10.3237 * CHOOSE(CONTROL!$C$9, $C$13, 100%, $E$13) + CHOOSE(CONTROL!$C$28, 0.0003, 0)</f>
        <v>10.324</v>
      </c>
      <c r="C53" s="4">
        <f>9.9604 * CHOOSE(CONTROL!$C$9, $C$13, 100%, $E$13) + CHOOSE(CONTROL!$C$28, 0.0003, 0)</f>
        <v>9.9606999999999992</v>
      </c>
      <c r="D53" s="4">
        <f>16.1597 * CHOOSE(CONTROL!$C$9, $C$13, 100%, $E$13) + CHOOSE(CONTROL!$C$28, 0, 0)</f>
        <v>16.159700000000001</v>
      </c>
      <c r="E53" s="4">
        <f>64.2702095333568 * CHOOSE(CONTROL!$C$9, $C$13, 100%, $E$13) + CHOOSE(CONTROL!$C$28, 0, 0)</f>
        <v>64.270209533356805</v>
      </c>
    </row>
    <row r="54" spans="1:5" ht="15">
      <c r="A54" s="13">
        <v>43132</v>
      </c>
      <c r="B54" s="4">
        <f>10.5505 * CHOOSE(CONTROL!$C$9, $C$13, 100%, $E$13) + CHOOSE(CONTROL!$C$28, 0.0003, 0)</f>
        <v>10.550799999999999</v>
      </c>
      <c r="C54" s="4">
        <f>10.1872 * CHOOSE(CONTROL!$C$9, $C$13, 100%, $E$13) + CHOOSE(CONTROL!$C$28, 0.0003, 0)</f>
        <v>10.1875</v>
      </c>
      <c r="D54" s="4">
        <f>16.6647 * CHOOSE(CONTROL!$C$9, $C$13, 100%, $E$13) + CHOOSE(CONTROL!$C$28, 0, 0)</f>
        <v>16.6647</v>
      </c>
      <c r="E54" s="4">
        <f>65.7962375907542 * CHOOSE(CONTROL!$C$9, $C$13, 100%, $E$13) + CHOOSE(CONTROL!$C$28, 0, 0)</f>
        <v>65.796237590754203</v>
      </c>
    </row>
    <row r="55" spans="1:5" ht="15">
      <c r="A55" s="13">
        <v>43160</v>
      </c>
      <c r="B55" s="4">
        <f>11.1459 * CHOOSE(CONTROL!$C$9, $C$13, 100%, $E$13) + CHOOSE(CONTROL!$C$28, 0.0003, 0)</f>
        <v>11.146199999999999</v>
      </c>
      <c r="C55" s="4">
        <f>10.7827 * CHOOSE(CONTROL!$C$9, $C$13, 100%, $E$13) + CHOOSE(CONTROL!$C$28, 0.0003, 0)</f>
        <v>10.782999999999999</v>
      </c>
      <c r="D55" s="4">
        <f>17.4552 * CHOOSE(CONTROL!$C$9, $C$13, 100%, $E$13) + CHOOSE(CONTROL!$C$28, 0, 0)</f>
        <v>17.455200000000001</v>
      </c>
      <c r="E55" s="4">
        <f>69.8036683675359 * CHOOSE(CONTROL!$C$9, $C$13, 100%, $E$13) + CHOOSE(CONTROL!$C$28, 0, 0)</f>
        <v>69.803668367535906</v>
      </c>
    </row>
    <row r="56" spans="1:5" ht="15">
      <c r="A56" s="13">
        <v>43191</v>
      </c>
      <c r="B56" s="4">
        <f>11.569 * CHOOSE(CONTROL!$C$9, $C$13, 100%, $E$13) + CHOOSE(CONTROL!$C$28, 0.0003, 0)</f>
        <v>11.5693</v>
      </c>
      <c r="C56" s="4">
        <f>11.2058 * CHOOSE(CONTROL!$C$9, $C$13, 100%, $E$13) + CHOOSE(CONTROL!$C$28, 0.0003, 0)</f>
        <v>11.206099999999999</v>
      </c>
      <c r="D56" s="4">
        <f>17.9106 * CHOOSE(CONTROL!$C$9, $C$13, 100%, $E$13) + CHOOSE(CONTROL!$C$28, 0, 0)</f>
        <v>17.910599999999999</v>
      </c>
      <c r="E56" s="4">
        <f>72.6510013404764 * CHOOSE(CONTROL!$C$9, $C$13, 100%, $E$13) + CHOOSE(CONTROL!$C$28, 0, 0)</f>
        <v>72.651001340476398</v>
      </c>
    </row>
    <row r="57" spans="1:5" ht="15">
      <c r="A57" s="13">
        <v>43221</v>
      </c>
      <c r="B57" s="4">
        <f>11.8275 * CHOOSE(CONTROL!$C$9, $C$13, 100%, $E$13) + CHOOSE(CONTROL!$C$28, 0.0192, 0)</f>
        <v>11.8467</v>
      </c>
      <c r="C57" s="4">
        <f>11.4643 * CHOOSE(CONTROL!$C$9, $C$13, 100%, $E$13) + CHOOSE(CONTROL!$C$28, 0.0192, 0)</f>
        <v>11.483499999999999</v>
      </c>
      <c r="D57" s="4">
        <f>17.7306 * CHOOSE(CONTROL!$C$9, $C$13, 100%, $E$13) + CHOOSE(CONTROL!$C$28, 0, 0)</f>
        <v>17.730599999999999</v>
      </c>
      <c r="E57" s="4">
        <f>74.3906535458957 * CHOOSE(CONTROL!$C$9, $C$13, 100%, $E$13) + CHOOSE(CONTROL!$C$28, 0, 0)</f>
        <v>74.390653545895702</v>
      </c>
    </row>
    <row r="58" spans="1:5" ht="15">
      <c r="A58" s="13">
        <v>43252</v>
      </c>
      <c r="B58" s="4">
        <f>11.8625 * CHOOSE(CONTROL!$C$9, $C$13, 100%, $E$13) + CHOOSE(CONTROL!$C$28, 0.0192, 0)</f>
        <v>11.8817</v>
      </c>
      <c r="C58" s="4">
        <f>11.4992 * CHOOSE(CONTROL!$C$9, $C$13, 100%, $E$13) + CHOOSE(CONTROL!$C$28, 0.0192, 0)</f>
        <v>11.5184</v>
      </c>
      <c r="D58" s="4">
        <f>17.8772 * CHOOSE(CONTROL!$C$9, $C$13, 100%, $E$13) + CHOOSE(CONTROL!$C$28, 0, 0)</f>
        <v>17.877199999999998</v>
      </c>
      <c r="E58" s="4">
        <f>74.6260357089939 * CHOOSE(CONTROL!$C$9, $C$13, 100%, $E$13) + CHOOSE(CONTROL!$C$28, 0, 0)</f>
        <v>74.626035708993896</v>
      </c>
    </row>
    <row r="59" spans="1:5" ht="15">
      <c r="A59" s="13">
        <v>43282</v>
      </c>
      <c r="B59" s="4">
        <f>11.859 * CHOOSE(CONTROL!$C$9, $C$13, 100%, $E$13) + CHOOSE(CONTROL!$C$28, 0.0192, 0)</f>
        <v>11.8782</v>
      </c>
      <c r="C59" s="4">
        <f>11.4957 * CHOOSE(CONTROL!$C$9, $C$13, 100%, $E$13) + CHOOSE(CONTROL!$C$28, 0.0192, 0)</f>
        <v>11.514899999999999</v>
      </c>
      <c r="D59" s="4">
        <f>18.1416 * CHOOSE(CONTROL!$C$9, $C$13, 100%, $E$13) + CHOOSE(CONTROL!$C$28, 0, 0)</f>
        <v>18.1416</v>
      </c>
      <c r="E59" s="4">
        <f>74.602299692547 * CHOOSE(CONTROL!$C$9, $C$13, 100%, $E$13) + CHOOSE(CONTROL!$C$28, 0, 0)</f>
        <v>74.602299692547007</v>
      </c>
    </row>
    <row r="60" spans="1:5" ht="15">
      <c r="A60" s="13">
        <v>43313</v>
      </c>
      <c r="B60" s="4">
        <f>12.1244 * CHOOSE(CONTROL!$C$9, $C$13, 100%, $E$13) + CHOOSE(CONTROL!$C$28, 0.0192, 0)</f>
        <v>12.143599999999999</v>
      </c>
      <c r="C60" s="4">
        <f>11.7611 * CHOOSE(CONTROL!$C$9, $C$13, 100%, $E$13) + CHOOSE(CONTROL!$C$28, 0.0192, 0)</f>
        <v>11.7803</v>
      </c>
      <c r="D60" s="4">
        <f>17.967 * CHOOSE(CONTROL!$C$9, $C$13, 100%, $E$13) + CHOOSE(CONTROL!$C$28, 0, 0)</f>
        <v>17.966999999999999</v>
      </c>
      <c r="E60" s="4">
        <f>76.3884349301748 * CHOOSE(CONTROL!$C$9, $C$13, 100%, $E$13) + CHOOSE(CONTROL!$C$28, 0, 0)</f>
        <v>76.388434930174796</v>
      </c>
    </row>
    <row r="61" spans="1:5" ht="15">
      <c r="A61" s="13">
        <v>43344</v>
      </c>
      <c r="B61" s="4">
        <f>11.6721 * CHOOSE(CONTROL!$C$9, $C$13, 100%, $E$13) + CHOOSE(CONTROL!$C$28, 0.0192, 0)</f>
        <v>11.6913</v>
      </c>
      <c r="C61" s="4">
        <f>11.3088 * CHOOSE(CONTROL!$C$9, $C$13, 100%, $E$13) + CHOOSE(CONTROL!$C$28, 0.0192, 0)</f>
        <v>11.327999999999999</v>
      </c>
      <c r="D61" s="4">
        <f>17.8845 * CHOOSE(CONTROL!$C$9, $C$13, 100%, $E$13) + CHOOSE(CONTROL!$C$28, 0, 0)</f>
        <v>17.884499999999999</v>
      </c>
      <c r="E61" s="4">
        <f>73.3442908208624 * CHOOSE(CONTROL!$C$9, $C$13, 100%, $E$13) + CHOOSE(CONTROL!$C$28, 0, 0)</f>
        <v>73.344290820862398</v>
      </c>
    </row>
    <row r="62" spans="1:5" ht="15">
      <c r="A62" s="13">
        <v>43374</v>
      </c>
      <c r="B62" s="4">
        <f>11.31 * CHOOSE(CONTROL!$C$9, $C$13, 100%, $E$13) + CHOOSE(CONTROL!$C$28, 0.0003, 0)</f>
        <v>11.3103</v>
      </c>
      <c r="C62" s="4">
        <f>10.9467 * CHOOSE(CONTROL!$C$9, $C$13, 100%, $E$13) + CHOOSE(CONTROL!$C$28, 0.0003, 0)</f>
        <v>10.946999999999999</v>
      </c>
      <c r="D62" s="4">
        <f>17.6635 * CHOOSE(CONTROL!$C$9, $C$13, 100%, $E$13) + CHOOSE(CONTROL!$C$28, 0, 0)</f>
        <v>17.663499999999999</v>
      </c>
      <c r="E62" s="4">
        <f>70.9073931323159 * CHOOSE(CONTROL!$C$9, $C$13, 100%, $E$13) + CHOOSE(CONTROL!$C$28, 0, 0)</f>
        <v>70.907393132315903</v>
      </c>
    </row>
    <row r="63" spans="1:5" ht="15">
      <c r="A63" s="13">
        <v>43405</v>
      </c>
      <c r="B63" s="4">
        <f>11.0767 * CHOOSE(CONTROL!$C$9, $C$13, 100%, $E$13) + CHOOSE(CONTROL!$C$28, 0.0003, 0)</f>
        <v>11.077</v>
      </c>
      <c r="C63" s="4">
        <f>10.7134 * CHOOSE(CONTROL!$C$9, $C$13, 100%, $E$13) + CHOOSE(CONTROL!$C$28, 0.0003, 0)</f>
        <v>10.713699999999999</v>
      </c>
      <c r="D63" s="4">
        <f>17.5876 * CHOOSE(CONTROL!$C$9, $C$13, 100%, $E$13) + CHOOSE(CONTROL!$C$28, 0, 0)</f>
        <v>17.587599999999998</v>
      </c>
      <c r="E63" s="4">
        <f>69.3378490447659 * CHOOSE(CONTROL!$C$9, $C$13, 100%, $E$13) + CHOOSE(CONTROL!$C$28, 0, 0)</f>
        <v>69.337849044765903</v>
      </c>
    </row>
    <row r="64" spans="1:5" ht="15">
      <c r="A64" s="13">
        <v>43435</v>
      </c>
      <c r="B64" s="4">
        <f>10.9154 * CHOOSE(CONTROL!$C$9, $C$13, 100%, $E$13) + CHOOSE(CONTROL!$C$28, 0.0003, 0)</f>
        <v>10.915699999999999</v>
      </c>
      <c r="C64" s="4">
        <f>10.5521 * CHOOSE(CONTROL!$C$9, $C$13, 100%, $E$13) + CHOOSE(CONTROL!$C$28, 0.0003, 0)</f>
        <v>10.552399999999999</v>
      </c>
      <c r="D64" s="4">
        <f>17.0285 * CHOOSE(CONTROL!$C$9, $C$13, 100%, $E$13) + CHOOSE(CONTROL!$C$28, 0, 0)</f>
        <v>17.028500000000001</v>
      </c>
      <c r="E64" s="4">
        <f>68.2519262923211 * CHOOSE(CONTROL!$C$9, $C$13, 100%, $E$13) + CHOOSE(CONTROL!$C$28, 0, 0)</f>
        <v>68.251926292321102</v>
      </c>
    </row>
    <row r="65" spans="1:5" ht="15">
      <c r="A65" s="13">
        <v>43466</v>
      </c>
      <c r="B65" s="4">
        <f>10.7271 * CHOOSE(CONTROL!$C$9, $C$13, 100%, $E$13) + CHOOSE(CONTROL!$C$28, 0.0003, 0)</f>
        <v>10.727399999999999</v>
      </c>
      <c r="C65" s="4">
        <f>10.3638 * CHOOSE(CONTROL!$C$9, $C$13, 100%, $E$13) + CHOOSE(CONTROL!$C$28, 0.0003, 0)</f>
        <v>10.364099999999999</v>
      </c>
      <c r="D65" s="4">
        <f>16.7063 * CHOOSE(CONTROL!$C$9, $C$13, 100%, $E$13) + CHOOSE(CONTROL!$C$28, 0, 0)</f>
        <v>16.706299999999999</v>
      </c>
      <c r="E65" s="4">
        <f>67.2047479417628 * CHOOSE(CONTROL!$C$9, $C$13, 100%, $E$13) + CHOOSE(CONTROL!$C$28, 0, 0)</f>
        <v>67.204747941762804</v>
      </c>
    </row>
    <row r="66" spans="1:5" ht="15">
      <c r="A66" s="13">
        <v>43497</v>
      </c>
      <c r="B66" s="4">
        <f>10.9634 * CHOOSE(CONTROL!$C$9, $C$13, 100%, $E$13) + CHOOSE(CONTROL!$C$28, 0.0003, 0)</f>
        <v>10.963699999999999</v>
      </c>
      <c r="C66" s="4">
        <f>10.6001 * CHOOSE(CONTROL!$C$9, $C$13, 100%, $E$13) + CHOOSE(CONTROL!$C$28, 0.0003, 0)</f>
        <v>10.600399999999999</v>
      </c>
      <c r="D66" s="4">
        <f>17.2305 * CHOOSE(CONTROL!$C$9, $C$13, 100%, $E$13) + CHOOSE(CONTROL!$C$28, 0, 0)</f>
        <v>17.230499999999999</v>
      </c>
      <c r="E66" s="4">
        <f>68.8004535057259 * CHOOSE(CONTROL!$C$9, $C$13, 100%, $E$13) + CHOOSE(CONTROL!$C$28, 0, 0)</f>
        <v>68.800453505725898</v>
      </c>
    </row>
    <row r="67" spans="1:5" ht="15">
      <c r="A67" s="13">
        <v>43525</v>
      </c>
      <c r="B67" s="4">
        <f>11.5841 * CHOOSE(CONTROL!$C$9, $C$13, 100%, $E$13) + CHOOSE(CONTROL!$C$28, 0.0003, 0)</f>
        <v>11.584399999999999</v>
      </c>
      <c r="C67" s="4">
        <f>11.2208 * CHOOSE(CONTROL!$C$9, $C$13, 100%, $E$13) + CHOOSE(CONTROL!$C$28, 0.0003, 0)</f>
        <v>11.2211</v>
      </c>
      <c r="D67" s="4">
        <f>18.0512 * CHOOSE(CONTROL!$C$9, $C$13, 100%, $E$13) + CHOOSE(CONTROL!$C$28, 0, 0)</f>
        <v>18.051200000000001</v>
      </c>
      <c r="E67" s="4">
        <f>72.9908611176367 * CHOOSE(CONTROL!$C$9, $C$13, 100%, $E$13) + CHOOSE(CONTROL!$C$28, 0, 0)</f>
        <v>72.990861117636697</v>
      </c>
    </row>
    <row r="68" spans="1:5" ht="15">
      <c r="A68" s="13">
        <v>43556</v>
      </c>
      <c r="B68" s="4">
        <f>12.025 * CHOOSE(CONTROL!$C$9, $C$13, 100%, $E$13) + CHOOSE(CONTROL!$C$28, 0.0003, 0)</f>
        <v>12.0253</v>
      </c>
      <c r="C68" s="4">
        <f>11.6618 * CHOOSE(CONTROL!$C$9, $C$13, 100%, $E$13) + CHOOSE(CONTROL!$C$28, 0.0003, 0)</f>
        <v>11.662099999999999</v>
      </c>
      <c r="D68" s="4">
        <f>18.524 * CHOOSE(CONTROL!$C$9, $C$13, 100%, $E$13) + CHOOSE(CONTROL!$C$28, 0, 0)</f>
        <v>18.524000000000001</v>
      </c>
      <c r="E68" s="4">
        <f>75.9682015704233 * CHOOSE(CONTROL!$C$9, $C$13, 100%, $E$13) + CHOOSE(CONTROL!$C$28, 0, 0)</f>
        <v>75.968201570423304</v>
      </c>
    </row>
    <row r="69" spans="1:5" ht="15">
      <c r="A69" s="13">
        <v>43586</v>
      </c>
      <c r="B69" s="4">
        <f>12.2945 * CHOOSE(CONTROL!$C$9, $C$13, 100%, $E$13) + CHOOSE(CONTROL!$C$28, 0.0192, 0)</f>
        <v>12.313699999999999</v>
      </c>
      <c r="C69" s="4">
        <f>11.9312 * CHOOSE(CONTROL!$C$9, $C$13, 100%, $E$13) + CHOOSE(CONTROL!$C$28, 0.0192, 0)</f>
        <v>11.9504</v>
      </c>
      <c r="D69" s="4">
        <f>18.3372 * CHOOSE(CONTROL!$C$9, $C$13, 100%, $E$13) + CHOOSE(CONTROL!$C$28, 0, 0)</f>
        <v>18.337199999999999</v>
      </c>
      <c r="E69" s="4">
        <f>77.7872852301841 * CHOOSE(CONTROL!$C$9, $C$13, 100%, $E$13) + CHOOSE(CONTROL!$C$28, 0, 0)</f>
        <v>77.787285230184096</v>
      </c>
    </row>
    <row r="70" spans="1:5" ht="15">
      <c r="A70" s="13">
        <v>43617</v>
      </c>
      <c r="B70" s="4">
        <f>12.3309 * CHOOSE(CONTROL!$C$9, $C$13, 100%, $E$13) + CHOOSE(CONTROL!$C$28, 0.0192, 0)</f>
        <v>12.350099999999999</v>
      </c>
      <c r="C70" s="4">
        <f>11.9676 * CHOOSE(CONTROL!$C$9, $C$13, 100%, $E$13) + CHOOSE(CONTROL!$C$28, 0.0192, 0)</f>
        <v>11.986799999999999</v>
      </c>
      <c r="D70" s="4">
        <f>18.4893 * CHOOSE(CONTROL!$C$9, $C$13, 100%, $E$13) + CHOOSE(CONTROL!$C$28, 0, 0)</f>
        <v>18.4893</v>
      </c>
      <c r="E70" s="4">
        <f>78.0334147987021 * CHOOSE(CONTROL!$C$9, $C$13, 100%, $E$13) + CHOOSE(CONTROL!$C$28, 0, 0)</f>
        <v>78.033414798702097</v>
      </c>
    </row>
    <row r="71" spans="1:5" ht="15">
      <c r="A71" s="13">
        <v>43647</v>
      </c>
      <c r="B71" s="4">
        <f>12.3272 * CHOOSE(CONTROL!$C$9, $C$13, 100%, $E$13) + CHOOSE(CONTROL!$C$28, 0.0192, 0)</f>
        <v>12.346399999999999</v>
      </c>
      <c r="C71" s="4">
        <f>11.964 * CHOOSE(CONTROL!$C$9, $C$13, 100%, $E$13) + CHOOSE(CONTROL!$C$28, 0.0192, 0)</f>
        <v>11.9832</v>
      </c>
      <c r="D71" s="4">
        <f>18.7638 * CHOOSE(CONTROL!$C$9, $C$13, 100%, $E$13) + CHOOSE(CONTROL!$C$28, 0, 0)</f>
        <v>18.7638</v>
      </c>
      <c r="E71" s="4">
        <f>78.0085950102801 * CHOOSE(CONTROL!$C$9, $C$13, 100%, $E$13) + CHOOSE(CONTROL!$C$28, 0, 0)</f>
        <v>78.008595010280104</v>
      </c>
    </row>
    <row r="72" spans="1:5" ht="15">
      <c r="A72" s="13">
        <v>43678</v>
      </c>
      <c r="B72" s="4">
        <f>12.6039 * CHOOSE(CONTROL!$C$9, $C$13, 100%, $E$13) + CHOOSE(CONTROL!$C$28, 0.0192, 0)</f>
        <v>12.623099999999999</v>
      </c>
      <c r="C72" s="4">
        <f>12.2406 * CHOOSE(CONTROL!$C$9, $C$13, 100%, $E$13) + CHOOSE(CONTROL!$C$28, 0.0192, 0)</f>
        <v>12.2598</v>
      </c>
      <c r="D72" s="4">
        <f>18.5825 * CHOOSE(CONTROL!$C$9, $C$13, 100%, $E$13) + CHOOSE(CONTROL!$C$28, 0, 0)</f>
        <v>18.5825</v>
      </c>
      <c r="E72" s="4">
        <f>79.876284089034 * CHOOSE(CONTROL!$C$9, $C$13, 100%, $E$13) + CHOOSE(CONTROL!$C$28, 0, 0)</f>
        <v>79.876284089034002</v>
      </c>
    </row>
    <row r="73" spans="1:5" ht="15">
      <c r="A73" s="13">
        <v>43709</v>
      </c>
      <c r="B73" s="4">
        <f>12.1324 * CHOOSE(CONTROL!$C$9, $C$13, 100%, $E$13) + CHOOSE(CONTROL!$C$28, 0.0192, 0)</f>
        <v>12.1516</v>
      </c>
      <c r="C73" s="4">
        <f>11.7691 * CHOOSE(CONTROL!$C$9, $C$13, 100%, $E$13) + CHOOSE(CONTROL!$C$28, 0.0192, 0)</f>
        <v>11.7883</v>
      </c>
      <c r="D73" s="4">
        <f>18.4969 * CHOOSE(CONTROL!$C$9, $C$13, 100%, $E$13) + CHOOSE(CONTROL!$C$28, 0, 0)</f>
        <v>18.4969</v>
      </c>
      <c r="E73" s="4">
        <f>76.6931462239152 * CHOOSE(CONTROL!$C$9, $C$13, 100%, $E$13) + CHOOSE(CONTROL!$C$28, 0, 0)</f>
        <v>76.693146223915207</v>
      </c>
    </row>
    <row r="74" spans="1:5" ht="15">
      <c r="A74" s="13">
        <v>43739</v>
      </c>
      <c r="B74" s="4">
        <f>11.755 * CHOOSE(CONTROL!$C$9, $C$13, 100%, $E$13) + CHOOSE(CONTROL!$C$28, 0.0003, 0)</f>
        <v>11.7553</v>
      </c>
      <c r="C74" s="4">
        <f>11.3917 * CHOOSE(CONTROL!$C$9, $C$13, 100%, $E$13) + CHOOSE(CONTROL!$C$28, 0.0003, 0)</f>
        <v>11.391999999999999</v>
      </c>
      <c r="D74" s="4">
        <f>18.2675 * CHOOSE(CONTROL!$C$9, $C$13, 100%, $E$13) + CHOOSE(CONTROL!$C$28, 0, 0)</f>
        <v>18.267499999999998</v>
      </c>
      <c r="E74" s="4">
        <f>74.1449812792587 * CHOOSE(CONTROL!$C$9, $C$13, 100%, $E$13) + CHOOSE(CONTROL!$C$28, 0, 0)</f>
        <v>74.144981279258701</v>
      </c>
    </row>
    <row r="75" spans="1:5" ht="15">
      <c r="A75" s="13">
        <v>43770</v>
      </c>
      <c r="B75" s="4">
        <f>11.5119 * CHOOSE(CONTROL!$C$9, $C$13, 100%, $E$13) + CHOOSE(CONTROL!$C$28, 0.0003, 0)</f>
        <v>11.5122</v>
      </c>
      <c r="C75" s="4">
        <f>11.1486 * CHOOSE(CONTROL!$C$9, $C$13, 100%, $E$13) + CHOOSE(CONTROL!$C$28, 0.0003, 0)</f>
        <v>11.148899999999999</v>
      </c>
      <c r="D75" s="4">
        <f>18.1887 * CHOOSE(CONTROL!$C$9, $C$13, 100%, $E$13) + CHOOSE(CONTROL!$C$28, 0, 0)</f>
        <v>18.188700000000001</v>
      </c>
      <c r="E75" s="4">
        <f>72.5037727698553 * CHOOSE(CONTROL!$C$9, $C$13, 100%, $E$13) + CHOOSE(CONTROL!$C$28, 0, 0)</f>
        <v>72.503772769855303</v>
      </c>
    </row>
    <row r="76" spans="1:5" ht="15">
      <c r="A76" s="13">
        <v>43800</v>
      </c>
      <c r="B76" s="4">
        <f>11.3437 * CHOOSE(CONTROL!$C$9, $C$13, 100%, $E$13) + CHOOSE(CONTROL!$C$28, 0.0003, 0)</f>
        <v>11.343999999999999</v>
      </c>
      <c r="C76" s="4">
        <f>10.9805 * CHOOSE(CONTROL!$C$9, $C$13, 100%, $E$13) + CHOOSE(CONTROL!$C$28, 0.0003, 0)</f>
        <v>10.980799999999999</v>
      </c>
      <c r="D76" s="4">
        <f>17.6082 * CHOOSE(CONTROL!$C$9, $C$13, 100%, $E$13) + CHOOSE(CONTROL!$C$28, 0, 0)</f>
        <v>17.6082</v>
      </c>
      <c r="E76" s="4">
        <f>71.3682674495498 * CHOOSE(CONTROL!$C$9, $C$13, 100%, $E$13) + CHOOSE(CONTROL!$C$28, 0, 0)</f>
        <v>71.368267449549805</v>
      </c>
    </row>
    <row r="77" spans="1:5" ht="15">
      <c r="A77" s="13">
        <v>43831</v>
      </c>
      <c r="B77" s="4">
        <f>12.8082 * CHOOSE(CONTROL!$C$9, $C$13, 100%, $E$13) + CHOOSE(CONTROL!$C$28, 0.0003, 0)</f>
        <v>12.808499999999999</v>
      </c>
      <c r="C77" s="4">
        <f>12.4449 * CHOOSE(CONTROL!$C$9, $C$13, 100%, $E$13) + CHOOSE(CONTROL!$C$28, 0.0003, 0)</f>
        <v>12.4452</v>
      </c>
      <c r="D77" s="4">
        <f>19.2397 * CHOOSE(CONTROL!$C$9, $C$13, 100%, $E$13) + CHOOSE(CONTROL!$C$28, 0, 0)</f>
        <v>19.239699999999999</v>
      </c>
      <c r="E77" s="4">
        <f>82.0078688574678 * CHOOSE(CONTROL!$C$9, $C$13, 100%, $E$13) + CHOOSE(CONTROL!$C$28, 0, 0)</f>
        <v>82.007868857467798</v>
      </c>
    </row>
    <row r="78" spans="1:5" ht="15">
      <c r="A78" s="13">
        <v>43862</v>
      </c>
      <c r="B78" s="4">
        <f>13.0939 * CHOOSE(CONTROL!$C$9, $C$13, 100%, $E$13) + CHOOSE(CONTROL!$C$28, 0.0003, 0)</f>
        <v>13.094199999999999</v>
      </c>
      <c r="C78" s="4">
        <f>12.7307 * CHOOSE(CONTROL!$C$9, $C$13, 100%, $E$13) + CHOOSE(CONTROL!$C$28, 0.0003, 0)</f>
        <v>12.731</v>
      </c>
      <c r="D78" s="4">
        <f>19.8534 * CHOOSE(CONTROL!$C$9, $C$13, 100%, $E$13) + CHOOSE(CONTROL!$C$28, 0, 0)</f>
        <v>19.853400000000001</v>
      </c>
      <c r="E78" s="4">
        <f>83.9550588497287 * CHOOSE(CONTROL!$C$9, $C$13, 100%, $E$13) + CHOOSE(CONTROL!$C$28, 0, 0)</f>
        <v>83.955058849728701</v>
      </c>
    </row>
    <row r="79" spans="1:5" ht="15">
      <c r="A79" s="13">
        <v>43891</v>
      </c>
      <c r="B79" s="4">
        <f>13.8443 * CHOOSE(CONTROL!$C$9, $C$13, 100%, $E$13) + CHOOSE(CONTROL!$C$28, 0.0003, 0)</f>
        <v>13.8446</v>
      </c>
      <c r="C79" s="4">
        <f>13.4811 * CHOOSE(CONTROL!$C$9, $C$13, 100%, $E$13) + CHOOSE(CONTROL!$C$28, 0.0003, 0)</f>
        <v>13.481399999999999</v>
      </c>
      <c r="D79" s="4">
        <f>20.814 * CHOOSE(CONTROL!$C$9, $C$13, 100%, $E$13) + CHOOSE(CONTROL!$C$28, 0, 0)</f>
        <v>20.814</v>
      </c>
      <c r="E79" s="4">
        <f>89.0684832493664 * CHOOSE(CONTROL!$C$9, $C$13, 100%, $E$13) + CHOOSE(CONTROL!$C$28, 0, 0)</f>
        <v>89.068483249366395</v>
      </c>
    </row>
    <row r="80" spans="1:5" ht="15">
      <c r="A80" s="13">
        <v>43922</v>
      </c>
      <c r="B80" s="4">
        <f>14.3775 * CHOOSE(CONTROL!$C$9, $C$13, 100%, $E$13) + CHOOSE(CONTROL!$C$28, 0.0003, 0)</f>
        <v>14.377799999999999</v>
      </c>
      <c r="C80" s="4">
        <f>14.0142 * CHOOSE(CONTROL!$C$9, $C$13, 100%, $E$13) + CHOOSE(CONTROL!$C$28, 0.0003, 0)</f>
        <v>14.0145</v>
      </c>
      <c r="D80" s="4">
        <f>21.3674 * CHOOSE(CONTROL!$C$9, $C$13, 100%, $E$13) + CHOOSE(CONTROL!$C$28, 0, 0)</f>
        <v>21.3674</v>
      </c>
      <c r="E80" s="4">
        <f>92.7016394306491 * CHOOSE(CONTROL!$C$9, $C$13, 100%, $E$13) + CHOOSE(CONTROL!$C$28, 0, 0)</f>
        <v>92.701639430649095</v>
      </c>
    </row>
    <row r="81" spans="1:5" ht="15">
      <c r="A81" s="13">
        <v>43952</v>
      </c>
      <c r="B81" s="4">
        <f>14.7033 * CHOOSE(CONTROL!$C$9, $C$13, 100%, $E$13) + CHOOSE(CONTROL!$C$28, 0.0192, 0)</f>
        <v>14.7225</v>
      </c>
      <c r="C81" s="4">
        <f>14.34 * CHOOSE(CONTROL!$C$9, $C$13, 100%, $E$13) + CHOOSE(CONTROL!$C$28, 0.0192, 0)</f>
        <v>14.3592</v>
      </c>
      <c r="D81" s="4">
        <f>21.1487 * CHOOSE(CONTROL!$C$9, $C$13, 100%, $E$13) + CHOOSE(CONTROL!$C$28, 0, 0)</f>
        <v>21.148700000000002</v>
      </c>
      <c r="E81" s="4">
        <f>94.9214107828116 * CHOOSE(CONTROL!$C$9, $C$13, 100%, $E$13) + CHOOSE(CONTROL!$C$28, 0, 0)</f>
        <v>94.921410782811606</v>
      </c>
    </row>
    <row r="82" spans="1:5" ht="15">
      <c r="A82" s="13">
        <v>43983</v>
      </c>
      <c r="B82" s="4">
        <f>14.7473 * CHOOSE(CONTROL!$C$9, $C$13, 100%, $E$13) + CHOOSE(CONTROL!$C$28, 0.0192, 0)</f>
        <v>14.766499999999999</v>
      </c>
      <c r="C82" s="4">
        <f>14.3841 * CHOOSE(CONTROL!$C$9, $C$13, 100%, $E$13) + CHOOSE(CONTROL!$C$28, 0.0192, 0)</f>
        <v>14.4033</v>
      </c>
      <c r="D82" s="4">
        <f>21.3268 * CHOOSE(CONTROL!$C$9, $C$13, 100%, $E$13) + CHOOSE(CONTROL!$C$28, 0, 0)</f>
        <v>21.326799999999999</v>
      </c>
      <c r="E82" s="4">
        <f>95.2217550589996 * CHOOSE(CONTROL!$C$9, $C$13, 100%, $E$13) + CHOOSE(CONTROL!$C$28, 0, 0)</f>
        <v>95.221755058999605</v>
      </c>
    </row>
    <row r="83" spans="1:5" ht="15">
      <c r="A83" s="13">
        <v>44013</v>
      </c>
      <c r="B83" s="4">
        <f>14.7429 * CHOOSE(CONTROL!$C$9, $C$13, 100%, $E$13) + CHOOSE(CONTROL!$C$28, 0.0192, 0)</f>
        <v>14.7621</v>
      </c>
      <c r="C83" s="4">
        <f>14.3796 * CHOOSE(CONTROL!$C$9, $C$13, 100%, $E$13) + CHOOSE(CONTROL!$C$28, 0.0192, 0)</f>
        <v>14.3988</v>
      </c>
      <c r="D83" s="4">
        <f>21.6482 * CHOOSE(CONTROL!$C$9, $C$13, 100%, $E$13) + CHOOSE(CONTROL!$C$28, 0, 0)</f>
        <v>21.648199999999999</v>
      </c>
      <c r="E83" s="4">
        <f>95.1914682412328 * CHOOSE(CONTROL!$C$9, $C$13, 100%, $E$13) + CHOOSE(CONTROL!$C$28, 0, 0)</f>
        <v>95.191468241232798</v>
      </c>
    </row>
    <row r="84" spans="1:5" ht="15">
      <c r="A84" s="13">
        <v>44044</v>
      </c>
      <c r="B84" s="4">
        <f>15.0774 * CHOOSE(CONTROL!$C$9, $C$13, 100%, $E$13) + CHOOSE(CONTROL!$C$28, 0.0192, 0)</f>
        <v>15.0966</v>
      </c>
      <c r="C84" s="4">
        <f>14.7141 * CHOOSE(CONTROL!$C$9, $C$13, 100%, $E$13) + CHOOSE(CONTROL!$C$28, 0.0192, 0)</f>
        <v>14.7333</v>
      </c>
      <c r="D84" s="4">
        <f>21.436 * CHOOSE(CONTROL!$C$9, $C$13, 100%, $E$13) + CHOOSE(CONTROL!$C$28, 0, 0)</f>
        <v>21.436</v>
      </c>
      <c r="E84" s="4">
        <f>97.4705512781888 * CHOOSE(CONTROL!$C$9, $C$13, 100%, $E$13) + CHOOSE(CONTROL!$C$28, 0, 0)</f>
        <v>97.470551278188793</v>
      </c>
    </row>
    <row r="85" spans="1:5" ht="15">
      <c r="A85" s="13">
        <v>44075</v>
      </c>
      <c r="B85" s="4">
        <f>14.5073 * CHOOSE(CONTROL!$C$9, $C$13, 100%, $E$13) + CHOOSE(CONTROL!$C$28, 0.0192, 0)</f>
        <v>14.5265</v>
      </c>
      <c r="C85" s="4">
        <f>14.144 * CHOOSE(CONTROL!$C$9, $C$13, 100%, $E$13) + CHOOSE(CONTROL!$C$28, 0.0192, 0)</f>
        <v>14.1632</v>
      </c>
      <c r="D85" s="4">
        <f>21.3357 * CHOOSE(CONTROL!$C$9, $C$13, 100%, $E$13) + CHOOSE(CONTROL!$C$28, 0, 0)</f>
        <v>21.335699999999999</v>
      </c>
      <c r="E85" s="4">
        <f>93.5862668995893 * CHOOSE(CONTROL!$C$9, $C$13, 100%, $E$13) + CHOOSE(CONTROL!$C$28, 0, 0)</f>
        <v>93.586266899589305</v>
      </c>
    </row>
    <row r="86" spans="1:5" ht="15">
      <c r="A86" s="13">
        <v>44105</v>
      </c>
      <c r="B86" s="4">
        <f>14.051 * CHOOSE(CONTROL!$C$9, $C$13, 100%, $E$13) + CHOOSE(CONTROL!$C$28, 0.0003, 0)</f>
        <v>14.051299999999999</v>
      </c>
      <c r="C86" s="4">
        <f>13.6877 * CHOOSE(CONTROL!$C$9, $C$13, 100%, $E$13) + CHOOSE(CONTROL!$C$28, 0.0003, 0)</f>
        <v>13.687999999999999</v>
      </c>
      <c r="D86" s="4">
        <f>21.0672 * CHOOSE(CONTROL!$C$9, $C$13, 100%, $E$13) + CHOOSE(CONTROL!$C$28, 0, 0)</f>
        <v>21.0672</v>
      </c>
      <c r="E86" s="4">
        <f>90.4768202755253 * CHOOSE(CONTROL!$C$9, $C$13, 100%, $E$13) + CHOOSE(CONTROL!$C$28, 0, 0)</f>
        <v>90.476820275525299</v>
      </c>
    </row>
    <row r="87" spans="1:5" ht="15">
      <c r="A87" s="13">
        <v>44136</v>
      </c>
      <c r="B87" s="4">
        <f>13.7571 * CHOOSE(CONTROL!$C$9, $C$13, 100%, $E$13) + CHOOSE(CONTROL!$C$28, 0.0003, 0)</f>
        <v>13.757399999999999</v>
      </c>
      <c r="C87" s="4">
        <f>13.3938 * CHOOSE(CONTROL!$C$9, $C$13, 100%, $E$13) + CHOOSE(CONTROL!$C$28, 0.0003, 0)</f>
        <v>13.3941</v>
      </c>
      <c r="D87" s="4">
        <f>20.9749 * CHOOSE(CONTROL!$C$9, $C$13, 100%, $E$13) + CHOOSE(CONTROL!$C$28, 0, 0)</f>
        <v>20.974900000000002</v>
      </c>
      <c r="E87" s="4">
        <f>88.4741044506919 * CHOOSE(CONTROL!$C$9, $C$13, 100%, $E$13) + CHOOSE(CONTROL!$C$28, 0, 0)</f>
        <v>88.474104450691897</v>
      </c>
    </row>
    <row r="88" spans="1:5" ht="15">
      <c r="A88" s="13">
        <v>44166</v>
      </c>
      <c r="B88" s="4">
        <f>13.5538 * CHOOSE(CONTROL!$C$9, $C$13, 100%, $E$13) + CHOOSE(CONTROL!$C$28, 0.0003, 0)</f>
        <v>13.5541</v>
      </c>
      <c r="C88" s="4">
        <f>13.1905 * CHOOSE(CONTROL!$C$9, $C$13, 100%, $E$13) + CHOOSE(CONTROL!$C$28, 0.0003, 0)</f>
        <v>13.190799999999999</v>
      </c>
      <c r="D88" s="4">
        <f>20.2954 * CHOOSE(CONTROL!$C$9, $C$13, 100%, $E$13) + CHOOSE(CONTROL!$C$28, 0, 0)</f>
        <v>20.295400000000001</v>
      </c>
      <c r="E88" s="4">
        <f>87.0884825378581 * CHOOSE(CONTROL!$C$9, $C$13, 100%, $E$13) + CHOOSE(CONTROL!$C$28, 0, 0)</f>
        <v>87.088482537858098</v>
      </c>
    </row>
    <row r="89" spans="1:5" ht="15">
      <c r="A89" s="13">
        <v>44197</v>
      </c>
      <c r="B89" s="4">
        <f>13.3859 * CHOOSE(CONTROL!$C$9, $C$13, 100%, $E$13) + CHOOSE(CONTROL!$C$28, 0.0003, 0)</f>
        <v>13.386199999999999</v>
      </c>
      <c r="C89" s="4">
        <f>13.0226 * CHOOSE(CONTROL!$C$9, $C$13, 100%, $E$13) + CHOOSE(CONTROL!$C$28, 0.0003, 0)</f>
        <v>13.0229</v>
      </c>
      <c r="D89" s="4">
        <f>20.0158 * CHOOSE(CONTROL!$C$9, $C$13, 100%, $E$13) + CHOOSE(CONTROL!$C$28, 0, 0)</f>
        <v>20.015799999999999</v>
      </c>
      <c r="E89" s="4">
        <f>85.4125030956757 * CHOOSE(CONTROL!$C$9, $C$13, 100%, $E$13) + CHOOSE(CONTROL!$C$28, 0, 0)</f>
        <v>85.412503095675703</v>
      </c>
    </row>
    <row r="90" spans="1:5" ht="15">
      <c r="A90" s="13">
        <v>44228</v>
      </c>
      <c r="B90" s="4">
        <f>13.6854 * CHOOSE(CONTROL!$C$9, $C$13, 100%, $E$13) + CHOOSE(CONTROL!$C$28, 0.0003, 0)</f>
        <v>13.685699999999999</v>
      </c>
      <c r="C90" s="4">
        <f>13.3221 * CHOOSE(CONTROL!$C$9, $C$13, 100%, $E$13) + CHOOSE(CONTROL!$C$28, 0.0003, 0)</f>
        <v>13.3224</v>
      </c>
      <c r="D90" s="4">
        <f>20.6569 * CHOOSE(CONTROL!$C$9, $C$13, 100%, $E$13) + CHOOSE(CONTROL!$C$28, 0, 0)</f>
        <v>20.6569</v>
      </c>
      <c r="E90" s="4">
        <f>87.4405325221069 * CHOOSE(CONTROL!$C$9, $C$13, 100%, $E$13) + CHOOSE(CONTROL!$C$28, 0, 0)</f>
        <v>87.440532522106906</v>
      </c>
    </row>
    <row r="91" spans="1:5" ht="15">
      <c r="A91" s="13">
        <v>44256</v>
      </c>
      <c r="B91" s="4">
        <f>14.4718 * CHOOSE(CONTROL!$C$9, $C$13, 100%, $E$13) + CHOOSE(CONTROL!$C$28, 0.0003, 0)</f>
        <v>14.472099999999999</v>
      </c>
      <c r="C91" s="4">
        <f>14.1085 * CHOOSE(CONTROL!$C$9, $C$13, 100%, $E$13) + CHOOSE(CONTROL!$C$28, 0.0003, 0)</f>
        <v>14.108799999999999</v>
      </c>
      <c r="D91" s="4">
        <f>21.6605 * CHOOSE(CONTROL!$C$9, $C$13, 100%, $E$13) + CHOOSE(CONTROL!$C$28, 0, 0)</f>
        <v>21.660499999999999</v>
      </c>
      <c r="E91" s="4">
        <f>92.7662455719442 * CHOOSE(CONTROL!$C$9, $C$13, 100%, $E$13) + CHOOSE(CONTROL!$C$28, 0, 0)</f>
        <v>92.766245571944197</v>
      </c>
    </row>
    <row r="92" spans="1:5" ht="15">
      <c r="A92" s="13">
        <v>44287</v>
      </c>
      <c r="B92" s="4">
        <f>15.0305 * CHOOSE(CONTROL!$C$9, $C$13, 100%, $E$13) + CHOOSE(CONTROL!$C$28, 0.0003, 0)</f>
        <v>15.030799999999999</v>
      </c>
      <c r="C92" s="4">
        <f>14.6673 * CHOOSE(CONTROL!$C$9, $C$13, 100%, $E$13) + CHOOSE(CONTROL!$C$28, 0.0003, 0)</f>
        <v>14.667599999999998</v>
      </c>
      <c r="D92" s="4">
        <f>22.2385 * CHOOSE(CONTROL!$C$9, $C$13, 100%, $E$13) + CHOOSE(CONTROL!$C$28, 0, 0)</f>
        <v>22.238499999999998</v>
      </c>
      <c r="E92" s="4">
        <f>96.5502356683118 * CHOOSE(CONTROL!$C$9, $C$13, 100%, $E$13) + CHOOSE(CONTROL!$C$28, 0, 0)</f>
        <v>96.550235668311799</v>
      </c>
    </row>
    <row r="93" spans="1:5" ht="15">
      <c r="A93" s="13">
        <v>44317</v>
      </c>
      <c r="B93" s="4">
        <f>15.3719 * CHOOSE(CONTROL!$C$9, $C$13, 100%, $E$13) + CHOOSE(CONTROL!$C$28, 0.0192, 0)</f>
        <v>15.3911</v>
      </c>
      <c r="C93" s="4">
        <f>15.0087 * CHOOSE(CONTROL!$C$9, $C$13, 100%, $E$13) + CHOOSE(CONTROL!$C$28, 0.0192, 0)</f>
        <v>15.027899999999999</v>
      </c>
      <c r="D93" s="4">
        <f>22.0101 * CHOOSE(CONTROL!$C$9, $C$13, 100%, $E$13) + CHOOSE(CONTROL!$C$28, 0, 0)</f>
        <v>22.010100000000001</v>
      </c>
      <c r="E93" s="4">
        <f>98.8621629276069 * CHOOSE(CONTROL!$C$9, $C$13, 100%, $E$13) + CHOOSE(CONTROL!$C$28, 0, 0)</f>
        <v>98.862162927606903</v>
      </c>
    </row>
    <row r="94" spans="1:5" ht="15">
      <c r="A94" s="13">
        <v>44348</v>
      </c>
      <c r="B94" s="4">
        <f>15.4181 * CHOOSE(CONTROL!$C$9, $C$13, 100%, $E$13) + CHOOSE(CONTROL!$C$28, 0.0192, 0)</f>
        <v>15.4373</v>
      </c>
      <c r="C94" s="4">
        <f>15.0549 * CHOOSE(CONTROL!$C$9, $C$13, 100%, $E$13) + CHOOSE(CONTROL!$C$28, 0.0192, 0)</f>
        <v>15.0741</v>
      </c>
      <c r="D94" s="4">
        <f>22.1961 * CHOOSE(CONTROL!$C$9, $C$13, 100%, $E$13) + CHOOSE(CONTROL!$C$28, 0, 0)</f>
        <v>22.196100000000001</v>
      </c>
      <c r="E94" s="4">
        <f>99.1749762804848 * CHOOSE(CONTROL!$C$9, $C$13, 100%, $E$13) + CHOOSE(CONTROL!$C$28, 0, 0)</f>
        <v>99.174976280484799</v>
      </c>
    </row>
    <row r="95" spans="1:5" ht="15">
      <c r="A95" s="13">
        <v>44378</v>
      </c>
      <c r="B95" s="4">
        <f>15.4135 * CHOOSE(CONTROL!$C$9, $C$13, 100%, $E$13) + CHOOSE(CONTROL!$C$28, 0.0192, 0)</f>
        <v>15.432700000000001</v>
      </c>
      <c r="C95" s="4">
        <f>15.0502 * CHOOSE(CONTROL!$C$9, $C$13, 100%, $E$13) + CHOOSE(CONTROL!$C$28, 0.0192, 0)</f>
        <v>15.0694</v>
      </c>
      <c r="D95" s="4">
        <f>22.5318 * CHOOSE(CONTROL!$C$9, $C$13, 100%, $E$13) + CHOOSE(CONTROL!$C$28, 0, 0)</f>
        <v>22.5318</v>
      </c>
      <c r="E95" s="4">
        <f>99.1434320768333 * CHOOSE(CONTROL!$C$9, $C$13, 100%, $E$13) + CHOOSE(CONTROL!$C$28, 0, 0)</f>
        <v>99.143432076833307</v>
      </c>
    </row>
    <row r="96" spans="1:5" ht="15">
      <c r="A96" s="13">
        <v>44409</v>
      </c>
      <c r="B96" s="4">
        <f>15.764 * CHOOSE(CONTROL!$C$9, $C$13, 100%, $E$13) + CHOOSE(CONTROL!$C$28, 0.0192, 0)</f>
        <v>15.783199999999999</v>
      </c>
      <c r="C96" s="4">
        <f>15.4007 * CHOOSE(CONTROL!$C$9, $C$13, 100%, $E$13) + CHOOSE(CONTROL!$C$28, 0.0192, 0)</f>
        <v>15.4199</v>
      </c>
      <c r="D96" s="4">
        <f>22.3101 * CHOOSE(CONTROL!$C$9, $C$13, 100%, $E$13) + CHOOSE(CONTROL!$C$28, 0, 0)</f>
        <v>22.310099999999998</v>
      </c>
      <c r="E96" s="4">
        <f>101.517133401613 * CHOOSE(CONTROL!$C$9, $C$13, 100%, $E$13) + CHOOSE(CONTROL!$C$28, 0, 0)</f>
        <v>101.51713340161299</v>
      </c>
    </row>
    <row r="97" spans="1:5" ht="15">
      <c r="A97" s="13">
        <v>44440</v>
      </c>
      <c r="B97" s="4">
        <f>15.1666 * CHOOSE(CONTROL!$C$9, $C$13, 100%, $E$13) + CHOOSE(CONTROL!$C$28, 0.0192, 0)</f>
        <v>15.1858</v>
      </c>
      <c r="C97" s="4">
        <f>14.8033 * CHOOSE(CONTROL!$C$9, $C$13, 100%, $E$13) + CHOOSE(CONTROL!$C$28, 0.0192, 0)</f>
        <v>14.8225</v>
      </c>
      <c r="D97" s="4">
        <f>22.2054 * CHOOSE(CONTROL!$C$9, $C$13, 100%, $E$13) + CHOOSE(CONTROL!$C$28, 0, 0)</f>
        <v>22.205400000000001</v>
      </c>
      <c r="E97" s="4">
        <f>97.471589283301 * CHOOSE(CONTROL!$C$9, $C$13, 100%, $E$13) + CHOOSE(CONTROL!$C$28, 0, 0)</f>
        <v>97.471589283301</v>
      </c>
    </row>
    <row r="98" spans="1:5" ht="15">
      <c r="A98" s="13">
        <v>44470</v>
      </c>
      <c r="B98" s="4">
        <f>14.6884 * CHOOSE(CONTROL!$C$9, $C$13, 100%, $E$13) + CHOOSE(CONTROL!$C$28, 0.0003, 0)</f>
        <v>14.688699999999999</v>
      </c>
      <c r="C98" s="4">
        <f>14.3251 * CHOOSE(CONTROL!$C$9, $C$13, 100%, $E$13) + CHOOSE(CONTROL!$C$28, 0.0003, 0)</f>
        <v>14.3254</v>
      </c>
      <c r="D98" s="4">
        <f>21.9249 * CHOOSE(CONTROL!$C$9, $C$13, 100%, $E$13) + CHOOSE(CONTROL!$C$28, 0, 0)</f>
        <v>21.924900000000001</v>
      </c>
      <c r="E98" s="4">
        <f>94.2330510417414 * CHOOSE(CONTROL!$C$9, $C$13, 100%, $E$13) + CHOOSE(CONTROL!$C$28, 0, 0)</f>
        <v>94.233051041741405</v>
      </c>
    </row>
    <row r="99" spans="1:5" ht="15">
      <c r="A99" s="13">
        <v>44501</v>
      </c>
      <c r="B99" s="4">
        <f>14.3804 * CHOOSE(CONTROL!$C$9, $C$13, 100%, $E$13) + CHOOSE(CONTROL!$C$28, 0.0003, 0)</f>
        <v>14.380699999999999</v>
      </c>
      <c r="C99" s="4">
        <f>14.0171 * CHOOSE(CONTROL!$C$9, $C$13, 100%, $E$13) + CHOOSE(CONTROL!$C$28, 0.0003, 0)</f>
        <v>14.017399999999999</v>
      </c>
      <c r="D99" s="4">
        <f>21.8285 * CHOOSE(CONTROL!$C$9, $C$13, 100%, $E$13) + CHOOSE(CONTROL!$C$28, 0, 0)</f>
        <v>21.828499999999998</v>
      </c>
      <c r="E99" s="4">
        <f>92.1471905752824 * CHOOSE(CONTROL!$C$9, $C$13, 100%, $E$13) + CHOOSE(CONTROL!$C$28, 0, 0)</f>
        <v>92.147190575282394</v>
      </c>
    </row>
    <row r="100" spans="1:5" ht="15">
      <c r="A100" s="13">
        <v>44531</v>
      </c>
      <c r="B100" s="4">
        <f>14.1673 * CHOOSE(CONTROL!$C$9, $C$13, 100%, $E$13) + CHOOSE(CONTROL!$C$28, 0.0003, 0)</f>
        <v>14.167599999999998</v>
      </c>
      <c r="C100" s="4">
        <f>13.804 * CHOOSE(CONTROL!$C$9, $C$13, 100%, $E$13) + CHOOSE(CONTROL!$C$28, 0.0003, 0)</f>
        <v>13.8043</v>
      </c>
      <c r="D100" s="4">
        <f>21.1187 * CHOOSE(CONTROL!$C$9, $C$13, 100%, $E$13) + CHOOSE(CONTROL!$C$28, 0, 0)</f>
        <v>21.1187</v>
      </c>
      <c r="E100" s="4">
        <f>90.7040432582239 * CHOOSE(CONTROL!$C$9, $C$13, 100%, $E$13) + CHOOSE(CONTROL!$C$28, 0, 0)</f>
        <v>90.704043258223905</v>
      </c>
    </row>
    <row r="101" spans="1:5" ht="15">
      <c r="A101" s="13">
        <v>44562</v>
      </c>
      <c r="B101" s="4">
        <f>14.0661 * CHOOSE(CONTROL!$C$9, $C$13, 100%, $E$13) + CHOOSE(CONTROL!$C$28, 0.0003, 0)</f>
        <v>14.0664</v>
      </c>
      <c r="C101" s="4">
        <f>13.7028 * CHOOSE(CONTROL!$C$9, $C$13, 100%, $E$13) + CHOOSE(CONTROL!$C$28, 0.0003, 0)</f>
        <v>13.703099999999999</v>
      </c>
      <c r="D101" s="4">
        <f>20.9947 * CHOOSE(CONTROL!$C$9, $C$13, 100%, $E$13) + CHOOSE(CONTROL!$C$28, 0, 0)</f>
        <v>20.994700000000002</v>
      </c>
      <c r="E101" s="4">
        <f>89.7194686098829 * CHOOSE(CONTROL!$C$9, $C$13, 100%, $E$13) + CHOOSE(CONTROL!$C$28, 0, 0)</f>
        <v>89.719468609882895</v>
      </c>
    </row>
    <row r="102" spans="1:5" ht="15">
      <c r="A102" s="13">
        <v>44593</v>
      </c>
      <c r="B102" s="4">
        <f>14.3817 * CHOOSE(CONTROL!$C$9, $C$13, 100%, $E$13) + CHOOSE(CONTROL!$C$28, 0.0003, 0)</f>
        <v>14.382</v>
      </c>
      <c r="C102" s="4">
        <f>14.0184 * CHOOSE(CONTROL!$C$9, $C$13, 100%, $E$13) + CHOOSE(CONTROL!$C$28, 0.0003, 0)</f>
        <v>14.018699999999999</v>
      </c>
      <c r="D102" s="4">
        <f>21.6704 * CHOOSE(CONTROL!$C$9, $C$13, 100%, $E$13) + CHOOSE(CONTROL!$C$28, 0, 0)</f>
        <v>21.670400000000001</v>
      </c>
      <c r="E102" s="4">
        <f>91.8497623709824 * CHOOSE(CONTROL!$C$9, $C$13, 100%, $E$13) + CHOOSE(CONTROL!$C$28, 0, 0)</f>
        <v>91.849762370982404</v>
      </c>
    </row>
    <row r="103" spans="1:5" ht="15">
      <c r="A103" s="13">
        <v>44621</v>
      </c>
      <c r="B103" s="4">
        <f>15.2105 * CHOOSE(CONTROL!$C$9, $C$13, 100%, $E$13) + CHOOSE(CONTROL!$C$28, 0.0003, 0)</f>
        <v>15.210799999999999</v>
      </c>
      <c r="C103" s="4">
        <f>14.8473 * CHOOSE(CONTROL!$C$9, $C$13, 100%, $E$13) + CHOOSE(CONTROL!$C$28, 0.0003, 0)</f>
        <v>14.8476</v>
      </c>
      <c r="D103" s="4">
        <f>22.728 * CHOOSE(CONTROL!$C$9, $C$13, 100%, $E$13) + CHOOSE(CONTROL!$C$28, 0, 0)</f>
        <v>22.728000000000002</v>
      </c>
      <c r="E103" s="4">
        <f>97.4440269983156 * CHOOSE(CONTROL!$C$9, $C$13, 100%, $E$13) + CHOOSE(CONTROL!$C$28, 0, 0)</f>
        <v>97.444026998315593</v>
      </c>
    </row>
    <row r="104" spans="1:5" ht="15">
      <c r="A104" s="13">
        <v>44652</v>
      </c>
      <c r="B104" s="4">
        <f>15.7994 * CHOOSE(CONTROL!$C$9, $C$13, 100%, $E$13) + CHOOSE(CONTROL!$C$28, 0.0003, 0)</f>
        <v>15.7997</v>
      </c>
      <c r="C104" s="4">
        <f>15.4362 * CHOOSE(CONTROL!$C$9, $C$13, 100%, $E$13) + CHOOSE(CONTROL!$C$28, 0.0003, 0)</f>
        <v>15.436499999999999</v>
      </c>
      <c r="D104" s="4">
        <f>23.3372 * CHOOSE(CONTROL!$C$9, $C$13, 100%, $E$13) + CHOOSE(CONTROL!$C$28, 0, 0)</f>
        <v>23.337199999999999</v>
      </c>
      <c r="E104" s="4">
        <f>101.418826569414 * CHOOSE(CONTROL!$C$9, $C$13, 100%, $E$13) + CHOOSE(CONTROL!$C$28, 0, 0)</f>
        <v>101.41882656941399</v>
      </c>
    </row>
    <row r="105" spans="1:5" ht="15">
      <c r="A105" s="13">
        <v>44682</v>
      </c>
      <c r="B105" s="4">
        <f>16.1593 * CHOOSE(CONTROL!$C$9, $C$13, 100%, $E$13) + CHOOSE(CONTROL!$C$28, 0.0192, 0)</f>
        <v>16.178500000000003</v>
      </c>
      <c r="C105" s="4">
        <f>15.796 * CHOOSE(CONTROL!$C$9, $C$13, 100%, $E$13) + CHOOSE(CONTROL!$C$28, 0.0192, 0)</f>
        <v>15.815199999999999</v>
      </c>
      <c r="D105" s="4">
        <f>23.0965 * CHOOSE(CONTROL!$C$9, $C$13, 100%, $E$13) + CHOOSE(CONTROL!$C$28, 0, 0)</f>
        <v>23.096499999999999</v>
      </c>
      <c r="E105" s="4">
        <f>103.847333844705 * CHOOSE(CONTROL!$C$9, $C$13, 100%, $E$13) + CHOOSE(CONTROL!$C$28, 0, 0)</f>
        <v>103.84733384470501</v>
      </c>
    </row>
    <row r="106" spans="1:5" ht="15">
      <c r="A106" s="13">
        <v>44713</v>
      </c>
      <c r="B106" s="4">
        <f>16.2079 * CHOOSE(CONTROL!$C$9, $C$13, 100%, $E$13) + CHOOSE(CONTROL!$C$28, 0.0192, 0)</f>
        <v>16.2271</v>
      </c>
      <c r="C106" s="4">
        <f>15.8447 * CHOOSE(CONTROL!$C$9, $C$13, 100%, $E$13) + CHOOSE(CONTROL!$C$28, 0.0192, 0)</f>
        <v>15.863899999999999</v>
      </c>
      <c r="D106" s="4">
        <f>23.2926 * CHOOSE(CONTROL!$C$9, $C$13, 100%, $E$13) + CHOOSE(CONTROL!$C$28, 0, 0)</f>
        <v>23.2926</v>
      </c>
      <c r="E106" s="4">
        <f>104.175920957564 * CHOOSE(CONTROL!$C$9, $C$13, 100%, $E$13) + CHOOSE(CONTROL!$C$28, 0, 0)</f>
        <v>104.175920957564</v>
      </c>
    </row>
    <row r="107" spans="1:5" ht="15">
      <c r="A107" s="13">
        <v>44743</v>
      </c>
      <c r="B107" s="4">
        <f>16.203 * CHOOSE(CONTROL!$C$9, $C$13, 100%, $E$13) + CHOOSE(CONTROL!$C$28, 0.0192, 0)</f>
        <v>16.222200000000001</v>
      </c>
      <c r="C107" s="4">
        <f>15.8397 * CHOOSE(CONTROL!$C$9, $C$13, 100%, $E$13) + CHOOSE(CONTROL!$C$28, 0.0192, 0)</f>
        <v>15.8589</v>
      </c>
      <c r="D107" s="4">
        <f>23.6463 * CHOOSE(CONTROL!$C$9, $C$13, 100%, $E$13) + CHOOSE(CONTROL!$C$28, 0, 0)</f>
        <v>23.6463</v>
      </c>
      <c r="E107" s="4">
        <f>104.142786122654 * CHOOSE(CONTROL!$C$9, $C$13, 100%, $E$13) + CHOOSE(CONTROL!$C$28, 0, 0)</f>
        <v>104.142786122654</v>
      </c>
    </row>
    <row r="108" spans="1:5" ht="15">
      <c r="A108" s="13">
        <v>44774</v>
      </c>
      <c r="B108" s="4">
        <f>16.5724 * CHOOSE(CONTROL!$C$9, $C$13, 100%, $E$13) + CHOOSE(CONTROL!$C$28, 0.0192, 0)</f>
        <v>16.5916</v>
      </c>
      <c r="C108" s="4">
        <f>16.2092 * CHOOSE(CONTROL!$C$9, $C$13, 100%, $E$13) + CHOOSE(CONTROL!$C$28, 0.0192, 0)</f>
        <v>16.228400000000001</v>
      </c>
      <c r="D108" s="4">
        <f>23.4127 * CHOOSE(CONTROL!$C$9, $C$13, 100%, $E$13) + CHOOSE(CONTROL!$C$28, 0, 0)</f>
        <v>23.412700000000001</v>
      </c>
      <c r="E108" s="4">
        <f>106.636182449644 * CHOOSE(CONTROL!$C$9, $C$13, 100%, $E$13) + CHOOSE(CONTROL!$C$28, 0, 0)</f>
        <v>106.636182449644</v>
      </c>
    </row>
    <row r="109" spans="1:5" ht="15">
      <c r="A109" s="13">
        <v>44805</v>
      </c>
      <c r="B109" s="4">
        <f>15.9428 * CHOOSE(CONTROL!$C$9, $C$13, 100%, $E$13) + CHOOSE(CONTROL!$C$28, 0.0192, 0)</f>
        <v>15.962</v>
      </c>
      <c r="C109" s="4">
        <f>15.5796 * CHOOSE(CONTROL!$C$9, $C$13, 100%, $E$13) + CHOOSE(CONTROL!$C$28, 0.0192, 0)</f>
        <v>15.598799999999999</v>
      </c>
      <c r="D109" s="4">
        <f>23.3023 * CHOOSE(CONTROL!$C$9, $C$13, 100%, $E$13) + CHOOSE(CONTROL!$C$28, 0, 0)</f>
        <v>23.302299999999999</v>
      </c>
      <c r="E109" s="4">
        <f>102.386639872415 * CHOOSE(CONTROL!$C$9, $C$13, 100%, $E$13) + CHOOSE(CONTROL!$C$28, 0, 0)</f>
        <v>102.386639872415</v>
      </c>
    </row>
    <row r="110" spans="1:5" ht="15">
      <c r="A110" s="13">
        <v>44835</v>
      </c>
      <c r="B110" s="4">
        <f>15.4388 * CHOOSE(CONTROL!$C$9, $C$13, 100%, $E$13) + CHOOSE(CONTROL!$C$28, 0.0003, 0)</f>
        <v>15.4391</v>
      </c>
      <c r="C110" s="4">
        <f>15.0755 * CHOOSE(CONTROL!$C$9, $C$13, 100%, $E$13) + CHOOSE(CONTROL!$C$28, 0.0003, 0)</f>
        <v>15.075799999999999</v>
      </c>
      <c r="D110" s="4">
        <f>23.0067 * CHOOSE(CONTROL!$C$9, $C$13, 100%, $E$13) + CHOOSE(CONTROL!$C$28, 0, 0)</f>
        <v>23.006699999999999</v>
      </c>
      <c r="E110" s="4">
        <f>98.9847968216383 * CHOOSE(CONTROL!$C$9, $C$13, 100%, $E$13) + CHOOSE(CONTROL!$C$28, 0, 0)</f>
        <v>98.984796821638298</v>
      </c>
    </row>
    <row r="111" spans="1:5" ht="15">
      <c r="A111" s="13">
        <v>44866</v>
      </c>
      <c r="B111" s="4">
        <f>15.1142 * CHOOSE(CONTROL!$C$9, $C$13, 100%, $E$13) + CHOOSE(CONTROL!$C$28, 0.0003, 0)</f>
        <v>15.1145</v>
      </c>
      <c r="C111" s="4">
        <f>14.7509 * CHOOSE(CONTROL!$C$9, $C$13, 100%, $E$13) + CHOOSE(CONTROL!$C$28, 0.0003, 0)</f>
        <v>14.751199999999999</v>
      </c>
      <c r="D111" s="4">
        <f>22.9051 * CHOOSE(CONTROL!$C$9, $C$13, 100%, $E$13) + CHOOSE(CONTROL!$C$28, 0, 0)</f>
        <v>22.905100000000001</v>
      </c>
      <c r="E111" s="4">
        <f>96.7937558632035 * CHOOSE(CONTROL!$C$9, $C$13, 100%, $E$13) + CHOOSE(CONTROL!$C$28, 0, 0)</f>
        <v>96.793755863203501</v>
      </c>
    </row>
    <row r="112" spans="1:5" ht="15">
      <c r="A112" s="13">
        <v>44896</v>
      </c>
      <c r="B112" s="4">
        <f>14.8896 * CHOOSE(CONTROL!$C$9, $C$13, 100%, $E$13) + CHOOSE(CONTROL!$C$28, 0.0003, 0)</f>
        <v>14.889899999999999</v>
      </c>
      <c r="C112" s="4">
        <f>14.5263 * CHOOSE(CONTROL!$C$9, $C$13, 100%, $E$13) + CHOOSE(CONTROL!$C$28, 0.0003, 0)</f>
        <v>14.5266</v>
      </c>
      <c r="D112" s="4">
        <f>22.157 * CHOOSE(CONTROL!$C$9, $C$13, 100%, $E$13) + CHOOSE(CONTROL!$C$28, 0, 0)</f>
        <v>22.157</v>
      </c>
      <c r="E112" s="4">
        <f>95.2778371660634 * CHOOSE(CONTROL!$C$9, $C$13, 100%, $E$13) + CHOOSE(CONTROL!$C$28, 0, 0)</f>
        <v>95.277837166063406</v>
      </c>
    </row>
    <row r="113" spans="1:5" ht="15">
      <c r="A113" s="13">
        <v>44927</v>
      </c>
      <c r="B113" s="4">
        <f>14.7924 * CHOOSE(CONTROL!$C$9, $C$13, 100%, $E$13) + CHOOSE(CONTROL!$C$28, 0.0003, 0)</f>
        <v>14.7927</v>
      </c>
      <c r="C113" s="4">
        <f>14.4291 * CHOOSE(CONTROL!$C$9, $C$13, 100%, $E$13) + CHOOSE(CONTROL!$C$28, 0.0003, 0)</f>
        <v>14.429399999999999</v>
      </c>
      <c r="D113" s="4">
        <f>21.9492 * CHOOSE(CONTROL!$C$9, $C$13, 100%, $E$13) + CHOOSE(CONTROL!$C$28, 0, 0)</f>
        <v>21.949200000000001</v>
      </c>
      <c r="E113" s="4">
        <f>94.0260553347621 * CHOOSE(CONTROL!$C$9, $C$13, 100%, $E$13) + CHOOSE(CONTROL!$C$28, 0, 0)</f>
        <v>94.026055334762106</v>
      </c>
    </row>
    <row r="114" spans="1:5" ht="15">
      <c r="A114" s="13">
        <v>44958</v>
      </c>
      <c r="B114" s="4">
        <f>15.1252 * CHOOSE(CONTROL!$C$9, $C$13, 100%, $E$13) + CHOOSE(CONTROL!$C$28, 0.0003, 0)</f>
        <v>15.125499999999999</v>
      </c>
      <c r="C114" s="4">
        <f>14.762 * CHOOSE(CONTROL!$C$9, $C$13, 100%, $E$13) + CHOOSE(CONTROL!$C$28, 0.0003, 0)</f>
        <v>14.7623</v>
      </c>
      <c r="D114" s="4">
        <f>22.6585 * CHOOSE(CONTROL!$C$9, $C$13, 100%, $E$13) + CHOOSE(CONTROL!$C$28, 0, 0)</f>
        <v>22.6585</v>
      </c>
      <c r="E114" s="4">
        <f>96.2586044365785 * CHOOSE(CONTROL!$C$9, $C$13, 100%, $E$13) + CHOOSE(CONTROL!$C$28, 0, 0)</f>
        <v>96.258604436578494</v>
      </c>
    </row>
    <row r="115" spans="1:5" ht="15">
      <c r="A115" s="13">
        <v>44986</v>
      </c>
      <c r="B115" s="4">
        <f>15.9994 * CHOOSE(CONTROL!$C$9, $C$13, 100%, $E$13) + CHOOSE(CONTROL!$C$28, 0.0003, 0)</f>
        <v>15.999699999999999</v>
      </c>
      <c r="C115" s="4">
        <f>15.6361 * CHOOSE(CONTROL!$C$9, $C$13, 100%, $E$13) + CHOOSE(CONTROL!$C$28, 0.0003, 0)</f>
        <v>15.6364</v>
      </c>
      <c r="D115" s="4">
        <f>23.7688 * CHOOSE(CONTROL!$C$9, $C$13, 100%, $E$13) + CHOOSE(CONTROL!$C$28, 0, 0)</f>
        <v>23.768799999999999</v>
      </c>
      <c r="E115" s="4">
        <f>102.121397022813 * CHOOSE(CONTROL!$C$9, $C$13, 100%, $E$13) + CHOOSE(CONTROL!$C$28, 0, 0)</f>
        <v>102.121397022813</v>
      </c>
    </row>
    <row r="116" spans="1:5" ht="15">
      <c r="A116" s="13">
        <v>45017</v>
      </c>
      <c r="B116" s="4">
        <f>16.6204 * CHOOSE(CONTROL!$C$9, $C$13, 100%, $E$13) + CHOOSE(CONTROL!$C$28, 0.0003, 0)</f>
        <v>16.620699999999999</v>
      </c>
      <c r="C116" s="4">
        <f>16.2571 * CHOOSE(CONTROL!$C$9, $C$13, 100%, $E$13) + CHOOSE(CONTROL!$C$28, 0.0003, 0)</f>
        <v>16.257400000000001</v>
      </c>
      <c r="D116" s="4">
        <f>24.4085 * CHOOSE(CONTROL!$C$9, $C$13, 100%, $E$13) + CHOOSE(CONTROL!$C$28, 0, 0)</f>
        <v>24.4085</v>
      </c>
      <c r="E116" s="4">
        <f>106.286989287317 * CHOOSE(CONTROL!$C$9, $C$13, 100%, $E$13) + CHOOSE(CONTROL!$C$28, 0, 0)</f>
        <v>106.286989287317</v>
      </c>
    </row>
    <row r="117" spans="1:5" ht="15">
      <c r="A117" s="13">
        <v>45047</v>
      </c>
      <c r="B117" s="4">
        <f>16.9999 * CHOOSE(CONTROL!$C$9, $C$13, 100%, $E$13) + CHOOSE(CONTROL!$C$28, 0.0192, 0)</f>
        <v>17.019100000000002</v>
      </c>
      <c r="C117" s="4">
        <f>16.6366 * CHOOSE(CONTROL!$C$9, $C$13, 100%, $E$13) + CHOOSE(CONTROL!$C$28, 0.0192, 0)</f>
        <v>16.655800000000003</v>
      </c>
      <c r="D117" s="4">
        <f>24.1557 * CHOOSE(CONTROL!$C$9, $C$13, 100%, $E$13) + CHOOSE(CONTROL!$C$28, 0, 0)</f>
        <v>24.1557</v>
      </c>
      <c r="E117" s="4">
        <f>108.832066325616 * CHOOSE(CONTROL!$C$9, $C$13, 100%, $E$13) + CHOOSE(CONTROL!$C$28, 0, 0)</f>
        <v>108.832066325616</v>
      </c>
    </row>
    <row r="118" spans="1:5" ht="15">
      <c r="A118" s="13">
        <v>45078</v>
      </c>
      <c r="B118" s="4">
        <f>17.0512 * CHOOSE(CONTROL!$C$9, $C$13, 100%, $E$13) + CHOOSE(CONTROL!$C$28, 0.0192, 0)</f>
        <v>17.070400000000003</v>
      </c>
      <c r="C118" s="4">
        <f>16.688 * CHOOSE(CONTROL!$C$9, $C$13, 100%, $E$13) + CHOOSE(CONTROL!$C$28, 0.0192, 0)</f>
        <v>16.7072</v>
      </c>
      <c r="D118" s="4">
        <f>24.3616 * CHOOSE(CONTROL!$C$9, $C$13, 100%, $E$13) + CHOOSE(CONTROL!$C$28, 0, 0)</f>
        <v>24.361599999999999</v>
      </c>
      <c r="E118" s="4">
        <f>109.176425811184 * CHOOSE(CONTROL!$C$9, $C$13, 100%, $E$13) + CHOOSE(CONTROL!$C$28, 0, 0)</f>
        <v>109.176425811184</v>
      </c>
    </row>
    <row r="119" spans="1:5" ht="15">
      <c r="A119" s="13">
        <v>45108</v>
      </c>
      <c r="B119" s="4">
        <f>17.0461 * CHOOSE(CONTROL!$C$9, $C$13, 100%, $E$13) + CHOOSE(CONTROL!$C$28, 0.0192, 0)</f>
        <v>17.065300000000001</v>
      </c>
      <c r="C119" s="4">
        <f>16.6828 * CHOOSE(CONTROL!$C$9, $C$13, 100%, $E$13) + CHOOSE(CONTROL!$C$28, 0.0192, 0)</f>
        <v>16.702000000000002</v>
      </c>
      <c r="D119" s="4">
        <f>24.733 * CHOOSE(CONTROL!$C$9, $C$13, 100%, $E$13) + CHOOSE(CONTROL!$C$28, 0, 0)</f>
        <v>24.733000000000001</v>
      </c>
      <c r="E119" s="4">
        <f>109.141700484908 * CHOOSE(CONTROL!$C$9, $C$13, 100%, $E$13) + CHOOSE(CONTROL!$C$28, 0, 0)</f>
        <v>109.141700484908</v>
      </c>
    </row>
    <row r="120" spans="1:5" ht="15">
      <c r="A120" s="13">
        <v>45139</v>
      </c>
      <c r="B120" s="4">
        <f>17.4357 * CHOOSE(CONTROL!$C$9, $C$13, 100%, $E$13) + CHOOSE(CONTROL!$C$28, 0.0192, 0)</f>
        <v>17.454900000000002</v>
      </c>
      <c r="C120" s="4">
        <f>17.0724 * CHOOSE(CONTROL!$C$9, $C$13, 100%, $E$13) + CHOOSE(CONTROL!$C$28, 0.0192, 0)</f>
        <v>17.0916</v>
      </c>
      <c r="D120" s="4">
        <f>24.4877 * CHOOSE(CONTROL!$C$9, $C$13, 100%, $E$13) + CHOOSE(CONTROL!$C$28, 0, 0)</f>
        <v>24.4877</v>
      </c>
      <c r="E120" s="4">
        <f>111.754781287164 * CHOOSE(CONTROL!$C$9, $C$13, 100%, $E$13) + CHOOSE(CONTROL!$C$28, 0, 0)</f>
        <v>111.75478128716399</v>
      </c>
    </row>
    <row r="121" spans="1:5" ht="15">
      <c r="A121" s="13">
        <v>45170</v>
      </c>
      <c r="B121" s="4">
        <f>16.7717 * CHOOSE(CONTROL!$C$9, $C$13, 100%, $E$13) + CHOOSE(CONTROL!$C$28, 0.0192, 0)</f>
        <v>16.790900000000001</v>
      </c>
      <c r="C121" s="4">
        <f>16.4084 * CHOOSE(CONTROL!$C$9, $C$13, 100%, $E$13) + CHOOSE(CONTROL!$C$28, 0.0192, 0)</f>
        <v>16.427600000000002</v>
      </c>
      <c r="D121" s="4">
        <f>24.3718 * CHOOSE(CONTROL!$C$9, $C$13, 100%, $E$13) + CHOOSE(CONTROL!$C$28, 0, 0)</f>
        <v>24.3718</v>
      </c>
      <c r="E121" s="4">
        <f>107.30125819229 * CHOOSE(CONTROL!$C$9, $C$13, 100%, $E$13) + CHOOSE(CONTROL!$C$28, 0, 0)</f>
        <v>107.30125819229001</v>
      </c>
    </row>
    <row r="122" spans="1:5" ht="15">
      <c r="A122" s="13">
        <v>45200</v>
      </c>
      <c r="B122" s="4">
        <f>16.2401 * CHOOSE(CONTROL!$C$9, $C$13, 100%, $E$13) + CHOOSE(CONTROL!$C$28, 0.0003, 0)</f>
        <v>16.240400000000001</v>
      </c>
      <c r="C122" s="4">
        <f>15.8768 * CHOOSE(CONTROL!$C$9, $C$13, 100%, $E$13) + CHOOSE(CONTROL!$C$28, 0.0003, 0)</f>
        <v>15.877099999999999</v>
      </c>
      <c r="D122" s="4">
        <f>24.0615 * CHOOSE(CONTROL!$C$9, $C$13, 100%, $E$13) + CHOOSE(CONTROL!$C$28, 0, 0)</f>
        <v>24.061499999999999</v>
      </c>
      <c r="E122" s="4">
        <f>103.736124694639 * CHOOSE(CONTROL!$C$9, $C$13, 100%, $E$13) + CHOOSE(CONTROL!$C$28, 0, 0)</f>
        <v>103.736124694639</v>
      </c>
    </row>
    <row r="123" spans="1:5" ht="15">
      <c r="A123" s="13">
        <v>45231</v>
      </c>
      <c r="B123" s="4">
        <f>15.8977 * CHOOSE(CONTROL!$C$9, $C$13, 100%, $E$13) + CHOOSE(CONTROL!$C$28, 0.0003, 0)</f>
        <v>15.898</v>
      </c>
      <c r="C123" s="4">
        <f>15.5345 * CHOOSE(CONTROL!$C$9, $C$13, 100%, $E$13) + CHOOSE(CONTROL!$C$28, 0.0003, 0)</f>
        <v>15.534799999999999</v>
      </c>
      <c r="D123" s="4">
        <f>23.9548 * CHOOSE(CONTROL!$C$9, $C$13, 100%, $E$13) + CHOOSE(CONTROL!$C$28, 0, 0)</f>
        <v>23.954799999999999</v>
      </c>
      <c r="E123" s="4">
        <f>101.43991249465 * CHOOSE(CONTROL!$C$9, $C$13, 100%, $E$13) + CHOOSE(CONTROL!$C$28, 0, 0)</f>
        <v>101.43991249465</v>
      </c>
    </row>
    <row r="124" spans="1:5" ht="15">
      <c r="A124" s="13">
        <v>45261</v>
      </c>
      <c r="B124" s="4">
        <f>15.6609 * CHOOSE(CONTROL!$C$9, $C$13, 100%, $E$13) + CHOOSE(CONTROL!$C$28, 0.0003, 0)</f>
        <v>15.661199999999999</v>
      </c>
      <c r="C124" s="4">
        <f>15.2976 * CHOOSE(CONTROL!$C$9, $C$13, 100%, $E$13) + CHOOSE(CONTROL!$C$28, 0.0003, 0)</f>
        <v>15.297899999999998</v>
      </c>
      <c r="D124" s="4">
        <f>23.1694 * CHOOSE(CONTROL!$C$9, $C$13, 100%, $E$13) + CHOOSE(CONTROL!$C$28, 0, 0)</f>
        <v>23.1694</v>
      </c>
      <c r="E124" s="4">
        <f>99.8512288175313 * CHOOSE(CONTROL!$C$9, $C$13, 100%, $E$13) + CHOOSE(CONTROL!$C$28, 0, 0)</f>
        <v>99.851228817531293</v>
      </c>
    </row>
    <row r="125" spans="1:5" ht="15">
      <c r="A125" s="13">
        <v>45292</v>
      </c>
      <c r="B125" s="4">
        <f>15.545 * CHOOSE(CONTROL!$C$9, $C$13, 100%, $E$13) + CHOOSE(CONTROL!$C$28, 0.0003, 0)</f>
        <v>15.545299999999999</v>
      </c>
      <c r="C125" s="4">
        <f>15.1817 * CHOOSE(CONTROL!$C$9, $C$13, 100%, $E$13) + CHOOSE(CONTROL!$C$28, 0.0003, 0)</f>
        <v>15.181999999999999</v>
      </c>
      <c r="D125" s="4">
        <f>23.2042 * CHOOSE(CONTROL!$C$9, $C$13, 100%, $E$13) + CHOOSE(CONTROL!$C$28, 0, 0)</f>
        <v>23.2042</v>
      </c>
      <c r="E125" s="4">
        <f>98.3322701573919 * CHOOSE(CONTROL!$C$9, $C$13, 100%, $E$13) + CHOOSE(CONTROL!$C$28, 0, 0)</f>
        <v>98.332270157391903</v>
      </c>
    </row>
    <row r="126" spans="1:5" ht="15">
      <c r="A126" s="13">
        <v>45323</v>
      </c>
      <c r="B126" s="4">
        <f>15.8957 * CHOOSE(CONTROL!$C$9, $C$13, 100%, $E$13) + CHOOSE(CONTROL!$C$28, 0.0003, 0)</f>
        <v>15.895999999999999</v>
      </c>
      <c r="C126" s="4">
        <f>15.5324 * CHOOSE(CONTROL!$C$9, $C$13, 100%, $E$13) + CHOOSE(CONTROL!$C$28, 0.0003, 0)</f>
        <v>15.5327</v>
      </c>
      <c r="D126" s="4">
        <f>23.9579 * CHOOSE(CONTROL!$C$9, $C$13, 100%, $E$13) + CHOOSE(CONTROL!$C$28, 0, 0)</f>
        <v>23.957899999999999</v>
      </c>
      <c r="E126" s="4">
        <f>100.6670657695 * CHOOSE(CONTROL!$C$9, $C$13, 100%, $E$13) + CHOOSE(CONTROL!$C$28, 0, 0)</f>
        <v>100.6670657695</v>
      </c>
    </row>
    <row r="127" spans="1:5" ht="15">
      <c r="A127" s="13">
        <v>45352</v>
      </c>
      <c r="B127" s="4">
        <f>16.8168 * CHOOSE(CONTROL!$C$9, $C$13, 100%, $E$13) + CHOOSE(CONTROL!$C$28, 0.0003, 0)</f>
        <v>16.8171</v>
      </c>
      <c r="C127" s="4">
        <f>16.4535 * CHOOSE(CONTROL!$C$9, $C$13, 100%, $E$13) + CHOOSE(CONTROL!$C$28, 0.0003, 0)</f>
        <v>16.453799999999998</v>
      </c>
      <c r="D127" s="4">
        <f>25.1376 * CHOOSE(CONTROL!$C$9, $C$13, 100%, $E$13) + CHOOSE(CONTROL!$C$28, 0, 0)</f>
        <v>25.137599999999999</v>
      </c>
      <c r="E127" s="4">
        <f>106.798363125471 * CHOOSE(CONTROL!$C$9, $C$13, 100%, $E$13) + CHOOSE(CONTROL!$C$28, 0, 0)</f>
        <v>106.798363125471</v>
      </c>
    </row>
    <row r="128" spans="1:5" ht="15">
      <c r="A128" s="13">
        <v>45383</v>
      </c>
      <c r="B128" s="4">
        <f>17.4712 * CHOOSE(CONTROL!$C$9, $C$13, 100%, $E$13) + CHOOSE(CONTROL!$C$28, 0.0003, 0)</f>
        <v>17.471499999999999</v>
      </c>
      <c r="C128" s="4">
        <f>17.1079 * CHOOSE(CONTROL!$C$9, $C$13, 100%, $E$13) + CHOOSE(CONTROL!$C$28, 0.0003, 0)</f>
        <v>17.1082</v>
      </c>
      <c r="D128" s="4">
        <f>25.8171 * CHOOSE(CONTROL!$C$9, $C$13, 100%, $E$13) + CHOOSE(CONTROL!$C$28, 0, 0)</f>
        <v>25.8171</v>
      </c>
      <c r="E128" s="4">
        <f>111.154731607169 * CHOOSE(CONTROL!$C$9, $C$13, 100%, $E$13) + CHOOSE(CONTROL!$C$28, 0, 0)</f>
        <v>111.154731607169</v>
      </c>
    </row>
    <row r="129" spans="1:5" ht="15">
      <c r="A129" s="13">
        <v>45413</v>
      </c>
      <c r="B129" s="4">
        <f>17.871 * CHOOSE(CONTROL!$C$9, $C$13, 100%, $E$13) + CHOOSE(CONTROL!$C$28, 0.0192, 0)</f>
        <v>17.8902</v>
      </c>
      <c r="C129" s="4">
        <f>17.5077 * CHOOSE(CONTROL!$C$9, $C$13, 100%, $E$13) + CHOOSE(CONTROL!$C$28, 0.0192, 0)</f>
        <v>17.526900000000001</v>
      </c>
      <c r="D129" s="4">
        <f>25.5486 * CHOOSE(CONTROL!$C$9, $C$13, 100%, $E$13) + CHOOSE(CONTROL!$C$28, 0, 0)</f>
        <v>25.5486</v>
      </c>
      <c r="E129" s="4">
        <f>113.816368341905 * CHOOSE(CONTROL!$C$9, $C$13, 100%, $E$13) + CHOOSE(CONTROL!$C$28, 0, 0)</f>
        <v>113.816368341905</v>
      </c>
    </row>
    <row r="130" spans="1:5" ht="15">
      <c r="A130" s="13">
        <v>45444</v>
      </c>
      <c r="B130" s="4">
        <f>17.9251 * CHOOSE(CONTROL!$C$9, $C$13, 100%, $E$13) + CHOOSE(CONTROL!$C$28, 0.0192, 0)</f>
        <v>17.944300000000002</v>
      </c>
      <c r="C130" s="4">
        <f>17.5618 * CHOOSE(CONTROL!$C$9, $C$13, 100%, $E$13) + CHOOSE(CONTROL!$C$28, 0.0192, 0)</f>
        <v>17.581000000000003</v>
      </c>
      <c r="D130" s="4">
        <f>25.7673 * CHOOSE(CONTROL!$C$9, $C$13, 100%, $E$13) + CHOOSE(CONTROL!$C$28, 0, 0)</f>
        <v>25.767299999999999</v>
      </c>
      <c r="E130" s="4">
        <f>114.176498838134 * CHOOSE(CONTROL!$C$9, $C$13, 100%, $E$13) + CHOOSE(CONTROL!$C$28, 0, 0)</f>
        <v>114.17649883813399</v>
      </c>
    </row>
    <row r="131" spans="1:5" ht="15">
      <c r="A131" s="13">
        <v>45474</v>
      </c>
      <c r="B131" s="4">
        <f>17.9197 * CHOOSE(CONTROL!$C$9, $C$13, 100%, $E$13) + CHOOSE(CONTROL!$C$28, 0.0192, 0)</f>
        <v>17.9389</v>
      </c>
      <c r="C131" s="4">
        <f>17.5564 * CHOOSE(CONTROL!$C$9, $C$13, 100%, $E$13) + CHOOSE(CONTROL!$C$28, 0.0192, 0)</f>
        <v>17.575600000000001</v>
      </c>
      <c r="D131" s="4">
        <f>26.1619 * CHOOSE(CONTROL!$C$9, $C$13, 100%, $E$13) + CHOOSE(CONTROL!$C$28, 0, 0)</f>
        <v>26.161899999999999</v>
      </c>
      <c r="E131" s="4">
        <f>114.140183157842 * CHOOSE(CONTROL!$C$9, $C$13, 100%, $E$13) + CHOOSE(CONTROL!$C$28, 0, 0)</f>
        <v>114.140183157842</v>
      </c>
    </row>
    <row r="132" spans="1:5" ht="15">
      <c r="A132" s="13">
        <v>45505</v>
      </c>
      <c r="B132" s="4">
        <f>18.3302 * CHOOSE(CONTROL!$C$9, $C$13, 100%, $E$13) + CHOOSE(CONTROL!$C$28, 0.0192, 0)</f>
        <v>18.349400000000003</v>
      </c>
      <c r="C132" s="4">
        <f>17.9669 * CHOOSE(CONTROL!$C$9, $C$13, 100%, $E$13) + CHOOSE(CONTROL!$C$28, 0.0192, 0)</f>
        <v>17.9861</v>
      </c>
      <c r="D132" s="4">
        <f>25.9013 * CHOOSE(CONTROL!$C$9, $C$13, 100%, $E$13) + CHOOSE(CONTROL!$C$28, 0, 0)</f>
        <v>25.901299999999999</v>
      </c>
      <c r="E132" s="4">
        <f>116.872938099817 * CHOOSE(CONTROL!$C$9, $C$13, 100%, $E$13) + CHOOSE(CONTROL!$C$28, 0, 0)</f>
        <v>116.87293809981701</v>
      </c>
    </row>
    <row r="133" spans="1:5" ht="15">
      <c r="A133" s="13">
        <v>45536</v>
      </c>
      <c r="B133" s="4">
        <f>17.6305 * CHOOSE(CONTROL!$C$9, $C$13, 100%, $E$13) + CHOOSE(CONTROL!$C$28, 0.0192, 0)</f>
        <v>17.649700000000003</v>
      </c>
      <c r="C133" s="4">
        <f>17.2672 * CHOOSE(CONTROL!$C$9, $C$13, 100%, $E$13) + CHOOSE(CONTROL!$C$28, 0.0192, 0)</f>
        <v>17.2864</v>
      </c>
      <c r="D133" s="4">
        <f>25.7782 * CHOOSE(CONTROL!$C$9, $C$13, 100%, $E$13) + CHOOSE(CONTROL!$C$28, 0, 0)</f>
        <v>25.778199999999998</v>
      </c>
      <c r="E133" s="4">
        <f>112.215452102365 * CHOOSE(CONTROL!$C$9, $C$13, 100%, $E$13) + CHOOSE(CONTROL!$C$28, 0, 0)</f>
        <v>112.21545210236501</v>
      </c>
    </row>
    <row r="134" spans="1:5" ht="15">
      <c r="A134" s="13">
        <v>45566</v>
      </c>
      <c r="B134" s="4">
        <f>17.0704 * CHOOSE(CONTROL!$C$9, $C$13, 100%, $E$13) + CHOOSE(CONTROL!$C$28, 0.0003, 0)</f>
        <v>17.070699999999999</v>
      </c>
      <c r="C134" s="4">
        <f>16.7072 * CHOOSE(CONTROL!$C$9, $C$13, 100%, $E$13) + CHOOSE(CONTROL!$C$28, 0.0003, 0)</f>
        <v>16.7075</v>
      </c>
      <c r="D134" s="4">
        <f>25.4485 * CHOOSE(CONTROL!$C$9, $C$13, 100%, $E$13) + CHOOSE(CONTROL!$C$28, 0, 0)</f>
        <v>25.448499999999999</v>
      </c>
      <c r="E134" s="4">
        <f>108.48704225905 * CHOOSE(CONTROL!$C$9, $C$13, 100%, $E$13) + CHOOSE(CONTROL!$C$28, 0, 0)</f>
        <v>108.48704225905</v>
      </c>
    </row>
    <row r="135" spans="1:5" ht="15">
      <c r="A135" s="13">
        <v>45597</v>
      </c>
      <c r="B135" s="4">
        <f>16.7097 * CHOOSE(CONTROL!$C$9, $C$13, 100%, $E$13) + CHOOSE(CONTROL!$C$28, 0.0003, 0)</f>
        <v>16.71</v>
      </c>
      <c r="C135" s="4">
        <f>16.3464 * CHOOSE(CONTROL!$C$9, $C$13, 100%, $E$13) + CHOOSE(CONTROL!$C$28, 0.0003, 0)</f>
        <v>16.346699999999998</v>
      </c>
      <c r="D135" s="4">
        <f>25.3352 * CHOOSE(CONTROL!$C$9, $C$13, 100%, $E$13) + CHOOSE(CONTROL!$C$28, 0, 0)</f>
        <v>25.3352</v>
      </c>
      <c r="E135" s="4">
        <f>106.08566789974 * CHOOSE(CONTROL!$C$9, $C$13, 100%, $E$13) + CHOOSE(CONTROL!$C$28, 0, 0)</f>
        <v>106.08566789974</v>
      </c>
    </row>
    <row r="136" spans="1:5" ht="15">
      <c r="A136" s="13">
        <v>45627</v>
      </c>
      <c r="B136" s="4">
        <f>16.4601 * CHOOSE(CONTROL!$C$9, $C$13, 100%, $E$13) + CHOOSE(CONTROL!$C$28, 0.0003, 0)</f>
        <v>16.4604</v>
      </c>
      <c r="C136" s="4">
        <f>16.0968 * CHOOSE(CONTROL!$C$9, $C$13, 100%, $E$13) + CHOOSE(CONTROL!$C$28, 0.0003, 0)</f>
        <v>16.097100000000001</v>
      </c>
      <c r="D136" s="4">
        <f>24.5007 * CHOOSE(CONTROL!$C$9, $C$13, 100%, $E$13) + CHOOSE(CONTROL!$C$28, 0, 0)</f>
        <v>24.500699999999998</v>
      </c>
      <c r="E136" s="4">
        <f>104.42422552638 * CHOOSE(CONTROL!$C$9, $C$13, 100%, $E$13) + CHOOSE(CONTROL!$C$28, 0, 0)</f>
        <v>104.42422552638</v>
      </c>
    </row>
    <row r="137" spans="1:5" ht="15">
      <c r="A137" s="13">
        <v>45658</v>
      </c>
      <c r="B137" s="4">
        <f>16.7739 * CHOOSE(CONTROL!$C$9, $C$13, 100%, $E$13) + CHOOSE(CONTROL!$C$28, 0.0003, 0)</f>
        <v>16.7742</v>
      </c>
      <c r="C137" s="4">
        <f>16.4106 * CHOOSE(CONTROL!$C$9, $C$13, 100%, $E$13) + CHOOSE(CONTROL!$C$28, 0.0003, 0)</f>
        <v>16.410899999999998</v>
      </c>
      <c r="D137" s="4">
        <f>24.4274 * CHOOSE(CONTROL!$C$9, $C$13, 100%, $E$13) + CHOOSE(CONTROL!$C$28, 0, 0)</f>
        <v>24.427399999999999</v>
      </c>
      <c r="E137" s="4">
        <f>103.540809368942 * CHOOSE(CONTROL!$C$9, $C$13, 100%, $E$13) + CHOOSE(CONTROL!$C$28, 0, 0)</f>
        <v>103.54080936894201</v>
      </c>
    </row>
    <row r="138" spans="1:5" ht="15">
      <c r="A138" s="13">
        <v>45689</v>
      </c>
      <c r="B138" s="4">
        <f>17.1538 * CHOOSE(CONTROL!$C$9, $C$13, 100%, $E$13) + CHOOSE(CONTROL!$C$28, 0.0003, 0)</f>
        <v>17.1541</v>
      </c>
      <c r="C138" s="4">
        <f>16.7905 * CHOOSE(CONTROL!$C$9, $C$13, 100%, $E$13) + CHOOSE(CONTROL!$C$28, 0.0003, 0)</f>
        <v>16.790800000000001</v>
      </c>
      <c r="D138" s="4">
        <f>25.2242 * CHOOSE(CONTROL!$C$9, $C$13, 100%, $E$13) + CHOOSE(CONTROL!$C$28, 0, 0)</f>
        <v>25.2242</v>
      </c>
      <c r="E138" s="4">
        <f>105.999276228314 * CHOOSE(CONTROL!$C$9, $C$13, 100%, $E$13) + CHOOSE(CONTROL!$C$28, 0, 0)</f>
        <v>105.999276228314</v>
      </c>
    </row>
    <row r="139" spans="1:5" ht="15">
      <c r="A139" s="13">
        <v>45717</v>
      </c>
      <c r="B139" s="4">
        <f>18.1514 * CHOOSE(CONTROL!$C$9, $C$13, 100%, $E$13) + CHOOSE(CONTROL!$C$28, 0.0003, 0)</f>
        <v>18.151699999999998</v>
      </c>
      <c r="C139" s="4">
        <f>17.7882 * CHOOSE(CONTROL!$C$9, $C$13, 100%, $E$13) + CHOOSE(CONTROL!$C$28, 0.0003, 0)</f>
        <v>17.788499999999999</v>
      </c>
      <c r="D139" s="4">
        <f>26.4715 * CHOOSE(CONTROL!$C$9, $C$13, 100%, $E$13) + CHOOSE(CONTROL!$C$28, 0, 0)</f>
        <v>26.471499999999999</v>
      </c>
      <c r="E139" s="4">
        <f>112.455340851888 * CHOOSE(CONTROL!$C$9, $C$13, 100%, $E$13) + CHOOSE(CONTROL!$C$28, 0, 0)</f>
        <v>112.455340851888</v>
      </c>
    </row>
    <row r="140" spans="1:5" ht="15">
      <c r="A140" s="13">
        <v>45748</v>
      </c>
      <c r="B140" s="4">
        <f>18.8603 * CHOOSE(CONTROL!$C$9, $C$13, 100%, $E$13) + CHOOSE(CONTROL!$C$28, 0.0003, 0)</f>
        <v>18.860599999999998</v>
      </c>
      <c r="C140" s="4">
        <f>18.497 * CHOOSE(CONTROL!$C$9, $C$13, 100%, $E$13) + CHOOSE(CONTROL!$C$28, 0.0003, 0)</f>
        <v>18.497299999999999</v>
      </c>
      <c r="D140" s="4">
        <f>27.19 * CHOOSE(CONTROL!$C$9, $C$13, 100%, $E$13) + CHOOSE(CONTROL!$C$28, 0, 0)</f>
        <v>27.19</v>
      </c>
      <c r="E140" s="4">
        <f>117.042460805311 * CHOOSE(CONTROL!$C$9, $C$13, 100%, $E$13) + CHOOSE(CONTROL!$C$28, 0, 0)</f>
        <v>117.04246080531099</v>
      </c>
    </row>
    <row r="141" spans="1:5" ht="15">
      <c r="A141" s="13">
        <v>45778</v>
      </c>
      <c r="B141" s="4">
        <f>19.2934 * CHOOSE(CONTROL!$C$9, $C$13, 100%, $E$13) + CHOOSE(CONTROL!$C$28, 0.0192, 0)</f>
        <v>19.3126</v>
      </c>
      <c r="C141" s="4">
        <f>18.9301 * CHOOSE(CONTROL!$C$9, $C$13, 100%, $E$13) + CHOOSE(CONTROL!$C$28, 0.0192, 0)</f>
        <v>18.949300000000001</v>
      </c>
      <c r="D141" s="4">
        <f>26.9061 * CHOOSE(CONTROL!$C$9, $C$13, 100%, $E$13) + CHOOSE(CONTROL!$C$28, 0, 0)</f>
        <v>26.906099999999999</v>
      </c>
      <c r="E141" s="4">
        <f>119.845081158931 * CHOOSE(CONTROL!$C$9, $C$13, 100%, $E$13) + CHOOSE(CONTROL!$C$28, 0, 0)</f>
        <v>119.845081158931</v>
      </c>
    </row>
    <row r="142" spans="1:5" ht="15">
      <c r="A142" s="13">
        <v>45809</v>
      </c>
      <c r="B142" s="4">
        <f>19.352 * CHOOSE(CONTROL!$C$9, $C$13, 100%, $E$13) + CHOOSE(CONTROL!$C$28, 0.0192, 0)</f>
        <v>19.371200000000002</v>
      </c>
      <c r="C142" s="4">
        <f>18.9887 * CHOOSE(CONTROL!$C$9, $C$13, 100%, $E$13) + CHOOSE(CONTROL!$C$28, 0.0192, 0)</f>
        <v>19.007900000000003</v>
      </c>
      <c r="D142" s="4">
        <f>27.1373 * CHOOSE(CONTROL!$C$9, $C$13, 100%, $E$13) + CHOOSE(CONTROL!$C$28, 0, 0)</f>
        <v>27.1373</v>
      </c>
      <c r="E142" s="4">
        <f>120.224287323889 * CHOOSE(CONTROL!$C$9, $C$13, 100%, $E$13) + CHOOSE(CONTROL!$C$28, 0, 0)</f>
        <v>120.224287323889</v>
      </c>
    </row>
    <row r="143" spans="1:5" ht="15">
      <c r="A143" s="13">
        <v>45839</v>
      </c>
      <c r="B143" s="4">
        <f>19.3461 * CHOOSE(CONTROL!$C$9, $C$13, 100%, $E$13) + CHOOSE(CONTROL!$C$28, 0.0192, 0)</f>
        <v>19.365300000000001</v>
      </c>
      <c r="C143" s="4">
        <f>18.9828 * CHOOSE(CONTROL!$C$9, $C$13, 100%, $E$13) + CHOOSE(CONTROL!$C$28, 0.0192, 0)</f>
        <v>19.002000000000002</v>
      </c>
      <c r="D143" s="4">
        <f>27.5545 * CHOOSE(CONTROL!$C$9, $C$13, 100%, $E$13) + CHOOSE(CONTROL!$C$28, 0, 0)</f>
        <v>27.554500000000001</v>
      </c>
      <c r="E143" s="4">
        <f>120.18604804675 * CHOOSE(CONTROL!$C$9, $C$13, 100%, $E$13) + CHOOSE(CONTROL!$C$28, 0, 0)</f>
        <v>120.18604804675</v>
      </c>
    </row>
    <row r="144" spans="1:5" ht="15">
      <c r="A144" s="13">
        <v>45870</v>
      </c>
      <c r="B144" s="4">
        <f>19.7907 * CHOOSE(CONTROL!$C$9, $C$13, 100%, $E$13) + CHOOSE(CONTROL!$C$28, 0.0192, 0)</f>
        <v>19.809900000000003</v>
      </c>
      <c r="C144" s="4">
        <f>19.4275 * CHOOSE(CONTROL!$C$9, $C$13, 100%, $E$13) + CHOOSE(CONTROL!$C$28, 0.0192, 0)</f>
        <v>19.4467</v>
      </c>
      <c r="D144" s="4">
        <f>27.279 * CHOOSE(CONTROL!$C$9, $C$13, 100%, $E$13) + CHOOSE(CONTROL!$C$28, 0, 0)</f>
        <v>27.279</v>
      </c>
      <c r="E144" s="4">
        <f>123.063553651433 * CHOOSE(CONTROL!$C$9, $C$13, 100%, $E$13) + CHOOSE(CONTROL!$C$28, 0, 0)</f>
        <v>123.063553651433</v>
      </c>
    </row>
    <row r="145" spans="1:5" ht="15">
      <c r="A145" s="13">
        <v>45901</v>
      </c>
      <c r="B145" s="4">
        <f>19.0329 * CHOOSE(CONTROL!$C$9, $C$13, 100%, $E$13) + CHOOSE(CONTROL!$C$28, 0.0192, 0)</f>
        <v>19.052100000000003</v>
      </c>
      <c r="C145" s="4">
        <f>18.6696 * CHOOSE(CONTROL!$C$9, $C$13, 100%, $E$13) + CHOOSE(CONTROL!$C$28, 0.0192, 0)</f>
        <v>18.688800000000001</v>
      </c>
      <c r="D145" s="4">
        <f>27.1488 * CHOOSE(CONTROL!$C$9, $C$13, 100%, $E$13) + CHOOSE(CONTROL!$C$28, 0, 0)</f>
        <v>27.148800000000001</v>
      </c>
      <c r="E145" s="4">
        <f>118.159366358402 * CHOOSE(CONTROL!$C$9, $C$13, 100%, $E$13) + CHOOSE(CONTROL!$C$28, 0, 0)</f>
        <v>118.159366358402</v>
      </c>
    </row>
    <row r="146" spans="1:5" ht="15">
      <c r="A146" s="13">
        <v>45931</v>
      </c>
      <c r="B146" s="4">
        <f>18.4262 * CHOOSE(CONTROL!$C$9, $C$13, 100%, $E$13) + CHOOSE(CONTROL!$C$28, 0.0003, 0)</f>
        <v>18.426500000000001</v>
      </c>
      <c r="C146" s="4">
        <f>18.0629 * CHOOSE(CONTROL!$C$9, $C$13, 100%, $E$13) + CHOOSE(CONTROL!$C$28, 0.0003, 0)</f>
        <v>18.063199999999998</v>
      </c>
      <c r="D146" s="4">
        <f>26.8002 * CHOOSE(CONTROL!$C$9, $C$13, 100%, $E$13) + CHOOSE(CONTROL!$C$28, 0, 0)</f>
        <v>26.8002</v>
      </c>
      <c r="E146" s="4">
        <f>114.233467238835 * CHOOSE(CONTROL!$C$9, $C$13, 100%, $E$13) + CHOOSE(CONTROL!$C$28, 0, 0)</f>
        <v>114.233467238835</v>
      </c>
    </row>
    <row r="147" spans="1:5" ht="15">
      <c r="A147" s="13">
        <v>45962</v>
      </c>
      <c r="B147" s="4">
        <f>18.0355 * CHOOSE(CONTROL!$C$9, $C$13, 100%, $E$13) + CHOOSE(CONTROL!$C$28, 0.0003, 0)</f>
        <v>18.035799999999998</v>
      </c>
      <c r="C147" s="4">
        <f>17.6722 * CHOOSE(CONTROL!$C$9, $C$13, 100%, $E$13) + CHOOSE(CONTROL!$C$28, 0.0003, 0)</f>
        <v>17.672499999999999</v>
      </c>
      <c r="D147" s="4">
        <f>26.6804 * CHOOSE(CONTROL!$C$9, $C$13, 100%, $E$13) + CHOOSE(CONTROL!$C$28, 0, 0)</f>
        <v>26.680399999999999</v>
      </c>
      <c r="E147" s="4">
        <f>111.704895038042 * CHOOSE(CONTROL!$C$9, $C$13, 100%, $E$13) + CHOOSE(CONTROL!$C$28, 0, 0)</f>
        <v>111.704895038042</v>
      </c>
    </row>
    <row r="148" spans="1:5" ht="15">
      <c r="A148" s="13">
        <v>45992</v>
      </c>
      <c r="B148" s="4">
        <f>17.7651 * CHOOSE(CONTROL!$C$9, $C$13, 100%, $E$13) + CHOOSE(CONTROL!$C$28, 0.0003, 0)</f>
        <v>17.7654</v>
      </c>
      <c r="C148" s="4">
        <f>17.4018 * CHOOSE(CONTROL!$C$9, $C$13, 100%, $E$13) + CHOOSE(CONTROL!$C$28, 0.0003, 0)</f>
        <v>17.402100000000001</v>
      </c>
      <c r="D148" s="4">
        <f>25.7981 * CHOOSE(CONTROL!$C$9, $C$13, 100%, $E$13) + CHOOSE(CONTROL!$C$28, 0, 0)</f>
        <v>25.798100000000002</v>
      </c>
      <c r="E148" s="4">
        <f>109.955448108949 * CHOOSE(CONTROL!$C$9, $C$13, 100%, $E$13) + CHOOSE(CONTROL!$C$28, 0, 0)</f>
        <v>109.955448108949</v>
      </c>
    </row>
    <row r="149" spans="1:5" ht="15">
      <c r="A149" s="13">
        <v>46023</v>
      </c>
      <c r="B149" s="4">
        <f>17.2971 * CHOOSE(CONTROL!$C$9, $C$13, 100%, $E$13) + CHOOSE(CONTROL!$C$28, 0.0003, 0)</f>
        <v>17.2974</v>
      </c>
      <c r="C149" s="4">
        <f>16.9339 * CHOOSE(CONTROL!$C$9, $C$13, 100%, $E$13) + CHOOSE(CONTROL!$C$28, 0.0003, 0)</f>
        <v>16.934200000000001</v>
      </c>
      <c r="D149" s="4">
        <f>25.1138 * CHOOSE(CONTROL!$C$9, $C$13, 100%, $E$13) + CHOOSE(CONTROL!$C$28, 0, 0)</f>
        <v>25.113800000000001</v>
      </c>
      <c r="E149" s="4">
        <f>107.022544453101 * CHOOSE(CONTROL!$C$9, $C$13, 100%, $E$13) + CHOOSE(CONTROL!$C$28, 0, 0)</f>
        <v>107.02254445310101</v>
      </c>
    </row>
    <row r="150" spans="1:5" ht="15">
      <c r="A150" s="13">
        <v>46054</v>
      </c>
      <c r="B150" s="4">
        <f>17.6895 * CHOOSE(CONTROL!$C$9, $C$13, 100%, $E$13) + CHOOSE(CONTROL!$C$28, 0.0003, 0)</f>
        <v>17.689799999999998</v>
      </c>
      <c r="C150" s="4">
        <f>17.3262 * CHOOSE(CONTROL!$C$9, $C$13, 100%, $E$13) + CHOOSE(CONTROL!$C$28, 0.0003, 0)</f>
        <v>17.326499999999999</v>
      </c>
      <c r="D150" s="4">
        <f>25.9348 * CHOOSE(CONTROL!$C$9, $C$13, 100%, $E$13) + CHOOSE(CONTROL!$C$28, 0, 0)</f>
        <v>25.934799999999999</v>
      </c>
      <c r="E150" s="4">
        <f>109.563681424574 * CHOOSE(CONTROL!$C$9, $C$13, 100%, $E$13) + CHOOSE(CONTROL!$C$28, 0, 0)</f>
        <v>109.563681424574</v>
      </c>
    </row>
    <row r="151" spans="1:5" ht="15">
      <c r="A151" s="13">
        <v>46082</v>
      </c>
      <c r="B151" s="4">
        <f>18.7198 * CHOOSE(CONTROL!$C$9, $C$13, 100%, $E$13) + CHOOSE(CONTROL!$C$28, 0.0003, 0)</f>
        <v>18.720099999999999</v>
      </c>
      <c r="C151" s="4">
        <f>18.3565 * CHOOSE(CONTROL!$C$9, $C$13, 100%, $E$13) + CHOOSE(CONTROL!$C$28, 0.0003, 0)</f>
        <v>18.3568</v>
      </c>
      <c r="D151" s="4">
        <f>27.22 * CHOOSE(CONTROL!$C$9, $C$13, 100%, $E$13) + CHOOSE(CONTROL!$C$28, 0, 0)</f>
        <v>27.22</v>
      </c>
      <c r="E151" s="4">
        <f>116.23684215588 * CHOOSE(CONTROL!$C$9, $C$13, 100%, $E$13) + CHOOSE(CONTROL!$C$28, 0, 0)</f>
        <v>116.23684215588</v>
      </c>
    </row>
    <row r="152" spans="1:5" ht="15">
      <c r="A152" s="13">
        <v>46113</v>
      </c>
      <c r="B152" s="4">
        <f>19.4518 * CHOOSE(CONTROL!$C$9, $C$13, 100%, $E$13) + CHOOSE(CONTROL!$C$28, 0.0003, 0)</f>
        <v>19.452099999999998</v>
      </c>
      <c r="C152" s="4">
        <f>19.0885 * CHOOSE(CONTROL!$C$9, $C$13, 100%, $E$13) + CHOOSE(CONTROL!$C$28, 0.0003, 0)</f>
        <v>19.088799999999999</v>
      </c>
      <c r="D152" s="4">
        <f>27.9603 * CHOOSE(CONTROL!$C$9, $C$13, 100%, $E$13) + CHOOSE(CONTROL!$C$28, 0, 0)</f>
        <v>27.9603</v>
      </c>
      <c r="E152" s="4">
        <f>120.978211787034 * CHOOSE(CONTROL!$C$9, $C$13, 100%, $E$13) + CHOOSE(CONTROL!$C$28, 0, 0)</f>
        <v>120.978211787034</v>
      </c>
    </row>
    <row r="153" spans="1:5" ht="15">
      <c r="A153" s="13">
        <v>46143</v>
      </c>
      <c r="B153" s="4">
        <f>19.8991 * CHOOSE(CONTROL!$C$9, $C$13, 100%, $E$13) + CHOOSE(CONTROL!$C$28, 0.0192, 0)</f>
        <v>19.918300000000002</v>
      </c>
      <c r="C153" s="4">
        <f>19.5358 * CHOOSE(CONTROL!$C$9, $C$13, 100%, $E$13) + CHOOSE(CONTROL!$C$28, 0.0192, 0)</f>
        <v>19.555</v>
      </c>
      <c r="D153" s="4">
        <f>27.6678 * CHOOSE(CONTROL!$C$9, $C$13, 100%, $E$13) + CHOOSE(CONTROL!$C$28, 0, 0)</f>
        <v>27.6678</v>
      </c>
      <c r="E153" s="4">
        <f>123.875074996897 * CHOOSE(CONTROL!$C$9, $C$13, 100%, $E$13) + CHOOSE(CONTROL!$C$28, 0, 0)</f>
        <v>123.875074996897</v>
      </c>
    </row>
    <row r="154" spans="1:5" ht="15">
      <c r="A154" s="13">
        <v>46174</v>
      </c>
      <c r="B154" s="4">
        <f>19.9596 * CHOOSE(CONTROL!$C$9, $C$13, 100%, $E$13) + CHOOSE(CONTROL!$C$28, 0.0192, 0)</f>
        <v>19.9788</v>
      </c>
      <c r="C154" s="4">
        <f>19.5963 * CHOOSE(CONTROL!$C$9, $C$13, 100%, $E$13) + CHOOSE(CONTROL!$C$28, 0.0192, 0)</f>
        <v>19.615500000000001</v>
      </c>
      <c r="D154" s="4">
        <f>27.906 * CHOOSE(CONTROL!$C$9, $C$13, 100%, $E$13) + CHOOSE(CONTROL!$C$28, 0, 0)</f>
        <v>27.905999999999999</v>
      </c>
      <c r="E154" s="4">
        <f>124.267032611421 * CHOOSE(CONTROL!$C$9, $C$13, 100%, $E$13) + CHOOSE(CONTROL!$C$28, 0, 0)</f>
        <v>124.267032611421</v>
      </c>
    </row>
    <row r="155" spans="1:5" ht="15">
      <c r="A155" s="13">
        <v>46204</v>
      </c>
      <c r="B155" s="4">
        <f>19.9535 * CHOOSE(CONTROL!$C$9, $C$13, 100%, $E$13) + CHOOSE(CONTROL!$C$28, 0.0192, 0)</f>
        <v>19.9727</v>
      </c>
      <c r="C155" s="4">
        <f>19.5902 * CHOOSE(CONTROL!$C$9, $C$13, 100%, $E$13) + CHOOSE(CONTROL!$C$28, 0.0192, 0)</f>
        <v>19.609400000000001</v>
      </c>
      <c r="D155" s="4">
        <f>28.3359 * CHOOSE(CONTROL!$C$9, $C$13, 100%, $E$13) + CHOOSE(CONTROL!$C$28, 0, 0)</f>
        <v>28.335899999999999</v>
      </c>
      <c r="E155" s="4">
        <f>124.227507473822 * CHOOSE(CONTROL!$C$9, $C$13, 100%, $E$13) + CHOOSE(CONTROL!$C$28, 0, 0)</f>
        <v>124.227507473822</v>
      </c>
    </row>
    <row r="156" spans="1:5" ht="15">
      <c r="A156" s="13">
        <v>46235</v>
      </c>
      <c r="B156" s="4">
        <f>20.4127 * CHOOSE(CONTROL!$C$9, $C$13, 100%, $E$13) + CHOOSE(CONTROL!$C$28, 0.0192, 0)</f>
        <v>20.431900000000002</v>
      </c>
      <c r="C156" s="4">
        <f>20.0494 * CHOOSE(CONTROL!$C$9, $C$13, 100%, $E$13) + CHOOSE(CONTROL!$C$28, 0.0192, 0)</f>
        <v>20.0686</v>
      </c>
      <c r="D156" s="4">
        <f>28.052 * CHOOSE(CONTROL!$C$9, $C$13, 100%, $E$13) + CHOOSE(CONTROL!$C$28, 0, 0)</f>
        <v>28.052</v>
      </c>
      <c r="E156" s="4">
        <f>127.201774078151 * CHOOSE(CONTROL!$C$9, $C$13, 100%, $E$13) + CHOOSE(CONTROL!$C$28, 0, 0)</f>
        <v>127.201774078151</v>
      </c>
    </row>
    <row r="157" spans="1:5" ht="15">
      <c r="A157" s="13">
        <v>46266</v>
      </c>
      <c r="B157" s="4">
        <f>19.6301 * CHOOSE(CONTROL!$C$9, $C$13, 100%, $E$13) + CHOOSE(CONTROL!$C$28, 0.0192, 0)</f>
        <v>19.6493</v>
      </c>
      <c r="C157" s="4">
        <f>19.2668 * CHOOSE(CONTROL!$C$9, $C$13, 100%, $E$13) + CHOOSE(CONTROL!$C$28, 0.0192, 0)</f>
        <v>19.286000000000001</v>
      </c>
      <c r="D157" s="4">
        <f>27.9179 * CHOOSE(CONTROL!$C$9, $C$13, 100%, $E$13) + CHOOSE(CONTROL!$C$28, 0, 0)</f>
        <v>27.917899999999999</v>
      </c>
      <c r="E157" s="4">
        <f>122.132675181073 * CHOOSE(CONTROL!$C$9, $C$13, 100%, $E$13) + CHOOSE(CONTROL!$C$28, 0, 0)</f>
        <v>122.132675181073</v>
      </c>
    </row>
    <row r="158" spans="1:5" ht="15">
      <c r="A158" s="13">
        <v>46296</v>
      </c>
      <c r="B158" s="4">
        <f>19.0035 * CHOOSE(CONTROL!$C$9, $C$13, 100%, $E$13) + CHOOSE(CONTROL!$C$28, 0.0003, 0)</f>
        <v>19.003799999999998</v>
      </c>
      <c r="C158" s="4">
        <f>18.6403 * CHOOSE(CONTROL!$C$9, $C$13, 100%, $E$13) + CHOOSE(CONTROL!$C$28, 0.0003, 0)</f>
        <v>18.640599999999999</v>
      </c>
      <c r="D158" s="4">
        <f>27.5587 * CHOOSE(CONTROL!$C$9, $C$13, 100%, $E$13) + CHOOSE(CONTROL!$C$28, 0, 0)</f>
        <v>27.558700000000002</v>
      </c>
      <c r="E158" s="4">
        <f>118.074761054236 * CHOOSE(CONTROL!$C$9, $C$13, 100%, $E$13) + CHOOSE(CONTROL!$C$28, 0, 0)</f>
        <v>118.07476105423601</v>
      </c>
    </row>
    <row r="159" spans="1:5" ht="15">
      <c r="A159" s="13">
        <v>46327</v>
      </c>
      <c r="B159" s="4">
        <f>18.6 * CHOOSE(CONTROL!$C$9, $C$13, 100%, $E$13) + CHOOSE(CONTROL!$C$28, 0.0003, 0)</f>
        <v>18.600300000000001</v>
      </c>
      <c r="C159" s="4">
        <f>18.2367 * CHOOSE(CONTROL!$C$9, $C$13, 100%, $E$13) + CHOOSE(CONTROL!$C$28, 0.0003, 0)</f>
        <v>18.236999999999998</v>
      </c>
      <c r="D159" s="4">
        <f>27.4352 * CHOOSE(CONTROL!$C$9, $C$13, 100%, $E$13) + CHOOSE(CONTROL!$C$28, 0, 0)</f>
        <v>27.435199999999998</v>
      </c>
      <c r="E159" s="4">
        <f>115.461161330499 * CHOOSE(CONTROL!$C$9, $C$13, 100%, $E$13) + CHOOSE(CONTROL!$C$28, 0, 0)</f>
        <v>115.461161330499</v>
      </c>
    </row>
    <row r="160" spans="1:5" ht="15">
      <c r="A160" s="13">
        <v>46357</v>
      </c>
      <c r="B160" s="4">
        <f>18.3208 * CHOOSE(CONTROL!$C$9, $C$13, 100%, $E$13) + CHOOSE(CONTROL!$C$28, 0.0003, 0)</f>
        <v>18.321099999999998</v>
      </c>
      <c r="C160" s="4">
        <f>17.9575 * CHOOSE(CONTROL!$C$9, $C$13, 100%, $E$13) + CHOOSE(CONTROL!$C$28, 0.0003, 0)</f>
        <v>17.957799999999999</v>
      </c>
      <c r="D160" s="4">
        <f>26.5262 * CHOOSE(CONTROL!$C$9, $C$13, 100%, $E$13) + CHOOSE(CONTROL!$C$28, 0, 0)</f>
        <v>26.526199999999999</v>
      </c>
      <c r="E160" s="4">
        <f>113.652886285342 * CHOOSE(CONTROL!$C$9, $C$13, 100%, $E$13) + CHOOSE(CONTROL!$C$28, 0, 0)</f>
        <v>113.65288628534201</v>
      </c>
    </row>
    <row r="161" spans="1:5" ht="15">
      <c r="A161" s="13">
        <v>46388</v>
      </c>
      <c r="B161" s="4">
        <f>17.8331 * CHOOSE(CONTROL!$C$9, $C$13, 100%, $E$13) + CHOOSE(CONTROL!$C$28, 0.0003, 0)</f>
        <v>17.833400000000001</v>
      </c>
      <c r="C161" s="4">
        <f>17.4698 * CHOOSE(CONTROL!$C$9, $C$13, 100%, $E$13) + CHOOSE(CONTROL!$C$28, 0.0003, 0)</f>
        <v>17.470099999999999</v>
      </c>
      <c r="D161" s="4">
        <f>25.7979 * CHOOSE(CONTROL!$C$9, $C$13, 100%, $E$13) + CHOOSE(CONTROL!$C$28, 0, 0)</f>
        <v>25.797899999999998</v>
      </c>
      <c r="E161" s="4">
        <f>110.503886973775 * CHOOSE(CONTROL!$C$9, $C$13, 100%, $E$13) + CHOOSE(CONTROL!$C$28, 0, 0)</f>
        <v>110.503886973775</v>
      </c>
    </row>
    <row r="162" spans="1:5" ht="15">
      <c r="A162" s="13">
        <v>46419</v>
      </c>
      <c r="B162" s="4">
        <f>18.2382 * CHOOSE(CONTROL!$C$9, $C$13, 100%, $E$13) + CHOOSE(CONTROL!$C$28, 0.0003, 0)</f>
        <v>18.238499999999998</v>
      </c>
      <c r="C162" s="4">
        <f>17.8749 * CHOOSE(CONTROL!$C$9, $C$13, 100%, $E$13) + CHOOSE(CONTROL!$C$28, 0.0003, 0)</f>
        <v>17.8752</v>
      </c>
      <c r="D162" s="4">
        <f>26.6431 * CHOOSE(CONTROL!$C$9, $C$13, 100%, $E$13) + CHOOSE(CONTROL!$C$28, 0, 0)</f>
        <v>26.6431</v>
      </c>
      <c r="E162" s="4">
        <f>113.127684736344 * CHOOSE(CONTROL!$C$9, $C$13, 100%, $E$13) + CHOOSE(CONTROL!$C$28, 0, 0)</f>
        <v>113.12768473634399</v>
      </c>
    </row>
    <row r="163" spans="1:5" ht="15">
      <c r="A163" s="13">
        <v>46447</v>
      </c>
      <c r="B163" s="4">
        <f>19.3019 * CHOOSE(CONTROL!$C$9, $C$13, 100%, $E$13) + CHOOSE(CONTROL!$C$28, 0.0003, 0)</f>
        <v>19.302199999999999</v>
      </c>
      <c r="C163" s="4">
        <f>18.9386 * CHOOSE(CONTROL!$C$9, $C$13, 100%, $E$13) + CHOOSE(CONTROL!$C$28, 0.0003, 0)</f>
        <v>18.9389</v>
      </c>
      <c r="D163" s="4">
        <f>27.9661 * CHOOSE(CONTROL!$C$9, $C$13, 100%, $E$13) + CHOOSE(CONTROL!$C$28, 0, 0)</f>
        <v>27.966100000000001</v>
      </c>
      <c r="E163" s="4">
        <f>120.017917097931 * CHOOSE(CONTROL!$C$9, $C$13, 100%, $E$13) + CHOOSE(CONTROL!$C$28, 0, 0)</f>
        <v>120.017917097931</v>
      </c>
    </row>
    <row r="164" spans="1:5" ht="15">
      <c r="A164" s="13">
        <v>46478</v>
      </c>
      <c r="B164" s="4">
        <f>20.0577 * CHOOSE(CONTROL!$C$9, $C$13, 100%, $E$13) + CHOOSE(CONTROL!$C$28, 0.0003, 0)</f>
        <v>20.058</v>
      </c>
      <c r="C164" s="4">
        <f>19.6944 * CHOOSE(CONTROL!$C$9, $C$13, 100%, $E$13) + CHOOSE(CONTROL!$C$28, 0.0003, 0)</f>
        <v>19.694700000000001</v>
      </c>
      <c r="D164" s="4">
        <f>28.7282 * CHOOSE(CONTROL!$C$9, $C$13, 100%, $E$13) + CHOOSE(CONTROL!$C$28, 0, 0)</f>
        <v>28.728200000000001</v>
      </c>
      <c r="E164" s="4">
        <f>124.913519015258 * CHOOSE(CONTROL!$C$9, $C$13, 100%, $E$13) + CHOOSE(CONTROL!$C$28, 0, 0)</f>
        <v>124.913519015258</v>
      </c>
    </row>
    <row r="165" spans="1:5" ht="15">
      <c r="A165" s="13">
        <v>46508</v>
      </c>
      <c r="B165" s="4">
        <f>20.5195 * CHOOSE(CONTROL!$C$9, $C$13, 100%, $E$13) + CHOOSE(CONTROL!$C$28, 0.0192, 0)</f>
        <v>20.538700000000002</v>
      </c>
      <c r="C165" s="4">
        <f>20.1562 * CHOOSE(CONTROL!$C$9, $C$13, 100%, $E$13) + CHOOSE(CONTROL!$C$28, 0.0192, 0)</f>
        <v>20.1754</v>
      </c>
      <c r="D165" s="4">
        <f>28.427 * CHOOSE(CONTROL!$C$9, $C$13, 100%, $E$13) + CHOOSE(CONTROL!$C$28, 0, 0)</f>
        <v>28.427</v>
      </c>
      <c r="E165" s="4">
        <f>127.904614455542 * CHOOSE(CONTROL!$C$9, $C$13, 100%, $E$13) + CHOOSE(CONTROL!$C$28, 0, 0)</f>
        <v>127.904614455542</v>
      </c>
    </row>
    <row r="166" spans="1:5" ht="15">
      <c r="A166" s="13">
        <v>46539</v>
      </c>
      <c r="B166" s="4">
        <f>20.5819 * CHOOSE(CONTROL!$C$9, $C$13, 100%, $E$13) + CHOOSE(CONTROL!$C$28, 0.0192, 0)</f>
        <v>20.601100000000002</v>
      </c>
      <c r="C166" s="4">
        <f>20.2187 * CHOOSE(CONTROL!$C$9, $C$13, 100%, $E$13) + CHOOSE(CONTROL!$C$28, 0.0192, 0)</f>
        <v>20.2379</v>
      </c>
      <c r="D166" s="4">
        <f>28.6723 * CHOOSE(CONTROL!$C$9, $C$13, 100%, $E$13) + CHOOSE(CONTROL!$C$28, 0, 0)</f>
        <v>28.6723</v>
      </c>
      <c r="E166" s="4">
        <f>128.309322081914 * CHOOSE(CONTROL!$C$9, $C$13, 100%, $E$13) + CHOOSE(CONTROL!$C$28, 0, 0)</f>
        <v>128.30932208191399</v>
      </c>
    </row>
    <row r="167" spans="1:5" ht="15">
      <c r="A167" s="13">
        <v>46569</v>
      </c>
      <c r="B167" s="4">
        <f>20.5756 * CHOOSE(CONTROL!$C$9, $C$13, 100%, $E$13) + CHOOSE(CONTROL!$C$28, 0.0192, 0)</f>
        <v>20.594800000000003</v>
      </c>
      <c r="C167" s="4">
        <f>20.2124 * CHOOSE(CONTROL!$C$9, $C$13, 100%, $E$13) + CHOOSE(CONTROL!$C$28, 0.0192, 0)</f>
        <v>20.2316</v>
      </c>
      <c r="D167" s="4">
        <f>29.1148 * CHOOSE(CONTROL!$C$9, $C$13, 100%, $E$13) + CHOOSE(CONTROL!$C$28, 0, 0)</f>
        <v>29.114799999999999</v>
      </c>
      <c r="E167" s="4">
        <f>128.268511228834 * CHOOSE(CONTROL!$C$9, $C$13, 100%, $E$13) + CHOOSE(CONTROL!$C$28, 0, 0)</f>
        <v>128.268511228834</v>
      </c>
    </row>
    <row r="168" spans="1:5" ht="15">
      <c r="A168" s="13">
        <v>46600</v>
      </c>
      <c r="B168" s="4">
        <f>21.0497 * CHOOSE(CONTROL!$C$9, $C$13, 100%, $E$13) + CHOOSE(CONTROL!$C$28, 0.0192, 0)</f>
        <v>21.068900000000003</v>
      </c>
      <c r="C168" s="4">
        <f>20.6865 * CHOOSE(CONTROL!$C$9, $C$13, 100%, $E$13) + CHOOSE(CONTROL!$C$28, 0.0192, 0)</f>
        <v>20.7057</v>
      </c>
      <c r="D168" s="4">
        <f>28.8226 * CHOOSE(CONTROL!$C$9, $C$13, 100%, $E$13) + CHOOSE(CONTROL!$C$28, 0, 0)</f>
        <v>28.822600000000001</v>
      </c>
      <c r="E168" s="4">
        <f>131.339527923066 * CHOOSE(CONTROL!$C$9, $C$13, 100%, $E$13) + CHOOSE(CONTROL!$C$28, 0, 0)</f>
        <v>131.33952792306599</v>
      </c>
    </row>
    <row r="169" spans="1:5" ht="15">
      <c r="A169" s="13">
        <v>46631</v>
      </c>
      <c r="B169" s="4">
        <f>20.2417 * CHOOSE(CONTROL!$C$9, $C$13, 100%, $E$13) + CHOOSE(CONTROL!$C$28, 0.0192, 0)</f>
        <v>20.260900000000003</v>
      </c>
      <c r="C169" s="4">
        <f>19.8784 * CHOOSE(CONTROL!$C$9, $C$13, 100%, $E$13) + CHOOSE(CONTROL!$C$28, 0.0192, 0)</f>
        <v>19.897600000000001</v>
      </c>
      <c r="D169" s="4">
        <f>28.6845 * CHOOSE(CONTROL!$C$9, $C$13, 100%, $E$13) + CHOOSE(CONTROL!$C$28, 0, 0)</f>
        <v>28.6845</v>
      </c>
      <c r="E169" s="4">
        <f>126.105536015621 * CHOOSE(CONTROL!$C$9, $C$13, 100%, $E$13) + CHOOSE(CONTROL!$C$28, 0, 0)</f>
        <v>126.105536015621</v>
      </c>
    </row>
    <row r="170" spans="1:5" ht="15">
      <c r="A170" s="13">
        <v>46661</v>
      </c>
      <c r="B170" s="4">
        <f>19.5949 * CHOOSE(CONTROL!$C$9, $C$13, 100%, $E$13) + CHOOSE(CONTROL!$C$28, 0.0003, 0)</f>
        <v>19.595199999999998</v>
      </c>
      <c r="C170" s="4">
        <f>19.2316 * CHOOSE(CONTROL!$C$9, $C$13, 100%, $E$13) + CHOOSE(CONTROL!$C$28, 0.0003, 0)</f>
        <v>19.2319</v>
      </c>
      <c r="D170" s="4">
        <f>28.3148 * CHOOSE(CONTROL!$C$9, $C$13, 100%, $E$13) + CHOOSE(CONTROL!$C$28, 0, 0)</f>
        <v>28.314800000000002</v>
      </c>
      <c r="E170" s="4">
        <f>121.915621766127 * CHOOSE(CONTROL!$C$9, $C$13, 100%, $E$13) + CHOOSE(CONTROL!$C$28, 0, 0)</f>
        <v>121.915621766127</v>
      </c>
    </row>
    <row r="171" spans="1:5" ht="15">
      <c r="A171" s="13">
        <v>46692</v>
      </c>
      <c r="B171" s="4">
        <f>19.1783 * CHOOSE(CONTROL!$C$9, $C$13, 100%, $E$13) + CHOOSE(CONTROL!$C$28, 0.0003, 0)</f>
        <v>19.178599999999999</v>
      </c>
      <c r="C171" s="4">
        <f>18.815 * CHOOSE(CONTROL!$C$9, $C$13, 100%, $E$13) + CHOOSE(CONTROL!$C$28, 0.0003, 0)</f>
        <v>18.815300000000001</v>
      </c>
      <c r="D171" s="4">
        <f>28.1877 * CHOOSE(CONTROL!$C$9, $C$13, 100%, $E$13) + CHOOSE(CONTROL!$C$28, 0, 0)</f>
        <v>28.1877</v>
      </c>
      <c r="E171" s="4">
        <f>119.217004106246 * CHOOSE(CONTROL!$C$9, $C$13, 100%, $E$13) + CHOOSE(CONTROL!$C$28, 0, 0)</f>
        <v>119.21700410624599</v>
      </c>
    </row>
    <row r="172" spans="1:5" ht="15">
      <c r="A172" s="13">
        <v>46722</v>
      </c>
      <c r="B172" s="4">
        <f>18.89 * CHOOSE(CONTROL!$C$9, $C$13, 100%, $E$13) + CHOOSE(CONTROL!$C$28, 0.0003, 0)</f>
        <v>18.8903</v>
      </c>
      <c r="C172" s="4">
        <f>18.5267 * CHOOSE(CONTROL!$C$9, $C$13, 100%, $E$13) + CHOOSE(CONTROL!$C$28, 0.0003, 0)</f>
        <v>18.527000000000001</v>
      </c>
      <c r="D172" s="4">
        <f>27.2519 * CHOOSE(CONTROL!$C$9, $C$13, 100%, $E$13) + CHOOSE(CONTROL!$C$28, 0, 0)</f>
        <v>27.251899999999999</v>
      </c>
      <c r="E172" s="4">
        <f>117.349907577859 * CHOOSE(CONTROL!$C$9, $C$13, 100%, $E$13) + CHOOSE(CONTROL!$C$28, 0, 0)</f>
        <v>117.349907577859</v>
      </c>
    </row>
    <row r="173" spans="1:5" ht="15">
      <c r="A173" s="13">
        <v>46753</v>
      </c>
      <c r="B173" s="4">
        <f>18.3338 * CHOOSE(CONTROL!$C$9, $C$13, 100%, $E$13) + CHOOSE(CONTROL!$C$28, 0.0003, 0)</f>
        <v>18.334099999999999</v>
      </c>
      <c r="C173" s="4">
        <f>17.9706 * CHOOSE(CONTROL!$C$9, $C$13, 100%, $E$13) + CHOOSE(CONTROL!$C$28, 0.0003, 0)</f>
        <v>17.9709</v>
      </c>
      <c r="D173" s="4">
        <f>26.4281 * CHOOSE(CONTROL!$C$9, $C$13, 100%, $E$13) + CHOOSE(CONTROL!$C$28, 0, 0)</f>
        <v>26.428100000000001</v>
      </c>
      <c r="E173" s="4">
        <f>113.984843818042 * CHOOSE(CONTROL!$C$9, $C$13, 100%, $E$13) + CHOOSE(CONTROL!$C$28, 0, 0)</f>
        <v>113.98484381804199</v>
      </c>
    </row>
    <row r="174" spans="1:5" ht="15">
      <c r="A174" s="13">
        <v>46784</v>
      </c>
      <c r="B174" s="4">
        <f>18.7508 * CHOOSE(CONTROL!$C$9, $C$13, 100%, $E$13) + CHOOSE(CONTROL!$C$28, 0.0003, 0)</f>
        <v>18.751100000000001</v>
      </c>
      <c r="C174" s="4">
        <f>18.3875 * CHOOSE(CONTROL!$C$9, $C$13, 100%, $E$13) + CHOOSE(CONTROL!$C$28, 0.0003, 0)</f>
        <v>18.387799999999999</v>
      </c>
      <c r="D174" s="4">
        <f>27.2955 * CHOOSE(CONTROL!$C$9, $C$13, 100%, $E$13) + CHOOSE(CONTROL!$C$28, 0, 0)</f>
        <v>27.295500000000001</v>
      </c>
      <c r="E174" s="4">
        <f>116.691293214229 * CHOOSE(CONTROL!$C$9, $C$13, 100%, $E$13) + CHOOSE(CONTROL!$C$28, 0, 0)</f>
        <v>116.69129321422901</v>
      </c>
    </row>
    <row r="175" spans="1:5" ht="15">
      <c r="A175" s="13">
        <v>46813</v>
      </c>
      <c r="B175" s="4">
        <f>19.8457 * CHOOSE(CONTROL!$C$9, $C$13, 100%, $E$13) + CHOOSE(CONTROL!$C$28, 0.0003, 0)</f>
        <v>19.846</v>
      </c>
      <c r="C175" s="4">
        <f>19.4824 * CHOOSE(CONTROL!$C$9, $C$13, 100%, $E$13) + CHOOSE(CONTROL!$C$28, 0.0003, 0)</f>
        <v>19.482699999999998</v>
      </c>
      <c r="D175" s="4">
        <f>28.6533 * CHOOSE(CONTROL!$C$9, $C$13, 100%, $E$13) + CHOOSE(CONTROL!$C$28, 0, 0)</f>
        <v>28.653300000000002</v>
      </c>
      <c r="E175" s="4">
        <f>123.798573158073 * CHOOSE(CONTROL!$C$9, $C$13, 100%, $E$13) + CHOOSE(CONTROL!$C$28, 0, 0)</f>
        <v>123.798573158073</v>
      </c>
    </row>
    <row r="176" spans="1:5" ht="15">
      <c r="A176" s="13">
        <v>46844</v>
      </c>
      <c r="B176" s="4">
        <f>20.6237 * CHOOSE(CONTROL!$C$9, $C$13, 100%, $E$13) + CHOOSE(CONTROL!$C$28, 0.0003, 0)</f>
        <v>20.623999999999999</v>
      </c>
      <c r="C176" s="4">
        <f>20.2604 * CHOOSE(CONTROL!$C$9, $C$13, 100%, $E$13) + CHOOSE(CONTROL!$C$28, 0.0003, 0)</f>
        <v>20.2607</v>
      </c>
      <c r="D176" s="4">
        <f>29.4355 * CHOOSE(CONTROL!$C$9, $C$13, 100%, $E$13) + CHOOSE(CONTROL!$C$28, 0, 0)</f>
        <v>29.435500000000001</v>
      </c>
      <c r="E176" s="4">
        <f>128.848390275133 * CHOOSE(CONTROL!$C$9, $C$13, 100%, $E$13) + CHOOSE(CONTROL!$C$28, 0, 0)</f>
        <v>128.848390275133</v>
      </c>
    </row>
    <row r="177" spans="1:5" ht="15">
      <c r="A177" s="13">
        <v>46874</v>
      </c>
      <c r="B177" s="4">
        <f>21.099 * CHOOSE(CONTROL!$C$9, $C$13, 100%, $E$13) + CHOOSE(CONTROL!$C$28, 0.0192, 0)</f>
        <v>21.118200000000002</v>
      </c>
      <c r="C177" s="4">
        <f>20.7357 * CHOOSE(CONTROL!$C$9, $C$13, 100%, $E$13) + CHOOSE(CONTROL!$C$28, 0.0192, 0)</f>
        <v>20.754900000000003</v>
      </c>
      <c r="D177" s="4">
        <f>29.1264 * CHOOSE(CONTROL!$C$9, $C$13, 100%, $E$13) + CHOOSE(CONTROL!$C$28, 0, 0)</f>
        <v>29.1264</v>
      </c>
      <c r="E177" s="4">
        <f>131.933707506432 * CHOOSE(CONTROL!$C$9, $C$13, 100%, $E$13) + CHOOSE(CONTROL!$C$28, 0, 0)</f>
        <v>131.933707506432</v>
      </c>
    </row>
    <row r="178" spans="1:5" ht="15">
      <c r="A178" s="13">
        <v>46905</v>
      </c>
      <c r="B178" s="4">
        <f>21.1633 * CHOOSE(CONTROL!$C$9, $C$13, 100%, $E$13) + CHOOSE(CONTROL!$C$28, 0.0192, 0)</f>
        <v>21.182500000000001</v>
      </c>
      <c r="C178" s="4">
        <f>20.8001 * CHOOSE(CONTROL!$C$9, $C$13, 100%, $E$13) + CHOOSE(CONTROL!$C$28, 0.0192, 0)</f>
        <v>20.819300000000002</v>
      </c>
      <c r="D178" s="4">
        <f>29.3781 * CHOOSE(CONTROL!$C$9, $C$13, 100%, $E$13) + CHOOSE(CONTROL!$C$28, 0, 0)</f>
        <v>29.3781</v>
      </c>
      <c r="E178" s="4">
        <f>132.351163732156 * CHOOSE(CONTROL!$C$9, $C$13, 100%, $E$13) + CHOOSE(CONTROL!$C$28, 0, 0)</f>
        <v>132.35116373215601</v>
      </c>
    </row>
    <row r="179" spans="1:5" ht="15">
      <c r="A179" s="13">
        <v>46935</v>
      </c>
      <c r="B179" s="4">
        <f>21.1568 * CHOOSE(CONTROL!$C$9, $C$13, 100%, $E$13) + CHOOSE(CONTROL!$C$28, 0.0192, 0)</f>
        <v>21.176000000000002</v>
      </c>
      <c r="C179" s="4">
        <f>20.7936 * CHOOSE(CONTROL!$C$9, $C$13, 100%, $E$13) + CHOOSE(CONTROL!$C$28, 0.0192, 0)</f>
        <v>20.812800000000003</v>
      </c>
      <c r="D179" s="4">
        <f>29.8323 * CHOOSE(CONTROL!$C$9, $C$13, 100%, $E$13) + CHOOSE(CONTROL!$C$28, 0, 0)</f>
        <v>29.8323</v>
      </c>
      <c r="E179" s="4">
        <f>132.309067306032 * CHOOSE(CONTROL!$C$9, $C$13, 100%, $E$13) + CHOOSE(CONTROL!$C$28, 0, 0)</f>
        <v>132.30906730603201</v>
      </c>
    </row>
    <row r="180" spans="1:5" ht="15">
      <c r="A180" s="13">
        <v>46966</v>
      </c>
      <c r="B180" s="4">
        <f>21.6449 * CHOOSE(CONTROL!$C$9, $C$13, 100%, $E$13) + CHOOSE(CONTROL!$C$28, 0.0192, 0)</f>
        <v>21.664100000000001</v>
      </c>
      <c r="C180" s="4">
        <f>21.2816 * CHOOSE(CONTROL!$C$9, $C$13, 100%, $E$13) + CHOOSE(CONTROL!$C$28, 0.0192, 0)</f>
        <v>21.300800000000002</v>
      </c>
      <c r="D180" s="4">
        <f>29.5324 * CHOOSE(CONTROL!$C$9, $C$13, 100%, $E$13) + CHOOSE(CONTROL!$C$28, 0, 0)</f>
        <v>29.532399999999999</v>
      </c>
      <c r="E180" s="4">
        <f>135.476823371823 * CHOOSE(CONTROL!$C$9, $C$13, 100%, $E$13) + CHOOSE(CONTROL!$C$28, 0, 0)</f>
        <v>135.476823371823</v>
      </c>
    </row>
    <row r="181" spans="1:5" ht="15">
      <c r="A181" s="13">
        <v>46997</v>
      </c>
      <c r="B181" s="4">
        <f>20.8131 * CHOOSE(CONTROL!$C$9, $C$13, 100%, $E$13) + CHOOSE(CONTROL!$C$28, 0.0192, 0)</f>
        <v>20.8323</v>
      </c>
      <c r="C181" s="4">
        <f>20.4498 * CHOOSE(CONTROL!$C$9, $C$13, 100%, $E$13) + CHOOSE(CONTROL!$C$28, 0.0192, 0)</f>
        <v>20.469000000000001</v>
      </c>
      <c r="D181" s="4">
        <f>29.3906 * CHOOSE(CONTROL!$C$9, $C$13, 100%, $E$13) + CHOOSE(CONTROL!$C$28, 0, 0)</f>
        <v>29.390599999999999</v>
      </c>
      <c r="E181" s="4">
        <f>130.077956721489 * CHOOSE(CONTROL!$C$9, $C$13, 100%, $E$13) + CHOOSE(CONTROL!$C$28, 0, 0)</f>
        <v>130.07795672148899</v>
      </c>
    </row>
    <row r="182" spans="1:5" ht="15">
      <c r="A182" s="13">
        <v>47027</v>
      </c>
      <c r="B182" s="4">
        <f>20.1473 * CHOOSE(CONTROL!$C$9, $C$13, 100%, $E$13) + CHOOSE(CONTROL!$C$28, 0.0003, 0)</f>
        <v>20.147600000000001</v>
      </c>
      <c r="C182" s="4">
        <f>19.784 * CHOOSE(CONTROL!$C$9, $C$13, 100%, $E$13) + CHOOSE(CONTROL!$C$28, 0.0003, 0)</f>
        <v>19.784299999999998</v>
      </c>
      <c r="D182" s="4">
        <f>29.0112 * CHOOSE(CONTROL!$C$9, $C$13, 100%, $E$13) + CHOOSE(CONTROL!$C$28, 0, 0)</f>
        <v>29.011199999999999</v>
      </c>
      <c r="E182" s="4">
        <f>125.756056972814 * CHOOSE(CONTROL!$C$9, $C$13, 100%, $E$13) + CHOOSE(CONTROL!$C$28, 0, 0)</f>
        <v>125.75605697281399</v>
      </c>
    </row>
    <row r="183" spans="1:5" ht="15">
      <c r="A183" s="13">
        <v>47058</v>
      </c>
      <c r="B183" s="4">
        <f>19.7185 * CHOOSE(CONTROL!$C$9, $C$13, 100%, $E$13) + CHOOSE(CONTROL!$C$28, 0.0003, 0)</f>
        <v>19.718799999999998</v>
      </c>
      <c r="C183" s="4">
        <f>19.3552 * CHOOSE(CONTROL!$C$9, $C$13, 100%, $E$13) + CHOOSE(CONTROL!$C$28, 0.0003, 0)</f>
        <v>19.355499999999999</v>
      </c>
      <c r="D183" s="4">
        <f>28.8807 * CHOOSE(CONTROL!$C$9, $C$13, 100%, $E$13) + CHOOSE(CONTROL!$C$28, 0, 0)</f>
        <v>28.880700000000001</v>
      </c>
      <c r="E183" s="4">
        <f>122.9724307954 * CHOOSE(CONTROL!$C$9, $C$13, 100%, $E$13) + CHOOSE(CONTROL!$C$28, 0, 0)</f>
        <v>122.9724307954</v>
      </c>
    </row>
    <row r="184" spans="1:5" ht="15">
      <c r="A184" s="13">
        <v>47088</v>
      </c>
      <c r="B184" s="4">
        <f>19.4218 * CHOOSE(CONTROL!$C$9, $C$13, 100%, $E$13) + CHOOSE(CONTROL!$C$28, 0.0003, 0)</f>
        <v>19.4221</v>
      </c>
      <c r="C184" s="4">
        <f>19.0585 * CHOOSE(CONTROL!$C$9, $C$13, 100%, $E$13) + CHOOSE(CONTROL!$C$28, 0.0003, 0)</f>
        <v>19.058799999999998</v>
      </c>
      <c r="D184" s="4">
        <f>27.9203 * CHOOSE(CONTROL!$C$9, $C$13, 100%, $E$13) + CHOOSE(CONTROL!$C$28, 0, 0)</f>
        <v>27.920300000000001</v>
      </c>
      <c r="E184" s="4">
        <f>121.046519300252 * CHOOSE(CONTROL!$C$9, $C$13, 100%, $E$13) + CHOOSE(CONTROL!$C$28, 0, 0)</f>
        <v>121.046519300252</v>
      </c>
    </row>
    <row r="185" spans="1:5" ht="15">
      <c r="A185" s="13">
        <v>47119</v>
      </c>
      <c r="B185" s="4">
        <f>18.8769 * CHOOSE(CONTROL!$C$9, $C$13, 100%, $E$13) + CHOOSE(CONTROL!$C$28, 0.0003, 0)</f>
        <v>18.877199999999998</v>
      </c>
      <c r="C185" s="4">
        <f>18.5136 * CHOOSE(CONTROL!$C$9, $C$13, 100%, $E$13) + CHOOSE(CONTROL!$C$28, 0.0003, 0)</f>
        <v>18.5139</v>
      </c>
      <c r="D185" s="4">
        <f>27.0121 * CHOOSE(CONTROL!$C$9, $C$13, 100%, $E$13) + CHOOSE(CONTROL!$C$28, 0, 0)</f>
        <v>27.0121</v>
      </c>
      <c r="E185" s="4">
        <f>117.465394324666 * CHOOSE(CONTROL!$C$9, $C$13, 100%, $E$13) + CHOOSE(CONTROL!$C$28, 0, 0)</f>
        <v>117.46539432466599</v>
      </c>
    </row>
    <row r="186" spans="1:5" ht="15">
      <c r="A186" s="13">
        <v>47150</v>
      </c>
      <c r="B186" s="4">
        <f>19.3067 * CHOOSE(CONTROL!$C$9, $C$13, 100%, $E$13) + CHOOSE(CONTROL!$C$28, 0.0003, 0)</f>
        <v>19.306999999999999</v>
      </c>
      <c r="C186" s="4">
        <f>18.9434 * CHOOSE(CONTROL!$C$9, $C$13, 100%, $E$13) + CHOOSE(CONTROL!$C$28, 0.0003, 0)</f>
        <v>18.9437</v>
      </c>
      <c r="D186" s="4">
        <f>27.9001 * CHOOSE(CONTROL!$C$9, $C$13, 100%, $E$13) + CHOOSE(CONTROL!$C$28, 0, 0)</f>
        <v>27.900099999999998</v>
      </c>
      <c r="E186" s="4">
        <f>120.254485706415 * CHOOSE(CONTROL!$C$9, $C$13, 100%, $E$13) + CHOOSE(CONTROL!$C$28, 0, 0)</f>
        <v>120.254485706415</v>
      </c>
    </row>
    <row r="187" spans="1:5" ht="15">
      <c r="A187" s="13">
        <v>47178</v>
      </c>
      <c r="B187" s="4">
        <f>20.4355 * CHOOSE(CONTROL!$C$9, $C$13, 100%, $E$13) + CHOOSE(CONTROL!$C$28, 0.0003, 0)</f>
        <v>20.4358</v>
      </c>
      <c r="C187" s="4">
        <f>20.0722 * CHOOSE(CONTROL!$C$9, $C$13, 100%, $E$13) + CHOOSE(CONTROL!$C$28, 0.0003, 0)</f>
        <v>20.072499999999998</v>
      </c>
      <c r="D187" s="4">
        <f>29.2902 * CHOOSE(CONTROL!$C$9, $C$13, 100%, $E$13) + CHOOSE(CONTROL!$C$28, 0, 0)</f>
        <v>29.290199999999999</v>
      </c>
      <c r="E187" s="4">
        <f>127.578787896205 * CHOOSE(CONTROL!$C$9, $C$13, 100%, $E$13) + CHOOSE(CONTROL!$C$28, 0, 0)</f>
        <v>127.578787896205</v>
      </c>
    </row>
    <row r="188" spans="1:5" ht="15">
      <c r="A188" s="13">
        <v>47209</v>
      </c>
      <c r="B188" s="4">
        <f>21.2375 * CHOOSE(CONTROL!$C$9, $C$13, 100%, $E$13) + CHOOSE(CONTROL!$C$28, 0.0003, 0)</f>
        <v>21.2378</v>
      </c>
      <c r="C188" s="4">
        <f>20.8743 * CHOOSE(CONTROL!$C$9, $C$13, 100%, $E$13) + CHOOSE(CONTROL!$C$28, 0.0003, 0)</f>
        <v>20.874600000000001</v>
      </c>
      <c r="D188" s="4">
        <f>30.091 * CHOOSE(CONTROL!$C$9, $C$13, 100%, $E$13) + CHOOSE(CONTROL!$C$28, 0, 0)</f>
        <v>30.091000000000001</v>
      </c>
      <c r="E188" s="4">
        <f>132.782802211212 * CHOOSE(CONTROL!$C$9, $C$13, 100%, $E$13) + CHOOSE(CONTROL!$C$28, 0, 0)</f>
        <v>132.78280221121199</v>
      </c>
    </row>
    <row r="189" spans="1:5" ht="15">
      <c r="A189" s="13">
        <v>47239</v>
      </c>
      <c r="B189" s="4">
        <f>21.7276 * CHOOSE(CONTROL!$C$9, $C$13, 100%, $E$13) + CHOOSE(CONTROL!$C$28, 0.0192, 0)</f>
        <v>21.7468</v>
      </c>
      <c r="C189" s="4">
        <f>21.3643 * CHOOSE(CONTROL!$C$9, $C$13, 100%, $E$13) + CHOOSE(CONTROL!$C$28, 0.0192, 0)</f>
        <v>21.383500000000002</v>
      </c>
      <c r="D189" s="4">
        <f>29.7746 * CHOOSE(CONTROL!$C$9, $C$13, 100%, $E$13) + CHOOSE(CONTROL!$C$28, 0, 0)</f>
        <v>29.7746</v>
      </c>
      <c r="E189" s="4">
        <f>135.962330234865 * CHOOSE(CONTROL!$C$9, $C$13, 100%, $E$13) + CHOOSE(CONTROL!$C$28, 0, 0)</f>
        <v>135.96233023486499</v>
      </c>
    </row>
    <row r="190" spans="1:5" ht="15">
      <c r="A190" s="13">
        <v>47270</v>
      </c>
      <c r="B190" s="4">
        <f>21.7939 * CHOOSE(CONTROL!$C$9, $C$13, 100%, $E$13) + CHOOSE(CONTROL!$C$28, 0.0192, 0)</f>
        <v>21.813100000000002</v>
      </c>
      <c r="C190" s="4">
        <f>21.4306 * CHOOSE(CONTROL!$C$9, $C$13, 100%, $E$13) + CHOOSE(CONTROL!$C$28, 0.0192, 0)</f>
        <v>21.4498</v>
      </c>
      <c r="D190" s="4">
        <f>30.0323 * CHOOSE(CONTROL!$C$9, $C$13, 100%, $E$13) + CHOOSE(CONTROL!$C$28, 0, 0)</f>
        <v>30.032299999999999</v>
      </c>
      <c r="E190" s="4">
        <f>136.392533571778 * CHOOSE(CONTROL!$C$9, $C$13, 100%, $E$13) + CHOOSE(CONTROL!$C$28, 0, 0)</f>
        <v>136.39253357177799</v>
      </c>
    </row>
    <row r="191" spans="1:5" ht="15">
      <c r="A191" s="13">
        <v>47300</v>
      </c>
      <c r="B191" s="4">
        <f>21.7872 * CHOOSE(CONTROL!$C$9, $C$13, 100%, $E$13) + CHOOSE(CONTROL!$C$28, 0.0192, 0)</f>
        <v>21.8064</v>
      </c>
      <c r="C191" s="4">
        <f>21.4239 * CHOOSE(CONTROL!$C$9, $C$13, 100%, $E$13) + CHOOSE(CONTROL!$C$28, 0.0192, 0)</f>
        <v>21.443100000000001</v>
      </c>
      <c r="D191" s="4">
        <f>30.4972 * CHOOSE(CONTROL!$C$9, $C$13, 100%, $E$13) + CHOOSE(CONTROL!$C$28, 0, 0)</f>
        <v>30.497199999999999</v>
      </c>
      <c r="E191" s="4">
        <f>136.349151722677 * CHOOSE(CONTROL!$C$9, $C$13, 100%, $E$13) + CHOOSE(CONTROL!$C$28, 0, 0)</f>
        <v>136.34915172267699</v>
      </c>
    </row>
    <row r="192" spans="1:5" ht="15">
      <c r="A192" s="13">
        <v>47331</v>
      </c>
      <c r="B192" s="4">
        <f>22.2903 * CHOOSE(CONTROL!$C$9, $C$13, 100%, $E$13) + CHOOSE(CONTROL!$C$28, 0.0192, 0)</f>
        <v>22.3095</v>
      </c>
      <c r="C192" s="4">
        <f>21.927 * CHOOSE(CONTROL!$C$9, $C$13, 100%, $E$13) + CHOOSE(CONTROL!$C$28, 0.0192, 0)</f>
        <v>21.946200000000001</v>
      </c>
      <c r="D192" s="4">
        <f>30.1902 * CHOOSE(CONTROL!$C$9, $C$13, 100%, $E$13) + CHOOSE(CONTROL!$C$28, 0, 0)</f>
        <v>30.190200000000001</v>
      </c>
      <c r="E192" s="4">
        <f>139.613635867485 * CHOOSE(CONTROL!$C$9, $C$13, 100%, $E$13) + CHOOSE(CONTROL!$C$28, 0, 0)</f>
        <v>139.61363586748499</v>
      </c>
    </row>
    <row r="193" spans="1:5" ht="15">
      <c r="A193" s="13">
        <v>47362</v>
      </c>
      <c r="B193" s="4">
        <f>21.4328 * CHOOSE(CONTROL!$C$9, $C$13, 100%, $E$13) + CHOOSE(CONTROL!$C$28, 0.0192, 0)</f>
        <v>21.452000000000002</v>
      </c>
      <c r="C193" s="4">
        <f>21.0695 * CHOOSE(CONTROL!$C$9, $C$13, 100%, $E$13) + CHOOSE(CONTROL!$C$28, 0.0192, 0)</f>
        <v>21.088700000000003</v>
      </c>
      <c r="D193" s="4">
        <f>30.0451 * CHOOSE(CONTROL!$C$9, $C$13, 100%, $E$13) + CHOOSE(CONTROL!$C$28, 0, 0)</f>
        <v>30.045100000000001</v>
      </c>
      <c r="E193" s="4">
        <f>134.049913720354 * CHOOSE(CONTROL!$C$9, $C$13, 100%, $E$13) + CHOOSE(CONTROL!$C$28, 0, 0)</f>
        <v>134.049913720354</v>
      </c>
    </row>
    <row r="194" spans="1:5" ht="15">
      <c r="A194" s="13">
        <v>47392</v>
      </c>
      <c r="B194" s="4">
        <f>20.7464 * CHOOSE(CONTROL!$C$9, $C$13, 100%, $E$13) + CHOOSE(CONTROL!$C$28, 0.0003, 0)</f>
        <v>20.746700000000001</v>
      </c>
      <c r="C194" s="4">
        <f>20.3831 * CHOOSE(CONTROL!$C$9, $C$13, 100%, $E$13) + CHOOSE(CONTROL!$C$28, 0.0003, 0)</f>
        <v>20.383399999999998</v>
      </c>
      <c r="D194" s="4">
        <f>29.6566 * CHOOSE(CONTROL!$C$9, $C$13, 100%, $E$13) + CHOOSE(CONTROL!$C$28, 0, 0)</f>
        <v>29.656600000000001</v>
      </c>
      <c r="E194" s="4">
        <f>129.596043879376 * CHOOSE(CONTROL!$C$9, $C$13, 100%, $E$13) + CHOOSE(CONTROL!$C$28, 0, 0)</f>
        <v>129.596043879376</v>
      </c>
    </row>
    <row r="195" spans="1:5" ht="15">
      <c r="A195" s="13">
        <v>47423</v>
      </c>
      <c r="B195" s="4">
        <f>20.3043 * CHOOSE(CONTROL!$C$9, $C$13, 100%, $E$13) + CHOOSE(CONTROL!$C$28, 0.0003, 0)</f>
        <v>20.304600000000001</v>
      </c>
      <c r="C195" s="4">
        <f>19.941 * CHOOSE(CONTROL!$C$9, $C$13, 100%, $E$13) + CHOOSE(CONTROL!$C$28, 0.0003, 0)</f>
        <v>19.941299999999998</v>
      </c>
      <c r="D195" s="4">
        <f>29.523 * CHOOSE(CONTROL!$C$9, $C$13, 100%, $E$13) + CHOOSE(CONTROL!$C$28, 0, 0)</f>
        <v>29.523</v>
      </c>
      <c r="E195" s="4">
        <f>126.727419107609 * CHOOSE(CONTROL!$C$9, $C$13, 100%, $E$13) + CHOOSE(CONTROL!$C$28, 0, 0)</f>
        <v>126.72741910760899</v>
      </c>
    </row>
    <row r="196" spans="1:5" ht="15">
      <c r="A196" s="13">
        <v>47453</v>
      </c>
      <c r="B196" s="4">
        <f>19.9984 * CHOOSE(CONTROL!$C$9, $C$13, 100%, $E$13) + CHOOSE(CONTROL!$C$28, 0.0003, 0)</f>
        <v>19.998699999999999</v>
      </c>
      <c r="C196" s="4">
        <f>19.6351 * CHOOSE(CONTROL!$C$9, $C$13, 100%, $E$13) + CHOOSE(CONTROL!$C$28, 0.0003, 0)</f>
        <v>19.635400000000001</v>
      </c>
      <c r="D196" s="4">
        <f>28.5398 * CHOOSE(CONTROL!$C$9, $C$13, 100%, $E$13) + CHOOSE(CONTROL!$C$28, 0, 0)</f>
        <v>28.5398</v>
      </c>
      <c r="E196" s="4">
        <f>124.742699511264 * CHOOSE(CONTROL!$C$9, $C$13, 100%, $E$13) + CHOOSE(CONTROL!$C$28, 0, 0)</f>
        <v>124.74269951126399</v>
      </c>
    </row>
    <row r="197" spans="1:5" ht="15">
      <c r="A197" s="13">
        <v>47484</v>
      </c>
      <c r="B197" s="4">
        <f>19.4199 * CHOOSE(CONTROL!$C$9, $C$13, 100%, $E$13) + CHOOSE(CONTROL!$C$28, 0.0003, 0)</f>
        <v>19.420199999999998</v>
      </c>
      <c r="C197" s="4">
        <f>19.0566 * CHOOSE(CONTROL!$C$9, $C$13, 100%, $E$13) + CHOOSE(CONTROL!$C$28, 0.0003, 0)</f>
        <v>19.056899999999999</v>
      </c>
      <c r="D197" s="4">
        <f>27.6032 * CHOOSE(CONTROL!$C$9, $C$13, 100%, $E$13) + CHOOSE(CONTROL!$C$28, 0, 0)</f>
        <v>27.603200000000001</v>
      </c>
      <c r="E197" s="4">
        <f>120.945559154883 * CHOOSE(CONTROL!$C$9, $C$13, 100%, $E$13) + CHOOSE(CONTROL!$C$28, 0, 0)</f>
        <v>120.945559154883</v>
      </c>
    </row>
    <row r="198" spans="1:5" ht="15">
      <c r="A198" s="13">
        <v>47515</v>
      </c>
      <c r="B198" s="4">
        <f>19.8626 * CHOOSE(CONTROL!$C$9, $C$13, 100%, $E$13) + CHOOSE(CONTROL!$C$28, 0.0003, 0)</f>
        <v>19.8629</v>
      </c>
      <c r="C198" s="4">
        <f>19.4994 * CHOOSE(CONTROL!$C$9, $C$13, 100%, $E$13) + CHOOSE(CONTROL!$C$28, 0.0003, 0)</f>
        <v>19.499700000000001</v>
      </c>
      <c r="D198" s="4">
        <f>28.5121 * CHOOSE(CONTROL!$C$9, $C$13, 100%, $E$13) + CHOOSE(CONTROL!$C$28, 0, 0)</f>
        <v>28.5121</v>
      </c>
      <c r="E198" s="4">
        <f>123.817283364716 * CHOOSE(CONTROL!$C$9, $C$13, 100%, $E$13) + CHOOSE(CONTROL!$C$28, 0, 0)</f>
        <v>123.817283364716</v>
      </c>
    </row>
    <row r="199" spans="1:5" ht="15">
      <c r="A199" s="13">
        <v>47543</v>
      </c>
      <c r="B199" s="4">
        <f>21.0253 * CHOOSE(CONTROL!$C$9, $C$13, 100%, $E$13) + CHOOSE(CONTROL!$C$28, 0.0003, 0)</f>
        <v>21.025600000000001</v>
      </c>
      <c r="C199" s="4">
        <f>20.662 * CHOOSE(CONTROL!$C$9, $C$13, 100%, $E$13) + CHOOSE(CONTROL!$C$28, 0.0003, 0)</f>
        <v>20.662299999999998</v>
      </c>
      <c r="D199" s="4">
        <f>29.9349 * CHOOSE(CONTROL!$C$9, $C$13, 100%, $E$13) + CHOOSE(CONTROL!$C$28, 0, 0)</f>
        <v>29.934899999999999</v>
      </c>
      <c r="E199" s="4">
        <f>131.35858375243 * CHOOSE(CONTROL!$C$9, $C$13, 100%, $E$13) + CHOOSE(CONTROL!$C$28, 0, 0)</f>
        <v>131.35858375243001</v>
      </c>
    </row>
    <row r="200" spans="1:5" ht="15">
      <c r="A200" s="13">
        <v>47574</v>
      </c>
      <c r="B200" s="4">
        <f>21.8514 * CHOOSE(CONTROL!$C$9, $C$13, 100%, $E$13) + CHOOSE(CONTROL!$C$28, 0.0003, 0)</f>
        <v>21.851700000000001</v>
      </c>
      <c r="C200" s="4">
        <f>21.4881 * CHOOSE(CONTROL!$C$9, $C$13, 100%, $E$13) + CHOOSE(CONTROL!$C$28, 0.0003, 0)</f>
        <v>21.488399999999999</v>
      </c>
      <c r="D200" s="4">
        <f>30.7544 * CHOOSE(CONTROL!$C$9, $C$13, 100%, $E$13) + CHOOSE(CONTROL!$C$28, 0, 0)</f>
        <v>30.7544</v>
      </c>
      <c r="E200" s="4">
        <f>136.716778178942 * CHOOSE(CONTROL!$C$9, $C$13, 100%, $E$13) + CHOOSE(CONTROL!$C$28, 0, 0)</f>
        <v>136.71677817894201</v>
      </c>
    </row>
    <row r="201" spans="1:5" ht="15">
      <c r="A201" s="13">
        <v>47604</v>
      </c>
      <c r="B201" s="4">
        <f>22.3561 * CHOOSE(CONTROL!$C$9, $C$13, 100%, $E$13) + CHOOSE(CONTROL!$C$28, 0.0192, 0)</f>
        <v>22.375300000000003</v>
      </c>
      <c r="C201" s="4">
        <f>21.9928 * CHOOSE(CONTROL!$C$9, $C$13, 100%, $E$13) + CHOOSE(CONTROL!$C$28, 0.0192, 0)</f>
        <v>22.012</v>
      </c>
      <c r="D201" s="4">
        <f>30.4306 * CHOOSE(CONTROL!$C$9, $C$13, 100%, $E$13) + CHOOSE(CONTROL!$C$28, 0, 0)</f>
        <v>30.430599999999998</v>
      </c>
      <c r="E201" s="4">
        <f>139.990506555543 * CHOOSE(CONTROL!$C$9, $C$13, 100%, $E$13) + CHOOSE(CONTROL!$C$28, 0, 0)</f>
        <v>139.99050655554299</v>
      </c>
    </row>
    <row r="202" spans="1:5" ht="15">
      <c r="A202" s="13">
        <v>47635</v>
      </c>
      <c r="B202" s="4">
        <f>22.4244 * CHOOSE(CONTROL!$C$9, $C$13, 100%, $E$13) + CHOOSE(CONTROL!$C$28, 0.0192, 0)</f>
        <v>22.4436</v>
      </c>
      <c r="C202" s="4">
        <f>22.0611 * CHOOSE(CONTROL!$C$9, $C$13, 100%, $E$13) + CHOOSE(CONTROL!$C$28, 0.0192, 0)</f>
        <v>22.080300000000001</v>
      </c>
      <c r="D202" s="4">
        <f>30.6943 * CHOOSE(CONTROL!$C$9, $C$13, 100%, $E$13) + CHOOSE(CONTROL!$C$28, 0, 0)</f>
        <v>30.694299999999998</v>
      </c>
      <c r="E202" s="4">
        <f>140.433455591149 * CHOOSE(CONTROL!$C$9, $C$13, 100%, $E$13) + CHOOSE(CONTROL!$C$28, 0, 0)</f>
        <v>140.433455591149</v>
      </c>
    </row>
    <row r="203" spans="1:5" ht="15">
      <c r="A203" s="13">
        <v>47665</v>
      </c>
      <c r="B203" s="4">
        <f>22.4175 * CHOOSE(CONTROL!$C$9, $C$13, 100%, $E$13) + CHOOSE(CONTROL!$C$28, 0.0192, 0)</f>
        <v>22.436700000000002</v>
      </c>
      <c r="C203" s="4">
        <f>22.0542 * CHOOSE(CONTROL!$C$9, $C$13, 100%, $E$13) + CHOOSE(CONTROL!$C$28, 0.0192, 0)</f>
        <v>22.073400000000003</v>
      </c>
      <c r="D203" s="4">
        <f>31.1702 * CHOOSE(CONTROL!$C$9, $C$13, 100%, $E$13) + CHOOSE(CONTROL!$C$28, 0, 0)</f>
        <v>31.170200000000001</v>
      </c>
      <c r="E203" s="4">
        <f>140.388788461509 * CHOOSE(CONTROL!$C$9, $C$13, 100%, $E$13) + CHOOSE(CONTROL!$C$28, 0, 0)</f>
        <v>140.38878846150899</v>
      </c>
    </row>
    <row r="204" spans="1:5" ht="15">
      <c r="A204" s="13">
        <v>47696</v>
      </c>
      <c r="B204" s="4">
        <f>22.9357 * CHOOSE(CONTROL!$C$9, $C$13, 100%, $E$13) + CHOOSE(CONTROL!$C$28, 0.0192, 0)</f>
        <v>22.954900000000002</v>
      </c>
      <c r="C204" s="4">
        <f>22.5724 * CHOOSE(CONTROL!$C$9, $C$13, 100%, $E$13) + CHOOSE(CONTROL!$C$28, 0.0192, 0)</f>
        <v>22.5916</v>
      </c>
      <c r="D204" s="4">
        <f>30.8559 * CHOOSE(CONTROL!$C$9, $C$13, 100%, $E$13) + CHOOSE(CONTROL!$C$28, 0, 0)</f>
        <v>30.855899999999998</v>
      </c>
      <c r="E204" s="4">
        <f>143.74998996699 * CHOOSE(CONTROL!$C$9, $C$13, 100%, $E$13) + CHOOSE(CONTROL!$C$28, 0, 0)</f>
        <v>143.74998996699</v>
      </c>
    </row>
    <row r="205" spans="1:5" ht="15">
      <c r="A205" s="13">
        <v>47727</v>
      </c>
      <c r="B205" s="4">
        <f>22.0525 * CHOOSE(CONTROL!$C$9, $C$13, 100%, $E$13) + CHOOSE(CONTROL!$C$28, 0.0192, 0)</f>
        <v>22.0717</v>
      </c>
      <c r="C205" s="4">
        <f>21.6892 * CHOOSE(CONTROL!$C$9, $C$13, 100%, $E$13) + CHOOSE(CONTROL!$C$28, 0.0192, 0)</f>
        <v>21.708400000000001</v>
      </c>
      <c r="D205" s="4">
        <f>30.7074 * CHOOSE(CONTROL!$C$9, $C$13, 100%, $E$13) + CHOOSE(CONTROL!$C$28, 0, 0)</f>
        <v>30.7074</v>
      </c>
      <c r="E205" s="4">
        <f>138.021430590538 * CHOOSE(CONTROL!$C$9, $C$13, 100%, $E$13) + CHOOSE(CONTROL!$C$28, 0, 0)</f>
        <v>138.02143059053799</v>
      </c>
    </row>
    <row r="206" spans="1:5" ht="15">
      <c r="A206" s="13">
        <v>47757</v>
      </c>
      <c r="B206" s="4">
        <f>21.3455 * CHOOSE(CONTROL!$C$9, $C$13, 100%, $E$13) + CHOOSE(CONTROL!$C$28, 0.0003, 0)</f>
        <v>21.345800000000001</v>
      </c>
      <c r="C206" s="4">
        <f>20.9822 * CHOOSE(CONTROL!$C$9, $C$13, 100%, $E$13) + CHOOSE(CONTROL!$C$28, 0.0003, 0)</f>
        <v>20.982499999999998</v>
      </c>
      <c r="D206" s="4">
        <f>30.3098 * CHOOSE(CONTROL!$C$9, $C$13, 100%, $E$13) + CHOOSE(CONTROL!$C$28, 0, 0)</f>
        <v>30.309799999999999</v>
      </c>
      <c r="E206" s="4">
        <f>133.435605280734 * CHOOSE(CONTROL!$C$9, $C$13, 100%, $E$13) + CHOOSE(CONTROL!$C$28, 0, 0)</f>
        <v>133.43560528073399</v>
      </c>
    </row>
    <row r="207" spans="1:5" ht="15">
      <c r="A207" s="13">
        <v>47788</v>
      </c>
      <c r="B207" s="4">
        <f>20.8902 * CHOOSE(CONTROL!$C$9, $C$13, 100%, $E$13) + CHOOSE(CONTROL!$C$28, 0.0003, 0)</f>
        <v>20.890499999999999</v>
      </c>
      <c r="C207" s="4">
        <f>20.5269 * CHOOSE(CONTROL!$C$9, $C$13, 100%, $E$13) + CHOOSE(CONTROL!$C$28, 0.0003, 0)</f>
        <v>20.527200000000001</v>
      </c>
      <c r="D207" s="4">
        <f>30.1731 * CHOOSE(CONTROL!$C$9, $C$13, 100%, $E$13) + CHOOSE(CONTROL!$C$28, 0, 0)</f>
        <v>30.173100000000002</v>
      </c>
      <c r="E207" s="4">
        <f>130.481991333226 * CHOOSE(CONTROL!$C$9, $C$13, 100%, $E$13) + CHOOSE(CONTROL!$C$28, 0, 0)</f>
        <v>130.48199133322601</v>
      </c>
    </row>
    <row r="208" spans="1:5" ht="15">
      <c r="A208" s="13">
        <v>47818</v>
      </c>
      <c r="B208" s="4">
        <f>20.5751 * CHOOSE(CONTROL!$C$9, $C$13, 100%, $E$13) + CHOOSE(CONTROL!$C$28, 0.0003, 0)</f>
        <v>20.575399999999998</v>
      </c>
      <c r="C208" s="4">
        <f>20.2118 * CHOOSE(CONTROL!$C$9, $C$13, 100%, $E$13) + CHOOSE(CONTROL!$C$28, 0.0003, 0)</f>
        <v>20.2121</v>
      </c>
      <c r="D208" s="4">
        <f>29.1668 * CHOOSE(CONTROL!$C$9, $C$13, 100%, $E$13) + CHOOSE(CONTROL!$C$28, 0, 0)</f>
        <v>29.166799999999999</v>
      </c>
      <c r="E208" s="4">
        <f>128.438470152152 * CHOOSE(CONTROL!$C$9, $C$13, 100%, $E$13) + CHOOSE(CONTROL!$C$28, 0, 0)</f>
        <v>128.43847015215201</v>
      </c>
    </row>
    <row r="209" spans="1:5" ht="15">
      <c r="A209" s="13">
        <v>47849</v>
      </c>
      <c r="B209" s="4">
        <f>20.0969 * CHOOSE(CONTROL!$C$9, $C$13, 100%, $E$13) + CHOOSE(CONTROL!$C$28, 0.0003, 0)</f>
        <v>20.097200000000001</v>
      </c>
      <c r="C209" s="4">
        <f>19.7336 * CHOOSE(CONTROL!$C$9, $C$13, 100%, $E$13) + CHOOSE(CONTROL!$C$28, 0.0003, 0)</f>
        <v>19.733899999999998</v>
      </c>
      <c r="D209" s="4">
        <f>28.3552 * CHOOSE(CONTROL!$C$9, $C$13, 100%, $E$13) + CHOOSE(CONTROL!$C$28, 0, 0)</f>
        <v>28.3552</v>
      </c>
      <c r="E209" s="4">
        <f>125.328013938627 * CHOOSE(CONTROL!$C$9, $C$13, 100%, $E$13) + CHOOSE(CONTROL!$C$28, 0, 0)</f>
        <v>125.328013938627</v>
      </c>
    </row>
    <row r="210" spans="1:5" ht="15">
      <c r="A210" s="13">
        <v>47880</v>
      </c>
      <c r="B210" s="4">
        <f>20.5557 * CHOOSE(CONTROL!$C$9, $C$13, 100%, $E$13) + CHOOSE(CONTROL!$C$28, 0.0003, 0)</f>
        <v>20.556000000000001</v>
      </c>
      <c r="C210" s="4">
        <f>20.1925 * CHOOSE(CONTROL!$C$9, $C$13, 100%, $E$13) + CHOOSE(CONTROL!$C$28, 0.0003, 0)</f>
        <v>20.192799999999998</v>
      </c>
      <c r="D210" s="4">
        <f>29.2906 * CHOOSE(CONTROL!$C$9, $C$13, 100%, $E$13) + CHOOSE(CONTROL!$C$28, 0, 0)</f>
        <v>29.290600000000001</v>
      </c>
      <c r="E210" s="4">
        <f>128.303794895884 * CHOOSE(CONTROL!$C$9, $C$13, 100%, $E$13) + CHOOSE(CONTROL!$C$28, 0, 0)</f>
        <v>128.30379489588401</v>
      </c>
    </row>
    <row r="211" spans="1:5" ht="15">
      <c r="A211" s="13">
        <v>47908</v>
      </c>
      <c r="B211" s="4">
        <f>21.7606 * CHOOSE(CONTROL!$C$9, $C$13, 100%, $E$13) + CHOOSE(CONTROL!$C$28, 0.0003, 0)</f>
        <v>21.760899999999999</v>
      </c>
      <c r="C211" s="4">
        <f>21.3973 * CHOOSE(CONTROL!$C$9, $C$13, 100%, $E$13) + CHOOSE(CONTROL!$C$28, 0.0003, 0)</f>
        <v>21.397600000000001</v>
      </c>
      <c r="D211" s="4">
        <f>30.7549 * CHOOSE(CONTROL!$C$9, $C$13, 100%, $E$13) + CHOOSE(CONTROL!$C$28, 0, 0)</f>
        <v>30.754899999999999</v>
      </c>
      <c r="E211" s="4">
        <f>136.118353832243 * CHOOSE(CONTROL!$C$9, $C$13, 100%, $E$13) + CHOOSE(CONTROL!$C$28, 0, 0)</f>
        <v>136.118353832243</v>
      </c>
    </row>
    <row r="212" spans="1:5" ht="15">
      <c r="A212" s="13">
        <v>47939</v>
      </c>
      <c r="B212" s="4">
        <f>22.6167 * CHOOSE(CONTROL!$C$9, $C$13, 100%, $E$13) + CHOOSE(CONTROL!$C$28, 0.0003, 0)</f>
        <v>22.617000000000001</v>
      </c>
      <c r="C212" s="4">
        <f>22.2534 * CHOOSE(CONTROL!$C$9, $C$13, 100%, $E$13) + CHOOSE(CONTROL!$C$28, 0.0003, 0)</f>
        <v>22.253699999999998</v>
      </c>
      <c r="D212" s="4">
        <f>31.5984 * CHOOSE(CONTROL!$C$9, $C$13, 100%, $E$13) + CHOOSE(CONTROL!$C$28, 0, 0)</f>
        <v>31.598400000000002</v>
      </c>
      <c r="E212" s="4">
        <f>141.670702099217 * CHOOSE(CONTROL!$C$9, $C$13, 100%, $E$13) + CHOOSE(CONTROL!$C$28, 0, 0)</f>
        <v>141.67070209921701</v>
      </c>
    </row>
    <row r="213" spans="1:5" ht="15">
      <c r="A213" s="13">
        <v>47969</v>
      </c>
      <c r="B213" s="4">
        <f>23.1397 * CHOOSE(CONTROL!$C$9, $C$13, 100%, $E$13) + CHOOSE(CONTROL!$C$28, 0.0192, 0)</f>
        <v>23.158900000000003</v>
      </c>
      <c r="C213" s="4">
        <f>22.7765 * CHOOSE(CONTROL!$C$9, $C$13, 100%, $E$13) + CHOOSE(CONTROL!$C$28, 0.0192, 0)</f>
        <v>22.7957</v>
      </c>
      <c r="D213" s="4">
        <f>31.2651 * CHOOSE(CONTROL!$C$9, $C$13, 100%, $E$13) + CHOOSE(CONTROL!$C$28, 0, 0)</f>
        <v>31.2651</v>
      </c>
      <c r="E213" s="4">
        <f>145.063053819123 * CHOOSE(CONTROL!$C$9, $C$13, 100%, $E$13) + CHOOSE(CONTROL!$C$28, 0, 0)</f>
        <v>145.06305381912301</v>
      </c>
    </row>
    <row r="214" spans="1:5" ht="15">
      <c r="A214" s="13">
        <v>48000</v>
      </c>
      <c r="B214" s="4">
        <f>23.2105 * CHOOSE(CONTROL!$C$9, $C$13, 100%, $E$13) + CHOOSE(CONTROL!$C$28, 0.0192, 0)</f>
        <v>23.229700000000001</v>
      </c>
      <c r="C214" s="4">
        <f>22.8472 * CHOOSE(CONTROL!$C$9, $C$13, 100%, $E$13) + CHOOSE(CONTROL!$C$28, 0.0192, 0)</f>
        <v>22.866400000000002</v>
      </c>
      <c r="D214" s="4">
        <f>31.5366 * CHOOSE(CONTROL!$C$9, $C$13, 100%, $E$13) + CHOOSE(CONTROL!$C$28, 0, 0)</f>
        <v>31.5366</v>
      </c>
      <c r="E214" s="4">
        <f>145.522053085375 * CHOOSE(CONTROL!$C$9, $C$13, 100%, $E$13) + CHOOSE(CONTROL!$C$28, 0, 0)</f>
        <v>145.52205308537501</v>
      </c>
    </row>
    <row r="215" spans="1:5" ht="15">
      <c r="A215" s="13">
        <v>48030</v>
      </c>
      <c r="B215" s="4">
        <f>23.2034 * CHOOSE(CONTROL!$C$9, $C$13, 100%, $E$13) + CHOOSE(CONTROL!$C$28, 0.0192, 0)</f>
        <v>23.2226</v>
      </c>
      <c r="C215" s="4">
        <f>22.8401 * CHOOSE(CONTROL!$C$9, $C$13, 100%, $E$13) + CHOOSE(CONTROL!$C$28, 0.0192, 0)</f>
        <v>22.859300000000001</v>
      </c>
      <c r="D215" s="4">
        <f>32.0264 * CHOOSE(CONTROL!$C$9, $C$13, 100%, $E$13) + CHOOSE(CONTROL!$C$28, 0, 0)</f>
        <v>32.026400000000002</v>
      </c>
      <c r="E215" s="4">
        <f>145.47576744508 * CHOOSE(CONTROL!$C$9, $C$13, 100%, $E$13) + CHOOSE(CONTROL!$C$28, 0, 0)</f>
        <v>145.47576744508001</v>
      </c>
    </row>
    <row r="216" spans="1:5" ht="15">
      <c r="A216" s="13">
        <v>48061</v>
      </c>
      <c r="B216" s="4">
        <f>23.7404 * CHOOSE(CONTROL!$C$9, $C$13, 100%, $E$13) + CHOOSE(CONTROL!$C$28, 0.0192, 0)</f>
        <v>23.759600000000002</v>
      </c>
      <c r="C216" s="4">
        <f>23.3771 * CHOOSE(CONTROL!$C$9, $C$13, 100%, $E$13) + CHOOSE(CONTROL!$C$28, 0.0192, 0)</f>
        <v>23.3963</v>
      </c>
      <c r="D216" s="4">
        <f>31.7029 * CHOOSE(CONTROL!$C$9, $C$13, 100%, $E$13) + CHOOSE(CONTROL!$C$28, 0, 0)</f>
        <v>31.7029</v>
      </c>
      <c r="E216" s="4">
        <f>148.958761877229 * CHOOSE(CONTROL!$C$9, $C$13, 100%, $E$13) + CHOOSE(CONTROL!$C$28, 0, 0)</f>
        <v>148.95876187722899</v>
      </c>
    </row>
    <row r="217" spans="1:5" ht="15">
      <c r="A217" s="13">
        <v>48092</v>
      </c>
      <c r="B217" s="4">
        <f>22.8251 * CHOOSE(CONTROL!$C$9, $C$13, 100%, $E$13) + CHOOSE(CONTROL!$C$28, 0.0192, 0)</f>
        <v>22.8443</v>
      </c>
      <c r="C217" s="4">
        <f>22.4619 * CHOOSE(CONTROL!$C$9, $C$13, 100%, $E$13) + CHOOSE(CONTROL!$C$28, 0.0192, 0)</f>
        <v>22.481100000000001</v>
      </c>
      <c r="D217" s="4">
        <f>31.5501 * CHOOSE(CONTROL!$C$9, $C$13, 100%, $E$13) + CHOOSE(CONTROL!$C$28, 0, 0)</f>
        <v>31.5501</v>
      </c>
      <c r="E217" s="4">
        <f>143.022628509481 * CHOOSE(CONTROL!$C$9, $C$13, 100%, $E$13) + CHOOSE(CONTROL!$C$28, 0, 0)</f>
        <v>143.022628509481</v>
      </c>
    </row>
    <row r="218" spans="1:5" ht="15">
      <c r="A218" s="13">
        <v>48122</v>
      </c>
      <c r="B218" s="4">
        <f>22.0925 * CHOOSE(CONTROL!$C$9, $C$13, 100%, $E$13) + CHOOSE(CONTROL!$C$28, 0.0003, 0)</f>
        <v>22.0928</v>
      </c>
      <c r="C218" s="4">
        <f>21.7292 * CHOOSE(CONTROL!$C$9, $C$13, 100%, $E$13) + CHOOSE(CONTROL!$C$28, 0.0003, 0)</f>
        <v>21.729499999999998</v>
      </c>
      <c r="D218" s="4">
        <f>31.1409 * CHOOSE(CONTROL!$C$9, $C$13, 100%, $E$13) + CHOOSE(CONTROL!$C$28, 0, 0)</f>
        <v>31.140899999999998</v>
      </c>
      <c r="E218" s="4">
        <f>138.27063610593 * CHOOSE(CONTROL!$C$9, $C$13, 100%, $E$13) + CHOOSE(CONTROL!$C$28, 0, 0)</f>
        <v>138.27063610593001</v>
      </c>
    </row>
    <row r="219" spans="1:5" ht="15">
      <c r="A219" s="13">
        <v>48153</v>
      </c>
      <c r="B219" s="4">
        <f>21.6206 * CHOOSE(CONTROL!$C$9, $C$13, 100%, $E$13) + CHOOSE(CONTROL!$C$28, 0.0003, 0)</f>
        <v>21.620899999999999</v>
      </c>
      <c r="C219" s="4">
        <f>21.2573 * CHOOSE(CONTROL!$C$9, $C$13, 100%, $E$13) + CHOOSE(CONTROL!$C$28, 0.0003, 0)</f>
        <v>21.2576</v>
      </c>
      <c r="D219" s="4">
        <f>31.0002 * CHOOSE(CONTROL!$C$9, $C$13, 100%, $E$13) + CHOOSE(CONTROL!$C$28, 0, 0)</f>
        <v>31.0002</v>
      </c>
      <c r="E219" s="4">
        <f>135.209998141467 * CHOOSE(CONTROL!$C$9, $C$13, 100%, $E$13) + CHOOSE(CONTROL!$C$28, 0, 0)</f>
        <v>135.209998141467</v>
      </c>
    </row>
    <row r="220" spans="1:5" ht="15">
      <c r="A220" s="13">
        <v>48183</v>
      </c>
      <c r="B220" s="4">
        <f>21.2941 * CHOOSE(CONTROL!$C$9, $C$13, 100%, $E$13) + CHOOSE(CONTROL!$C$28, 0.0003, 0)</f>
        <v>21.2944</v>
      </c>
      <c r="C220" s="4">
        <f>20.9308 * CHOOSE(CONTROL!$C$9, $C$13, 100%, $E$13) + CHOOSE(CONTROL!$C$28, 0.0003, 0)</f>
        <v>20.931100000000001</v>
      </c>
      <c r="D220" s="4">
        <f>29.9644 * CHOOSE(CONTROL!$C$9, $C$13, 100%, $E$13) + CHOOSE(CONTROL!$C$28, 0, 0)</f>
        <v>29.964400000000001</v>
      </c>
      <c r="E220" s="4">
        <f>133.092430098001 * CHOOSE(CONTROL!$C$9, $C$13, 100%, $E$13) + CHOOSE(CONTROL!$C$28, 0, 0)</f>
        <v>133.09243009800099</v>
      </c>
    </row>
    <row r="221" spans="1:5" ht="15">
      <c r="A221" s="13">
        <v>48214</v>
      </c>
      <c r="B221" s="4">
        <f>20.7881 * CHOOSE(CONTROL!$C$9, $C$13, 100%, $E$13) + CHOOSE(CONTROL!$C$28, 0.0003, 0)</f>
        <v>20.788399999999999</v>
      </c>
      <c r="C221" s="4">
        <f>20.4248 * CHOOSE(CONTROL!$C$9, $C$13, 100%, $E$13) + CHOOSE(CONTROL!$C$28, 0.0003, 0)</f>
        <v>20.4251</v>
      </c>
      <c r="D221" s="4">
        <f>29.1072 * CHOOSE(CONTROL!$C$9, $C$13, 100%, $E$13) + CHOOSE(CONTROL!$C$28, 0, 0)</f>
        <v>29.107199999999999</v>
      </c>
      <c r="E221" s="4">
        <f>129.710069271808 * CHOOSE(CONTROL!$C$9, $C$13, 100%, $E$13) + CHOOSE(CONTROL!$C$28, 0, 0)</f>
        <v>129.71006927180801</v>
      </c>
    </row>
    <row r="222" spans="1:5" ht="15">
      <c r="A222" s="13">
        <v>48245</v>
      </c>
      <c r="B222" s="4">
        <f>21.2633 * CHOOSE(CONTROL!$C$9, $C$13, 100%, $E$13) + CHOOSE(CONTROL!$C$28, 0.0003, 0)</f>
        <v>21.2636</v>
      </c>
      <c r="C222" s="4">
        <f>20.9 * CHOOSE(CONTROL!$C$9, $C$13, 100%, $E$13) + CHOOSE(CONTROL!$C$28, 0.0003, 0)</f>
        <v>20.900299999999998</v>
      </c>
      <c r="D222" s="4">
        <f>30.0692 * CHOOSE(CONTROL!$C$9, $C$13, 100%, $E$13) + CHOOSE(CONTROL!$C$28, 0, 0)</f>
        <v>30.069199999999999</v>
      </c>
      <c r="E222" s="4">
        <f>132.789897491957 * CHOOSE(CONTROL!$C$9, $C$13, 100%, $E$13) + CHOOSE(CONTROL!$C$28, 0, 0)</f>
        <v>132.78989749195699</v>
      </c>
    </row>
    <row r="223" spans="1:5" ht="15">
      <c r="A223" s="13">
        <v>48274</v>
      </c>
      <c r="B223" s="4">
        <f>22.5113 * CHOOSE(CONTROL!$C$9, $C$13, 100%, $E$13) + CHOOSE(CONTROL!$C$28, 0.0003, 0)</f>
        <v>22.511599999999998</v>
      </c>
      <c r="C223" s="4">
        <f>22.148 * CHOOSE(CONTROL!$C$9, $C$13, 100%, $E$13) + CHOOSE(CONTROL!$C$28, 0.0003, 0)</f>
        <v>22.148299999999999</v>
      </c>
      <c r="D223" s="4">
        <f>31.575 * CHOOSE(CONTROL!$C$9, $C$13, 100%, $E$13) + CHOOSE(CONTROL!$C$28, 0, 0)</f>
        <v>31.574999999999999</v>
      </c>
      <c r="E223" s="4">
        <f>140.877690070081 * CHOOSE(CONTROL!$C$9, $C$13, 100%, $E$13) + CHOOSE(CONTROL!$C$28, 0, 0)</f>
        <v>140.877690070081</v>
      </c>
    </row>
    <row r="224" spans="1:5" ht="15">
      <c r="A224" s="13">
        <v>48305</v>
      </c>
      <c r="B224" s="4">
        <f>23.398 * CHOOSE(CONTROL!$C$9, $C$13, 100%, $E$13) + CHOOSE(CONTROL!$C$28, 0.0003, 0)</f>
        <v>23.398299999999999</v>
      </c>
      <c r="C224" s="4">
        <f>23.0347 * CHOOSE(CONTROL!$C$9, $C$13, 100%, $E$13) + CHOOSE(CONTROL!$C$28, 0.0003, 0)</f>
        <v>23.035</v>
      </c>
      <c r="D224" s="4">
        <f>32.4425 * CHOOSE(CONTROL!$C$9, $C$13, 100%, $E$13) + CHOOSE(CONTROL!$C$28, 0, 0)</f>
        <v>32.442500000000003</v>
      </c>
      <c r="E224" s="4">
        <f>146.624174480845 * CHOOSE(CONTROL!$C$9, $C$13, 100%, $E$13) + CHOOSE(CONTROL!$C$28, 0, 0)</f>
        <v>146.624174480845</v>
      </c>
    </row>
    <row r="225" spans="1:5" ht="15">
      <c r="A225" s="13">
        <v>48335</v>
      </c>
      <c r="B225" s="4">
        <f>23.9397 * CHOOSE(CONTROL!$C$9, $C$13, 100%, $E$13) + CHOOSE(CONTROL!$C$28, 0.0192, 0)</f>
        <v>23.9589</v>
      </c>
      <c r="C225" s="4">
        <f>23.5764 * CHOOSE(CONTROL!$C$9, $C$13, 100%, $E$13) + CHOOSE(CONTROL!$C$28, 0.0192, 0)</f>
        <v>23.595600000000001</v>
      </c>
      <c r="D225" s="4">
        <f>32.0997 * CHOOSE(CONTROL!$C$9, $C$13, 100%, $E$13) + CHOOSE(CONTROL!$C$28, 0, 0)</f>
        <v>32.099699999999999</v>
      </c>
      <c r="E225" s="4">
        <f>150.135138731813 * CHOOSE(CONTROL!$C$9, $C$13, 100%, $E$13) + CHOOSE(CONTROL!$C$28, 0, 0)</f>
        <v>150.13513873181299</v>
      </c>
    </row>
    <row r="226" spans="1:5" ht="15">
      <c r="A226" s="13">
        <v>48366</v>
      </c>
      <c r="B226" s="4">
        <f>24.013 * CHOOSE(CONTROL!$C$9, $C$13, 100%, $E$13) + CHOOSE(CONTROL!$C$28, 0.0192, 0)</f>
        <v>24.032200000000003</v>
      </c>
      <c r="C226" s="4">
        <f>23.6497 * CHOOSE(CONTROL!$C$9, $C$13, 100%, $E$13) + CHOOSE(CONTROL!$C$28, 0.0192, 0)</f>
        <v>23.668900000000001</v>
      </c>
      <c r="D226" s="4">
        <f>32.3788 * CHOOSE(CONTROL!$C$9, $C$13, 100%, $E$13) + CHOOSE(CONTROL!$C$28, 0, 0)</f>
        <v>32.378799999999998</v>
      </c>
      <c r="E226" s="4">
        <f>150.610186765769 * CHOOSE(CONTROL!$C$9, $C$13, 100%, $E$13) + CHOOSE(CONTROL!$C$28, 0, 0)</f>
        <v>150.61018676576899</v>
      </c>
    </row>
    <row r="227" spans="1:5" ht="15">
      <c r="A227" s="13">
        <v>48396</v>
      </c>
      <c r="B227" s="4">
        <f>24.0056 * CHOOSE(CONTROL!$C$9, $C$13, 100%, $E$13) + CHOOSE(CONTROL!$C$28, 0.0192, 0)</f>
        <v>24.024800000000003</v>
      </c>
      <c r="C227" s="4">
        <f>23.6423 * CHOOSE(CONTROL!$C$9, $C$13, 100%, $E$13) + CHOOSE(CONTROL!$C$28, 0.0192, 0)</f>
        <v>23.6615</v>
      </c>
      <c r="D227" s="4">
        <f>32.8825 * CHOOSE(CONTROL!$C$9, $C$13, 100%, $E$13) + CHOOSE(CONTROL!$C$28, 0, 0)</f>
        <v>32.8825</v>
      </c>
      <c r="E227" s="4">
        <f>150.562282762345 * CHOOSE(CONTROL!$C$9, $C$13, 100%, $E$13) + CHOOSE(CONTROL!$C$28, 0, 0)</f>
        <v>150.56228276234501</v>
      </c>
    </row>
    <row r="228" spans="1:5" ht="15">
      <c r="A228" s="13">
        <v>48427</v>
      </c>
      <c r="B228" s="4">
        <f>24.5618 * CHOOSE(CONTROL!$C$9, $C$13, 100%, $E$13) + CHOOSE(CONTROL!$C$28, 0.0192, 0)</f>
        <v>24.581000000000003</v>
      </c>
      <c r="C228" s="4">
        <f>24.1986 * CHOOSE(CONTROL!$C$9, $C$13, 100%, $E$13) + CHOOSE(CONTROL!$C$28, 0.0192, 0)</f>
        <v>24.2178</v>
      </c>
      <c r="D228" s="4">
        <f>32.5499 * CHOOSE(CONTROL!$C$9, $C$13, 100%, $E$13) + CHOOSE(CONTROL!$C$28, 0, 0)</f>
        <v>32.549900000000001</v>
      </c>
      <c r="E228" s="4">
        <f>154.167059020018 * CHOOSE(CONTROL!$C$9, $C$13, 100%, $E$13) + CHOOSE(CONTROL!$C$28, 0, 0)</f>
        <v>154.167059020018</v>
      </c>
    </row>
    <row r="229" spans="1:5" ht="15">
      <c r="A229" s="13">
        <v>48458</v>
      </c>
      <c r="B229" s="4">
        <f>23.6139 * CHOOSE(CONTROL!$C$9, $C$13, 100%, $E$13) + CHOOSE(CONTROL!$C$28, 0.0192, 0)</f>
        <v>23.633100000000002</v>
      </c>
      <c r="C229" s="4">
        <f>23.2506 * CHOOSE(CONTROL!$C$9, $C$13, 100%, $E$13) + CHOOSE(CONTROL!$C$28, 0.0192, 0)</f>
        <v>23.2698</v>
      </c>
      <c r="D229" s="4">
        <f>32.3927 * CHOOSE(CONTROL!$C$9, $C$13, 100%, $E$13) + CHOOSE(CONTROL!$C$28, 0, 0)</f>
        <v>32.392699999999998</v>
      </c>
      <c r="E229" s="4">
        <f>148.023370580861 * CHOOSE(CONTROL!$C$9, $C$13, 100%, $E$13) + CHOOSE(CONTROL!$C$28, 0, 0)</f>
        <v>148.02337058086101</v>
      </c>
    </row>
    <row r="230" spans="1:5" ht="15">
      <c r="A230" s="13">
        <v>48488</v>
      </c>
      <c r="B230" s="4">
        <f>22.855 * CHOOSE(CONTROL!$C$9, $C$13, 100%, $E$13) + CHOOSE(CONTROL!$C$28, 0.0003, 0)</f>
        <v>22.8553</v>
      </c>
      <c r="C230" s="4">
        <f>22.4917 * CHOOSE(CONTROL!$C$9, $C$13, 100%, $E$13) + CHOOSE(CONTROL!$C$28, 0.0003, 0)</f>
        <v>22.492000000000001</v>
      </c>
      <c r="D230" s="4">
        <f>31.9719 * CHOOSE(CONTROL!$C$9, $C$13, 100%, $E$13) + CHOOSE(CONTROL!$C$28, 0, 0)</f>
        <v>31.971900000000002</v>
      </c>
      <c r="E230" s="4">
        <f>143.105226229307 * CHOOSE(CONTROL!$C$9, $C$13, 100%, $E$13) + CHOOSE(CONTROL!$C$28, 0, 0)</f>
        <v>143.10522622930699</v>
      </c>
    </row>
    <row r="231" spans="1:5" ht="15">
      <c r="A231" s="13">
        <v>48519</v>
      </c>
      <c r="B231" s="4">
        <f>22.3662 * CHOOSE(CONTROL!$C$9, $C$13, 100%, $E$13) + CHOOSE(CONTROL!$C$28, 0.0003, 0)</f>
        <v>22.366499999999998</v>
      </c>
      <c r="C231" s="4">
        <f>22.0029 * CHOOSE(CONTROL!$C$9, $C$13, 100%, $E$13) + CHOOSE(CONTROL!$C$28, 0.0003, 0)</f>
        <v>22.0032</v>
      </c>
      <c r="D231" s="4">
        <f>31.8272 * CHOOSE(CONTROL!$C$9, $C$13, 100%, $E$13) + CHOOSE(CONTROL!$C$28, 0, 0)</f>
        <v>31.827200000000001</v>
      </c>
      <c r="E231" s="4">
        <f>139.93757400288 * CHOOSE(CONTROL!$C$9, $C$13, 100%, $E$13) + CHOOSE(CONTROL!$C$28, 0, 0)</f>
        <v>139.93757400288001</v>
      </c>
    </row>
    <row r="232" spans="1:5" ht="15">
      <c r="A232" s="13">
        <v>48549</v>
      </c>
      <c r="B232" s="4">
        <f>22.028 * CHOOSE(CONTROL!$C$9, $C$13, 100%, $E$13) + CHOOSE(CONTROL!$C$28, 0.0003, 0)</f>
        <v>22.028299999999998</v>
      </c>
      <c r="C232" s="4">
        <f>21.6647 * CHOOSE(CONTROL!$C$9, $C$13, 100%, $E$13) + CHOOSE(CONTROL!$C$28, 0.0003, 0)</f>
        <v>21.664999999999999</v>
      </c>
      <c r="D232" s="4">
        <f>30.7621 * CHOOSE(CONTROL!$C$9, $C$13, 100%, $E$13) + CHOOSE(CONTROL!$C$28, 0, 0)</f>
        <v>30.7621</v>
      </c>
      <c r="E232" s="4">
        <f>137.745965846222 * CHOOSE(CONTROL!$C$9, $C$13, 100%, $E$13) + CHOOSE(CONTROL!$C$28, 0, 0)</f>
        <v>137.74596584622199</v>
      </c>
    </row>
    <row r="233" spans="1:5" ht="15">
      <c r="A233" s="13">
        <v>48580</v>
      </c>
      <c r="B233" s="4">
        <f>21.4792 * CHOOSE(CONTROL!$C$9, $C$13, 100%, $E$13) + CHOOSE(CONTROL!$C$28, 0.0003, 0)</f>
        <v>21.479499999999998</v>
      </c>
      <c r="C233" s="4">
        <f>21.1159 * CHOOSE(CONTROL!$C$9, $C$13, 100%, $E$13) + CHOOSE(CONTROL!$C$28, 0.0003, 0)</f>
        <v>21.116199999999999</v>
      </c>
      <c r="D233" s="4">
        <f>29.8592 * CHOOSE(CONTROL!$C$9, $C$13, 100%, $E$13) + CHOOSE(CONTROL!$C$28, 0, 0)</f>
        <v>29.859200000000001</v>
      </c>
      <c r="E233" s="4">
        <f>134.091697606109 * CHOOSE(CONTROL!$C$9, $C$13, 100%, $E$13) + CHOOSE(CONTROL!$C$28, 0, 0)</f>
        <v>134.09169760610899</v>
      </c>
    </row>
    <row r="234" spans="1:5" ht="15">
      <c r="A234" s="13">
        <v>48611</v>
      </c>
      <c r="B234" s="4">
        <f>21.9708 * CHOOSE(CONTROL!$C$9, $C$13, 100%, $E$13) + CHOOSE(CONTROL!$C$28, 0.0003, 0)</f>
        <v>21.9711</v>
      </c>
      <c r="C234" s="4">
        <f>21.6075 * CHOOSE(CONTROL!$C$9, $C$13, 100%, $E$13) + CHOOSE(CONTROL!$C$28, 0.0003, 0)</f>
        <v>21.607800000000001</v>
      </c>
      <c r="D234" s="4">
        <f>30.8477 * CHOOSE(CONTROL!$C$9, $C$13, 100%, $E$13) + CHOOSE(CONTROL!$C$28, 0, 0)</f>
        <v>30.8477</v>
      </c>
      <c r="E234" s="4">
        <f>137.275562950515 * CHOOSE(CONTROL!$C$9, $C$13, 100%, $E$13) + CHOOSE(CONTROL!$C$28, 0, 0)</f>
        <v>137.275562950515</v>
      </c>
    </row>
    <row r="235" spans="1:5" ht="15">
      <c r="A235" s="13">
        <v>48639</v>
      </c>
      <c r="B235" s="4">
        <f>23.2619 * CHOOSE(CONTROL!$C$9, $C$13, 100%, $E$13) + CHOOSE(CONTROL!$C$28, 0.0003, 0)</f>
        <v>23.2622</v>
      </c>
      <c r="C235" s="4">
        <f>22.8986 * CHOOSE(CONTROL!$C$9, $C$13, 100%, $E$13) + CHOOSE(CONTROL!$C$28, 0.0003, 0)</f>
        <v>22.898899999999998</v>
      </c>
      <c r="D235" s="4">
        <f>32.3951 * CHOOSE(CONTROL!$C$9, $C$13, 100%, $E$13) + CHOOSE(CONTROL!$C$28, 0, 0)</f>
        <v>32.395099999999999</v>
      </c>
      <c r="E235" s="4">
        <f>145.636562545806 * CHOOSE(CONTROL!$C$9, $C$13, 100%, $E$13) + CHOOSE(CONTROL!$C$28, 0, 0)</f>
        <v>145.63656254580599</v>
      </c>
    </row>
    <row r="236" spans="1:5" ht="15">
      <c r="A236" s="13">
        <v>48670</v>
      </c>
      <c r="B236" s="4">
        <f>24.1792 * CHOOSE(CONTROL!$C$9, $C$13, 100%, $E$13) + CHOOSE(CONTROL!$C$28, 0.0003, 0)</f>
        <v>24.179500000000001</v>
      </c>
      <c r="C236" s="4">
        <f>23.8159 * CHOOSE(CONTROL!$C$9, $C$13, 100%, $E$13) + CHOOSE(CONTROL!$C$28, 0.0003, 0)</f>
        <v>23.816199999999998</v>
      </c>
      <c r="D236" s="4">
        <f>33.2865 * CHOOSE(CONTROL!$C$9, $C$13, 100%, $E$13) + CHOOSE(CONTROL!$C$28, 0, 0)</f>
        <v>33.286499999999997</v>
      </c>
      <c r="E236" s="4">
        <f>151.57716418323 * CHOOSE(CONTROL!$C$9, $C$13, 100%, $E$13) + CHOOSE(CONTROL!$C$28, 0, 0)</f>
        <v>151.57716418323</v>
      </c>
    </row>
    <row r="237" spans="1:5" ht="15">
      <c r="A237" s="13">
        <v>48700</v>
      </c>
      <c r="B237" s="4">
        <f>24.7397 * CHOOSE(CONTROL!$C$9, $C$13, 100%, $E$13) + CHOOSE(CONTROL!$C$28, 0.0192, 0)</f>
        <v>24.758900000000001</v>
      </c>
      <c r="C237" s="4">
        <f>24.3764 * CHOOSE(CONTROL!$C$9, $C$13, 100%, $E$13) + CHOOSE(CONTROL!$C$28, 0.0192, 0)</f>
        <v>24.395600000000002</v>
      </c>
      <c r="D237" s="4">
        <f>32.9343 * CHOOSE(CONTROL!$C$9, $C$13, 100%, $E$13) + CHOOSE(CONTROL!$C$28, 0, 0)</f>
        <v>32.9343</v>
      </c>
      <c r="E237" s="4">
        <f>155.206729407345 * CHOOSE(CONTROL!$C$9, $C$13, 100%, $E$13) + CHOOSE(CONTROL!$C$28, 0, 0)</f>
        <v>155.20672940734499</v>
      </c>
    </row>
    <row r="238" spans="1:5" ht="15">
      <c r="A238" s="13">
        <v>48731</v>
      </c>
      <c r="B238" s="4">
        <f>24.8155 * CHOOSE(CONTROL!$C$9, $C$13, 100%, $E$13) + CHOOSE(CONTROL!$C$28, 0.0192, 0)</f>
        <v>24.834700000000002</v>
      </c>
      <c r="C238" s="4">
        <f>24.4522 * CHOOSE(CONTROL!$C$9, $C$13, 100%, $E$13) + CHOOSE(CONTROL!$C$28, 0.0192, 0)</f>
        <v>24.471400000000003</v>
      </c>
      <c r="D238" s="4">
        <f>33.2211 * CHOOSE(CONTROL!$C$9, $C$13, 100%, $E$13) + CHOOSE(CONTROL!$C$28, 0, 0)</f>
        <v>33.2211</v>
      </c>
      <c r="E238" s="4">
        <f>155.697824645173 * CHOOSE(CONTROL!$C$9, $C$13, 100%, $E$13) + CHOOSE(CONTROL!$C$28, 0, 0)</f>
        <v>155.697824645173</v>
      </c>
    </row>
    <row r="239" spans="1:5" ht="15">
      <c r="A239" s="13">
        <v>48761</v>
      </c>
      <c r="B239" s="4">
        <f>24.8079 * CHOOSE(CONTROL!$C$9, $C$13, 100%, $E$13) + CHOOSE(CONTROL!$C$28, 0.0192, 0)</f>
        <v>24.827100000000002</v>
      </c>
      <c r="C239" s="4">
        <f>24.4446 * CHOOSE(CONTROL!$C$9, $C$13, 100%, $E$13) + CHOOSE(CONTROL!$C$28, 0.0192, 0)</f>
        <v>24.463800000000003</v>
      </c>
      <c r="D239" s="4">
        <f>33.7387 * CHOOSE(CONTROL!$C$9, $C$13, 100%, $E$13) + CHOOSE(CONTROL!$C$28, 0, 0)</f>
        <v>33.738700000000001</v>
      </c>
      <c r="E239" s="4">
        <f>155.648302436317 * CHOOSE(CONTROL!$C$9, $C$13, 100%, $E$13) + CHOOSE(CONTROL!$C$28, 0, 0)</f>
        <v>155.64830243631701</v>
      </c>
    </row>
    <row r="240" spans="1:5" ht="15">
      <c r="A240" s="13">
        <v>48792</v>
      </c>
      <c r="B240" s="4">
        <f>25.3833 * CHOOSE(CONTROL!$C$9, $C$13, 100%, $E$13) + CHOOSE(CONTROL!$C$28, 0.0192, 0)</f>
        <v>25.4025</v>
      </c>
      <c r="C240" s="4">
        <f>25.02 * CHOOSE(CONTROL!$C$9, $C$13, 100%, $E$13) + CHOOSE(CONTROL!$C$28, 0.0192, 0)</f>
        <v>25.039200000000001</v>
      </c>
      <c r="D240" s="4">
        <f>33.3969 * CHOOSE(CONTROL!$C$9, $C$13, 100%, $E$13) + CHOOSE(CONTROL!$C$28, 0, 0)</f>
        <v>33.396900000000002</v>
      </c>
      <c r="E240" s="4">
        <f>159.374848652776 * CHOOSE(CONTROL!$C$9, $C$13, 100%, $E$13) + CHOOSE(CONTROL!$C$28, 0, 0)</f>
        <v>159.374848652776</v>
      </c>
    </row>
    <row r="241" spans="1:5" ht="15">
      <c r="A241" s="13">
        <v>48823</v>
      </c>
      <c r="B241" s="4">
        <f>24.4026 * CHOOSE(CONTROL!$C$9, $C$13, 100%, $E$13) + CHOOSE(CONTROL!$C$28, 0.0192, 0)</f>
        <v>24.421800000000001</v>
      </c>
      <c r="C241" s="4">
        <f>24.0393 * CHOOSE(CONTROL!$C$9, $C$13, 100%, $E$13) + CHOOSE(CONTROL!$C$28, 0.0192, 0)</f>
        <v>24.058500000000002</v>
      </c>
      <c r="D241" s="4">
        <f>33.2354 * CHOOSE(CONTROL!$C$9, $C$13, 100%, $E$13) + CHOOSE(CONTROL!$C$28, 0, 0)</f>
        <v>33.235399999999998</v>
      </c>
      <c r="E241" s="4">
        <f>153.023625366916 * CHOOSE(CONTROL!$C$9, $C$13, 100%, $E$13) + CHOOSE(CONTROL!$C$28, 0, 0)</f>
        <v>153.02362536691601</v>
      </c>
    </row>
    <row r="242" spans="1:5" ht="15">
      <c r="A242" s="13">
        <v>48853</v>
      </c>
      <c r="B242" s="4">
        <f>23.6175 * CHOOSE(CONTROL!$C$9, $C$13, 100%, $E$13) + CHOOSE(CONTROL!$C$28, 0.0003, 0)</f>
        <v>23.617799999999999</v>
      </c>
      <c r="C242" s="4">
        <f>23.2542 * CHOOSE(CONTROL!$C$9, $C$13, 100%, $E$13) + CHOOSE(CONTROL!$C$28, 0.0003, 0)</f>
        <v>23.2545</v>
      </c>
      <c r="D242" s="4">
        <f>32.8029 * CHOOSE(CONTROL!$C$9, $C$13, 100%, $E$13) + CHOOSE(CONTROL!$C$28, 0, 0)</f>
        <v>32.802900000000001</v>
      </c>
      <c r="E242" s="4">
        <f>147.939345257638 * CHOOSE(CONTROL!$C$9, $C$13, 100%, $E$13) + CHOOSE(CONTROL!$C$28, 0, 0)</f>
        <v>147.939345257638</v>
      </c>
    </row>
    <row r="243" spans="1:5" ht="15">
      <c r="A243" s="13">
        <v>48884</v>
      </c>
      <c r="B243" s="4">
        <f>23.1118 * CHOOSE(CONTROL!$C$9, $C$13, 100%, $E$13) + CHOOSE(CONTROL!$C$28, 0.0003, 0)</f>
        <v>23.112099999999998</v>
      </c>
      <c r="C243" s="4">
        <f>22.7485 * CHOOSE(CONTROL!$C$9, $C$13, 100%, $E$13) + CHOOSE(CONTROL!$C$28, 0.0003, 0)</f>
        <v>22.748799999999999</v>
      </c>
      <c r="D243" s="4">
        <f>32.6543 * CHOOSE(CONTROL!$C$9, $C$13, 100%, $E$13) + CHOOSE(CONTROL!$C$28, 0, 0)</f>
        <v>32.654299999999999</v>
      </c>
      <c r="E243" s="4">
        <f>144.664689196995 * CHOOSE(CONTROL!$C$9, $C$13, 100%, $E$13) + CHOOSE(CONTROL!$C$28, 0, 0)</f>
        <v>144.664689196995</v>
      </c>
    </row>
    <row r="244" spans="1:5" ht="15">
      <c r="A244" s="13">
        <v>48914</v>
      </c>
      <c r="B244" s="4">
        <f>22.762 * CHOOSE(CONTROL!$C$9, $C$13, 100%, $E$13) + CHOOSE(CONTROL!$C$28, 0.0003, 0)</f>
        <v>22.7623</v>
      </c>
      <c r="C244" s="4">
        <f>22.3987 * CHOOSE(CONTROL!$C$9, $C$13, 100%, $E$13) + CHOOSE(CONTROL!$C$28, 0.0003, 0)</f>
        <v>22.399000000000001</v>
      </c>
      <c r="D244" s="4">
        <f>31.5598 * CHOOSE(CONTROL!$C$9, $C$13, 100%, $E$13) + CHOOSE(CONTROL!$C$28, 0, 0)</f>
        <v>31.559799999999999</v>
      </c>
      <c r="E244" s="4">
        <f>142.399048141805 * CHOOSE(CONTROL!$C$9, $C$13, 100%, $E$13) + CHOOSE(CONTROL!$C$28, 0, 0)</f>
        <v>142.399048141805</v>
      </c>
    </row>
    <row r="245" spans="1:5" ht="15">
      <c r="A245" s="13">
        <v>48945</v>
      </c>
      <c r="B245" s="4">
        <f>22.1703 * CHOOSE(CONTROL!$C$9, $C$13, 100%, $E$13) + CHOOSE(CONTROL!$C$28, 0.0003, 0)</f>
        <v>22.1706</v>
      </c>
      <c r="C245" s="4">
        <f>21.807 * CHOOSE(CONTROL!$C$9, $C$13, 100%, $E$13) + CHOOSE(CONTROL!$C$28, 0.0003, 0)</f>
        <v>21.807299999999998</v>
      </c>
      <c r="D245" s="4">
        <f>30.6112 * CHOOSE(CONTROL!$C$9, $C$13, 100%, $E$13) + CHOOSE(CONTROL!$C$28, 0, 0)</f>
        <v>30.6112</v>
      </c>
      <c r="E245" s="4">
        <f>138.472926489847 * CHOOSE(CONTROL!$C$9, $C$13, 100%, $E$13) + CHOOSE(CONTROL!$C$28, 0, 0)</f>
        <v>138.472926489847</v>
      </c>
    </row>
    <row r="246" spans="1:5" ht="15">
      <c r="A246" s="13">
        <v>48976</v>
      </c>
      <c r="B246" s="4">
        <f>22.6784 * CHOOSE(CONTROL!$C$9, $C$13, 100%, $E$13) + CHOOSE(CONTROL!$C$28, 0.0003, 0)</f>
        <v>22.678699999999999</v>
      </c>
      <c r="C246" s="4">
        <f>22.3151 * CHOOSE(CONTROL!$C$9, $C$13, 100%, $E$13) + CHOOSE(CONTROL!$C$28, 0.0003, 0)</f>
        <v>22.3154</v>
      </c>
      <c r="D246" s="4">
        <f>31.6263 * CHOOSE(CONTROL!$C$9, $C$13, 100%, $E$13) + CHOOSE(CONTROL!$C$28, 0, 0)</f>
        <v>31.626300000000001</v>
      </c>
      <c r="E246" s="4">
        <f>141.760819473979 * CHOOSE(CONTROL!$C$9, $C$13, 100%, $E$13) + CHOOSE(CONTROL!$C$28, 0, 0)</f>
        <v>141.76081947397901</v>
      </c>
    </row>
    <row r="247" spans="1:5" ht="15">
      <c r="A247" s="13">
        <v>49004</v>
      </c>
      <c r="B247" s="4">
        <f>24.0125 * CHOOSE(CONTROL!$C$9, $C$13, 100%, $E$13) + CHOOSE(CONTROL!$C$28, 0.0003, 0)</f>
        <v>24.012799999999999</v>
      </c>
      <c r="C247" s="4">
        <f>23.6492 * CHOOSE(CONTROL!$C$9, $C$13, 100%, $E$13) + CHOOSE(CONTROL!$C$28, 0.0003, 0)</f>
        <v>23.6495</v>
      </c>
      <c r="D247" s="4">
        <f>33.2152 * CHOOSE(CONTROL!$C$9, $C$13, 100%, $E$13) + CHOOSE(CONTROL!$C$28, 0, 0)</f>
        <v>33.215200000000003</v>
      </c>
      <c r="E247" s="4">
        <f>150.395001179555 * CHOOSE(CONTROL!$C$9, $C$13, 100%, $E$13) + CHOOSE(CONTROL!$C$28, 0, 0)</f>
        <v>150.39500117955501</v>
      </c>
    </row>
    <row r="248" spans="1:5" ht="15">
      <c r="A248" s="13">
        <v>49035</v>
      </c>
      <c r="B248" s="4">
        <f>24.9605 * CHOOSE(CONTROL!$C$9, $C$13, 100%, $E$13) + CHOOSE(CONTROL!$C$28, 0.0003, 0)</f>
        <v>24.960799999999999</v>
      </c>
      <c r="C248" s="4">
        <f>24.5972 * CHOOSE(CONTROL!$C$9, $C$13, 100%, $E$13) + CHOOSE(CONTROL!$C$28, 0.0003, 0)</f>
        <v>24.5975</v>
      </c>
      <c r="D248" s="4">
        <f>34.1305 * CHOOSE(CONTROL!$C$9, $C$13, 100%, $E$13) + CHOOSE(CONTROL!$C$28, 0, 0)</f>
        <v>34.130499999999998</v>
      </c>
      <c r="E248" s="4">
        <f>156.529702346967 * CHOOSE(CONTROL!$C$9, $C$13, 100%, $E$13) + CHOOSE(CONTROL!$C$28, 0, 0)</f>
        <v>156.52970234696701</v>
      </c>
    </row>
    <row r="249" spans="1:5" ht="15">
      <c r="A249" s="13">
        <v>49065</v>
      </c>
      <c r="B249" s="4">
        <f>25.5396 * CHOOSE(CONTROL!$C$9, $C$13, 100%, $E$13) + CHOOSE(CONTROL!$C$28, 0.0192, 0)</f>
        <v>25.558800000000002</v>
      </c>
      <c r="C249" s="4">
        <f>25.1763 * CHOOSE(CONTROL!$C$9, $C$13, 100%, $E$13) + CHOOSE(CONTROL!$C$28, 0.0192, 0)</f>
        <v>25.195500000000003</v>
      </c>
      <c r="D249" s="4">
        <f>33.7688 * CHOOSE(CONTROL!$C$9, $C$13, 100%, $E$13) + CHOOSE(CONTROL!$C$28, 0, 0)</f>
        <v>33.768799999999999</v>
      </c>
      <c r="E249" s="4">
        <f>160.277857731989 * CHOOSE(CONTROL!$C$9, $C$13, 100%, $E$13) + CHOOSE(CONTROL!$C$28, 0, 0)</f>
        <v>160.277857731989</v>
      </c>
    </row>
    <row r="250" spans="1:5" ht="15">
      <c r="A250" s="13">
        <v>49096</v>
      </c>
      <c r="B250" s="4">
        <f>25.618 * CHOOSE(CONTROL!$C$9, $C$13, 100%, $E$13) + CHOOSE(CONTROL!$C$28, 0.0192, 0)</f>
        <v>25.6372</v>
      </c>
      <c r="C250" s="4">
        <f>25.2547 * CHOOSE(CONTROL!$C$9, $C$13, 100%, $E$13) + CHOOSE(CONTROL!$C$28, 0.0192, 0)</f>
        <v>25.273900000000001</v>
      </c>
      <c r="D250" s="4">
        <f>34.0634 * CHOOSE(CONTROL!$C$9, $C$13, 100%, $E$13) + CHOOSE(CONTROL!$C$28, 0, 0)</f>
        <v>34.063400000000001</v>
      </c>
      <c r="E250" s="4">
        <f>160.784998710746 * CHOOSE(CONTROL!$C$9, $C$13, 100%, $E$13) + CHOOSE(CONTROL!$C$28, 0, 0)</f>
        <v>160.78499871074601</v>
      </c>
    </row>
    <row r="251" spans="1:5" ht="15">
      <c r="A251" s="13">
        <v>49126</v>
      </c>
      <c r="B251" s="4">
        <f>25.6101 * CHOOSE(CONTROL!$C$9, $C$13, 100%, $E$13) + CHOOSE(CONTROL!$C$28, 0.0192, 0)</f>
        <v>25.629300000000001</v>
      </c>
      <c r="C251" s="4">
        <f>25.2468 * CHOOSE(CONTROL!$C$9, $C$13, 100%, $E$13) + CHOOSE(CONTROL!$C$28, 0.0192, 0)</f>
        <v>25.266000000000002</v>
      </c>
      <c r="D251" s="4">
        <f>34.5949 * CHOOSE(CONTROL!$C$9, $C$13, 100%, $E$13) + CHOOSE(CONTROL!$C$28, 0, 0)</f>
        <v>34.594900000000003</v>
      </c>
      <c r="E251" s="4">
        <f>160.733858443981 * CHOOSE(CONTROL!$C$9, $C$13, 100%, $E$13) + CHOOSE(CONTROL!$C$28, 0, 0)</f>
        <v>160.73385844398101</v>
      </c>
    </row>
    <row r="252" spans="1:5" ht="15">
      <c r="A252" s="13">
        <v>49157</v>
      </c>
      <c r="B252" s="4">
        <f>26.2047 * CHOOSE(CONTROL!$C$9, $C$13, 100%, $E$13) + CHOOSE(CONTROL!$C$28, 0.0192, 0)</f>
        <v>26.2239</v>
      </c>
      <c r="C252" s="4">
        <f>25.8415 * CHOOSE(CONTROL!$C$9, $C$13, 100%, $E$13) + CHOOSE(CONTROL!$C$28, 0.0192, 0)</f>
        <v>25.860700000000001</v>
      </c>
      <c r="D252" s="4">
        <f>34.2439 * CHOOSE(CONTROL!$C$9, $C$13, 100%, $E$13) + CHOOSE(CONTROL!$C$28, 0, 0)</f>
        <v>34.243899999999996</v>
      </c>
      <c r="E252" s="4">
        <f>164.582163518085 * CHOOSE(CONTROL!$C$9, $C$13, 100%, $E$13) + CHOOSE(CONTROL!$C$28, 0, 0)</f>
        <v>164.582163518085</v>
      </c>
    </row>
    <row r="253" spans="1:5" ht="15">
      <c r="A253" s="13">
        <v>49188</v>
      </c>
      <c r="B253" s="4">
        <f>25.1913 * CHOOSE(CONTROL!$C$9, $C$13, 100%, $E$13) + CHOOSE(CONTROL!$C$28, 0.0192, 0)</f>
        <v>25.2105</v>
      </c>
      <c r="C253" s="4">
        <f>24.828 * CHOOSE(CONTROL!$C$9, $C$13, 100%, $E$13) + CHOOSE(CONTROL!$C$28, 0.0192, 0)</f>
        <v>24.847200000000001</v>
      </c>
      <c r="D253" s="4">
        <f>34.078 * CHOOSE(CONTROL!$C$9, $C$13, 100%, $E$13) + CHOOSE(CONTROL!$C$28, 0, 0)</f>
        <v>34.078000000000003</v>
      </c>
      <c r="E253" s="4">
        <f>158.023424305409 * CHOOSE(CONTROL!$C$9, $C$13, 100%, $E$13) + CHOOSE(CONTROL!$C$28, 0, 0)</f>
        <v>158.02342430540901</v>
      </c>
    </row>
    <row r="254" spans="1:5" ht="15">
      <c r="A254" s="13">
        <v>49218</v>
      </c>
      <c r="B254" s="4">
        <f>24.38 * CHOOSE(CONTROL!$C$9, $C$13, 100%, $E$13) + CHOOSE(CONTROL!$C$28, 0.0003, 0)</f>
        <v>24.380299999999998</v>
      </c>
      <c r="C254" s="4">
        <f>24.0167 * CHOOSE(CONTROL!$C$9, $C$13, 100%, $E$13) + CHOOSE(CONTROL!$C$28, 0.0003, 0)</f>
        <v>24.016999999999999</v>
      </c>
      <c r="D254" s="4">
        <f>33.634 * CHOOSE(CONTROL!$C$9, $C$13, 100%, $E$13) + CHOOSE(CONTROL!$C$28, 0, 0)</f>
        <v>33.634</v>
      </c>
      <c r="E254" s="4">
        <f>152.773023584151 * CHOOSE(CONTROL!$C$9, $C$13, 100%, $E$13) + CHOOSE(CONTROL!$C$28, 0, 0)</f>
        <v>152.77302358415099</v>
      </c>
    </row>
    <row r="255" spans="1:5" ht="15">
      <c r="A255" s="13">
        <v>49249</v>
      </c>
      <c r="B255" s="4">
        <f>23.8574 * CHOOSE(CONTROL!$C$9, $C$13, 100%, $E$13) + CHOOSE(CONTROL!$C$28, 0.0003, 0)</f>
        <v>23.857699999999998</v>
      </c>
      <c r="C255" s="4">
        <f>23.4942 * CHOOSE(CONTROL!$C$9, $C$13, 100%, $E$13) + CHOOSE(CONTROL!$C$28, 0.0003, 0)</f>
        <v>23.494499999999999</v>
      </c>
      <c r="D255" s="4">
        <f>33.4813 * CHOOSE(CONTROL!$C$9, $C$13, 100%, $E$13) + CHOOSE(CONTROL!$C$28, 0, 0)</f>
        <v>33.481299999999997</v>
      </c>
      <c r="E255" s="4">
        <f>149.391373444282 * CHOOSE(CONTROL!$C$9, $C$13, 100%, $E$13) + CHOOSE(CONTROL!$C$28, 0, 0)</f>
        <v>149.39137344428201</v>
      </c>
    </row>
    <row r="256" spans="1:5" ht="15">
      <c r="A256" s="13">
        <v>49279</v>
      </c>
      <c r="B256" s="4">
        <f>23.4959 * CHOOSE(CONTROL!$C$9, $C$13, 100%, $E$13) + CHOOSE(CONTROL!$C$28, 0.0003, 0)</f>
        <v>23.496199999999998</v>
      </c>
      <c r="C256" s="4">
        <f>23.1326 * CHOOSE(CONTROL!$C$9, $C$13, 100%, $E$13) + CHOOSE(CONTROL!$C$28, 0.0003, 0)</f>
        <v>23.132899999999999</v>
      </c>
      <c r="D256" s="4">
        <f>32.3574 * CHOOSE(CONTROL!$C$9, $C$13, 100%, $E$13) + CHOOSE(CONTROL!$C$28, 0, 0)</f>
        <v>32.357399999999998</v>
      </c>
      <c r="E256" s="4">
        <f>147.05170623976 * CHOOSE(CONTROL!$C$9, $C$13, 100%, $E$13) + CHOOSE(CONTROL!$C$28, 0, 0)</f>
        <v>147.05170623975999</v>
      </c>
    </row>
    <row r="257" spans="1:5" ht="15">
      <c r="A257" s="13">
        <v>49310</v>
      </c>
      <c r="B257" s="4">
        <f>22.8615 * CHOOSE(CONTROL!$C$9, $C$13, 100%, $E$13) + CHOOSE(CONTROL!$C$28, 0.0003, 0)</f>
        <v>22.861799999999999</v>
      </c>
      <c r="C257" s="4">
        <f>22.4982 * CHOOSE(CONTROL!$C$9, $C$13, 100%, $E$13) + CHOOSE(CONTROL!$C$28, 0.0003, 0)</f>
        <v>22.4985</v>
      </c>
      <c r="D257" s="4">
        <f>31.3883 * CHOOSE(CONTROL!$C$9, $C$13, 100%, $E$13) + CHOOSE(CONTROL!$C$28, 0, 0)</f>
        <v>31.388300000000001</v>
      </c>
      <c r="E257" s="4">
        <f>142.853728374705 * CHOOSE(CONTROL!$C$9, $C$13, 100%, $E$13) + CHOOSE(CONTROL!$C$28, 0, 0)</f>
        <v>142.85372837470501</v>
      </c>
    </row>
    <row r="258" spans="1:5" ht="15">
      <c r="A258" s="13">
        <v>49341</v>
      </c>
      <c r="B258" s="4">
        <f>23.3859 * CHOOSE(CONTROL!$C$9, $C$13, 100%, $E$13) + CHOOSE(CONTROL!$C$28, 0.0003, 0)</f>
        <v>23.386199999999999</v>
      </c>
      <c r="C258" s="4">
        <f>23.0226 * CHOOSE(CONTROL!$C$9, $C$13, 100%, $E$13) + CHOOSE(CONTROL!$C$28, 0.0003, 0)</f>
        <v>23.0229</v>
      </c>
      <c r="D258" s="4">
        <f>32.4308 * CHOOSE(CONTROL!$C$9, $C$13, 100%, $E$13) + CHOOSE(CONTROL!$C$28, 0, 0)</f>
        <v>32.430799999999998</v>
      </c>
      <c r="E258" s="4">
        <f>146.245638859927 * CHOOSE(CONTROL!$C$9, $C$13, 100%, $E$13) + CHOOSE(CONTROL!$C$28, 0, 0)</f>
        <v>146.245638859927</v>
      </c>
    </row>
    <row r="259" spans="1:5" ht="15">
      <c r="A259" s="13">
        <v>49369</v>
      </c>
      <c r="B259" s="4">
        <f>24.7632 * CHOOSE(CONTROL!$C$9, $C$13, 100%, $E$13) + CHOOSE(CONTROL!$C$28, 0.0003, 0)</f>
        <v>24.763500000000001</v>
      </c>
      <c r="C259" s="4">
        <f>24.3999 * CHOOSE(CONTROL!$C$9, $C$13, 100%, $E$13) + CHOOSE(CONTROL!$C$28, 0.0003, 0)</f>
        <v>24.400199999999998</v>
      </c>
      <c r="D259" s="4">
        <f>34.0627 * CHOOSE(CONTROL!$C$9, $C$13, 100%, $E$13) + CHOOSE(CONTROL!$C$28, 0, 0)</f>
        <v>34.0627</v>
      </c>
      <c r="E259" s="4">
        <f>155.152976051192 * CHOOSE(CONTROL!$C$9, $C$13, 100%, $E$13) + CHOOSE(CONTROL!$C$28, 0, 0)</f>
        <v>155.15297605119201</v>
      </c>
    </row>
    <row r="260" spans="1:5" ht="15">
      <c r="A260" s="13">
        <v>49400</v>
      </c>
      <c r="B260" s="4">
        <f>25.7417 * CHOOSE(CONTROL!$C$9, $C$13, 100%, $E$13) + CHOOSE(CONTROL!$C$28, 0.0003, 0)</f>
        <v>25.742000000000001</v>
      </c>
      <c r="C260" s="4">
        <f>25.3784 * CHOOSE(CONTROL!$C$9, $C$13, 100%, $E$13) + CHOOSE(CONTROL!$C$28, 0.0003, 0)</f>
        <v>25.378699999999998</v>
      </c>
      <c r="D260" s="4">
        <f>35.0027 * CHOOSE(CONTROL!$C$9, $C$13, 100%, $E$13) + CHOOSE(CONTROL!$C$28, 0, 0)</f>
        <v>35.002699999999997</v>
      </c>
      <c r="E260" s="4">
        <f>161.48175783146 * CHOOSE(CONTROL!$C$9, $C$13, 100%, $E$13) + CHOOSE(CONTROL!$C$28, 0, 0)</f>
        <v>161.48175783145999</v>
      </c>
    </row>
    <row r="261" spans="1:5" ht="15">
      <c r="A261" s="13">
        <v>49430</v>
      </c>
      <c r="B261" s="4">
        <f>26.3396 * CHOOSE(CONTROL!$C$9, $C$13, 100%, $E$13) + CHOOSE(CONTROL!$C$28, 0.0192, 0)</f>
        <v>26.358800000000002</v>
      </c>
      <c r="C261" s="4">
        <f>25.9763 * CHOOSE(CONTROL!$C$9, $C$13, 100%, $E$13) + CHOOSE(CONTROL!$C$28, 0.0192, 0)</f>
        <v>25.9955</v>
      </c>
      <c r="D261" s="4">
        <f>34.6312 * CHOOSE(CONTROL!$C$9, $C$13, 100%, $E$13) + CHOOSE(CONTROL!$C$28, 0, 0)</f>
        <v>34.6312</v>
      </c>
      <c r="E261" s="4">
        <f>165.348491819475 * CHOOSE(CONTROL!$C$9, $C$13, 100%, $E$13) + CHOOSE(CONTROL!$C$28, 0, 0)</f>
        <v>165.34849181947499</v>
      </c>
    </row>
    <row r="262" spans="1:5" ht="15">
      <c r="A262" s="14">
        <v>49461</v>
      </c>
      <c r="B262" s="4">
        <f>26.4205 * CHOOSE(CONTROL!$C$9, $C$13, 100%, $E$13) + CHOOSE(CONTROL!$C$28, 0.0192, 0)</f>
        <v>26.439700000000002</v>
      </c>
      <c r="C262" s="4">
        <f>26.0572 * CHOOSE(CONTROL!$C$9, $C$13, 100%, $E$13) + CHOOSE(CONTROL!$C$28, 0.0192, 0)</f>
        <v>26.076400000000003</v>
      </c>
      <c r="D262" s="4">
        <f>34.9337 * CHOOSE(CONTROL!$C$9, $C$13, 100%, $E$13) + CHOOSE(CONTROL!$C$28, 0, 0)</f>
        <v>34.933700000000002</v>
      </c>
      <c r="E262" s="4">
        <f>165.871676975329 * CHOOSE(CONTROL!$C$9, $C$13, 100%, $E$13) + CHOOSE(CONTROL!$C$28, 0, 0)</f>
        <v>165.871676975329</v>
      </c>
    </row>
    <row r="263" spans="1:5" ht="15">
      <c r="A263" s="14">
        <v>49491</v>
      </c>
      <c r="B263" s="4">
        <f>26.4123 * CHOOSE(CONTROL!$C$9, $C$13, 100%, $E$13) + CHOOSE(CONTROL!$C$28, 0.0192, 0)</f>
        <v>26.4315</v>
      </c>
      <c r="C263" s="4">
        <f>26.049 * CHOOSE(CONTROL!$C$9, $C$13, 100%, $E$13) + CHOOSE(CONTROL!$C$28, 0.0192, 0)</f>
        <v>26.068200000000001</v>
      </c>
      <c r="D263" s="4">
        <f>35.4796 * CHOOSE(CONTROL!$C$9, $C$13, 100%, $E$13) + CHOOSE(CONTROL!$C$28, 0, 0)</f>
        <v>35.479599999999998</v>
      </c>
      <c r="E263" s="4">
        <f>165.818918808352 * CHOOSE(CONTROL!$C$9, $C$13, 100%, $E$13) + CHOOSE(CONTROL!$C$28, 0, 0)</f>
        <v>165.81891880835201</v>
      </c>
    </row>
    <row r="264" spans="1:5" ht="15">
      <c r="A264" s="14">
        <v>49522</v>
      </c>
      <c r="B264" s="4">
        <f>27.0262 * CHOOSE(CONTROL!$C$9, $C$13, 100%, $E$13) + CHOOSE(CONTROL!$C$28, 0.0192, 0)</f>
        <v>27.045400000000001</v>
      </c>
      <c r="C264" s="4">
        <f>26.6629 * CHOOSE(CONTROL!$C$9, $C$13, 100%, $E$13) + CHOOSE(CONTROL!$C$28, 0.0192, 0)</f>
        <v>26.682100000000002</v>
      </c>
      <c r="D264" s="4">
        <f>35.1191 * CHOOSE(CONTROL!$C$9, $C$13, 100%, $E$13) + CHOOSE(CONTROL!$C$28, 0, 0)</f>
        <v>35.119100000000003</v>
      </c>
      <c r="E264" s="4">
        <f>169.788970873363 * CHOOSE(CONTROL!$C$9, $C$13, 100%, $E$13) + CHOOSE(CONTROL!$C$28, 0, 0)</f>
        <v>169.78897087336301</v>
      </c>
    </row>
    <row r="265" spans="1:5" ht="15">
      <c r="A265" s="14">
        <v>49553</v>
      </c>
      <c r="B265" s="4">
        <f>25.98 * CHOOSE(CONTROL!$C$9, $C$13, 100%, $E$13) + CHOOSE(CONTROL!$C$28, 0.0192, 0)</f>
        <v>25.999200000000002</v>
      </c>
      <c r="C265" s="4">
        <f>25.6167 * CHOOSE(CONTROL!$C$9, $C$13, 100%, $E$13) + CHOOSE(CONTROL!$C$28, 0.0192, 0)</f>
        <v>25.635900000000003</v>
      </c>
      <c r="D265" s="4">
        <f>34.9488 * CHOOSE(CONTROL!$C$9, $C$13, 100%, $E$13) + CHOOSE(CONTROL!$C$28, 0, 0)</f>
        <v>34.948799999999999</v>
      </c>
      <c r="E265" s="4">
        <f>163.022735958577 * CHOOSE(CONTROL!$C$9, $C$13, 100%, $E$13) + CHOOSE(CONTROL!$C$28, 0, 0)</f>
        <v>163.02273595857699</v>
      </c>
    </row>
    <row r="266" spans="1:5" ht="15">
      <c r="A266" s="14">
        <v>49583</v>
      </c>
      <c r="B266" s="4">
        <f>25.1425 * CHOOSE(CONTROL!$C$9, $C$13, 100%, $E$13) + CHOOSE(CONTROL!$C$28, 0.0003, 0)</f>
        <v>25.142799999999998</v>
      </c>
      <c r="C266" s="4">
        <f>24.7792 * CHOOSE(CONTROL!$C$9, $C$13, 100%, $E$13) + CHOOSE(CONTROL!$C$28, 0.0003, 0)</f>
        <v>24.779499999999999</v>
      </c>
      <c r="D266" s="4">
        <f>34.4928 * CHOOSE(CONTROL!$C$9, $C$13, 100%, $E$13) + CHOOSE(CONTROL!$C$28, 0, 0)</f>
        <v>34.492800000000003</v>
      </c>
      <c r="E266" s="4">
        <f>157.606230815617 * CHOOSE(CONTROL!$C$9, $C$13, 100%, $E$13) + CHOOSE(CONTROL!$C$28, 0, 0)</f>
        <v>157.60623081561701</v>
      </c>
    </row>
    <row r="267" spans="1:5" ht="15">
      <c r="A267" s="14">
        <v>49614</v>
      </c>
      <c r="B267" s="4">
        <f>24.6031 * CHOOSE(CONTROL!$C$9, $C$13, 100%, $E$13) + CHOOSE(CONTROL!$C$28, 0.0003, 0)</f>
        <v>24.603400000000001</v>
      </c>
      <c r="C267" s="4">
        <f>24.2398 * CHOOSE(CONTROL!$C$9, $C$13, 100%, $E$13) + CHOOSE(CONTROL!$C$28, 0.0003, 0)</f>
        <v>24.240099999999998</v>
      </c>
      <c r="D267" s="4">
        <f>34.336 * CHOOSE(CONTROL!$C$9, $C$13, 100%, $E$13) + CHOOSE(CONTROL!$C$28, 0, 0)</f>
        <v>34.335999999999999</v>
      </c>
      <c r="E267" s="4">
        <f>154.11759702427 * CHOOSE(CONTROL!$C$9, $C$13, 100%, $E$13) + CHOOSE(CONTROL!$C$28, 0, 0)</f>
        <v>154.11759702427</v>
      </c>
    </row>
    <row r="268" spans="1:5" ht="15">
      <c r="A268" s="14">
        <v>49644</v>
      </c>
      <c r="B268" s="4">
        <f>24.2299 * CHOOSE(CONTROL!$C$9, $C$13, 100%, $E$13) + CHOOSE(CONTROL!$C$28, 0.0003, 0)</f>
        <v>24.2302</v>
      </c>
      <c r="C268" s="4">
        <f>23.8666 * CHOOSE(CONTROL!$C$9, $C$13, 100%, $E$13) + CHOOSE(CONTROL!$C$28, 0.0003, 0)</f>
        <v>23.866899999999998</v>
      </c>
      <c r="D268" s="4">
        <f>33.1817 * CHOOSE(CONTROL!$C$9, $C$13, 100%, $E$13) + CHOOSE(CONTROL!$C$28, 0, 0)</f>
        <v>33.181699999999999</v>
      </c>
      <c r="E268" s="4">
        <f>151.703910885078 * CHOOSE(CONTROL!$C$9, $C$13, 100%, $E$13) + CHOOSE(CONTROL!$C$28, 0, 0)</f>
        <v>151.70391088507799</v>
      </c>
    </row>
    <row r="269" spans="1:5" ht="15">
      <c r="A269" s="14">
        <v>49675</v>
      </c>
      <c r="B269" s="4">
        <f>23.2088 * CHOOSE(CONTROL!$C$9, $C$13, 100%, $E$13) + CHOOSE(CONTROL!$C$28, 0.0003, 0)</f>
        <v>23.209099999999999</v>
      </c>
      <c r="C269" s="4">
        <f>22.8455 * CHOOSE(CONTROL!$C$9, $C$13, 100%, $E$13) + CHOOSE(CONTROL!$C$28, 0.0003, 0)</f>
        <v>22.845800000000001</v>
      </c>
      <c r="D269" s="4">
        <f>31.9102 * CHOOSE(CONTROL!$C$9, $C$13, 100%, $E$13) + CHOOSE(CONTROL!$C$28, 0, 0)</f>
        <v>31.9102</v>
      </c>
      <c r="E269" s="4">
        <f>145.384826561507 * CHOOSE(CONTROL!$C$9, $C$13, 100%, $E$13) + CHOOSE(CONTROL!$C$28, 0, 0)</f>
        <v>145.384826561507</v>
      </c>
    </row>
    <row r="270" spans="1:5" ht="15">
      <c r="A270" s="14">
        <v>49706</v>
      </c>
      <c r="B270" s="4">
        <f>23.7415 * CHOOSE(CONTROL!$C$9, $C$13, 100%, $E$13) + CHOOSE(CONTROL!$C$28, 0.0003, 0)</f>
        <v>23.741799999999998</v>
      </c>
      <c r="C270" s="4">
        <f>23.3782 * CHOOSE(CONTROL!$C$9, $C$13, 100%, $E$13) + CHOOSE(CONTROL!$C$28, 0.0003, 0)</f>
        <v>23.378499999999999</v>
      </c>
      <c r="D270" s="4">
        <f>32.971 * CHOOSE(CONTROL!$C$9, $C$13, 100%, $E$13) + CHOOSE(CONTROL!$C$28, 0, 0)</f>
        <v>32.970999999999997</v>
      </c>
      <c r="E270" s="4">
        <f>148.836835292513 * CHOOSE(CONTROL!$C$9, $C$13, 100%, $E$13) + CHOOSE(CONTROL!$C$28, 0, 0)</f>
        <v>148.836835292513</v>
      </c>
    </row>
    <row r="271" spans="1:5" ht="15">
      <c r="A271" s="14">
        <v>49735</v>
      </c>
      <c r="B271" s="4">
        <f>25.1404 * CHOOSE(CONTROL!$C$9, $C$13, 100%, $E$13) + CHOOSE(CONTROL!$C$28, 0.0003, 0)</f>
        <v>25.140699999999999</v>
      </c>
      <c r="C271" s="4">
        <f>24.7771 * CHOOSE(CONTROL!$C$9, $C$13, 100%, $E$13) + CHOOSE(CONTROL!$C$28, 0.0003, 0)</f>
        <v>24.7774</v>
      </c>
      <c r="D271" s="4">
        <f>34.6318 * CHOOSE(CONTROL!$C$9, $C$13, 100%, $E$13) + CHOOSE(CONTROL!$C$28, 0, 0)</f>
        <v>34.631799999999998</v>
      </c>
      <c r="E271" s="4">
        <f>157.901993671019 * CHOOSE(CONTROL!$C$9, $C$13, 100%, $E$13) + CHOOSE(CONTROL!$C$28, 0, 0)</f>
        <v>157.901993671019</v>
      </c>
    </row>
    <row r="272" spans="1:5" ht="15">
      <c r="A272" s="14">
        <v>49766</v>
      </c>
      <c r="B272" s="4">
        <f>26.1343 * CHOOSE(CONTROL!$C$9, $C$13, 100%, $E$13) + CHOOSE(CONTROL!$C$28, 0.0003, 0)</f>
        <v>26.134599999999999</v>
      </c>
      <c r="C272" s="4">
        <f>25.7711 * CHOOSE(CONTROL!$C$9, $C$13, 100%, $E$13) + CHOOSE(CONTROL!$C$28, 0.0003, 0)</f>
        <v>25.7714</v>
      </c>
      <c r="D272" s="4">
        <f>35.5884 * CHOOSE(CONTROL!$C$9, $C$13, 100%, $E$13) + CHOOSE(CONTROL!$C$28, 0, 0)</f>
        <v>35.5884</v>
      </c>
      <c r="E272" s="4">
        <f>164.342909508067 * CHOOSE(CONTROL!$C$9, $C$13, 100%, $E$13) + CHOOSE(CONTROL!$C$28, 0, 0)</f>
        <v>164.34290950806701</v>
      </c>
    </row>
    <row r="273" spans="1:5" ht="15">
      <c r="A273" s="14">
        <v>49796</v>
      </c>
      <c r="B273" s="4">
        <f>26.7416 * CHOOSE(CONTROL!$C$9, $C$13, 100%, $E$13) + CHOOSE(CONTROL!$C$28, 0.0192, 0)</f>
        <v>26.7608</v>
      </c>
      <c r="C273" s="4">
        <f>26.3783 * CHOOSE(CONTROL!$C$9, $C$13, 100%, $E$13) + CHOOSE(CONTROL!$C$28, 0.0192, 0)</f>
        <v>26.397500000000001</v>
      </c>
      <c r="D273" s="4">
        <f>35.2104 * CHOOSE(CONTROL!$C$9, $C$13, 100%, $E$13) + CHOOSE(CONTROL!$C$28, 0, 0)</f>
        <v>35.2104</v>
      </c>
      <c r="E273" s="4">
        <f>168.278154717296 * CHOOSE(CONTROL!$C$9, $C$13, 100%, $E$13) + CHOOSE(CONTROL!$C$28, 0, 0)</f>
        <v>168.27815471729599</v>
      </c>
    </row>
    <row r="274" spans="1:5" ht="15">
      <c r="A274" s="14">
        <v>49827</v>
      </c>
      <c r="B274" s="4">
        <f>26.8238 * CHOOSE(CONTROL!$C$9, $C$13, 100%, $E$13) + CHOOSE(CONTROL!$C$28, 0.0192, 0)</f>
        <v>26.843</v>
      </c>
      <c r="C274" s="4">
        <f>26.4605 * CHOOSE(CONTROL!$C$9, $C$13, 100%, $E$13) + CHOOSE(CONTROL!$C$28, 0.0192, 0)</f>
        <v>26.479700000000001</v>
      </c>
      <c r="D274" s="4">
        <f>35.5182 * CHOOSE(CONTROL!$C$9, $C$13, 100%, $E$13) + CHOOSE(CONTROL!$C$28, 0, 0)</f>
        <v>35.5182</v>
      </c>
      <c r="E274" s="4">
        <f>168.810609725707 * CHOOSE(CONTROL!$C$9, $C$13, 100%, $E$13) + CHOOSE(CONTROL!$C$28, 0, 0)</f>
        <v>168.810609725707</v>
      </c>
    </row>
    <row r="275" spans="1:5" ht="15">
      <c r="A275" s="14">
        <v>49857</v>
      </c>
      <c r="B275" s="4">
        <f>26.8155 * CHOOSE(CONTROL!$C$9, $C$13, 100%, $E$13) + CHOOSE(CONTROL!$C$28, 0.0192, 0)</f>
        <v>26.834700000000002</v>
      </c>
      <c r="C275" s="4">
        <f>26.4522 * CHOOSE(CONTROL!$C$9, $C$13, 100%, $E$13) + CHOOSE(CONTROL!$C$28, 0.0192, 0)</f>
        <v>26.471400000000003</v>
      </c>
      <c r="D275" s="4">
        <f>36.0737 * CHOOSE(CONTROL!$C$9, $C$13, 100%, $E$13) + CHOOSE(CONTROL!$C$28, 0, 0)</f>
        <v>36.073700000000002</v>
      </c>
      <c r="E275" s="4">
        <f>168.756916783683 * CHOOSE(CONTROL!$C$9, $C$13, 100%, $E$13) + CHOOSE(CONTROL!$C$28, 0, 0)</f>
        <v>168.75691678368301</v>
      </c>
    </row>
    <row r="276" spans="1:5" ht="15">
      <c r="A276" s="14">
        <v>49888</v>
      </c>
      <c r="B276" s="4">
        <f>27.439 * CHOOSE(CONTROL!$C$9, $C$13, 100%, $E$13) + CHOOSE(CONTROL!$C$28, 0.0192, 0)</f>
        <v>27.458200000000001</v>
      </c>
      <c r="C276" s="4">
        <f>27.0757 * CHOOSE(CONTROL!$C$9, $C$13, 100%, $E$13) + CHOOSE(CONTROL!$C$28, 0.0192, 0)</f>
        <v>27.094900000000003</v>
      </c>
      <c r="D276" s="4">
        <f>35.7069 * CHOOSE(CONTROL!$C$9, $C$13, 100%, $E$13) + CHOOSE(CONTROL!$C$28, 0, 0)</f>
        <v>35.706899999999997</v>
      </c>
      <c r="E276" s="4">
        <f>172.797310671043 * CHOOSE(CONTROL!$C$9, $C$13, 100%, $E$13) + CHOOSE(CONTROL!$C$28, 0, 0)</f>
        <v>172.79731067104299</v>
      </c>
    </row>
    <row r="277" spans="1:5" ht="15">
      <c r="A277" s="14">
        <v>49919</v>
      </c>
      <c r="B277" s="4">
        <f>26.3764 * CHOOSE(CONTROL!$C$9, $C$13, 100%, $E$13) + CHOOSE(CONTROL!$C$28, 0.0192, 0)</f>
        <v>26.395600000000002</v>
      </c>
      <c r="C277" s="4">
        <f>26.0131 * CHOOSE(CONTROL!$C$9, $C$13, 100%, $E$13) + CHOOSE(CONTROL!$C$28, 0.0192, 0)</f>
        <v>26.032300000000003</v>
      </c>
      <c r="D277" s="4">
        <f>35.5336 * CHOOSE(CONTROL!$C$9, $C$13, 100%, $E$13) + CHOOSE(CONTROL!$C$28, 0, 0)</f>
        <v>35.5336</v>
      </c>
      <c r="E277" s="4">
        <f>165.911190856373 * CHOOSE(CONTROL!$C$9, $C$13, 100%, $E$13) + CHOOSE(CONTROL!$C$28, 0, 0)</f>
        <v>165.911190856373</v>
      </c>
    </row>
    <row r="278" spans="1:5" ht="15">
      <c r="A278" s="14">
        <v>49949</v>
      </c>
      <c r="B278" s="4">
        <f>25.5257 * CHOOSE(CONTROL!$C$9, $C$13, 100%, $E$13) + CHOOSE(CONTROL!$C$28, 0.0003, 0)</f>
        <v>25.526</v>
      </c>
      <c r="C278" s="4">
        <f>25.1624 * CHOOSE(CONTROL!$C$9, $C$13, 100%, $E$13) + CHOOSE(CONTROL!$C$28, 0.0003, 0)</f>
        <v>25.162700000000001</v>
      </c>
      <c r="D278" s="4">
        <f>35.0695 * CHOOSE(CONTROL!$C$9, $C$13, 100%, $E$13) + CHOOSE(CONTROL!$C$28, 0, 0)</f>
        <v>35.069499999999998</v>
      </c>
      <c r="E278" s="4">
        <f>160.398715475169 * CHOOSE(CONTROL!$C$9, $C$13, 100%, $E$13) + CHOOSE(CONTROL!$C$28, 0, 0)</f>
        <v>160.39871547516901</v>
      </c>
    </row>
    <row r="279" spans="1:5" ht="15">
      <c r="A279" s="14">
        <v>49980</v>
      </c>
      <c r="B279" s="4">
        <f>24.9778 * CHOOSE(CONTROL!$C$9, $C$13, 100%, $E$13) + CHOOSE(CONTROL!$C$28, 0.0003, 0)</f>
        <v>24.978099999999998</v>
      </c>
      <c r="C279" s="4">
        <f>24.6145 * CHOOSE(CONTROL!$C$9, $C$13, 100%, $E$13) + CHOOSE(CONTROL!$C$28, 0.0003, 0)</f>
        <v>24.614799999999999</v>
      </c>
      <c r="D279" s="4">
        <f>34.9099 * CHOOSE(CONTROL!$C$9, $C$13, 100%, $E$13) + CHOOSE(CONTROL!$C$28, 0, 0)</f>
        <v>34.9099</v>
      </c>
      <c r="E279" s="4">
        <f>156.848269683784 * CHOOSE(CONTROL!$C$9, $C$13, 100%, $E$13) + CHOOSE(CONTROL!$C$28, 0, 0)</f>
        <v>156.848269683784</v>
      </c>
    </row>
    <row r="280" spans="1:5" ht="15">
      <c r="A280" s="14">
        <v>50010</v>
      </c>
      <c r="B280" s="4">
        <f>24.5987 * CHOOSE(CONTROL!$C$9, $C$13, 100%, $E$13) + CHOOSE(CONTROL!$C$28, 0.0003, 0)</f>
        <v>24.599</v>
      </c>
      <c r="C280" s="4">
        <f>24.2354 * CHOOSE(CONTROL!$C$9, $C$13, 100%, $E$13) + CHOOSE(CONTROL!$C$28, 0.0003, 0)</f>
        <v>24.235699999999998</v>
      </c>
      <c r="D280" s="4">
        <f>33.7352 * CHOOSE(CONTROL!$C$9, $C$13, 100%, $E$13) + CHOOSE(CONTROL!$C$28, 0, 0)</f>
        <v>33.735199999999999</v>
      </c>
      <c r="E280" s="4">
        <f>154.391817586153 * CHOOSE(CONTROL!$C$9, $C$13, 100%, $E$13) + CHOOSE(CONTROL!$C$28, 0, 0)</f>
        <v>154.391817586153</v>
      </c>
    </row>
    <row r="281" spans="1:5" ht="15">
      <c r="A281" s="14">
        <v>50041</v>
      </c>
      <c r="B281" s="4">
        <f>23.5616 * CHOOSE(CONTROL!$C$9, $C$13, 100%, $E$13) + CHOOSE(CONTROL!$C$28, 0.0003, 0)</f>
        <v>23.561899999999998</v>
      </c>
      <c r="C281" s="4">
        <f>23.1983 * CHOOSE(CONTROL!$C$9, $C$13, 100%, $E$13) + CHOOSE(CONTROL!$C$28, 0.0003, 0)</f>
        <v>23.198599999999999</v>
      </c>
      <c r="D281" s="4">
        <f>32.4412 * CHOOSE(CONTROL!$C$9, $C$13, 100%, $E$13) + CHOOSE(CONTROL!$C$28, 0, 0)</f>
        <v>32.441200000000002</v>
      </c>
      <c r="E281" s="4">
        <f>147.960771026416 * CHOOSE(CONTROL!$C$9, $C$13, 100%, $E$13) + CHOOSE(CONTROL!$C$28, 0, 0)</f>
        <v>147.96077102641601</v>
      </c>
    </row>
    <row r="282" spans="1:5" ht="15">
      <c r="A282" s="14">
        <v>50072</v>
      </c>
      <c r="B282" s="4">
        <f>24.1027 * CHOOSE(CONTROL!$C$9, $C$13, 100%, $E$13) + CHOOSE(CONTROL!$C$28, 0.0003, 0)</f>
        <v>24.102999999999998</v>
      </c>
      <c r="C282" s="4">
        <f>23.7394 * CHOOSE(CONTROL!$C$9, $C$13, 100%, $E$13) + CHOOSE(CONTROL!$C$28, 0.0003, 0)</f>
        <v>23.739699999999999</v>
      </c>
      <c r="D282" s="4">
        <f>33.5209 * CHOOSE(CONTROL!$C$9, $C$13, 100%, $E$13) + CHOOSE(CONTROL!$C$28, 0, 0)</f>
        <v>33.520899999999997</v>
      </c>
      <c r="E282" s="4">
        <f>151.473942830583 * CHOOSE(CONTROL!$C$9, $C$13, 100%, $E$13) + CHOOSE(CONTROL!$C$28, 0, 0)</f>
        <v>151.47394283058301</v>
      </c>
    </row>
    <row r="283" spans="1:5" ht="15">
      <c r="A283" s="14">
        <v>50100</v>
      </c>
      <c r="B283" s="4">
        <f>25.5236 * CHOOSE(CONTROL!$C$9, $C$13, 100%, $E$13) + CHOOSE(CONTROL!$C$28, 0.0003, 0)</f>
        <v>25.523899999999998</v>
      </c>
      <c r="C283" s="4">
        <f>25.1603 * CHOOSE(CONTROL!$C$9, $C$13, 100%, $E$13) + CHOOSE(CONTROL!$C$28, 0.0003, 0)</f>
        <v>25.160599999999999</v>
      </c>
      <c r="D283" s="4">
        <f>35.2109 * CHOOSE(CONTROL!$C$9, $C$13, 100%, $E$13) + CHOOSE(CONTROL!$C$28, 0, 0)</f>
        <v>35.210900000000002</v>
      </c>
      <c r="E283" s="4">
        <f>160.699718689612 * CHOOSE(CONTROL!$C$9, $C$13, 100%, $E$13) + CHOOSE(CONTROL!$C$28, 0, 0)</f>
        <v>160.69971868961201</v>
      </c>
    </row>
    <row r="284" spans="1:5" ht="15">
      <c r="A284" s="14">
        <v>50131</v>
      </c>
      <c r="B284" s="4">
        <f>26.5331 * CHOOSE(CONTROL!$C$9, $C$13, 100%, $E$13) + CHOOSE(CONTROL!$C$28, 0.0003, 0)</f>
        <v>26.5334</v>
      </c>
      <c r="C284" s="4">
        <f>26.1699 * CHOOSE(CONTROL!$C$9, $C$13, 100%, $E$13) + CHOOSE(CONTROL!$C$28, 0.0003, 0)</f>
        <v>26.170199999999998</v>
      </c>
      <c r="D284" s="4">
        <f>36.1845 * CHOOSE(CONTROL!$C$9, $C$13, 100%, $E$13) + CHOOSE(CONTROL!$C$28, 0, 0)</f>
        <v>36.1845</v>
      </c>
      <c r="E284" s="4">
        <f>167.254755387082 * CHOOSE(CONTROL!$C$9, $C$13, 100%, $E$13) + CHOOSE(CONTROL!$C$28, 0, 0)</f>
        <v>167.25475538708201</v>
      </c>
    </row>
    <row r="285" spans="1:5" ht="15">
      <c r="A285" s="14">
        <v>50161</v>
      </c>
      <c r="B285" s="4">
        <f>27.15 * CHOOSE(CONTROL!$C$9, $C$13, 100%, $E$13) + CHOOSE(CONTROL!$C$28, 0.0192, 0)</f>
        <v>27.1692</v>
      </c>
      <c r="C285" s="4">
        <f>26.7867 * CHOOSE(CONTROL!$C$9, $C$13, 100%, $E$13) + CHOOSE(CONTROL!$C$28, 0.0192, 0)</f>
        <v>26.805900000000001</v>
      </c>
      <c r="D285" s="4">
        <f>35.7998 * CHOOSE(CONTROL!$C$9, $C$13, 100%, $E$13) + CHOOSE(CONTROL!$C$28, 0, 0)</f>
        <v>35.799799999999998</v>
      </c>
      <c r="E285" s="4">
        <f>171.259725706932 * CHOOSE(CONTROL!$C$9, $C$13, 100%, $E$13) + CHOOSE(CONTROL!$C$28, 0, 0)</f>
        <v>171.25972570693199</v>
      </c>
    </row>
    <row r="286" spans="1:5" ht="15">
      <c r="A286" s="14">
        <v>50192</v>
      </c>
      <c r="B286" s="4">
        <f>27.2334 * CHOOSE(CONTROL!$C$9, $C$13, 100%, $E$13) + CHOOSE(CONTROL!$C$28, 0.0192, 0)</f>
        <v>27.252600000000001</v>
      </c>
      <c r="C286" s="4">
        <f>26.8701 * CHOOSE(CONTROL!$C$9, $C$13, 100%, $E$13) + CHOOSE(CONTROL!$C$28, 0.0192, 0)</f>
        <v>26.889300000000002</v>
      </c>
      <c r="D286" s="4">
        <f>36.1131 * CHOOSE(CONTROL!$C$9, $C$13, 100%, $E$13) + CHOOSE(CONTROL!$C$28, 0, 0)</f>
        <v>36.113100000000003</v>
      </c>
      <c r="E286" s="4">
        <f>171.801614812176 * CHOOSE(CONTROL!$C$9, $C$13, 100%, $E$13) + CHOOSE(CONTROL!$C$28, 0, 0)</f>
        <v>171.80161481217601</v>
      </c>
    </row>
    <row r="287" spans="1:5" ht="15">
      <c r="A287" s="14">
        <v>50222</v>
      </c>
      <c r="B287" s="4">
        <f>27.225 * CHOOSE(CONTROL!$C$9, $C$13, 100%, $E$13) + CHOOSE(CONTROL!$C$28, 0.0192, 0)</f>
        <v>27.244200000000003</v>
      </c>
      <c r="C287" s="4">
        <f>26.8617 * CHOOSE(CONTROL!$C$9, $C$13, 100%, $E$13) + CHOOSE(CONTROL!$C$28, 0.0192, 0)</f>
        <v>26.8809</v>
      </c>
      <c r="D287" s="4">
        <f>36.6784 * CHOOSE(CONTROL!$C$9, $C$13, 100%, $E$13) + CHOOSE(CONTROL!$C$28, 0, 0)</f>
        <v>36.678400000000003</v>
      </c>
      <c r="E287" s="4">
        <f>171.746970532655 * CHOOSE(CONTROL!$C$9, $C$13, 100%, $E$13) + CHOOSE(CONTROL!$C$28, 0, 0)</f>
        <v>171.74697053265501</v>
      </c>
    </row>
    <row r="288" spans="1:5" ht="15">
      <c r="A288" s="14">
        <v>50253</v>
      </c>
      <c r="B288" s="4">
        <f>27.8583 * CHOOSE(CONTROL!$C$9, $C$13, 100%, $E$13) + CHOOSE(CONTROL!$C$28, 0.0192, 0)</f>
        <v>27.877500000000001</v>
      </c>
      <c r="C288" s="4">
        <f>27.495 * CHOOSE(CONTROL!$C$9, $C$13, 100%, $E$13) + CHOOSE(CONTROL!$C$28, 0.0192, 0)</f>
        <v>27.514200000000002</v>
      </c>
      <c r="D288" s="4">
        <f>36.305 * CHOOSE(CONTROL!$C$9, $C$13, 100%, $E$13) + CHOOSE(CONTROL!$C$28, 0, 0)</f>
        <v>36.305</v>
      </c>
      <c r="E288" s="4">
        <f>175.858952566566 * CHOOSE(CONTROL!$C$9, $C$13, 100%, $E$13) + CHOOSE(CONTROL!$C$28, 0, 0)</f>
        <v>175.85895256656599</v>
      </c>
    </row>
    <row r="289" spans="1:5" ht="15">
      <c r="A289" s="14">
        <v>50284</v>
      </c>
      <c r="B289" s="4">
        <f>26.779 * CHOOSE(CONTROL!$C$9, $C$13, 100%, $E$13) + CHOOSE(CONTROL!$C$28, 0.0192, 0)</f>
        <v>26.798200000000001</v>
      </c>
      <c r="C289" s="4">
        <f>26.4157 * CHOOSE(CONTROL!$C$9, $C$13, 100%, $E$13) + CHOOSE(CONTROL!$C$28, 0.0192, 0)</f>
        <v>26.434900000000003</v>
      </c>
      <c r="D289" s="4">
        <f>36.1287 * CHOOSE(CONTROL!$C$9, $C$13, 100%, $E$13) + CHOOSE(CONTROL!$C$28, 0, 0)</f>
        <v>36.128700000000002</v>
      </c>
      <c r="E289" s="4">
        <f>168.850823718074 * CHOOSE(CONTROL!$C$9, $C$13, 100%, $E$13) + CHOOSE(CONTROL!$C$28, 0, 0)</f>
        <v>168.850823718074</v>
      </c>
    </row>
    <row r="290" spans="1:5" ht="15">
      <c r="A290" s="14">
        <v>50314</v>
      </c>
      <c r="B290" s="4">
        <f>25.9149 * CHOOSE(CONTROL!$C$9, $C$13, 100%, $E$13) + CHOOSE(CONTROL!$C$28, 0.0003, 0)</f>
        <v>25.915199999999999</v>
      </c>
      <c r="C290" s="4">
        <f>25.5516 * CHOOSE(CONTROL!$C$9, $C$13, 100%, $E$13) + CHOOSE(CONTROL!$C$28, 0.0003, 0)</f>
        <v>25.5519</v>
      </c>
      <c r="D290" s="4">
        <f>35.6564 * CHOOSE(CONTROL!$C$9, $C$13, 100%, $E$13) + CHOOSE(CONTROL!$C$28, 0, 0)</f>
        <v>35.656399999999998</v>
      </c>
      <c r="E290" s="4">
        <f>163.240677687311 * CHOOSE(CONTROL!$C$9, $C$13, 100%, $E$13) + CHOOSE(CONTROL!$C$28, 0, 0)</f>
        <v>163.24067768731101</v>
      </c>
    </row>
    <row r="291" spans="1:5" ht="15">
      <c r="A291" s="14">
        <v>50345</v>
      </c>
      <c r="B291" s="4">
        <f>25.3584 * CHOOSE(CONTROL!$C$9, $C$13, 100%, $E$13) + CHOOSE(CONTROL!$C$28, 0.0003, 0)</f>
        <v>25.358699999999999</v>
      </c>
      <c r="C291" s="4">
        <f>24.9951 * CHOOSE(CONTROL!$C$9, $C$13, 100%, $E$13) + CHOOSE(CONTROL!$C$28, 0.0003, 0)</f>
        <v>24.9954</v>
      </c>
      <c r="D291" s="4">
        <f>35.494 * CHOOSE(CONTROL!$C$9, $C$13, 100%, $E$13) + CHOOSE(CONTROL!$C$28, 0, 0)</f>
        <v>35.494</v>
      </c>
      <c r="E291" s="4">
        <f>159.627324704024 * CHOOSE(CONTROL!$C$9, $C$13, 100%, $E$13) + CHOOSE(CONTROL!$C$28, 0, 0)</f>
        <v>159.62732470402401</v>
      </c>
    </row>
    <row r="292" spans="1:5" ht="15">
      <c r="A292" s="14">
        <v>50375</v>
      </c>
      <c r="B292" s="4">
        <f>24.9734 * CHOOSE(CONTROL!$C$9, $C$13, 100%, $E$13) + CHOOSE(CONTROL!$C$28, 0.0003, 0)</f>
        <v>24.973700000000001</v>
      </c>
      <c r="C292" s="4">
        <f>24.6101 * CHOOSE(CONTROL!$C$9, $C$13, 100%, $E$13) + CHOOSE(CONTROL!$C$28, 0.0003, 0)</f>
        <v>24.610399999999998</v>
      </c>
      <c r="D292" s="4">
        <f>34.2986 * CHOOSE(CONTROL!$C$9, $C$13, 100%, $E$13) + CHOOSE(CONTROL!$C$28, 0, 0)</f>
        <v>34.2986</v>
      </c>
      <c r="E292" s="4">
        <f>157.127348915965 * CHOOSE(CONTROL!$C$9, $C$13, 100%, $E$13) + CHOOSE(CONTROL!$C$28, 0, 0)</f>
        <v>157.127348915965</v>
      </c>
    </row>
    <row r="293" spans="1:5" ht="15">
      <c r="A293" s="13">
        <v>50436</v>
      </c>
      <c r="B293" s="4">
        <f>23.9199 * CHOOSE(CONTROL!$C$9, $C$13, 100%, $E$13) + CHOOSE(CONTROL!$C$28, 0.0003, 0)</f>
        <v>23.920199999999998</v>
      </c>
      <c r="C293" s="4">
        <f>23.5566 * CHOOSE(CONTROL!$C$9, $C$13, 100%, $E$13) + CHOOSE(CONTROL!$C$28, 0.0003, 0)</f>
        <v>23.556899999999999</v>
      </c>
      <c r="D293" s="4">
        <f>32.9817 * CHOOSE(CONTROL!$C$9, $C$13, 100%, $E$13) + CHOOSE(CONTROL!$C$28, 0, 0)</f>
        <v>32.981699999999996</v>
      </c>
      <c r="E293" s="4">
        <f>150.582356360755 * CHOOSE(CONTROL!$C$9, $C$13, 100%, $E$13) + CHOOSE(CONTROL!$C$28, 0, 0)</f>
        <v>150.582356360755</v>
      </c>
    </row>
    <row r="294" spans="1:5" ht="15">
      <c r="A294" s="13">
        <v>50464</v>
      </c>
      <c r="B294" s="4">
        <f>24.4695 * CHOOSE(CONTROL!$C$9, $C$13, 100%, $E$13) + CHOOSE(CONTROL!$C$28, 0.0003, 0)</f>
        <v>24.469799999999999</v>
      </c>
      <c r="C294" s="4">
        <f>24.1062 * CHOOSE(CONTROL!$C$9, $C$13, 100%, $E$13) + CHOOSE(CONTROL!$C$28, 0.0003, 0)</f>
        <v>24.1065</v>
      </c>
      <c r="D294" s="4">
        <f>34.0804 * CHOOSE(CONTROL!$C$9, $C$13, 100%, $E$13) + CHOOSE(CONTROL!$C$28, 0, 0)</f>
        <v>34.080399999999997</v>
      </c>
      <c r="E294" s="4">
        <f>154.15777493219 * CHOOSE(CONTROL!$C$9, $C$13, 100%, $E$13) + CHOOSE(CONTROL!$C$28, 0, 0)</f>
        <v>154.15777493218999</v>
      </c>
    </row>
    <row r="295" spans="1:5" ht="15">
      <c r="A295" s="13">
        <v>50495</v>
      </c>
      <c r="B295" s="4">
        <f>25.9128 * CHOOSE(CONTROL!$C$9, $C$13, 100%, $E$13) + CHOOSE(CONTROL!$C$28, 0.0003, 0)</f>
        <v>25.9131</v>
      </c>
      <c r="C295" s="4">
        <f>25.5495 * CHOOSE(CONTROL!$C$9, $C$13, 100%, $E$13) + CHOOSE(CONTROL!$C$28, 0.0003, 0)</f>
        <v>25.549799999999998</v>
      </c>
      <c r="D295" s="4">
        <f>35.8003 * CHOOSE(CONTROL!$C$9, $C$13, 100%, $E$13) + CHOOSE(CONTROL!$C$28, 0, 0)</f>
        <v>35.8003</v>
      </c>
      <c r="E295" s="4">
        <f>163.547014110058 * CHOOSE(CONTROL!$C$9, $C$13, 100%, $E$13) + CHOOSE(CONTROL!$C$28, 0, 0)</f>
        <v>163.547014110058</v>
      </c>
    </row>
    <row r="296" spans="1:5" ht="15">
      <c r="A296" s="13">
        <v>50525</v>
      </c>
      <c r="B296" s="4">
        <f>26.9382 * CHOOSE(CONTROL!$C$9, $C$13, 100%, $E$13) + CHOOSE(CONTROL!$C$28, 0.0003, 0)</f>
        <v>26.938499999999998</v>
      </c>
      <c r="C296" s="4">
        <f>26.5749 * CHOOSE(CONTROL!$C$9, $C$13, 100%, $E$13) + CHOOSE(CONTROL!$C$28, 0.0003, 0)</f>
        <v>26.575199999999999</v>
      </c>
      <c r="D296" s="4">
        <f>36.7911 * CHOOSE(CONTROL!$C$9, $C$13, 100%, $E$13) + CHOOSE(CONTROL!$C$28, 0, 0)</f>
        <v>36.7911</v>
      </c>
      <c r="E296" s="4">
        <f>170.218193673998 * CHOOSE(CONTROL!$C$9, $C$13, 100%, $E$13) + CHOOSE(CONTROL!$C$28, 0, 0)</f>
        <v>170.218193673998</v>
      </c>
    </row>
    <row r="297" spans="1:5" ht="15">
      <c r="A297" s="13">
        <v>50556</v>
      </c>
      <c r="B297" s="4">
        <f>27.5647 * CHOOSE(CONTROL!$C$9, $C$13, 100%, $E$13) + CHOOSE(CONTROL!$C$28, 0.0192, 0)</f>
        <v>27.5839</v>
      </c>
      <c r="C297" s="4">
        <f>27.2015 * CHOOSE(CONTROL!$C$9, $C$13, 100%, $E$13) + CHOOSE(CONTROL!$C$28, 0.0192, 0)</f>
        <v>27.220700000000001</v>
      </c>
      <c r="D297" s="4">
        <f>36.3996 * CHOOSE(CONTROL!$C$9, $C$13, 100%, $E$13) + CHOOSE(CONTROL!$C$28, 0, 0)</f>
        <v>36.3996</v>
      </c>
      <c r="E297" s="4">
        <f>174.294124501705 * CHOOSE(CONTROL!$C$9, $C$13, 100%, $E$13) + CHOOSE(CONTROL!$C$28, 0, 0)</f>
        <v>174.294124501705</v>
      </c>
    </row>
    <row r="298" spans="1:5" ht="15">
      <c r="A298" s="13">
        <v>50586</v>
      </c>
      <c r="B298" s="4">
        <f>27.6495 * CHOOSE(CONTROL!$C$9, $C$13, 100%, $E$13) + CHOOSE(CONTROL!$C$28, 0.0192, 0)</f>
        <v>27.668700000000001</v>
      </c>
      <c r="C298" s="4">
        <f>27.2862 * CHOOSE(CONTROL!$C$9, $C$13, 100%, $E$13) + CHOOSE(CONTROL!$C$28, 0.0192, 0)</f>
        <v>27.305400000000002</v>
      </c>
      <c r="D298" s="4">
        <f>36.7184 * CHOOSE(CONTROL!$C$9, $C$13, 100%, $E$13) + CHOOSE(CONTROL!$C$28, 0, 0)</f>
        <v>36.718400000000003</v>
      </c>
      <c r="E298" s="4">
        <f>174.845614858154 * CHOOSE(CONTROL!$C$9, $C$13, 100%, $E$13) + CHOOSE(CONTROL!$C$28, 0, 0)</f>
        <v>174.84561485815399</v>
      </c>
    </row>
    <row r="299" spans="1:5" ht="15">
      <c r="A299" s="13">
        <v>50617</v>
      </c>
      <c r="B299" s="4">
        <f>27.641 * CHOOSE(CONTROL!$C$9, $C$13, 100%, $E$13) + CHOOSE(CONTROL!$C$28, 0.0192, 0)</f>
        <v>27.6602</v>
      </c>
      <c r="C299" s="4">
        <f>27.2777 * CHOOSE(CONTROL!$C$9, $C$13, 100%, $E$13) + CHOOSE(CONTROL!$C$28, 0.0192, 0)</f>
        <v>27.296900000000001</v>
      </c>
      <c r="D299" s="4">
        <f>37.2937 * CHOOSE(CONTROL!$C$9, $C$13, 100%, $E$13) + CHOOSE(CONTROL!$C$28, 0, 0)</f>
        <v>37.293700000000001</v>
      </c>
      <c r="E299" s="4">
        <f>174.790002385235 * CHOOSE(CONTROL!$C$9, $C$13, 100%, $E$13) + CHOOSE(CONTROL!$C$28, 0, 0)</f>
        <v>174.790002385235</v>
      </c>
    </row>
    <row r="300" spans="1:5" ht="15">
      <c r="A300" s="13">
        <v>50648</v>
      </c>
      <c r="B300" s="4">
        <f>28.2842 * CHOOSE(CONTROL!$C$9, $C$13, 100%, $E$13) + CHOOSE(CONTROL!$C$28, 0.0192, 0)</f>
        <v>28.3034</v>
      </c>
      <c r="C300" s="4">
        <f>27.9209 * CHOOSE(CONTROL!$C$9, $C$13, 100%, $E$13) + CHOOSE(CONTROL!$C$28, 0.0192, 0)</f>
        <v>27.940100000000001</v>
      </c>
      <c r="D300" s="4">
        <f>36.9138 * CHOOSE(CONTROL!$C$9, $C$13, 100%, $E$13) + CHOOSE(CONTROL!$C$28, 0, 0)</f>
        <v>36.913800000000002</v>
      </c>
      <c r="E300" s="4">
        <f>178.974840972409 * CHOOSE(CONTROL!$C$9, $C$13, 100%, $E$13) + CHOOSE(CONTROL!$C$28, 0, 0)</f>
        <v>178.974840972409</v>
      </c>
    </row>
    <row r="301" spans="1:5" ht="15">
      <c r="A301" s="13">
        <v>50678</v>
      </c>
      <c r="B301" s="4">
        <f>27.1879 * CHOOSE(CONTROL!$C$9, $C$13, 100%, $E$13) + CHOOSE(CONTROL!$C$28, 0.0192, 0)</f>
        <v>27.207100000000001</v>
      </c>
      <c r="C301" s="4">
        <f>26.8246 * CHOOSE(CONTROL!$C$9, $C$13, 100%, $E$13) + CHOOSE(CONTROL!$C$28, 0.0192, 0)</f>
        <v>26.843800000000002</v>
      </c>
      <c r="D301" s="4">
        <f>36.7343 * CHOOSE(CONTROL!$C$9, $C$13, 100%, $E$13) + CHOOSE(CONTROL!$C$28, 0, 0)</f>
        <v>36.734299999999998</v>
      </c>
      <c r="E301" s="4">
        <f>171.842541320514 * CHOOSE(CONTROL!$C$9, $C$13, 100%, $E$13) + CHOOSE(CONTROL!$C$28, 0, 0)</f>
        <v>171.84254132051399</v>
      </c>
    </row>
    <row r="302" spans="1:5" ht="15">
      <c r="A302" s="13">
        <v>50709</v>
      </c>
      <c r="B302" s="4">
        <f>26.3103 * CHOOSE(CONTROL!$C$9, $C$13, 100%, $E$13) + CHOOSE(CONTROL!$C$28, 0.0003, 0)</f>
        <v>26.310600000000001</v>
      </c>
      <c r="C302" s="4">
        <f>25.947 * CHOOSE(CONTROL!$C$9, $C$13, 100%, $E$13) + CHOOSE(CONTROL!$C$28, 0.0003, 0)</f>
        <v>25.947299999999998</v>
      </c>
      <c r="D302" s="4">
        <f>36.2536 * CHOOSE(CONTROL!$C$9, $C$13, 100%, $E$13) + CHOOSE(CONTROL!$C$28, 0, 0)</f>
        <v>36.253599999999999</v>
      </c>
      <c r="E302" s="4">
        <f>166.132994100804 * CHOOSE(CONTROL!$C$9, $C$13, 100%, $E$13) + CHOOSE(CONTROL!$C$28, 0, 0)</f>
        <v>166.13299410080401</v>
      </c>
    </row>
    <row r="303" spans="1:5" ht="15">
      <c r="A303" s="13">
        <v>50739</v>
      </c>
      <c r="B303" s="4">
        <f>25.745 * CHOOSE(CONTROL!$C$9, $C$13, 100%, $E$13) + CHOOSE(CONTROL!$C$28, 0.0003, 0)</f>
        <v>25.7453</v>
      </c>
      <c r="C303" s="4">
        <f>25.3817 * CHOOSE(CONTROL!$C$9, $C$13, 100%, $E$13) + CHOOSE(CONTROL!$C$28, 0.0003, 0)</f>
        <v>25.381999999999998</v>
      </c>
      <c r="D303" s="4">
        <f>36.0884 * CHOOSE(CONTROL!$C$9, $C$13, 100%, $E$13) + CHOOSE(CONTROL!$C$28, 0, 0)</f>
        <v>36.0884</v>
      </c>
      <c r="E303" s="4">
        <f>162.455619329017 * CHOOSE(CONTROL!$C$9, $C$13, 100%, $E$13) + CHOOSE(CONTROL!$C$28, 0, 0)</f>
        <v>162.455619329017</v>
      </c>
    </row>
    <row r="304" spans="1:5" ht="15">
      <c r="A304" s="13">
        <v>50770</v>
      </c>
      <c r="B304" s="4">
        <f>25.3539 * CHOOSE(CONTROL!$C$9, $C$13, 100%, $E$13) + CHOOSE(CONTROL!$C$28, 0.0003, 0)</f>
        <v>25.354199999999999</v>
      </c>
      <c r="C304" s="4">
        <f>24.9906 * CHOOSE(CONTROL!$C$9, $C$13, 100%, $E$13) + CHOOSE(CONTROL!$C$28, 0.0003, 0)</f>
        <v>24.9909</v>
      </c>
      <c r="D304" s="4">
        <f>34.8718 * CHOOSE(CONTROL!$C$9, $C$13, 100%, $E$13) + CHOOSE(CONTROL!$C$28, 0, 0)</f>
        <v>34.8718</v>
      </c>
      <c r="E304" s="4">
        <f>159.911348692961 * CHOOSE(CONTROL!$C$9, $C$13, 100%, $E$13) + CHOOSE(CONTROL!$C$28, 0, 0)</f>
        <v>159.91134869296101</v>
      </c>
    </row>
    <row r="305" spans="1:5" ht="15">
      <c r="A305" s="13">
        <v>50801</v>
      </c>
      <c r="B305" s="4">
        <f>24.2839 * CHOOSE(CONTROL!$C$9, $C$13, 100%, $E$13) + CHOOSE(CONTROL!$C$28, 0.0003, 0)</f>
        <v>24.284199999999998</v>
      </c>
      <c r="C305" s="4">
        <f>23.9206 * CHOOSE(CONTROL!$C$9, $C$13, 100%, $E$13) + CHOOSE(CONTROL!$C$28, 0.0003, 0)</f>
        <v>23.9209</v>
      </c>
      <c r="D305" s="4">
        <f>33.5317 * CHOOSE(CONTROL!$C$9, $C$13, 100%, $E$13) + CHOOSE(CONTROL!$C$28, 0, 0)</f>
        <v>33.531700000000001</v>
      </c>
      <c r="E305" s="4">
        <f>153.250391234507 * CHOOSE(CONTROL!$C$9, $C$13, 100%, $E$13) + CHOOSE(CONTROL!$C$28, 0, 0)</f>
        <v>153.25039123450699</v>
      </c>
    </row>
    <row r="306" spans="1:5" ht="15">
      <c r="A306" s="13">
        <v>50829</v>
      </c>
      <c r="B306" s="4">
        <f>24.8421 * CHOOSE(CONTROL!$C$9, $C$13, 100%, $E$13) + CHOOSE(CONTROL!$C$28, 0.0003, 0)</f>
        <v>24.842399999999998</v>
      </c>
      <c r="C306" s="4">
        <f>24.4789 * CHOOSE(CONTROL!$C$9, $C$13, 100%, $E$13) + CHOOSE(CONTROL!$C$28, 0.0003, 0)</f>
        <v>24.479199999999999</v>
      </c>
      <c r="D306" s="4">
        <f>34.6498 * CHOOSE(CONTROL!$C$9, $C$13, 100%, $E$13) + CHOOSE(CONTROL!$C$28, 0, 0)</f>
        <v>34.649799999999999</v>
      </c>
      <c r="E306" s="4">
        <f>156.889159468328 * CHOOSE(CONTROL!$C$9, $C$13, 100%, $E$13) + CHOOSE(CONTROL!$C$28, 0, 0)</f>
        <v>156.88915946832799</v>
      </c>
    </row>
    <row r="307" spans="1:5" ht="15">
      <c r="A307" s="13">
        <v>50860</v>
      </c>
      <c r="B307" s="4">
        <f>26.3081 * CHOOSE(CONTROL!$C$9, $C$13, 100%, $E$13) + CHOOSE(CONTROL!$C$28, 0.0003, 0)</f>
        <v>26.308399999999999</v>
      </c>
      <c r="C307" s="4">
        <f>25.9448 * CHOOSE(CONTROL!$C$9, $C$13, 100%, $E$13) + CHOOSE(CONTROL!$C$28, 0.0003, 0)</f>
        <v>25.9451</v>
      </c>
      <c r="D307" s="4">
        <f>36.4001 * CHOOSE(CONTROL!$C$9, $C$13, 100%, $E$13) + CHOOSE(CONTROL!$C$28, 0, 0)</f>
        <v>36.400100000000002</v>
      </c>
      <c r="E307" s="4">
        <f>166.444758226229 * CHOOSE(CONTROL!$C$9, $C$13, 100%, $E$13) + CHOOSE(CONTROL!$C$28, 0, 0)</f>
        <v>166.444758226229</v>
      </c>
    </row>
    <row r="308" spans="1:5" ht="15">
      <c r="A308" s="13">
        <v>50890</v>
      </c>
      <c r="B308" s="4">
        <f>27.3497 * CHOOSE(CONTROL!$C$9, $C$13, 100%, $E$13) + CHOOSE(CONTROL!$C$28, 0.0003, 0)</f>
        <v>27.349999999999998</v>
      </c>
      <c r="C308" s="4">
        <f>26.9864 * CHOOSE(CONTROL!$C$9, $C$13, 100%, $E$13) + CHOOSE(CONTROL!$C$28, 0.0003, 0)</f>
        <v>26.986699999999999</v>
      </c>
      <c r="D308" s="4">
        <f>37.4084 * CHOOSE(CONTROL!$C$9, $C$13, 100%, $E$13) + CHOOSE(CONTROL!$C$28, 0, 0)</f>
        <v>37.4084</v>
      </c>
      <c r="E308" s="4">
        <f>173.234138488815 * CHOOSE(CONTROL!$C$9, $C$13, 100%, $E$13) + CHOOSE(CONTROL!$C$28, 0, 0)</f>
        <v>173.23413848881501</v>
      </c>
    </row>
    <row r="309" spans="1:5" ht="15">
      <c r="A309" s="13">
        <v>50921</v>
      </c>
      <c r="B309" s="4">
        <f>27.986 * CHOOSE(CONTROL!$C$9, $C$13, 100%, $E$13) + CHOOSE(CONTROL!$C$28, 0.0192, 0)</f>
        <v>28.005200000000002</v>
      </c>
      <c r="C309" s="4">
        <f>27.6227 * CHOOSE(CONTROL!$C$9, $C$13, 100%, $E$13) + CHOOSE(CONTROL!$C$28, 0.0192, 0)</f>
        <v>27.6419</v>
      </c>
      <c r="D309" s="4">
        <f>37.01 * CHOOSE(CONTROL!$C$9, $C$13, 100%, $E$13) + CHOOSE(CONTROL!$C$28, 0, 0)</f>
        <v>37.01</v>
      </c>
      <c r="E309" s="4">
        <f>177.38228711052 * CHOOSE(CONTROL!$C$9, $C$13, 100%, $E$13) + CHOOSE(CONTROL!$C$28, 0, 0)</f>
        <v>177.38228711052</v>
      </c>
    </row>
    <row r="310" spans="1:5" ht="15">
      <c r="A310" s="13">
        <v>50951</v>
      </c>
      <c r="B310" s="4">
        <f>28.0721 * CHOOSE(CONTROL!$C$9, $C$13, 100%, $E$13) + CHOOSE(CONTROL!$C$28, 0.0192, 0)</f>
        <v>28.0913</v>
      </c>
      <c r="C310" s="4">
        <f>27.7088 * CHOOSE(CONTROL!$C$9, $C$13, 100%, $E$13) + CHOOSE(CONTROL!$C$28, 0.0192, 0)</f>
        <v>27.728000000000002</v>
      </c>
      <c r="D310" s="4">
        <f>37.3344 * CHOOSE(CONTROL!$C$9, $C$13, 100%, $E$13) + CHOOSE(CONTROL!$C$28, 0, 0)</f>
        <v>37.334400000000002</v>
      </c>
      <c r="E310" s="4">
        <f>177.943548834207 * CHOOSE(CONTROL!$C$9, $C$13, 100%, $E$13) + CHOOSE(CONTROL!$C$28, 0, 0)</f>
        <v>177.94354883420701</v>
      </c>
    </row>
    <row r="311" spans="1:5" ht="15">
      <c r="A311" s="13">
        <v>50982</v>
      </c>
      <c r="B311" s="4">
        <f>28.0634 * CHOOSE(CONTROL!$C$9, $C$13, 100%, $E$13) + CHOOSE(CONTROL!$C$28, 0.0192, 0)</f>
        <v>28.082600000000003</v>
      </c>
      <c r="C311" s="4">
        <f>27.7002 * CHOOSE(CONTROL!$C$9, $C$13, 100%, $E$13) + CHOOSE(CONTROL!$C$28, 0.0192, 0)</f>
        <v>27.7194</v>
      </c>
      <c r="D311" s="4">
        <f>37.9199 * CHOOSE(CONTROL!$C$9, $C$13, 100%, $E$13) + CHOOSE(CONTROL!$C$28, 0, 0)</f>
        <v>37.919899999999998</v>
      </c>
      <c r="E311" s="4">
        <f>177.886951013331 * CHOOSE(CONTROL!$C$9, $C$13, 100%, $E$13) + CHOOSE(CONTROL!$C$28, 0, 0)</f>
        <v>177.88695101333099</v>
      </c>
    </row>
    <row r="312" spans="1:5" ht="15">
      <c r="A312" s="13">
        <v>51013</v>
      </c>
      <c r="B312" s="4">
        <f>28.7168 * CHOOSE(CONTROL!$C$9, $C$13, 100%, $E$13) + CHOOSE(CONTROL!$C$28, 0.0192, 0)</f>
        <v>28.736000000000001</v>
      </c>
      <c r="C312" s="4">
        <f>28.3535 * CHOOSE(CONTROL!$C$9, $C$13, 100%, $E$13) + CHOOSE(CONTROL!$C$28, 0.0192, 0)</f>
        <v>28.372700000000002</v>
      </c>
      <c r="D312" s="4">
        <f>37.5333 * CHOOSE(CONTROL!$C$9, $C$13, 100%, $E$13) + CHOOSE(CONTROL!$C$28, 0, 0)</f>
        <v>37.533299999999997</v>
      </c>
      <c r="E312" s="4">
        <f>182.145937034252 * CHOOSE(CONTROL!$C$9, $C$13, 100%, $E$13) + CHOOSE(CONTROL!$C$28, 0, 0)</f>
        <v>182.145937034252</v>
      </c>
    </row>
    <row r="313" spans="1:5" ht="15">
      <c r="A313" s="13">
        <v>51043</v>
      </c>
      <c r="B313" s="4">
        <f>27.6033 * CHOOSE(CONTROL!$C$9, $C$13, 100%, $E$13) + CHOOSE(CONTROL!$C$28, 0.0192, 0)</f>
        <v>27.622500000000002</v>
      </c>
      <c r="C313" s="4">
        <f>27.24 * CHOOSE(CONTROL!$C$9, $C$13, 100%, $E$13) + CHOOSE(CONTROL!$C$28, 0.0192, 0)</f>
        <v>27.2592</v>
      </c>
      <c r="D313" s="4">
        <f>37.3506 * CHOOSE(CONTROL!$C$9, $C$13, 100%, $E$13) + CHOOSE(CONTROL!$C$28, 0, 0)</f>
        <v>37.3506</v>
      </c>
      <c r="E313" s="4">
        <f>174.887266506902 * CHOOSE(CONTROL!$C$9, $C$13, 100%, $E$13) + CHOOSE(CONTROL!$C$28, 0, 0)</f>
        <v>174.88726650690199</v>
      </c>
    </row>
    <row r="314" spans="1:5" ht="15">
      <c r="A314" s="13">
        <v>51074</v>
      </c>
      <c r="B314" s="4">
        <f>26.7118 * CHOOSE(CONTROL!$C$9, $C$13, 100%, $E$13) + CHOOSE(CONTROL!$C$28, 0.0003, 0)</f>
        <v>26.7121</v>
      </c>
      <c r="C314" s="4">
        <f>26.3485 * CHOOSE(CONTROL!$C$9, $C$13, 100%, $E$13) + CHOOSE(CONTROL!$C$28, 0.0003, 0)</f>
        <v>26.348800000000001</v>
      </c>
      <c r="D314" s="4">
        <f>36.8615 * CHOOSE(CONTROL!$C$9, $C$13, 100%, $E$13) + CHOOSE(CONTROL!$C$28, 0, 0)</f>
        <v>36.861499999999999</v>
      </c>
      <c r="E314" s="4">
        <f>169.076556896964 * CHOOSE(CONTROL!$C$9, $C$13, 100%, $E$13) + CHOOSE(CONTROL!$C$28, 0, 0)</f>
        <v>169.07655689696401</v>
      </c>
    </row>
    <row r="315" spans="1:5" ht="15">
      <c r="A315" s="13">
        <v>51104</v>
      </c>
      <c r="B315" s="4">
        <f>26.1377 * CHOOSE(CONTROL!$C$9, $C$13, 100%, $E$13) + CHOOSE(CONTROL!$C$28, 0.0003, 0)</f>
        <v>26.137999999999998</v>
      </c>
      <c r="C315" s="4">
        <f>25.7744 * CHOOSE(CONTROL!$C$9, $C$13, 100%, $E$13) + CHOOSE(CONTROL!$C$28, 0.0003, 0)</f>
        <v>25.774699999999999</v>
      </c>
      <c r="D315" s="4">
        <f>36.6933 * CHOOSE(CONTROL!$C$9, $C$13, 100%, $E$13) + CHOOSE(CONTROL!$C$28, 0, 0)</f>
        <v>36.693300000000001</v>
      </c>
      <c r="E315" s="4">
        <f>165.334025991537 * CHOOSE(CONTROL!$C$9, $C$13, 100%, $E$13) + CHOOSE(CONTROL!$C$28, 0, 0)</f>
        <v>165.334025991537</v>
      </c>
    </row>
    <row r="316" spans="1:5" ht="15">
      <c r="A316" s="13">
        <v>51135</v>
      </c>
      <c r="B316" s="4">
        <f>25.7404 * CHOOSE(CONTROL!$C$9, $C$13, 100%, $E$13) + CHOOSE(CONTROL!$C$28, 0.0003, 0)</f>
        <v>25.7407</v>
      </c>
      <c r="C316" s="4">
        <f>25.3772 * CHOOSE(CONTROL!$C$9, $C$13, 100%, $E$13) + CHOOSE(CONTROL!$C$28, 0.0003, 0)</f>
        <v>25.377499999999998</v>
      </c>
      <c r="D316" s="4">
        <f>35.4552 * CHOOSE(CONTROL!$C$9, $C$13, 100%, $E$13) + CHOOSE(CONTROL!$C$28, 0, 0)</f>
        <v>35.455199999999998</v>
      </c>
      <c r="E316" s="4">
        <f>162.744675686459 * CHOOSE(CONTROL!$C$9, $C$13, 100%, $E$13) + CHOOSE(CONTROL!$C$28, 0, 0)</f>
        <v>162.744675686459</v>
      </c>
    </row>
    <row r="317" spans="1:5" ht="15">
      <c r="A317" s="13">
        <v>51166</v>
      </c>
      <c r="B317" s="4">
        <f>24.6536 * CHOOSE(CONTROL!$C$9, $C$13, 100%, $E$13) + CHOOSE(CONTROL!$C$28, 0.0003, 0)</f>
        <v>24.6539</v>
      </c>
      <c r="C317" s="4">
        <f>24.2903 * CHOOSE(CONTROL!$C$9, $C$13, 100%, $E$13) + CHOOSE(CONTROL!$C$28, 0.0003, 0)</f>
        <v>24.290599999999998</v>
      </c>
      <c r="D317" s="4">
        <f>34.0914 * CHOOSE(CONTROL!$C$9, $C$13, 100%, $E$13) + CHOOSE(CONTROL!$C$28, 0, 0)</f>
        <v>34.0914</v>
      </c>
      <c r="E317" s="4">
        <f>155.965698645756 * CHOOSE(CONTROL!$C$9, $C$13, 100%, $E$13) + CHOOSE(CONTROL!$C$28, 0, 0)</f>
        <v>155.96569864575599</v>
      </c>
    </row>
    <row r="318" spans="1:5" ht="15">
      <c r="A318" s="13">
        <v>51194</v>
      </c>
      <c r="B318" s="4">
        <f>25.2206 * CHOOSE(CONTROL!$C$9, $C$13, 100%, $E$13) + CHOOSE(CONTROL!$C$28, 0.0003, 0)</f>
        <v>25.2209</v>
      </c>
      <c r="C318" s="4">
        <f>24.8573 * CHOOSE(CONTROL!$C$9, $C$13, 100%, $E$13) + CHOOSE(CONTROL!$C$28, 0.0003, 0)</f>
        <v>24.857599999999998</v>
      </c>
      <c r="D318" s="4">
        <f>35.2293 * CHOOSE(CONTROL!$C$9, $C$13, 100%, $E$13) + CHOOSE(CONTROL!$C$28, 0, 0)</f>
        <v>35.229300000000002</v>
      </c>
      <c r="E318" s="4">
        <f>159.6689389783 * CHOOSE(CONTROL!$C$9, $C$13, 100%, $E$13) + CHOOSE(CONTROL!$C$28, 0, 0)</f>
        <v>159.66893897829999</v>
      </c>
    </row>
    <row r="319" spans="1:5" ht="15">
      <c r="A319" s="13">
        <v>51226</v>
      </c>
      <c r="B319" s="4">
        <f>26.7096 * CHOOSE(CONTROL!$C$9, $C$13, 100%, $E$13) + CHOOSE(CONTROL!$C$28, 0.0003, 0)</f>
        <v>26.709899999999998</v>
      </c>
      <c r="C319" s="4">
        <f>26.3463 * CHOOSE(CONTROL!$C$9, $C$13, 100%, $E$13) + CHOOSE(CONTROL!$C$28, 0.0003, 0)</f>
        <v>26.346599999999999</v>
      </c>
      <c r="D319" s="4">
        <f>37.0106 * CHOOSE(CONTROL!$C$9, $C$13, 100%, $E$13) + CHOOSE(CONTROL!$C$28, 0, 0)</f>
        <v>37.010599999999997</v>
      </c>
      <c r="E319" s="4">
        <f>169.393844893705 * CHOOSE(CONTROL!$C$9, $C$13, 100%, $E$13) + CHOOSE(CONTROL!$C$28, 0, 0)</f>
        <v>169.39384489370499</v>
      </c>
    </row>
    <row r="320" spans="1:5" ht="15">
      <c r="A320" s="13">
        <v>51256</v>
      </c>
      <c r="B320" s="4">
        <f>27.7676 * CHOOSE(CONTROL!$C$9, $C$13, 100%, $E$13) + CHOOSE(CONTROL!$C$28, 0.0003, 0)</f>
        <v>27.767900000000001</v>
      </c>
      <c r="C320" s="4">
        <f>27.4043 * CHOOSE(CONTROL!$C$9, $C$13, 100%, $E$13) + CHOOSE(CONTROL!$C$28, 0.0003, 0)</f>
        <v>27.404599999999999</v>
      </c>
      <c r="D320" s="4">
        <f>38.0366 * CHOOSE(CONTROL!$C$9, $C$13, 100%, $E$13) + CHOOSE(CONTROL!$C$28, 0, 0)</f>
        <v>38.0366</v>
      </c>
      <c r="E320" s="4">
        <f>176.303520148012 * CHOOSE(CONTROL!$C$9, $C$13, 100%, $E$13) + CHOOSE(CONTROL!$C$28, 0, 0)</f>
        <v>176.30352014801201</v>
      </c>
    </row>
    <row r="321" spans="1:5" ht="15">
      <c r="A321" s="13">
        <v>51287</v>
      </c>
      <c r="B321" s="4">
        <f>28.4139 * CHOOSE(CONTROL!$C$9, $C$13, 100%, $E$13) + CHOOSE(CONTROL!$C$28, 0.0192, 0)</f>
        <v>28.433100000000003</v>
      </c>
      <c r="C321" s="4">
        <f>28.0507 * CHOOSE(CONTROL!$C$9, $C$13, 100%, $E$13) + CHOOSE(CONTROL!$C$28, 0.0192, 0)</f>
        <v>28.069900000000001</v>
      </c>
      <c r="D321" s="4">
        <f>37.6312 * CHOOSE(CONTROL!$C$9, $C$13, 100%, $E$13) + CHOOSE(CONTROL!$C$28, 0, 0)</f>
        <v>37.6312</v>
      </c>
      <c r="E321" s="4">
        <f>180.52516612659 * CHOOSE(CONTROL!$C$9, $C$13, 100%, $E$13) + CHOOSE(CONTROL!$C$28, 0, 0)</f>
        <v>180.52516612658999</v>
      </c>
    </row>
    <row r="322" spans="1:5" ht="15">
      <c r="A322" s="13">
        <v>51317</v>
      </c>
      <c r="B322" s="4">
        <f>28.5014 * CHOOSE(CONTROL!$C$9, $C$13, 100%, $E$13) + CHOOSE(CONTROL!$C$28, 0.0192, 0)</f>
        <v>28.520600000000002</v>
      </c>
      <c r="C322" s="4">
        <f>28.1381 * CHOOSE(CONTROL!$C$9, $C$13, 100%, $E$13) + CHOOSE(CONTROL!$C$28, 0.0192, 0)</f>
        <v>28.157300000000003</v>
      </c>
      <c r="D322" s="4">
        <f>37.9614 * CHOOSE(CONTROL!$C$9, $C$13, 100%, $E$13) + CHOOSE(CONTROL!$C$28, 0, 0)</f>
        <v>37.961399999999998</v>
      </c>
      <c r="E322" s="4">
        <f>181.096372347683 * CHOOSE(CONTROL!$C$9, $C$13, 100%, $E$13) + CHOOSE(CONTROL!$C$28, 0, 0)</f>
        <v>181.096372347683</v>
      </c>
    </row>
    <row r="323" spans="1:5" ht="15">
      <c r="A323" s="13">
        <v>51348</v>
      </c>
      <c r="B323" s="4">
        <f>28.4926 * CHOOSE(CONTROL!$C$9, $C$13, 100%, $E$13) + CHOOSE(CONTROL!$C$28, 0.0192, 0)</f>
        <v>28.511800000000001</v>
      </c>
      <c r="C323" s="4">
        <f>28.1293 * CHOOSE(CONTROL!$C$9, $C$13, 100%, $E$13) + CHOOSE(CONTROL!$C$28, 0.0192, 0)</f>
        <v>28.148500000000002</v>
      </c>
      <c r="D323" s="4">
        <f>38.5572 * CHOOSE(CONTROL!$C$9, $C$13, 100%, $E$13) + CHOOSE(CONTROL!$C$28, 0, 0)</f>
        <v>38.557200000000002</v>
      </c>
      <c r="E323" s="4">
        <f>181.038771720346 * CHOOSE(CONTROL!$C$9, $C$13, 100%, $E$13) + CHOOSE(CONTROL!$C$28, 0, 0)</f>
        <v>181.03877172034601</v>
      </c>
    </row>
    <row r="324" spans="1:5" ht="15">
      <c r="A324" s="13">
        <v>51379</v>
      </c>
      <c r="B324" s="4">
        <f>29.1562 * CHOOSE(CONTROL!$C$9, $C$13, 100%, $E$13) + CHOOSE(CONTROL!$C$28, 0.0192, 0)</f>
        <v>29.1754</v>
      </c>
      <c r="C324" s="4">
        <f>28.793 * CHOOSE(CONTROL!$C$9, $C$13, 100%, $E$13) + CHOOSE(CONTROL!$C$28, 0.0192, 0)</f>
        <v>28.812200000000001</v>
      </c>
      <c r="D324" s="4">
        <f>38.1637 * CHOOSE(CONTROL!$C$9, $C$13, 100%, $E$13) + CHOOSE(CONTROL!$C$28, 0, 0)</f>
        <v>38.163699999999999</v>
      </c>
      <c r="E324" s="4">
        <f>185.373218927459 * CHOOSE(CONTROL!$C$9, $C$13, 100%, $E$13) + CHOOSE(CONTROL!$C$28, 0, 0)</f>
        <v>185.37321892745899</v>
      </c>
    </row>
    <row r="325" spans="1:5" ht="15">
      <c r="A325" s="13">
        <v>51409</v>
      </c>
      <c r="B325" s="4">
        <f>28.0252 * CHOOSE(CONTROL!$C$9, $C$13, 100%, $E$13) + CHOOSE(CONTROL!$C$28, 0.0192, 0)</f>
        <v>28.044400000000003</v>
      </c>
      <c r="C325" s="4">
        <f>27.6619 * CHOOSE(CONTROL!$C$9, $C$13, 100%, $E$13) + CHOOSE(CONTROL!$C$28, 0.0192, 0)</f>
        <v>27.681100000000001</v>
      </c>
      <c r="D325" s="4">
        <f>37.9778 * CHOOSE(CONTROL!$C$9, $C$13, 100%, $E$13) + CHOOSE(CONTROL!$C$28, 0, 0)</f>
        <v>37.977800000000002</v>
      </c>
      <c r="E325" s="4">
        <f>177.985938471482 * CHOOSE(CONTROL!$C$9, $C$13, 100%, $E$13) + CHOOSE(CONTROL!$C$28, 0, 0)</f>
        <v>177.985938471482</v>
      </c>
    </row>
    <row r="326" spans="1:5" ht="15">
      <c r="A326" s="13">
        <v>51440</v>
      </c>
      <c r="B326" s="4">
        <f>27.1197 * CHOOSE(CONTROL!$C$9, $C$13, 100%, $E$13) + CHOOSE(CONTROL!$C$28, 0.0003, 0)</f>
        <v>27.12</v>
      </c>
      <c r="C326" s="4">
        <f>26.7564 * CHOOSE(CONTROL!$C$9, $C$13, 100%, $E$13) + CHOOSE(CONTROL!$C$28, 0.0003, 0)</f>
        <v>26.756699999999999</v>
      </c>
      <c r="D326" s="4">
        <f>37.48 * CHOOSE(CONTROL!$C$9, $C$13, 100%, $E$13) + CHOOSE(CONTROL!$C$28, 0, 0)</f>
        <v>37.479999999999997</v>
      </c>
      <c r="E326" s="4">
        <f>172.072274064878 * CHOOSE(CONTROL!$C$9, $C$13, 100%, $E$13) + CHOOSE(CONTROL!$C$28, 0, 0)</f>
        <v>172.072274064878</v>
      </c>
    </row>
    <row r="327" spans="1:5" ht="15">
      <c r="A327" s="13">
        <v>51470</v>
      </c>
      <c r="B327" s="4">
        <f>26.5365 * CHOOSE(CONTROL!$C$9, $C$13, 100%, $E$13) + CHOOSE(CONTROL!$C$28, 0.0003, 0)</f>
        <v>26.536799999999999</v>
      </c>
      <c r="C327" s="4">
        <f>26.1732 * CHOOSE(CONTROL!$C$9, $C$13, 100%, $E$13) + CHOOSE(CONTROL!$C$28, 0.0003, 0)</f>
        <v>26.173500000000001</v>
      </c>
      <c r="D327" s="4">
        <f>37.3089 * CHOOSE(CONTROL!$C$9, $C$13, 100%, $E$13) + CHOOSE(CONTROL!$C$28, 0, 0)</f>
        <v>37.308900000000001</v>
      </c>
      <c r="E327" s="4">
        <f>168.263432582216 * CHOOSE(CONTROL!$C$9, $C$13, 100%, $E$13) + CHOOSE(CONTROL!$C$28, 0, 0)</f>
        <v>168.26343258221601</v>
      </c>
    </row>
    <row r="328" spans="1:5" ht="15">
      <c r="A328" s="13">
        <v>51501</v>
      </c>
      <c r="B328" s="4">
        <f>26.133 * CHOOSE(CONTROL!$C$9, $C$13, 100%, $E$13) + CHOOSE(CONTROL!$C$28, 0.0003, 0)</f>
        <v>26.133299999999998</v>
      </c>
      <c r="C328" s="4">
        <f>25.7698 * CHOOSE(CONTROL!$C$9, $C$13, 100%, $E$13) + CHOOSE(CONTROL!$C$28, 0.0003, 0)</f>
        <v>25.770099999999999</v>
      </c>
      <c r="D328" s="4">
        <f>36.049 * CHOOSE(CONTROL!$C$9, $C$13, 100%, $E$13) + CHOOSE(CONTROL!$C$28, 0, 0)</f>
        <v>36.048999999999999</v>
      </c>
      <c r="E328" s="4">
        <f>165.628203881546 * CHOOSE(CONTROL!$C$9, $C$13, 100%, $E$13) + CHOOSE(CONTROL!$C$28, 0, 0)</f>
        <v>165.628203881546</v>
      </c>
    </row>
    <row r="329" spans="1:5" ht="15">
      <c r="A329" s="13">
        <v>51532</v>
      </c>
      <c r="B329" s="4">
        <f>25.0291 * CHOOSE(CONTROL!$C$9, $C$13, 100%, $E$13) + CHOOSE(CONTROL!$C$28, 0.0003, 0)</f>
        <v>25.029399999999999</v>
      </c>
      <c r="C329" s="4">
        <f>24.6658 * CHOOSE(CONTROL!$C$9, $C$13, 100%, $E$13) + CHOOSE(CONTROL!$C$28, 0.0003, 0)</f>
        <v>24.6661</v>
      </c>
      <c r="D329" s="4">
        <f>34.6611 * CHOOSE(CONTROL!$C$9, $C$13, 100%, $E$13) + CHOOSE(CONTROL!$C$28, 0, 0)</f>
        <v>34.661099999999998</v>
      </c>
      <c r="E329" s="4">
        <f>158.72911617456 * CHOOSE(CONTROL!$C$9, $C$13, 100%, $E$13) + CHOOSE(CONTROL!$C$28, 0, 0)</f>
        <v>158.72911617456</v>
      </c>
    </row>
    <row r="330" spans="1:5" ht="15">
      <c r="A330" s="13">
        <v>51560</v>
      </c>
      <c r="B330" s="4">
        <f>25.605 * CHOOSE(CONTROL!$C$9, $C$13, 100%, $E$13) + CHOOSE(CONTROL!$C$28, 0.0003, 0)</f>
        <v>25.6053</v>
      </c>
      <c r="C330" s="4">
        <f>25.2418 * CHOOSE(CONTROL!$C$9, $C$13, 100%, $E$13) + CHOOSE(CONTROL!$C$28, 0.0003, 0)</f>
        <v>25.242100000000001</v>
      </c>
      <c r="D330" s="4">
        <f>35.819 * CHOOSE(CONTROL!$C$9, $C$13, 100%, $E$13) + CHOOSE(CONTROL!$C$28, 0, 0)</f>
        <v>35.819000000000003</v>
      </c>
      <c r="E330" s="4">
        <f>162.497970929616 * CHOOSE(CONTROL!$C$9, $C$13, 100%, $E$13) + CHOOSE(CONTROL!$C$28, 0, 0)</f>
        <v>162.497970929616</v>
      </c>
    </row>
    <row r="331" spans="1:5" ht="15">
      <c r="A331" s="13">
        <v>51591</v>
      </c>
      <c r="B331" s="4">
        <f>27.1175 * CHOOSE(CONTROL!$C$9, $C$13, 100%, $E$13) + CHOOSE(CONTROL!$C$28, 0.0003, 0)</f>
        <v>27.117799999999999</v>
      </c>
      <c r="C331" s="4">
        <f>26.7542 * CHOOSE(CONTROL!$C$9, $C$13, 100%, $E$13) + CHOOSE(CONTROL!$C$28, 0.0003, 0)</f>
        <v>26.7545</v>
      </c>
      <c r="D331" s="4">
        <f>37.6317 * CHOOSE(CONTROL!$C$9, $C$13, 100%, $E$13) + CHOOSE(CONTROL!$C$28, 0, 0)</f>
        <v>37.631700000000002</v>
      </c>
      <c r="E331" s="4">
        <f>172.3951838055 * CHOOSE(CONTROL!$C$9, $C$13, 100%, $E$13) + CHOOSE(CONTROL!$C$28, 0, 0)</f>
        <v>172.39518380550001</v>
      </c>
    </row>
    <row r="332" spans="1:5" ht="15">
      <c r="A332" s="13">
        <v>51621</v>
      </c>
      <c r="B332" s="4">
        <f>28.192 * CHOOSE(CONTROL!$C$9, $C$13, 100%, $E$13) + CHOOSE(CONTROL!$C$28, 0.0003, 0)</f>
        <v>28.192299999999999</v>
      </c>
      <c r="C332" s="4">
        <f>27.8288 * CHOOSE(CONTROL!$C$9, $C$13, 100%, $E$13) + CHOOSE(CONTROL!$C$28, 0.0003, 0)</f>
        <v>27.8291</v>
      </c>
      <c r="D332" s="4">
        <f>38.6759 * CHOOSE(CONTROL!$C$9, $C$13, 100%, $E$13) + CHOOSE(CONTROL!$C$28, 0, 0)</f>
        <v>38.675899999999999</v>
      </c>
      <c r="E332" s="4">
        <f>179.427285451519 * CHOOSE(CONTROL!$C$9, $C$13, 100%, $E$13) + CHOOSE(CONTROL!$C$28, 0, 0)</f>
        <v>179.427285451519</v>
      </c>
    </row>
    <row r="333" spans="1:5" ht="15">
      <c r="A333" s="13">
        <v>51652</v>
      </c>
      <c r="B333" s="4">
        <f>28.8486 * CHOOSE(CONTROL!$C$9, $C$13, 100%, $E$13) + CHOOSE(CONTROL!$C$28, 0.0192, 0)</f>
        <v>28.867800000000003</v>
      </c>
      <c r="C333" s="4">
        <f>28.4853 * CHOOSE(CONTROL!$C$9, $C$13, 100%, $E$13) + CHOOSE(CONTROL!$C$28, 0.0192, 0)</f>
        <v>28.5045</v>
      </c>
      <c r="D333" s="4">
        <f>38.2633 * CHOOSE(CONTROL!$C$9, $C$13, 100%, $E$13) + CHOOSE(CONTROL!$C$28, 0, 0)</f>
        <v>38.263300000000001</v>
      </c>
      <c r="E333" s="4">
        <f>183.723731021282 * CHOOSE(CONTROL!$C$9, $C$13, 100%, $E$13) + CHOOSE(CONTROL!$C$28, 0, 0)</f>
        <v>183.72373102128199</v>
      </c>
    </row>
    <row r="334" spans="1:5" ht="15">
      <c r="A334" s="13">
        <v>51682</v>
      </c>
      <c r="B334" s="4">
        <f>28.9374 * CHOOSE(CONTROL!$C$9, $C$13, 100%, $E$13) + CHOOSE(CONTROL!$C$28, 0.0192, 0)</f>
        <v>28.956600000000002</v>
      </c>
      <c r="C334" s="4">
        <f>28.5741 * CHOOSE(CONTROL!$C$9, $C$13, 100%, $E$13) + CHOOSE(CONTROL!$C$28, 0.0192, 0)</f>
        <v>28.593300000000003</v>
      </c>
      <c r="D334" s="4">
        <f>38.5994 * CHOOSE(CONTROL!$C$9, $C$13, 100%, $E$13) + CHOOSE(CONTROL!$C$28, 0, 0)</f>
        <v>38.599400000000003</v>
      </c>
      <c r="E334" s="4">
        <f>184.305057937487 * CHOOSE(CONTROL!$C$9, $C$13, 100%, $E$13) + CHOOSE(CONTROL!$C$28, 0, 0)</f>
        <v>184.30505793748699</v>
      </c>
    </row>
    <row r="335" spans="1:5" ht="15">
      <c r="A335" s="13">
        <v>51713</v>
      </c>
      <c r="B335" s="4">
        <f>28.9285 * CHOOSE(CONTROL!$C$9, $C$13, 100%, $E$13) + CHOOSE(CONTROL!$C$28, 0.0192, 0)</f>
        <v>28.947700000000001</v>
      </c>
      <c r="C335" s="4">
        <f>28.5652 * CHOOSE(CONTROL!$C$9, $C$13, 100%, $E$13) + CHOOSE(CONTROL!$C$28, 0.0192, 0)</f>
        <v>28.584400000000002</v>
      </c>
      <c r="D335" s="4">
        <f>39.2057 * CHOOSE(CONTROL!$C$9, $C$13, 100%, $E$13) + CHOOSE(CONTROL!$C$28, 0, 0)</f>
        <v>39.2057</v>
      </c>
      <c r="E335" s="4">
        <f>184.246436735853 * CHOOSE(CONTROL!$C$9, $C$13, 100%, $E$13) + CHOOSE(CONTROL!$C$28, 0, 0)</f>
        <v>184.246436735853</v>
      </c>
    </row>
    <row r="336" spans="1:5" ht="15">
      <c r="A336" s="13">
        <v>51744</v>
      </c>
      <c r="B336" s="4">
        <f>29.6026 * CHOOSE(CONTROL!$C$9, $C$13, 100%, $E$13) + CHOOSE(CONTROL!$C$28, 0.0192, 0)</f>
        <v>29.6218</v>
      </c>
      <c r="C336" s="4">
        <f>29.2393 * CHOOSE(CONTROL!$C$9, $C$13, 100%, $E$13) + CHOOSE(CONTROL!$C$28, 0.0192, 0)</f>
        <v>29.258500000000002</v>
      </c>
      <c r="D336" s="4">
        <f>38.8053 * CHOOSE(CONTROL!$C$9, $C$13, 100%, $E$13) + CHOOSE(CONTROL!$C$28, 0, 0)</f>
        <v>38.805300000000003</v>
      </c>
      <c r="E336" s="4">
        <f>188.657682158816 * CHOOSE(CONTROL!$C$9, $C$13, 100%, $E$13) + CHOOSE(CONTROL!$C$28, 0, 0)</f>
        <v>188.65768215881599</v>
      </c>
    </row>
    <row r="337" spans="1:5" ht="15">
      <c r="A337" s="13">
        <v>51774</v>
      </c>
      <c r="B337" s="4">
        <f>28.4537 * CHOOSE(CONTROL!$C$9, $C$13, 100%, $E$13) + CHOOSE(CONTROL!$C$28, 0.0192, 0)</f>
        <v>28.472900000000003</v>
      </c>
      <c r="C337" s="4">
        <f>28.0904 * CHOOSE(CONTROL!$C$9, $C$13, 100%, $E$13) + CHOOSE(CONTROL!$C$28, 0.0192, 0)</f>
        <v>28.1096</v>
      </c>
      <c r="D337" s="4">
        <f>38.6161 * CHOOSE(CONTROL!$C$9, $C$13, 100%, $E$13) + CHOOSE(CONTROL!$C$28, 0, 0)</f>
        <v>38.616100000000003</v>
      </c>
      <c r="E337" s="4">
        <f>181.139513049247 * CHOOSE(CONTROL!$C$9, $C$13, 100%, $E$13) + CHOOSE(CONTROL!$C$28, 0, 0)</f>
        <v>181.139513049247</v>
      </c>
    </row>
    <row r="338" spans="1:5" ht="15">
      <c r="A338" s="13">
        <v>51805</v>
      </c>
      <c r="B338" s="4">
        <f>27.534 * CHOOSE(CONTROL!$C$9, $C$13, 100%, $E$13) + CHOOSE(CONTROL!$C$28, 0.0003, 0)</f>
        <v>27.534299999999998</v>
      </c>
      <c r="C338" s="4">
        <f>27.1707 * CHOOSE(CONTROL!$C$9, $C$13, 100%, $E$13) + CHOOSE(CONTROL!$C$28, 0.0003, 0)</f>
        <v>27.170999999999999</v>
      </c>
      <c r="D338" s="4">
        <f>38.1095 * CHOOSE(CONTROL!$C$9, $C$13, 100%, $E$13) + CHOOSE(CONTROL!$C$28, 0, 0)</f>
        <v>38.109499999999997</v>
      </c>
      <c r="E338" s="4">
        <f>175.121069681484 * CHOOSE(CONTROL!$C$9, $C$13, 100%, $E$13) + CHOOSE(CONTROL!$C$28, 0, 0)</f>
        <v>175.12106968148399</v>
      </c>
    </row>
    <row r="339" spans="1:5" ht="15">
      <c r="A339" s="13">
        <v>51835</v>
      </c>
      <c r="B339" s="4">
        <f>26.9417 * CHOOSE(CONTROL!$C$9, $C$13, 100%, $E$13) + CHOOSE(CONTROL!$C$28, 0.0003, 0)</f>
        <v>26.942</v>
      </c>
      <c r="C339" s="4">
        <f>26.5784 * CHOOSE(CONTROL!$C$9, $C$13, 100%, $E$13) + CHOOSE(CONTROL!$C$28, 0.0003, 0)</f>
        <v>26.578699999999998</v>
      </c>
      <c r="D339" s="4">
        <f>37.9353 * CHOOSE(CONTROL!$C$9, $C$13, 100%, $E$13) + CHOOSE(CONTROL!$C$28, 0, 0)</f>
        <v>37.935299999999998</v>
      </c>
      <c r="E339" s="4">
        <f>171.244742723432 * CHOOSE(CONTROL!$C$9, $C$13, 100%, $E$13) + CHOOSE(CONTROL!$C$28, 0, 0)</f>
        <v>171.24474272343201</v>
      </c>
    </row>
    <row r="340" spans="1:5" ht="15">
      <c r="A340" s="13">
        <v>51866</v>
      </c>
      <c r="B340" s="4">
        <f>26.5318 * CHOOSE(CONTROL!$C$9, $C$13, 100%, $E$13) + CHOOSE(CONTROL!$C$28, 0.0003, 0)</f>
        <v>26.5321</v>
      </c>
      <c r="C340" s="4">
        <f>26.1685 * CHOOSE(CONTROL!$C$9, $C$13, 100%, $E$13) + CHOOSE(CONTROL!$C$28, 0.0003, 0)</f>
        <v>26.168800000000001</v>
      </c>
      <c r="D340" s="4">
        <f>36.6532 * CHOOSE(CONTROL!$C$9, $C$13, 100%, $E$13) + CHOOSE(CONTROL!$C$28, 0, 0)</f>
        <v>36.653199999999998</v>
      </c>
      <c r="E340" s="4">
        <f>168.562822748673 * CHOOSE(CONTROL!$C$9, $C$13, 100%, $E$13) + CHOOSE(CONTROL!$C$28, 0, 0)</f>
        <v>168.562822748673</v>
      </c>
    </row>
    <row r="341" spans="1:5" ht="15">
      <c r="A341" s="13">
        <v>51897</v>
      </c>
      <c r="B341" s="4">
        <f>25.4105 * CHOOSE(CONTROL!$C$9, $C$13, 100%, $E$13) + CHOOSE(CONTROL!$C$28, 0.0003, 0)</f>
        <v>25.410799999999998</v>
      </c>
      <c r="C341" s="4">
        <f>25.0473 * CHOOSE(CONTROL!$C$9, $C$13, 100%, $E$13) + CHOOSE(CONTROL!$C$28, 0.0003, 0)</f>
        <v>25.047599999999999</v>
      </c>
      <c r="D341" s="4">
        <f>35.2408 * CHOOSE(CONTROL!$C$9, $C$13, 100%, $E$13) + CHOOSE(CONTROL!$C$28, 0, 0)</f>
        <v>35.2408</v>
      </c>
      <c r="E341" s="4">
        <f>161.541496241311 * CHOOSE(CONTROL!$C$9, $C$13, 100%, $E$13) + CHOOSE(CONTROL!$C$28, 0, 0)</f>
        <v>161.54149624131099</v>
      </c>
    </row>
    <row r="342" spans="1:5" ht="15">
      <c r="A342" s="13">
        <v>51925</v>
      </c>
      <c r="B342" s="4">
        <f>25.9955 * CHOOSE(CONTROL!$C$9, $C$13, 100%, $E$13) + CHOOSE(CONTROL!$C$28, 0.0003, 0)</f>
        <v>25.995799999999999</v>
      </c>
      <c r="C342" s="4">
        <f>25.6322 * CHOOSE(CONTROL!$C$9, $C$13, 100%, $E$13) + CHOOSE(CONTROL!$C$28, 0.0003, 0)</f>
        <v>25.6325</v>
      </c>
      <c r="D342" s="4">
        <f>36.4192 * CHOOSE(CONTROL!$C$9, $C$13, 100%, $E$13) + CHOOSE(CONTROL!$C$28, 0, 0)</f>
        <v>36.419199999999996</v>
      </c>
      <c r="E342" s="4">
        <f>165.377127982487 * CHOOSE(CONTROL!$C$9, $C$13, 100%, $E$13) + CHOOSE(CONTROL!$C$28, 0, 0)</f>
        <v>165.377127982487</v>
      </c>
    </row>
    <row r="343" spans="1:5" ht="15">
      <c r="A343" s="13">
        <v>51956</v>
      </c>
      <c r="B343" s="4">
        <f>27.5317 * CHOOSE(CONTROL!$C$9, $C$13, 100%, $E$13) + CHOOSE(CONTROL!$C$28, 0.0003, 0)</f>
        <v>27.532</v>
      </c>
      <c r="C343" s="4">
        <f>27.1684 * CHOOSE(CONTROL!$C$9, $C$13, 100%, $E$13) + CHOOSE(CONTROL!$C$28, 0.0003, 0)</f>
        <v>27.168699999999998</v>
      </c>
      <c r="D343" s="4">
        <f>38.2639 * CHOOSE(CONTROL!$C$9, $C$13, 100%, $E$13) + CHOOSE(CONTROL!$C$28, 0, 0)</f>
        <v>38.2639</v>
      </c>
      <c r="E343" s="4">
        <f>175.449700772667 * CHOOSE(CONTROL!$C$9, $C$13, 100%, $E$13) + CHOOSE(CONTROL!$C$28, 0, 0)</f>
        <v>175.449700772667</v>
      </c>
    </row>
    <row r="344" spans="1:5" ht="15">
      <c r="A344" s="13">
        <v>51986</v>
      </c>
      <c r="B344" s="4">
        <f>28.6232 * CHOOSE(CONTROL!$C$9, $C$13, 100%, $E$13) + CHOOSE(CONTROL!$C$28, 0.0003, 0)</f>
        <v>28.6235</v>
      </c>
      <c r="C344" s="4">
        <f>28.2599 * CHOOSE(CONTROL!$C$9, $C$13, 100%, $E$13) + CHOOSE(CONTROL!$C$28, 0.0003, 0)</f>
        <v>28.260199999999998</v>
      </c>
      <c r="D344" s="4">
        <f>39.3265 * CHOOSE(CONTROL!$C$9, $C$13, 100%, $E$13) + CHOOSE(CONTROL!$C$28, 0, 0)</f>
        <v>39.326500000000003</v>
      </c>
      <c r="E344" s="4">
        <f>182.606397974771 * CHOOSE(CONTROL!$C$9, $C$13, 100%, $E$13) + CHOOSE(CONTROL!$C$28, 0, 0)</f>
        <v>182.606397974771</v>
      </c>
    </row>
    <row r="345" spans="1:5" ht="15">
      <c r="A345" s="13">
        <v>52017</v>
      </c>
      <c r="B345" s="4">
        <f>29.2901 * CHOOSE(CONTROL!$C$9, $C$13, 100%, $E$13) + CHOOSE(CONTROL!$C$28, 0.0192, 0)</f>
        <v>29.3093</v>
      </c>
      <c r="C345" s="4">
        <f>28.9268 * CHOOSE(CONTROL!$C$9, $C$13, 100%, $E$13) + CHOOSE(CONTROL!$C$28, 0.0192, 0)</f>
        <v>28.946000000000002</v>
      </c>
      <c r="D345" s="4">
        <f>38.9066 * CHOOSE(CONTROL!$C$9, $C$13, 100%, $E$13) + CHOOSE(CONTROL!$C$28, 0, 0)</f>
        <v>38.906599999999997</v>
      </c>
      <c r="E345" s="4">
        <f>186.978968443163 * CHOOSE(CONTROL!$C$9, $C$13, 100%, $E$13) + CHOOSE(CONTROL!$C$28, 0, 0)</f>
        <v>186.97896844316301</v>
      </c>
    </row>
    <row r="346" spans="1:5" ht="15">
      <c r="A346" s="13">
        <v>52047</v>
      </c>
      <c r="B346" s="4">
        <f>29.3803 * CHOOSE(CONTROL!$C$9, $C$13, 100%, $E$13) + CHOOSE(CONTROL!$C$28, 0.0192, 0)</f>
        <v>29.3995</v>
      </c>
      <c r="C346" s="4">
        <f>29.017 * CHOOSE(CONTROL!$C$9, $C$13, 100%, $E$13) + CHOOSE(CONTROL!$C$28, 0.0192, 0)</f>
        <v>29.036200000000001</v>
      </c>
      <c r="D346" s="4">
        <f>39.2486 * CHOOSE(CONTROL!$C$9, $C$13, 100%, $E$13) + CHOOSE(CONTROL!$C$28, 0, 0)</f>
        <v>39.248600000000003</v>
      </c>
      <c r="E346" s="4">
        <f>187.570595374077 * CHOOSE(CONTROL!$C$9, $C$13, 100%, $E$13) + CHOOSE(CONTROL!$C$28, 0, 0)</f>
        <v>187.57059537407699</v>
      </c>
    </row>
    <row r="347" spans="1:5" ht="15">
      <c r="A347" s="13">
        <v>52078</v>
      </c>
      <c r="B347" s="4">
        <f>29.3712 * CHOOSE(CONTROL!$C$9, $C$13, 100%, $E$13) + CHOOSE(CONTROL!$C$28, 0.0192, 0)</f>
        <v>29.390400000000003</v>
      </c>
      <c r="C347" s="4">
        <f>29.0079 * CHOOSE(CONTROL!$C$9, $C$13, 100%, $E$13) + CHOOSE(CONTROL!$C$28, 0.0192, 0)</f>
        <v>29.027100000000001</v>
      </c>
      <c r="D347" s="4">
        <f>39.8657 * CHOOSE(CONTROL!$C$9, $C$13, 100%, $E$13) + CHOOSE(CONTROL!$C$28, 0, 0)</f>
        <v>39.865699999999997</v>
      </c>
      <c r="E347" s="4">
        <f>187.510935515497 * CHOOSE(CONTROL!$C$9, $C$13, 100%, $E$13) + CHOOSE(CONTROL!$C$28, 0, 0)</f>
        <v>187.51093551549701</v>
      </c>
    </row>
    <row r="348" spans="1:5" ht="15">
      <c r="A348" s="13">
        <v>52109</v>
      </c>
      <c r="B348" s="4">
        <f>30.0559 * CHOOSE(CONTROL!$C$9, $C$13, 100%, $E$13) + CHOOSE(CONTROL!$C$28, 0.0192, 0)</f>
        <v>30.075100000000003</v>
      </c>
      <c r="C348" s="4">
        <f>29.6926 * CHOOSE(CONTROL!$C$9, $C$13, 100%, $E$13) + CHOOSE(CONTROL!$C$28, 0.0192, 0)</f>
        <v>29.7118</v>
      </c>
      <c r="D348" s="4">
        <f>39.4582 * CHOOSE(CONTROL!$C$9, $C$13, 100%, $E$13) + CHOOSE(CONTROL!$C$28, 0, 0)</f>
        <v>39.458199999999998</v>
      </c>
      <c r="E348" s="4">
        <f>192.000339873608 * CHOOSE(CONTROL!$C$9, $C$13, 100%, $E$13) + CHOOSE(CONTROL!$C$28, 0, 0)</f>
        <v>192.000339873608</v>
      </c>
    </row>
    <row r="349" spans="1:5" ht="15">
      <c r="A349" s="13">
        <v>52139</v>
      </c>
      <c r="B349" s="4">
        <f>28.889 * CHOOSE(CONTROL!$C$9, $C$13, 100%, $E$13) + CHOOSE(CONTROL!$C$28, 0.0192, 0)</f>
        <v>28.908200000000001</v>
      </c>
      <c r="C349" s="4">
        <f>28.5257 * CHOOSE(CONTROL!$C$9, $C$13, 100%, $E$13) + CHOOSE(CONTROL!$C$28, 0.0192, 0)</f>
        <v>28.544900000000002</v>
      </c>
      <c r="D349" s="4">
        <f>39.2656 * CHOOSE(CONTROL!$C$9, $C$13, 100%, $E$13) + CHOOSE(CONTROL!$C$28, 0, 0)</f>
        <v>39.265599999999999</v>
      </c>
      <c r="E349" s="4">
        <f>184.348963010781 * CHOOSE(CONTROL!$C$9, $C$13, 100%, $E$13) + CHOOSE(CONTROL!$C$28, 0, 0)</f>
        <v>184.34896301078101</v>
      </c>
    </row>
    <row r="350" spans="1:5" ht="15">
      <c r="A350" s="13">
        <v>52170</v>
      </c>
      <c r="B350" s="4">
        <f>27.9548 * CHOOSE(CONTROL!$C$9, $C$13, 100%, $E$13) + CHOOSE(CONTROL!$C$28, 0.0003, 0)</f>
        <v>27.955099999999998</v>
      </c>
      <c r="C350" s="4">
        <f>27.5915 * CHOOSE(CONTROL!$C$9, $C$13, 100%, $E$13) + CHOOSE(CONTROL!$C$28, 0.0003, 0)</f>
        <v>27.591799999999999</v>
      </c>
      <c r="D350" s="4">
        <f>38.7501 * CHOOSE(CONTROL!$C$9, $C$13, 100%, $E$13) + CHOOSE(CONTROL!$C$28, 0, 0)</f>
        <v>38.750100000000003</v>
      </c>
      <c r="E350" s="4">
        <f>178.223884196615 * CHOOSE(CONTROL!$C$9, $C$13, 100%, $E$13) + CHOOSE(CONTROL!$C$28, 0, 0)</f>
        <v>178.22388419661499</v>
      </c>
    </row>
    <row r="351" spans="1:5" ht="15">
      <c r="A351" s="13">
        <v>52200</v>
      </c>
      <c r="B351" s="4">
        <f>27.3531 * CHOOSE(CONTROL!$C$9, $C$13, 100%, $E$13) + CHOOSE(CONTROL!$C$28, 0.0003, 0)</f>
        <v>27.353400000000001</v>
      </c>
      <c r="C351" s="4">
        <f>26.9899 * CHOOSE(CONTROL!$C$9, $C$13, 100%, $E$13) + CHOOSE(CONTROL!$C$28, 0.0003, 0)</f>
        <v>26.990199999999998</v>
      </c>
      <c r="D351" s="4">
        <f>38.5729 * CHOOSE(CONTROL!$C$9, $C$13, 100%, $E$13) + CHOOSE(CONTROL!$C$28, 0, 0)</f>
        <v>38.572899999999997</v>
      </c>
      <c r="E351" s="4">
        <f>174.278876048043 * CHOOSE(CONTROL!$C$9, $C$13, 100%, $E$13) + CHOOSE(CONTROL!$C$28, 0, 0)</f>
        <v>174.278876048043</v>
      </c>
    </row>
    <row r="352" spans="1:5" ht="15">
      <c r="A352" s="13">
        <v>52231</v>
      </c>
      <c r="B352" s="4">
        <f>26.9369 * CHOOSE(CONTROL!$C$9, $C$13, 100%, $E$13) + CHOOSE(CONTROL!$C$28, 0.0003, 0)</f>
        <v>26.937200000000001</v>
      </c>
      <c r="C352" s="4">
        <f>26.5736 * CHOOSE(CONTROL!$C$9, $C$13, 100%, $E$13) + CHOOSE(CONTROL!$C$28, 0.0003, 0)</f>
        <v>26.573899999999998</v>
      </c>
      <c r="D352" s="4">
        <f>37.268 * CHOOSE(CONTROL!$C$9, $C$13, 100%, $E$13) + CHOOSE(CONTROL!$C$28, 0, 0)</f>
        <v>37.268000000000001</v>
      </c>
      <c r="E352" s="4">
        <f>171.549437518029 * CHOOSE(CONTROL!$C$9, $C$13, 100%, $E$13) + CHOOSE(CONTROL!$C$28, 0, 0)</f>
        <v>171.54943751802901</v>
      </c>
    </row>
    <row r="353" spans="1:5" ht="15">
      <c r="A353" s="13">
        <v>52262</v>
      </c>
      <c r="B353" s="4">
        <f>25.798 * CHOOSE(CONTROL!$C$9, $C$13, 100%, $E$13) + CHOOSE(CONTROL!$C$28, 0.0003, 0)</f>
        <v>25.798299999999998</v>
      </c>
      <c r="C353" s="4">
        <f>25.4347 * CHOOSE(CONTROL!$C$9, $C$13, 100%, $E$13) + CHOOSE(CONTROL!$C$28, 0.0003, 0)</f>
        <v>25.434999999999999</v>
      </c>
      <c r="D353" s="4">
        <f>35.8307 * CHOOSE(CONTROL!$C$9, $C$13, 100%, $E$13) + CHOOSE(CONTROL!$C$28, 0, 0)</f>
        <v>35.8307</v>
      </c>
      <c r="E353" s="4">
        <f>164.403706369683 * CHOOSE(CONTROL!$C$9, $C$13, 100%, $E$13) + CHOOSE(CONTROL!$C$28, 0, 0)</f>
        <v>164.40370636968299</v>
      </c>
    </row>
    <row r="354" spans="1:5" ht="15">
      <c r="A354" s="13">
        <v>52290</v>
      </c>
      <c r="B354" s="4">
        <f>26.3921 * CHOOSE(CONTROL!$C$9, $C$13, 100%, $E$13) + CHOOSE(CONTROL!$C$28, 0.0003, 0)</f>
        <v>26.392399999999999</v>
      </c>
      <c r="C354" s="4">
        <f>26.0289 * CHOOSE(CONTROL!$C$9, $C$13, 100%, $E$13) + CHOOSE(CONTROL!$C$28, 0.0003, 0)</f>
        <v>26.029199999999999</v>
      </c>
      <c r="D354" s="4">
        <f>37.0299 * CHOOSE(CONTROL!$C$9, $C$13, 100%, $E$13) + CHOOSE(CONTROL!$C$28, 0, 0)</f>
        <v>37.029899999999998</v>
      </c>
      <c r="E354" s="4">
        <f>168.307298259017 * CHOOSE(CONTROL!$C$9, $C$13, 100%, $E$13) + CHOOSE(CONTROL!$C$28, 0, 0)</f>
        <v>168.30729825901699</v>
      </c>
    </row>
    <row r="355" spans="1:5" ht="15">
      <c r="A355" s="13">
        <v>52321</v>
      </c>
      <c r="B355" s="4">
        <f>27.9525 * CHOOSE(CONTROL!$C$9, $C$13, 100%, $E$13) + CHOOSE(CONTROL!$C$28, 0.0003, 0)</f>
        <v>27.9528</v>
      </c>
      <c r="C355" s="4">
        <f>27.5892 * CHOOSE(CONTROL!$C$9, $C$13, 100%, $E$13) + CHOOSE(CONTROL!$C$28, 0.0003, 0)</f>
        <v>27.589500000000001</v>
      </c>
      <c r="D355" s="4">
        <f>38.9073 * CHOOSE(CONTROL!$C$9, $C$13, 100%, $E$13) + CHOOSE(CONTROL!$C$28, 0, 0)</f>
        <v>38.907299999999999</v>
      </c>
      <c r="E355" s="4">
        <f>178.558338009882 * CHOOSE(CONTROL!$C$9, $C$13, 100%, $E$13) + CHOOSE(CONTROL!$C$28, 0, 0)</f>
        <v>178.55833800988199</v>
      </c>
    </row>
    <row r="356" spans="1:5" ht="15">
      <c r="A356" s="13">
        <v>52351</v>
      </c>
      <c r="B356" s="4">
        <f>29.0611 * CHOOSE(CONTROL!$C$9, $C$13, 100%, $E$13) + CHOOSE(CONTROL!$C$28, 0.0003, 0)</f>
        <v>29.061399999999999</v>
      </c>
      <c r="C356" s="4">
        <f>28.6978 * CHOOSE(CONTROL!$C$9, $C$13, 100%, $E$13) + CHOOSE(CONTROL!$C$28, 0.0003, 0)</f>
        <v>28.6981</v>
      </c>
      <c r="D356" s="4">
        <f>39.9887 * CHOOSE(CONTROL!$C$9, $C$13, 100%, $E$13) + CHOOSE(CONTROL!$C$28, 0, 0)</f>
        <v>39.988700000000001</v>
      </c>
      <c r="E356" s="4">
        <f>185.841838365939 * CHOOSE(CONTROL!$C$9, $C$13, 100%, $E$13) + CHOOSE(CONTROL!$C$28, 0, 0)</f>
        <v>185.841838365939</v>
      </c>
    </row>
    <row r="357" spans="1:5" ht="15">
      <c r="A357" s="13">
        <v>52382</v>
      </c>
      <c r="B357" s="4">
        <f>29.7385 * CHOOSE(CONTROL!$C$9, $C$13, 100%, $E$13) + CHOOSE(CONTROL!$C$28, 0.0192, 0)</f>
        <v>29.7577</v>
      </c>
      <c r="C357" s="4">
        <f>29.3752 * CHOOSE(CONTROL!$C$9, $C$13, 100%, $E$13) + CHOOSE(CONTROL!$C$28, 0.0192, 0)</f>
        <v>29.394400000000001</v>
      </c>
      <c r="D357" s="4">
        <f>39.5613 * CHOOSE(CONTROL!$C$9, $C$13, 100%, $E$13) + CHOOSE(CONTROL!$C$28, 0, 0)</f>
        <v>39.561300000000003</v>
      </c>
      <c r="E357" s="4">
        <f>190.291882522348 * CHOOSE(CONTROL!$C$9, $C$13, 100%, $E$13) + CHOOSE(CONTROL!$C$28, 0, 0)</f>
        <v>190.291882522348</v>
      </c>
    </row>
    <row r="358" spans="1:5" ht="15">
      <c r="A358" s="13">
        <v>52412</v>
      </c>
      <c r="B358" s="4">
        <f>29.8301 * CHOOSE(CONTROL!$C$9, $C$13, 100%, $E$13) + CHOOSE(CONTROL!$C$28, 0.0192, 0)</f>
        <v>29.849300000000003</v>
      </c>
      <c r="C358" s="4">
        <f>29.4669 * CHOOSE(CONTROL!$C$9, $C$13, 100%, $E$13) + CHOOSE(CONTROL!$C$28, 0.0192, 0)</f>
        <v>29.4861</v>
      </c>
      <c r="D358" s="4">
        <f>39.9094 * CHOOSE(CONTROL!$C$9, $C$13, 100%, $E$13) + CHOOSE(CONTROL!$C$28, 0, 0)</f>
        <v>39.909399999999998</v>
      </c>
      <c r="E358" s="4">
        <f>190.893991964773 * CHOOSE(CONTROL!$C$9, $C$13, 100%, $E$13) + CHOOSE(CONTROL!$C$28, 0, 0)</f>
        <v>190.89399196477299</v>
      </c>
    </row>
    <row r="359" spans="1:5" ht="15">
      <c r="A359" s="13">
        <v>52443</v>
      </c>
      <c r="B359" s="4">
        <f>29.8209 * CHOOSE(CONTROL!$C$9, $C$13, 100%, $E$13) + CHOOSE(CONTROL!$C$28, 0.0192, 0)</f>
        <v>29.840100000000003</v>
      </c>
      <c r="C359" s="4">
        <f>29.4576 * CHOOSE(CONTROL!$C$9, $C$13, 100%, $E$13) + CHOOSE(CONTROL!$C$28, 0.0192, 0)</f>
        <v>29.476800000000001</v>
      </c>
      <c r="D359" s="4">
        <f>40.5373 * CHOOSE(CONTROL!$C$9, $C$13, 100%, $E$13) + CHOOSE(CONTROL!$C$28, 0, 0)</f>
        <v>40.537300000000002</v>
      </c>
      <c r="E359" s="4">
        <f>190.833275046209 * CHOOSE(CONTROL!$C$9, $C$13, 100%, $E$13) + CHOOSE(CONTROL!$C$28, 0, 0)</f>
        <v>190.833275046209</v>
      </c>
    </row>
    <row r="360" spans="1:5" ht="15">
      <c r="A360" s="13">
        <v>52474</v>
      </c>
      <c r="B360" s="4">
        <f>30.5164 * CHOOSE(CONTROL!$C$9, $C$13, 100%, $E$13) + CHOOSE(CONTROL!$C$28, 0.0192, 0)</f>
        <v>30.535600000000002</v>
      </c>
      <c r="C360" s="4">
        <f>30.1531 * CHOOSE(CONTROL!$C$9, $C$13, 100%, $E$13) + CHOOSE(CONTROL!$C$28, 0.0192, 0)</f>
        <v>30.1723</v>
      </c>
      <c r="D360" s="4">
        <f>40.1226 * CHOOSE(CONTROL!$C$9, $C$13, 100%, $E$13) + CHOOSE(CONTROL!$C$28, 0, 0)</f>
        <v>40.122599999999998</v>
      </c>
      <c r="E360" s="4">
        <f>195.402223168139 * CHOOSE(CONTROL!$C$9, $C$13, 100%, $E$13) + CHOOSE(CONTROL!$C$28, 0, 0)</f>
        <v>195.40222316813899</v>
      </c>
    </row>
    <row r="361" spans="1:5" ht="15">
      <c r="A361" s="13">
        <v>52504</v>
      </c>
      <c r="B361" s="4">
        <f>29.3311 * CHOOSE(CONTROL!$C$9, $C$13, 100%, $E$13) + CHOOSE(CONTROL!$C$28, 0.0192, 0)</f>
        <v>29.350300000000001</v>
      </c>
      <c r="C361" s="4">
        <f>28.9678 * CHOOSE(CONTROL!$C$9, $C$13, 100%, $E$13) + CHOOSE(CONTROL!$C$28, 0.0192, 0)</f>
        <v>28.987000000000002</v>
      </c>
      <c r="D361" s="4">
        <f>39.9267 * CHOOSE(CONTROL!$C$9, $C$13, 100%, $E$13) + CHOOSE(CONTROL!$C$28, 0, 0)</f>
        <v>39.926699999999997</v>
      </c>
      <c r="E361" s="4">
        <f>187.615278362325 * CHOOSE(CONTROL!$C$9, $C$13, 100%, $E$13) + CHOOSE(CONTROL!$C$28, 0, 0)</f>
        <v>187.615278362325</v>
      </c>
    </row>
    <row r="362" spans="1:5" ht="15">
      <c r="A362" s="13">
        <v>52535</v>
      </c>
      <c r="B362" s="4">
        <f>28.3822 * CHOOSE(CONTROL!$C$9, $C$13, 100%, $E$13) + CHOOSE(CONTROL!$C$28, 0.0003, 0)</f>
        <v>28.3825</v>
      </c>
      <c r="C362" s="4">
        <f>28.019 * CHOOSE(CONTROL!$C$9, $C$13, 100%, $E$13) + CHOOSE(CONTROL!$C$28, 0.0003, 0)</f>
        <v>28.019299999999998</v>
      </c>
      <c r="D362" s="4">
        <f>39.402 * CHOOSE(CONTROL!$C$9, $C$13, 100%, $E$13) + CHOOSE(CONTROL!$C$28, 0, 0)</f>
        <v>39.402000000000001</v>
      </c>
      <c r="E362" s="4">
        <f>181.381674723102 * CHOOSE(CONTROL!$C$9, $C$13, 100%, $E$13) + CHOOSE(CONTROL!$C$28, 0, 0)</f>
        <v>181.38167472310201</v>
      </c>
    </row>
    <row r="363" spans="1:5" ht="15">
      <c r="A363" s="13">
        <v>52565</v>
      </c>
      <c r="B363" s="4">
        <f>27.7711 * CHOOSE(CONTROL!$C$9, $C$13, 100%, $E$13) + CHOOSE(CONTROL!$C$28, 0.0003, 0)</f>
        <v>27.7714</v>
      </c>
      <c r="C363" s="4">
        <f>27.4078 * CHOOSE(CONTROL!$C$9, $C$13, 100%, $E$13) + CHOOSE(CONTROL!$C$28, 0.0003, 0)</f>
        <v>27.408100000000001</v>
      </c>
      <c r="D363" s="4">
        <f>39.2217 * CHOOSE(CONTROL!$C$9, $C$13, 100%, $E$13) + CHOOSE(CONTROL!$C$28, 0, 0)</f>
        <v>39.221699999999998</v>
      </c>
      <c r="E363" s="4">
        <f>177.366768483066 * CHOOSE(CONTROL!$C$9, $C$13, 100%, $E$13) + CHOOSE(CONTROL!$C$28, 0, 0)</f>
        <v>177.36676848306601</v>
      </c>
    </row>
    <row r="364" spans="1:5" ht="15">
      <c r="A364" s="13">
        <v>52596</v>
      </c>
      <c r="B364" s="4">
        <f>27.3483 * CHOOSE(CONTROL!$C$9, $C$13, 100%, $E$13) + CHOOSE(CONTROL!$C$28, 0.0003, 0)</f>
        <v>27.348599999999998</v>
      </c>
      <c r="C364" s="4">
        <f>26.985 * CHOOSE(CONTROL!$C$9, $C$13, 100%, $E$13) + CHOOSE(CONTROL!$C$28, 0.0003, 0)</f>
        <v>26.985299999999999</v>
      </c>
      <c r="D364" s="4">
        <f>37.8938 * CHOOSE(CONTROL!$C$9, $C$13, 100%, $E$13) + CHOOSE(CONTROL!$C$28, 0, 0)</f>
        <v>37.893799999999999</v>
      </c>
      <c r="E364" s="4">
        <f>174.58896945877 * CHOOSE(CONTROL!$C$9, $C$13, 100%, $E$13) + CHOOSE(CONTROL!$C$28, 0, 0)</f>
        <v>174.58896945877001</v>
      </c>
    </row>
    <row r="365" spans="1:5" ht="15">
      <c r="A365" s="13">
        <v>52627</v>
      </c>
      <c r="B365" s="4">
        <f>26.1915 * CHOOSE(CONTROL!$C$9, $C$13, 100%, $E$13) + CHOOSE(CONTROL!$C$28, 0.0003, 0)</f>
        <v>26.191800000000001</v>
      </c>
      <c r="C365" s="4">
        <f>25.8282 * CHOOSE(CONTROL!$C$9, $C$13, 100%, $E$13) + CHOOSE(CONTROL!$C$28, 0.0003, 0)</f>
        <v>25.828499999999998</v>
      </c>
      <c r="D365" s="4">
        <f>36.431 * CHOOSE(CONTROL!$C$9, $C$13, 100%, $E$13) + CHOOSE(CONTROL!$C$28, 0, 0)</f>
        <v>36.430999999999997</v>
      </c>
      <c r="E365" s="4">
        <f>167.316629454227 * CHOOSE(CONTROL!$C$9, $C$13, 100%, $E$13) + CHOOSE(CONTROL!$C$28, 0, 0)</f>
        <v>167.31662945422701</v>
      </c>
    </row>
    <row r="366" spans="1:5" ht="15">
      <c r="A366" s="13">
        <v>52655</v>
      </c>
      <c r="B366" s="4">
        <f>26.795 * CHOOSE(CONTROL!$C$9, $C$13, 100%, $E$13) + CHOOSE(CONTROL!$C$28, 0.0003, 0)</f>
        <v>26.795300000000001</v>
      </c>
      <c r="C366" s="4">
        <f>26.4317 * CHOOSE(CONTROL!$C$9, $C$13, 100%, $E$13) + CHOOSE(CONTROL!$C$28, 0.0003, 0)</f>
        <v>26.431999999999999</v>
      </c>
      <c r="D366" s="4">
        <f>37.6515 * CHOOSE(CONTROL!$C$9, $C$13, 100%, $E$13) + CHOOSE(CONTROL!$C$28, 0, 0)</f>
        <v>37.651499999999999</v>
      </c>
      <c r="E366" s="4">
        <f>171.289385617155 * CHOOSE(CONTROL!$C$9, $C$13, 100%, $E$13) + CHOOSE(CONTROL!$C$28, 0, 0)</f>
        <v>171.28938561715501</v>
      </c>
    </row>
    <row r="367" spans="1:5" ht="15">
      <c r="A367" s="13">
        <v>52687</v>
      </c>
      <c r="B367" s="4">
        <f>28.3799 * CHOOSE(CONTROL!$C$9, $C$13, 100%, $E$13) + CHOOSE(CONTROL!$C$28, 0.0003, 0)</f>
        <v>28.380199999999999</v>
      </c>
      <c r="C367" s="4">
        <f>28.0166 * CHOOSE(CONTROL!$C$9, $C$13, 100%, $E$13) + CHOOSE(CONTROL!$C$28, 0.0003, 0)</f>
        <v>28.0169</v>
      </c>
      <c r="D367" s="4">
        <f>39.562 * CHOOSE(CONTROL!$C$9, $C$13, 100%, $E$13) + CHOOSE(CONTROL!$C$28, 0, 0)</f>
        <v>39.561999999999998</v>
      </c>
      <c r="E367" s="4">
        <f>181.722054426088 * CHOOSE(CONTROL!$C$9, $C$13, 100%, $E$13) + CHOOSE(CONTROL!$C$28, 0, 0)</f>
        <v>181.72205442608799</v>
      </c>
    </row>
    <row r="368" spans="1:5" ht="15">
      <c r="A368" s="13">
        <v>52717</v>
      </c>
      <c r="B368" s="4">
        <f>29.506 * CHOOSE(CONTROL!$C$9, $C$13, 100%, $E$13) + CHOOSE(CONTROL!$C$28, 0.0003, 0)</f>
        <v>29.5063</v>
      </c>
      <c r="C368" s="4">
        <f>29.1427 * CHOOSE(CONTROL!$C$9, $C$13, 100%, $E$13) + CHOOSE(CONTROL!$C$28, 0.0003, 0)</f>
        <v>29.143000000000001</v>
      </c>
      <c r="D368" s="4">
        <f>40.6625 * CHOOSE(CONTROL!$C$9, $C$13, 100%, $E$13) + CHOOSE(CONTROL!$C$28, 0, 0)</f>
        <v>40.662500000000001</v>
      </c>
      <c r="E368" s="4">
        <f>189.134604648427 * CHOOSE(CONTROL!$C$9, $C$13, 100%, $E$13) + CHOOSE(CONTROL!$C$28, 0, 0)</f>
        <v>189.134604648427</v>
      </c>
    </row>
    <row r="369" spans="1:5" ht="15">
      <c r="A369" s="13">
        <v>52748</v>
      </c>
      <c r="B369" s="4">
        <f>30.194 * CHOOSE(CONTROL!$C$9, $C$13, 100%, $E$13) + CHOOSE(CONTROL!$C$28, 0.0192, 0)</f>
        <v>30.213200000000001</v>
      </c>
      <c r="C369" s="4">
        <f>29.8307 * CHOOSE(CONTROL!$C$9, $C$13, 100%, $E$13) + CHOOSE(CONTROL!$C$28, 0.0192, 0)</f>
        <v>29.849900000000002</v>
      </c>
      <c r="D369" s="4">
        <f>40.2276 * CHOOSE(CONTROL!$C$9, $C$13, 100%, $E$13) + CHOOSE(CONTROL!$C$28, 0, 0)</f>
        <v>40.227600000000002</v>
      </c>
      <c r="E369" s="4">
        <f>193.663495180242 * CHOOSE(CONTROL!$C$9, $C$13, 100%, $E$13) + CHOOSE(CONTROL!$C$28, 0, 0)</f>
        <v>193.66349518024199</v>
      </c>
    </row>
    <row r="370" spans="1:5" ht="15">
      <c r="A370" s="13">
        <v>52778</v>
      </c>
      <c r="B370" s="4">
        <f>30.2871 * CHOOSE(CONTROL!$C$9, $C$13, 100%, $E$13) + CHOOSE(CONTROL!$C$28, 0.0192, 0)</f>
        <v>30.3063</v>
      </c>
      <c r="C370" s="4">
        <f>29.9238 * CHOOSE(CONTROL!$C$9, $C$13, 100%, $E$13) + CHOOSE(CONTROL!$C$28, 0.0192, 0)</f>
        <v>29.943000000000001</v>
      </c>
      <c r="D370" s="4">
        <f>40.5818 * CHOOSE(CONTROL!$C$9, $C$13, 100%, $E$13) + CHOOSE(CONTROL!$C$28, 0, 0)</f>
        <v>40.581800000000001</v>
      </c>
      <c r="E370" s="4">
        <f>194.276272864478 * CHOOSE(CONTROL!$C$9, $C$13, 100%, $E$13) + CHOOSE(CONTROL!$C$28, 0, 0)</f>
        <v>194.27627286447799</v>
      </c>
    </row>
    <row r="371" spans="1:5" ht="15">
      <c r="A371" s="13">
        <v>52809</v>
      </c>
      <c r="B371" s="4">
        <f>30.2777 * CHOOSE(CONTROL!$C$9, $C$13, 100%, $E$13) + CHOOSE(CONTROL!$C$28, 0.0192, 0)</f>
        <v>30.296900000000001</v>
      </c>
      <c r="C371" s="4">
        <f>29.9144 * CHOOSE(CONTROL!$C$9, $C$13, 100%, $E$13) + CHOOSE(CONTROL!$C$28, 0.0192, 0)</f>
        <v>29.933600000000002</v>
      </c>
      <c r="D371" s="4">
        <f>41.2208 * CHOOSE(CONTROL!$C$9, $C$13, 100%, $E$13) + CHOOSE(CONTROL!$C$28, 0, 0)</f>
        <v>41.220799999999997</v>
      </c>
      <c r="E371" s="4">
        <f>194.214480156824 * CHOOSE(CONTROL!$C$9, $C$13, 100%, $E$13) + CHOOSE(CONTROL!$C$28, 0, 0)</f>
        <v>194.21448015682401</v>
      </c>
    </row>
    <row r="372" spans="1:5" ht="15">
      <c r="A372" s="13">
        <v>52840</v>
      </c>
      <c r="B372" s="4">
        <f>30.9841 * CHOOSE(CONTROL!$C$9, $C$13, 100%, $E$13) + CHOOSE(CONTROL!$C$28, 0.0192, 0)</f>
        <v>31.003300000000003</v>
      </c>
      <c r="C372" s="4">
        <f>30.6208 * CHOOSE(CONTROL!$C$9, $C$13, 100%, $E$13) + CHOOSE(CONTROL!$C$28, 0.0192, 0)</f>
        <v>30.64</v>
      </c>
      <c r="D372" s="4">
        <f>40.7988 * CHOOSE(CONTROL!$C$9, $C$13, 100%, $E$13) + CHOOSE(CONTROL!$C$28, 0, 0)</f>
        <v>40.7988</v>
      </c>
      <c r="E372" s="4">
        <f>198.864381407795 * CHOOSE(CONTROL!$C$9, $C$13, 100%, $E$13) + CHOOSE(CONTROL!$C$28, 0, 0)</f>
        <v>198.86438140779501</v>
      </c>
    </row>
    <row r="373" spans="1:5" ht="15">
      <c r="A373" s="13">
        <v>52870</v>
      </c>
      <c r="B373" s="4">
        <f>29.7801 * CHOOSE(CONTROL!$C$9, $C$13, 100%, $E$13) + CHOOSE(CONTROL!$C$28, 0.0192, 0)</f>
        <v>29.799300000000002</v>
      </c>
      <c r="C373" s="4">
        <f>29.4169 * CHOOSE(CONTROL!$C$9, $C$13, 100%, $E$13) + CHOOSE(CONTROL!$C$28, 0.0192, 0)</f>
        <v>29.4361</v>
      </c>
      <c r="D373" s="4">
        <f>40.5994 * CHOOSE(CONTROL!$C$9, $C$13, 100%, $E$13) + CHOOSE(CONTROL!$C$28, 0, 0)</f>
        <v>40.599400000000003</v>
      </c>
      <c r="E373" s="4">
        <f>190.939466651157 * CHOOSE(CONTROL!$C$9, $C$13, 100%, $E$13) + CHOOSE(CONTROL!$C$28, 0, 0)</f>
        <v>190.93946665115701</v>
      </c>
    </row>
    <row r="374" spans="1:5" ht="15">
      <c r="A374" s="13">
        <v>52901</v>
      </c>
      <c r="B374" s="4">
        <f>28.8164 * CHOOSE(CONTROL!$C$9, $C$13, 100%, $E$13) + CHOOSE(CONTROL!$C$28, 0.0003, 0)</f>
        <v>28.816700000000001</v>
      </c>
      <c r="C374" s="4">
        <f>28.4531 * CHOOSE(CONTROL!$C$9, $C$13, 100%, $E$13) + CHOOSE(CONTROL!$C$28, 0.0003, 0)</f>
        <v>28.453399999999998</v>
      </c>
      <c r="D374" s="4">
        <f>40.0655 * CHOOSE(CONTROL!$C$9, $C$13, 100%, $E$13) + CHOOSE(CONTROL!$C$28, 0, 0)</f>
        <v>40.0655</v>
      </c>
      <c r="E374" s="4">
        <f>184.595415332003 * CHOOSE(CONTROL!$C$9, $C$13, 100%, $E$13) + CHOOSE(CONTROL!$C$28, 0, 0)</f>
        <v>184.595415332003</v>
      </c>
    </row>
    <row r="375" spans="1:5" ht="15">
      <c r="A375" s="13">
        <v>52931</v>
      </c>
      <c r="B375" s="4">
        <f>28.1956 * CHOOSE(CONTROL!$C$9, $C$13, 100%, $E$13) + CHOOSE(CONTROL!$C$28, 0.0003, 0)</f>
        <v>28.195899999999998</v>
      </c>
      <c r="C375" s="4">
        <f>27.8324 * CHOOSE(CONTROL!$C$9, $C$13, 100%, $E$13) + CHOOSE(CONTROL!$C$28, 0.0003, 0)</f>
        <v>27.832699999999999</v>
      </c>
      <c r="D375" s="4">
        <f>39.8819 * CHOOSE(CONTROL!$C$9, $C$13, 100%, $E$13) + CHOOSE(CONTROL!$C$28, 0, 0)</f>
        <v>39.881900000000002</v>
      </c>
      <c r="E375" s="4">
        <f>180.509372538376 * CHOOSE(CONTROL!$C$9, $C$13, 100%, $E$13) + CHOOSE(CONTROL!$C$28, 0, 0)</f>
        <v>180.509372538376</v>
      </c>
    </row>
    <row r="376" spans="1:5" ht="15">
      <c r="A376" s="13">
        <v>52962</v>
      </c>
      <c r="B376" s="4">
        <f>27.7662 * CHOOSE(CONTROL!$C$9, $C$13, 100%, $E$13) + CHOOSE(CONTROL!$C$28, 0.0003, 0)</f>
        <v>27.766500000000001</v>
      </c>
      <c r="C376" s="4">
        <f>27.4029 * CHOOSE(CONTROL!$C$9, $C$13, 100%, $E$13) + CHOOSE(CONTROL!$C$28, 0.0003, 0)</f>
        <v>27.403199999999998</v>
      </c>
      <c r="D376" s="4">
        <f>38.5306 * CHOOSE(CONTROL!$C$9, $C$13, 100%, $E$13) + CHOOSE(CONTROL!$C$28, 0, 0)</f>
        <v>38.5306</v>
      </c>
      <c r="E376" s="4">
        <f>177.682356163201 * CHOOSE(CONTROL!$C$9, $C$13, 100%, $E$13) + CHOOSE(CONTROL!$C$28, 0, 0)</f>
        <v>177.68235616320101</v>
      </c>
    </row>
    <row r="377" spans="1:5" ht="15">
      <c r="A377" s="13">
        <v>52993</v>
      </c>
      <c r="B377" s="4">
        <f>26.5912 * CHOOSE(CONTROL!$C$9, $C$13, 100%, $E$13) + CHOOSE(CONTROL!$C$28, 0.0003, 0)</f>
        <v>26.5915</v>
      </c>
      <c r="C377" s="4">
        <f>26.2279 * CHOOSE(CONTROL!$C$9, $C$13, 100%, $E$13) + CHOOSE(CONTROL!$C$28, 0.0003, 0)</f>
        <v>26.228200000000001</v>
      </c>
      <c r="D377" s="4">
        <f>37.042 * CHOOSE(CONTROL!$C$9, $C$13, 100%, $E$13) + CHOOSE(CONTROL!$C$28, 0, 0)</f>
        <v>37.042000000000002</v>
      </c>
      <c r="E377" s="4">
        <f>170.28116403272 * CHOOSE(CONTROL!$C$9, $C$13, 100%, $E$13) + CHOOSE(CONTROL!$C$28, 0, 0)</f>
        <v>170.28116403272</v>
      </c>
    </row>
    <row r="378" spans="1:5" ht="15">
      <c r="A378" s="13">
        <v>53021</v>
      </c>
      <c r="B378" s="4">
        <f>27.2042 * CHOOSE(CONTROL!$C$9, $C$13, 100%, $E$13) + CHOOSE(CONTROL!$C$28, 0.0003, 0)</f>
        <v>27.204499999999999</v>
      </c>
      <c r="C378" s="4">
        <f>26.8409 * CHOOSE(CONTROL!$C$9, $C$13, 100%, $E$13) + CHOOSE(CONTROL!$C$28, 0.0003, 0)</f>
        <v>26.841200000000001</v>
      </c>
      <c r="D378" s="4">
        <f>38.284 * CHOOSE(CONTROL!$C$9, $C$13, 100%, $E$13) + CHOOSE(CONTROL!$C$28, 0, 0)</f>
        <v>38.283999999999999</v>
      </c>
      <c r="E378" s="4">
        <f>174.324309929503 * CHOOSE(CONTROL!$C$9, $C$13, 100%, $E$13) + CHOOSE(CONTROL!$C$28, 0, 0)</f>
        <v>174.32430992950299</v>
      </c>
    </row>
    <row r="379" spans="1:5" ht="15">
      <c r="A379" s="13">
        <v>53052</v>
      </c>
      <c r="B379" s="4">
        <f>28.814 * CHOOSE(CONTROL!$C$9, $C$13, 100%, $E$13) + CHOOSE(CONTROL!$C$28, 0.0003, 0)</f>
        <v>28.814299999999999</v>
      </c>
      <c r="C379" s="4">
        <f>28.4507 * CHOOSE(CONTROL!$C$9, $C$13, 100%, $E$13) + CHOOSE(CONTROL!$C$28, 0.0003, 0)</f>
        <v>28.451000000000001</v>
      </c>
      <c r="D379" s="4">
        <f>40.2282 * CHOOSE(CONTROL!$C$9, $C$13, 100%, $E$13) + CHOOSE(CONTROL!$C$28, 0, 0)</f>
        <v>40.228200000000001</v>
      </c>
      <c r="E379" s="4">
        <f>184.941825920279 * CHOOSE(CONTROL!$C$9, $C$13, 100%, $E$13) + CHOOSE(CONTROL!$C$28, 0, 0)</f>
        <v>184.941825920279</v>
      </c>
    </row>
    <row r="380" spans="1:5" ht="15">
      <c r="A380" s="13">
        <v>53082</v>
      </c>
      <c r="B380" s="4">
        <f>29.9578 * CHOOSE(CONTROL!$C$9, $C$13, 100%, $E$13) + CHOOSE(CONTROL!$C$28, 0.0003, 0)</f>
        <v>29.958099999999998</v>
      </c>
      <c r="C380" s="4">
        <f>29.5945 * CHOOSE(CONTROL!$C$9, $C$13, 100%, $E$13) + CHOOSE(CONTROL!$C$28, 0.0003, 0)</f>
        <v>29.594799999999999</v>
      </c>
      <c r="D380" s="4">
        <f>41.3482 * CHOOSE(CONTROL!$C$9, $C$13, 100%, $E$13) + CHOOSE(CONTROL!$C$28, 0, 0)</f>
        <v>41.348199999999999</v>
      </c>
      <c r="E380" s="4">
        <f>192.485712528731 * CHOOSE(CONTROL!$C$9, $C$13, 100%, $E$13) + CHOOSE(CONTROL!$C$28, 0, 0)</f>
        <v>192.485712528731</v>
      </c>
    </row>
    <row r="381" spans="1:5" ht="15">
      <c r="A381" s="13">
        <v>53113</v>
      </c>
      <c r="B381" s="4">
        <f>30.6566 * CHOOSE(CONTROL!$C$9, $C$13, 100%, $E$13) + CHOOSE(CONTROL!$C$28, 0.0192, 0)</f>
        <v>30.675800000000002</v>
      </c>
      <c r="C381" s="4">
        <f>30.2933 * CHOOSE(CONTROL!$C$9, $C$13, 100%, $E$13) + CHOOSE(CONTROL!$C$28, 0.0192, 0)</f>
        <v>30.3125</v>
      </c>
      <c r="D381" s="4">
        <f>40.9056 * CHOOSE(CONTROL!$C$9, $C$13, 100%, $E$13) + CHOOSE(CONTROL!$C$28, 0, 0)</f>
        <v>40.9056</v>
      </c>
      <c r="E381" s="4">
        <f>197.094846444766 * CHOOSE(CONTROL!$C$9, $C$13, 100%, $E$13) + CHOOSE(CONTROL!$C$28, 0, 0)</f>
        <v>197.09484644476601</v>
      </c>
    </row>
    <row r="382" spans="1:5" ht="15">
      <c r="A382" s="13">
        <v>53143</v>
      </c>
      <c r="B382" s="4">
        <f>30.7512 * CHOOSE(CONTROL!$C$9, $C$13, 100%, $E$13) + CHOOSE(CONTROL!$C$28, 0.0192, 0)</f>
        <v>30.770400000000002</v>
      </c>
      <c r="C382" s="4">
        <f>30.3879 * CHOOSE(CONTROL!$C$9, $C$13, 100%, $E$13) + CHOOSE(CONTROL!$C$28, 0.0192, 0)</f>
        <v>30.4071</v>
      </c>
      <c r="D382" s="4">
        <f>41.2661 * CHOOSE(CONTROL!$C$9, $C$13, 100%, $E$13) + CHOOSE(CONTROL!$C$28, 0, 0)</f>
        <v>41.266100000000002</v>
      </c>
      <c r="E382" s="4">
        <f>197.718481391904 * CHOOSE(CONTROL!$C$9, $C$13, 100%, $E$13) + CHOOSE(CONTROL!$C$28, 0, 0)</f>
        <v>197.71848139190399</v>
      </c>
    </row>
    <row r="383" spans="1:5" ht="15">
      <c r="A383" s="13">
        <v>53174</v>
      </c>
      <c r="B383" s="4">
        <f>30.7416 * CHOOSE(CONTROL!$C$9, $C$13, 100%, $E$13) + CHOOSE(CONTROL!$C$28, 0.0192, 0)</f>
        <v>30.7608</v>
      </c>
      <c r="C383" s="4">
        <f>30.3783 * CHOOSE(CONTROL!$C$9, $C$13, 100%, $E$13) + CHOOSE(CONTROL!$C$28, 0.0192, 0)</f>
        <v>30.397500000000001</v>
      </c>
      <c r="D383" s="4">
        <f>41.9164 * CHOOSE(CONTROL!$C$9, $C$13, 100%, $E$13) + CHOOSE(CONTROL!$C$28, 0, 0)</f>
        <v>41.916400000000003</v>
      </c>
      <c r="E383" s="4">
        <f>197.65559383421 * CHOOSE(CONTROL!$C$9, $C$13, 100%, $E$13) + CHOOSE(CONTROL!$C$28, 0, 0)</f>
        <v>197.65559383421001</v>
      </c>
    </row>
    <row r="384" spans="1:5" ht="15">
      <c r="A384" s="13">
        <v>53205</v>
      </c>
      <c r="B384" s="4">
        <f>31.4591 * CHOOSE(CONTROL!$C$9, $C$13, 100%, $E$13) + CHOOSE(CONTROL!$C$28, 0.0192, 0)</f>
        <v>31.478300000000001</v>
      </c>
      <c r="C384" s="4">
        <f>31.0958 * CHOOSE(CONTROL!$C$9, $C$13, 100%, $E$13) + CHOOSE(CONTROL!$C$28, 0.0192, 0)</f>
        <v>31.115000000000002</v>
      </c>
      <c r="D384" s="4">
        <f>41.4869 * CHOOSE(CONTROL!$C$9, $C$13, 100%, $E$13) + CHOOSE(CONTROL!$C$28, 0, 0)</f>
        <v>41.486899999999999</v>
      </c>
      <c r="E384" s="4">
        <f>202.38788255073 * CHOOSE(CONTROL!$C$9, $C$13, 100%, $E$13) + CHOOSE(CONTROL!$C$28, 0, 0)</f>
        <v>202.38788255073001</v>
      </c>
    </row>
    <row r="385" spans="1:5" ht="15">
      <c r="A385" s="13">
        <v>53235</v>
      </c>
      <c r="B385" s="4">
        <f>30.2363 * CHOOSE(CONTROL!$C$9, $C$13, 100%, $E$13) + CHOOSE(CONTROL!$C$28, 0.0192, 0)</f>
        <v>30.255500000000001</v>
      </c>
      <c r="C385" s="4">
        <f>29.873 * CHOOSE(CONTROL!$C$9, $C$13, 100%, $E$13) + CHOOSE(CONTROL!$C$28, 0.0192, 0)</f>
        <v>29.892200000000003</v>
      </c>
      <c r="D385" s="4">
        <f>41.284 * CHOOSE(CONTROL!$C$9, $C$13, 100%, $E$13) + CHOOSE(CONTROL!$C$28, 0, 0)</f>
        <v>41.283999999999999</v>
      </c>
      <c r="E385" s="4">
        <f>194.322553276395 * CHOOSE(CONTROL!$C$9, $C$13, 100%, $E$13) + CHOOSE(CONTROL!$C$28, 0, 0)</f>
        <v>194.32255327639501</v>
      </c>
    </row>
    <row r="386" spans="1:5" ht="15">
      <c r="A386" s="13">
        <v>53266</v>
      </c>
      <c r="B386" s="4">
        <f>29.2574 * CHOOSE(CONTROL!$C$9, $C$13, 100%, $E$13) + CHOOSE(CONTROL!$C$28, 0.0003, 0)</f>
        <v>29.2577</v>
      </c>
      <c r="C386" s="4">
        <f>28.8941 * CHOOSE(CONTROL!$C$9, $C$13, 100%, $E$13) + CHOOSE(CONTROL!$C$28, 0.0003, 0)</f>
        <v>28.894400000000001</v>
      </c>
      <c r="D386" s="4">
        <f>40.7407 * CHOOSE(CONTROL!$C$9, $C$13, 100%, $E$13) + CHOOSE(CONTROL!$C$28, 0, 0)</f>
        <v>40.740699999999997</v>
      </c>
      <c r="E386" s="4">
        <f>187.86609735308 * CHOOSE(CONTROL!$C$9, $C$13, 100%, $E$13) + CHOOSE(CONTROL!$C$28, 0, 0)</f>
        <v>187.86609735307999</v>
      </c>
    </row>
    <row r="387" spans="1:5" ht="15">
      <c r="A387" s="13">
        <v>53296</v>
      </c>
      <c r="B387" s="4">
        <f>28.6269 * CHOOSE(CONTROL!$C$9, $C$13, 100%, $E$13) + CHOOSE(CONTROL!$C$28, 0.0003, 0)</f>
        <v>28.627199999999998</v>
      </c>
      <c r="C387" s="4">
        <f>28.2636 * CHOOSE(CONTROL!$C$9, $C$13, 100%, $E$13) + CHOOSE(CONTROL!$C$28, 0.0003, 0)</f>
        <v>28.2639</v>
      </c>
      <c r="D387" s="4">
        <f>40.5539 * CHOOSE(CONTROL!$C$9, $C$13, 100%, $E$13) + CHOOSE(CONTROL!$C$28, 0, 0)</f>
        <v>40.553899999999999</v>
      </c>
      <c r="E387" s="4">
        <f>183.707657600522 * CHOOSE(CONTROL!$C$9, $C$13, 100%, $E$13) + CHOOSE(CONTROL!$C$28, 0, 0)</f>
        <v>183.707657600522</v>
      </c>
    </row>
    <row r="388" spans="1:5" ht="15">
      <c r="A388" s="13">
        <v>53327</v>
      </c>
      <c r="B388" s="4">
        <f>28.1906 * CHOOSE(CONTROL!$C$9, $C$13, 100%, $E$13) + CHOOSE(CONTROL!$C$28, 0.0003, 0)</f>
        <v>28.190899999999999</v>
      </c>
      <c r="C388" s="4">
        <f>27.8274 * CHOOSE(CONTROL!$C$9, $C$13, 100%, $E$13) + CHOOSE(CONTROL!$C$28, 0.0003, 0)</f>
        <v>27.8277</v>
      </c>
      <c r="D388" s="4">
        <f>39.1786 * CHOOSE(CONTROL!$C$9, $C$13, 100%, $E$13) + CHOOSE(CONTROL!$C$28, 0, 0)</f>
        <v>39.178600000000003</v>
      </c>
      <c r="E388" s="4">
        <f>180.830551835993 * CHOOSE(CONTROL!$C$9, $C$13, 100%, $E$13) + CHOOSE(CONTROL!$C$28, 0, 0)</f>
        <v>180.83055183599299</v>
      </c>
    </row>
    <row r="389" spans="1:5" ht="15">
      <c r="A389" s="13">
        <v>53358</v>
      </c>
      <c r="B389" s="4">
        <f>26.9971 * CHOOSE(CONTROL!$C$9, $C$13, 100%, $E$13) + CHOOSE(CONTROL!$C$28, 0.0003, 0)</f>
        <v>26.997399999999999</v>
      </c>
      <c r="C389" s="4">
        <f>26.6339 * CHOOSE(CONTROL!$C$9, $C$13, 100%, $E$13) + CHOOSE(CONTROL!$C$28, 0.0003, 0)</f>
        <v>26.6342</v>
      </c>
      <c r="D389" s="4">
        <f>37.6637 * CHOOSE(CONTROL!$C$9, $C$13, 100%, $E$13) + CHOOSE(CONTROL!$C$28, 0, 0)</f>
        <v>37.663699999999999</v>
      </c>
      <c r="E389" s="4">
        <f>173.29822456333 * CHOOSE(CONTROL!$C$9, $C$13, 100%, $E$13) + CHOOSE(CONTROL!$C$28, 0, 0)</f>
        <v>173.29822456333</v>
      </c>
    </row>
    <row r="390" spans="1:5" ht="15">
      <c r="A390" s="13">
        <v>53386</v>
      </c>
      <c r="B390" s="4">
        <f>27.6198 * CHOOSE(CONTROL!$C$9, $C$13, 100%, $E$13) + CHOOSE(CONTROL!$C$28, 0.0003, 0)</f>
        <v>27.620100000000001</v>
      </c>
      <c r="C390" s="4">
        <f>27.2565 * CHOOSE(CONTROL!$C$9, $C$13, 100%, $E$13) + CHOOSE(CONTROL!$C$28, 0.0003, 0)</f>
        <v>27.256799999999998</v>
      </c>
      <c r="D390" s="4">
        <f>38.9277 * CHOOSE(CONTROL!$C$9, $C$13, 100%, $E$13) + CHOOSE(CONTROL!$C$28, 0, 0)</f>
        <v>38.927700000000002</v>
      </c>
      <c r="E390" s="4">
        <f>177.413007367072 * CHOOSE(CONTROL!$C$9, $C$13, 100%, $E$13) + CHOOSE(CONTROL!$C$28, 0, 0)</f>
        <v>177.413007367072</v>
      </c>
    </row>
    <row r="391" spans="1:5" ht="15">
      <c r="A391" s="13">
        <v>53417</v>
      </c>
      <c r="B391" s="4">
        <f>29.2549 * CHOOSE(CONTROL!$C$9, $C$13, 100%, $E$13) + CHOOSE(CONTROL!$C$28, 0.0003, 0)</f>
        <v>29.255199999999999</v>
      </c>
      <c r="C391" s="4">
        <f>28.8916 * CHOOSE(CONTROL!$C$9, $C$13, 100%, $E$13) + CHOOSE(CONTROL!$C$28, 0.0003, 0)</f>
        <v>28.8919</v>
      </c>
      <c r="D391" s="4">
        <f>40.9063 * CHOOSE(CONTROL!$C$9, $C$13, 100%, $E$13) + CHOOSE(CONTROL!$C$28, 0, 0)</f>
        <v>40.906300000000002</v>
      </c>
      <c r="E391" s="4">
        <f>188.218645682539 * CHOOSE(CONTROL!$C$9, $C$13, 100%, $E$13) + CHOOSE(CONTROL!$C$28, 0, 0)</f>
        <v>188.21864568253901</v>
      </c>
    </row>
    <row r="392" spans="1:5" ht="15">
      <c r="A392" s="13">
        <v>53447</v>
      </c>
      <c r="B392" s="4">
        <f>30.4167 * CHOOSE(CONTROL!$C$9, $C$13, 100%, $E$13) + CHOOSE(CONTROL!$C$28, 0.0003, 0)</f>
        <v>30.416999999999998</v>
      </c>
      <c r="C392" s="4">
        <f>30.0534 * CHOOSE(CONTROL!$C$9, $C$13, 100%, $E$13) + CHOOSE(CONTROL!$C$28, 0.0003, 0)</f>
        <v>30.053699999999999</v>
      </c>
      <c r="D392" s="4">
        <f>42.046 * CHOOSE(CONTROL!$C$9, $C$13, 100%, $E$13) + CHOOSE(CONTROL!$C$28, 0, 0)</f>
        <v>42.045999999999999</v>
      </c>
      <c r="E392" s="4">
        <f>195.896195709743 * CHOOSE(CONTROL!$C$9, $C$13, 100%, $E$13) + CHOOSE(CONTROL!$C$28, 0, 0)</f>
        <v>195.89619570974301</v>
      </c>
    </row>
    <row r="393" spans="1:5" ht="15">
      <c r="A393" s="13">
        <v>53478</v>
      </c>
      <c r="B393" s="4">
        <f>31.1265 * CHOOSE(CONTROL!$C$9, $C$13, 100%, $E$13) + CHOOSE(CONTROL!$C$28, 0.0192, 0)</f>
        <v>31.145700000000001</v>
      </c>
      <c r="C393" s="4">
        <f>30.7632 * CHOOSE(CONTROL!$C$9, $C$13, 100%, $E$13) + CHOOSE(CONTROL!$C$28, 0.0192, 0)</f>
        <v>30.782400000000003</v>
      </c>
      <c r="D393" s="4">
        <f>41.5957 * CHOOSE(CONTROL!$C$9, $C$13, 100%, $E$13) + CHOOSE(CONTROL!$C$28, 0, 0)</f>
        <v>41.595700000000001</v>
      </c>
      <c r="E393" s="4">
        <f>200.586994771171 * CHOOSE(CONTROL!$C$9, $C$13, 100%, $E$13) + CHOOSE(CONTROL!$C$28, 0, 0)</f>
        <v>200.58699477117099</v>
      </c>
    </row>
    <row r="394" spans="1:5" ht="15">
      <c r="A394" s="13">
        <v>53508</v>
      </c>
      <c r="B394" s="4">
        <f>31.2225 * CHOOSE(CONTROL!$C$9, $C$13, 100%, $E$13) + CHOOSE(CONTROL!$C$28, 0.0192, 0)</f>
        <v>31.241700000000002</v>
      </c>
      <c r="C394" s="4">
        <f>30.8593 * CHOOSE(CONTROL!$C$9, $C$13, 100%, $E$13) + CHOOSE(CONTROL!$C$28, 0.0192, 0)</f>
        <v>30.878500000000003</v>
      </c>
      <c r="D394" s="4">
        <f>41.9624 * CHOOSE(CONTROL!$C$9, $C$13, 100%, $E$13) + CHOOSE(CONTROL!$C$28, 0, 0)</f>
        <v>41.962400000000002</v>
      </c>
      <c r="E394" s="4">
        <f>201.221679351398 * CHOOSE(CONTROL!$C$9, $C$13, 100%, $E$13) + CHOOSE(CONTROL!$C$28, 0, 0)</f>
        <v>201.221679351398</v>
      </c>
    </row>
    <row r="395" spans="1:5" ht="15">
      <c r="A395" s="13">
        <v>53539</v>
      </c>
      <c r="B395" s="4">
        <f>31.2129 * CHOOSE(CONTROL!$C$9, $C$13, 100%, $E$13) + CHOOSE(CONTROL!$C$28, 0.0192, 0)</f>
        <v>31.232100000000003</v>
      </c>
      <c r="C395" s="4">
        <f>30.8496 * CHOOSE(CONTROL!$C$9, $C$13, 100%, $E$13) + CHOOSE(CONTROL!$C$28, 0.0192, 0)</f>
        <v>30.8688</v>
      </c>
      <c r="D395" s="4">
        <f>42.6243 * CHOOSE(CONTROL!$C$9, $C$13, 100%, $E$13) + CHOOSE(CONTROL!$C$28, 0, 0)</f>
        <v>42.624299999999998</v>
      </c>
      <c r="E395" s="4">
        <f>201.157677544989 * CHOOSE(CONTROL!$C$9, $C$13, 100%, $E$13) + CHOOSE(CONTROL!$C$28, 0, 0)</f>
        <v>201.15767754498901</v>
      </c>
    </row>
    <row r="396" spans="1:5" ht="15">
      <c r="A396" s="13">
        <v>53570</v>
      </c>
      <c r="B396" s="4">
        <f>31.9416 * CHOOSE(CONTROL!$C$9, $C$13, 100%, $E$13) + CHOOSE(CONTROL!$C$28, 0.0192, 0)</f>
        <v>31.960800000000003</v>
      </c>
      <c r="C396" s="4">
        <f>31.5784 * CHOOSE(CONTROL!$C$9, $C$13, 100%, $E$13) + CHOOSE(CONTROL!$C$28, 0.0192, 0)</f>
        <v>31.5976</v>
      </c>
      <c r="D396" s="4">
        <f>42.1872 * CHOOSE(CONTROL!$C$9, $C$13, 100%, $E$13) + CHOOSE(CONTROL!$C$28, 0, 0)</f>
        <v>42.187199999999997</v>
      </c>
      <c r="E396" s="4">
        <f>205.973813477302 * CHOOSE(CONTROL!$C$9, $C$13, 100%, $E$13) + CHOOSE(CONTROL!$C$28, 0, 0)</f>
        <v>205.973813477302</v>
      </c>
    </row>
    <row r="397" spans="1:5" ht="15">
      <c r="A397" s="13">
        <v>53600</v>
      </c>
      <c r="B397" s="4">
        <f>30.6996 * CHOOSE(CONTROL!$C$9, $C$13, 100%, $E$13) + CHOOSE(CONTROL!$C$28, 0.0192, 0)</f>
        <v>30.718800000000002</v>
      </c>
      <c r="C397" s="4">
        <f>30.3363 * CHOOSE(CONTROL!$C$9, $C$13, 100%, $E$13) + CHOOSE(CONTROL!$C$28, 0.0192, 0)</f>
        <v>30.355500000000003</v>
      </c>
      <c r="D397" s="4">
        <f>41.9807 * CHOOSE(CONTROL!$C$9, $C$13, 100%, $E$13) + CHOOSE(CONTROL!$C$28, 0, 0)</f>
        <v>41.980699999999999</v>
      </c>
      <c r="E397" s="4">
        <f>197.765581805286 * CHOOSE(CONTROL!$C$9, $C$13, 100%, $E$13) + CHOOSE(CONTROL!$C$28, 0, 0)</f>
        <v>197.76558180528599</v>
      </c>
    </row>
    <row r="398" spans="1:5" ht="15">
      <c r="A398" s="13">
        <v>53631</v>
      </c>
      <c r="B398" s="4">
        <f>29.7053 * CHOOSE(CONTROL!$C$9, $C$13, 100%, $E$13) + CHOOSE(CONTROL!$C$28, 0.0003, 0)</f>
        <v>29.7056</v>
      </c>
      <c r="C398" s="4">
        <f>29.342 * CHOOSE(CONTROL!$C$9, $C$13, 100%, $E$13) + CHOOSE(CONTROL!$C$28, 0.0003, 0)</f>
        <v>29.342299999999998</v>
      </c>
      <c r="D398" s="4">
        <f>41.4278 * CHOOSE(CONTROL!$C$9, $C$13, 100%, $E$13) + CHOOSE(CONTROL!$C$28, 0, 0)</f>
        <v>41.427799999999998</v>
      </c>
      <c r="E398" s="4">
        <f>191.19472968058 * CHOOSE(CONTROL!$C$9, $C$13, 100%, $E$13) + CHOOSE(CONTROL!$C$28, 0, 0)</f>
        <v>191.19472968058</v>
      </c>
    </row>
    <row r="399" spans="1:5" ht="15">
      <c r="A399" s="13">
        <v>53661</v>
      </c>
      <c r="B399" s="4">
        <f>29.0648 * CHOOSE(CONTROL!$C$9, $C$13, 100%, $E$13) + CHOOSE(CONTROL!$C$28, 0.0003, 0)</f>
        <v>29.065100000000001</v>
      </c>
      <c r="C399" s="4">
        <f>28.7016 * CHOOSE(CONTROL!$C$9, $C$13, 100%, $E$13) + CHOOSE(CONTROL!$C$28, 0.0003, 0)</f>
        <v>28.701899999999998</v>
      </c>
      <c r="D399" s="4">
        <f>41.2377 * CHOOSE(CONTROL!$C$9, $C$13, 100%, $E$13) + CHOOSE(CONTROL!$C$28, 0, 0)</f>
        <v>41.237699999999997</v>
      </c>
      <c r="E399" s="4">
        <f>186.962610231753 * CHOOSE(CONTROL!$C$9, $C$13, 100%, $E$13) + CHOOSE(CONTROL!$C$28, 0, 0)</f>
        <v>186.96261023175299</v>
      </c>
    </row>
    <row r="400" spans="1:5" ht="15">
      <c r="A400" s="13">
        <v>53692</v>
      </c>
      <c r="B400" s="4">
        <f>28.6218 * CHOOSE(CONTROL!$C$9, $C$13, 100%, $E$13) + CHOOSE(CONTROL!$C$28, 0.0003, 0)</f>
        <v>28.6221</v>
      </c>
      <c r="C400" s="4">
        <f>28.2585 * CHOOSE(CONTROL!$C$9, $C$13, 100%, $E$13) + CHOOSE(CONTROL!$C$28, 0.0003, 0)</f>
        <v>28.258800000000001</v>
      </c>
      <c r="D400" s="4">
        <f>39.8381 * CHOOSE(CONTROL!$C$9, $C$13, 100%, $E$13) + CHOOSE(CONTROL!$C$28, 0, 0)</f>
        <v>39.838099999999997</v>
      </c>
      <c r="E400" s="4">
        <f>184.03452758852 * CHOOSE(CONTROL!$C$9, $C$13, 100%, $E$13) + CHOOSE(CONTROL!$C$28, 0, 0)</f>
        <v>184.03452758852001</v>
      </c>
    </row>
    <row r="401" spans="1:5" ht="15">
      <c r="A401" s="13">
        <v>53723</v>
      </c>
      <c r="B401" s="4">
        <f>27.4095 * CHOOSE(CONTROL!$C$9, $C$13, 100%, $E$13) + CHOOSE(CONTROL!$C$28, 0.0003, 0)</f>
        <v>27.409800000000001</v>
      </c>
      <c r="C401" s="4">
        <f>27.0462 * CHOOSE(CONTROL!$C$9, $C$13, 100%, $E$13) + CHOOSE(CONTROL!$C$28, 0.0003, 0)</f>
        <v>27.046499999999998</v>
      </c>
      <c r="D401" s="4">
        <f>38.2965 * CHOOSE(CONTROL!$C$9, $C$13, 100%, $E$13) + CHOOSE(CONTROL!$C$28, 0, 0)</f>
        <v>38.296500000000002</v>
      </c>
      <c r="E401" s="4">
        <f>176.368741706696 * CHOOSE(CONTROL!$C$9, $C$13, 100%, $E$13) + CHOOSE(CONTROL!$C$28, 0, 0)</f>
        <v>176.368741706696</v>
      </c>
    </row>
    <row r="402" spans="1:5" ht="15">
      <c r="A402" s="13">
        <v>53751</v>
      </c>
      <c r="B402" s="4">
        <f>28.0419 * CHOOSE(CONTROL!$C$9, $C$13, 100%, $E$13) + CHOOSE(CONTROL!$C$28, 0.0003, 0)</f>
        <v>28.042199999999998</v>
      </c>
      <c r="C402" s="4">
        <f>27.6787 * CHOOSE(CONTROL!$C$9, $C$13, 100%, $E$13) + CHOOSE(CONTROL!$C$28, 0.0003, 0)</f>
        <v>27.678999999999998</v>
      </c>
      <c r="D402" s="4">
        <f>39.5827 * CHOOSE(CONTROL!$C$9, $C$13, 100%, $E$13) + CHOOSE(CONTROL!$C$28, 0, 0)</f>
        <v>39.582700000000003</v>
      </c>
      <c r="E402" s="4">
        <f>180.556430688052 * CHOOSE(CONTROL!$C$9, $C$13, 100%, $E$13) + CHOOSE(CONTROL!$C$28, 0, 0)</f>
        <v>180.55643068805199</v>
      </c>
    </row>
    <row r="403" spans="1:5" ht="15">
      <c r="A403" s="13">
        <v>53782</v>
      </c>
      <c r="B403" s="4">
        <f>29.7028 * CHOOSE(CONTROL!$C$9, $C$13, 100%, $E$13) + CHOOSE(CONTROL!$C$28, 0.0003, 0)</f>
        <v>29.703099999999999</v>
      </c>
      <c r="C403" s="4">
        <f>29.3395 * CHOOSE(CONTROL!$C$9, $C$13, 100%, $E$13) + CHOOSE(CONTROL!$C$28, 0.0003, 0)</f>
        <v>29.3398</v>
      </c>
      <c r="D403" s="4">
        <f>41.5963 * CHOOSE(CONTROL!$C$9, $C$13, 100%, $E$13) + CHOOSE(CONTROL!$C$28, 0, 0)</f>
        <v>41.596299999999999</v>
      </c>
      <c r="E403" s="4">
        <f>191.553524500402 * CHOOSE(CONTROL!$C$9, $C$13, 100%, $E$13) + CHOOSE(CONTROL!$C$28, 0, 0)</f>
        <v>191.55352450040201</v>
      </c>
    </row>
    <row r="404" spans="1:5" ht="15">
      <c r="A404" s="13">
        <v>53812</v>
      </c>
      <c r="B404" s="4">
        <f>30.8828 * CHOOSE(CONTROL!$C$9, $C$13, 100%, $E$13) + CHOOSE(CONTROL!$C$28, 0.0003, 0)</f>
        <v>30.883099999999999</v>
      </c>
      <c r="C404" s="4">
        <f>30.5195 * CHOOSE(CONTROL!$C$9, $C$13, 100%, $E$13) + CHOOSE(CONTROL!$C$28, 0.0003, 0)</f>
        <v>30.5198</v>
      </c>
      <c r="D404" s="4">
        <f>42.7562 * CHOOSE(CONTROL!$C$9, $C$13, 100%, $E$13) + CHOOSE(CONTROL!$C$28, 0, 0)</f>
        <v>42.7562</v>
      </c>
      <c r="E404" s="4">
        <f>199.36710620962 * CHOOSE(CONTROL!$C$9, $C$13, 100%, $E$13) + CHOOSE(CONTROL!$C$28, 0, 0)</f>
        <v>199.36710620962</v>
      </c>
    </row>
    <row r="405" spans="1:5" ht="15">
      <c r="A405" s="13">
        <v>53843</v>
      </c>
      <c r="B405" s="4">
        <f>31.6038 * CHOOSE(CONTROL!$C$9, $C$13, 100%, $E$13) + CHOOSE(CONTROL!$C$28, 0.0192, 0)</f>
        <v>31.623000000000001</v>
      </c>
      <c r="C405" s="4">
        <f>31.2405 * CHOOSE(CONTROL!$C$9, $C$13, 100%, $E$13) + CHOOSE(CONTROL!$C$28, 0.0192, 0)</f>
        <v>31.259700000000002</v>
      </c>
      <c r="D405" s="4">
        <f>42.2979 * CHOOSE(CONTROL!$C$9, $C$13, 100%, $E$13) + CHOOSE(CONTROL!$C$28, 0, 0)</f>
        <v>42.297899999999998</v>
      </c>
      <c r="E405" s="4">
        <f>204.141017368535 * CHOOSE(CONTROL!$C$9, $C$13, 100%, $E$13) + CHOOSE(CONTROL!$C$28, 0, 0)</f>
        <v>204.14101736853499</v>
      </c>
    </row>
    <row r="406" spans="1:5" ht="15">
      <c r="A406" s="13">
        <v>53873</v>
      </c>
      <c r="B406" s="4">
        <f>31.7014 * CHOOSE(CONTROL!$C$9, $C$13, 100%, $E$13) + CHOOSE(CONTROL!$C$28, 0.0192, 0)</f>
        <v>31.720600000000001</v>
      </c>
      <c r="C406" s="4">
        <f>31.3381 * CHOOSE(CONTROL!$C$9, $C$13, 100%, $E$13) + CHOOSE(CONTROL!$C$28, 0.0192, 0)</f>
        <v>31.357300000000002</v>
      </c>
      <c r="D406" s="4">
        <f>42.6711 * CHOOSE(CONTROL!$C$9, $C$13, 100%, $E$13) + CHOOSE(CONTROL!$C$28, 0, 0)</f>
        <v>42.671100000000003</v>
      </c>
      <c r="E406" s="4">
        <f>204.786947360475 * CHOOSE(CONTROL!$C$9, $C$13, 100%, $E$13) + CHOOSE(CONTROL!$C$28, 0, 0)</f>
        <v>204.78694736047501</v>
      </c>
    </row>
    <row r="407" spans="1:5" ht="15">
      <c r="A407" s="13">
        <v>53904</v>
      </c>
      <c r="B407" s="4">
        <f>31.6915 * CHOOSE(CONTROL!$C$9, $C$13, 100%, $E$13) + CHOOSE(CONTROL!$C$28, 0.0192, 0)</f>
        <v>31.710700000000003</v>
      </c>
      <c r="C407" s="4">
        <f>31.3282 * CHOOSE(CONTROL!$C$9, $C$13, 100%, $E$13) + CHOOSE(CONTROL!$C$28, 0.0192, 0)</f>
        <v>31.3474</v>
      </c>
      <c r="D407" s="4">
        <f>43.3447 * CHOOSE(CONTROL!$C$9, $C$13, 100%, $E$13) + CHOOSE(CONTROL!$C$28, 0, 0)</f>
        <v>43.344700000000003</v>
      </c>
      <c r="E407" s="4">
        <f>204.721811562968 * CHOOSE(CONTROL!$C$9, $C$13, 100%, $E$13) + CHOOSE(CONTROL!$C$28, 0, 0)</f>
        <v>204.72181156296801</v>
      </c>
    </row>
    <row r="408" spans="1:5" ht="15">
      <c r="A408" s="13">
        <v>53935</v>
      </c>
      <c r="B408" s="4">
        <f>32.4318 * CHOOSE(CONTROL!$C$9, $C$13, 100%, $E$13) + CHOOSE(CONTROL!$C$28, 0.0192, 0)</f>
        <v>32.451000000000001</v>
      </c>
      <c r="C408" s="4">
        <f>32.0685 * CHOOSE(CONTROL!$C$9, $C$13, 100%, $E$13) + CHOOSE(CONTROL!$C$28, 0.0192, 0)</f>
        <v>32.087699999999998</v>
      </c>
      <c r="D408" s="4">
        <f>42.8999 * CHOOSE(CONTROL!$C$9, $C$13, 100%, $E$13) + CHOOSE(CONTROL!$C$28, 0, 0)</f>
        <v>42.899900000000002</v>
      </c>
      <c r="E408" s="4">
        <f>209.623280325333 * CHOOSE(CONTROL!$C$9, $C$13, 100%, $E$13) + CHOOSE(CONTROL!$C$28, 0, 0)</f>
        <v>209.62328032533301</v>
      </c>
    </row>
    <row r="409" spans="1:5" ht="15">
      <c r="A409" s="13">
        <v>53965</v>
      </c>
      <c r="B409" s="4">
        <f>31.1702 * CHOOSE(CONTROL!$C$9, $C$13, 100%, $E$13) + CHOOSE(CONTROL!$C$28, 0.0192, 0)</f>
        <v>31.189400000000003</v>
      </c>
      <c r="C409" s="4">
        <f>30.8069 * CHOOSE(CONTROL!$C$9, $C$13, 100%, $E$13) + CHOOSE(CONTROL!$C$28, 0.0192, 0)</f>
        <v>30.8261</v>
      </c>
      <c r="D409" s="4">
        <f>42.6897 * CHOOSE(CONTROL!$C$9, $C$13, 100%, $E$13) + CHOOSE(CONTROL!$C$28, 0, 0)</f>
        <v>42.689700000000002</v>
      </c>
      <c r="E409" s="4">
        <f>201.269614295123 * CHOOSE(CONTROL!$C$9, $C$13, 100%, $E$13) + CHOOSE(CONTROL!$C$28, 0, 0)</f>
        <v>201.26961429512301</v>
      </c>
    </row>
    <row r="410" spans="1:5" ht="15">
      <c r="A410" s="13">
        <v>53996</v>
      </c>
      <c r="B410" s="4">
        <f>30.1602 * CHOOSE(CONTROL!$C$9, $C$13, 100%, $E$13) + CHOOSE(CONTROL!$C$28, 0.0003, 0)</f>
        <v>30.160499999999999</v>
      </c>
      <c r="C410" s="4">
        <f>29.7969 * CHOOSE(CONTROL!$C$9, $C$13, 100%, $E$13) + CHOOSE(CONTROL!$C$28, 0.0003, 0)</f>
        <v>29.7972</v>
      </c>
      <c r="D410" s="4">
        <f>42.127 * CHOOSE(CONTROL!$C$9, $C$13, 100%, $E$13) + CHOOSE(CONTROL!$C$28, 0, 0)</f>
        <v>42.127000000000002</v>
      </c>
      <c r="E410" s="4">
        <f>194.582339084454 * CHOOSE(CONTROL!$C$9, $C$13, 100%, $E$13) + CHOOSE(CONTROL!$C$28, 0, 0)</f>
        <v>194.58233908445399</v>
      </c>
    </row>
    <row r="411" spans="1:5" ht="15">
      <c r="A411" s="13">
        <v>54026</v>
      </c>
      <c r="B411" s="4">
        <f>29.5097 * CHOOSE(CONTROL!$C$9, $C$13, 100%, $E$13) + CHOOSE(CONTROL!$C$28, 0.0003, 0)</f>
        <v>29.509999999999998</v>
      </c>
      <c r="C411" s="4">
        <f>29.1464 * CHOOSE(CONTROL!$C$9, $C$13, 100%, $E$13) + CHOOSE(CONTROL!$C$28, 0.0003, 0)</f>
        <v>29.146699999999999</v>
      </c>
      <c r="D411" s="4">
        <f>41.9335 * CHOOSE(CONTROL!$C$9, $C$13, 100%, $E$13) + CHOOSE(CONTROL!$C$28, 0, 0)</f>
        <v>41.933500000000002</v>
      </c>
      <c r="E411" s="4">
        <f>190.275234474336 * CHOOSE(CONTROL!$C$9, $C$13, 100%, $E$13) + CHOOSE(CONTROL!$C$28, 0, 0)</f>
        <v>190.275234474336</v>
      </c>
    </row>
    <row r="412" spans="1:5" ht="15">
      <c r="A412" s="13">
        <v>54057</v>
      </c>
      <c r="B412" s="4">
        <f>29.0597 * CHOOSE(CONTROL!$C$9, $C$13, 100%, $E$13) + CHOOSE(CONTROL!$C$28, 0.0003, 0)</f>
        <v>29.06</v>
      </c>
      <c r="C412" s="4">
        <f>28.6964 * CHOOSE(CONTROL!$C$9, $C$13, 100%, $E$13) + CHOOSE(CONTROL!$C$28, 0.0003, 0)</f>
        <v>28.6967</v>
      </c>
      <c r="D412" s="4">
        <f>40.5093 * CHOOSE(CONTROL!$C$9, $C$13, 100%, $E$13) + CHOOSE(CONTROL!$C$28, 0, 0)</f>
        <v>40.509300000000003</v>
      </c>
      <c r="E412" s="4">
        <f>187.295271738413 * CHOOSE(CONTROL!$C$9, $C$13, 100%, $E$13) + CHOOSE(CONTROL!$C$28, 0, 0)</f>
        <v>187.29527173841299</v>
      </c>
    </row>
    <row r="413" spans="1:5" ht="15">
      <c r="A413" s="13">
        <v>54088</v>
      </c>
      <c r="B413" s="4">
        <f>27.8284 * CHOOSE(CONTROL!$C$9, $C$13, 100%, $E$13) + CHOOSE(CONTROL!$C$28, 0.0003, 0)</f>
        <v>27.828699999999998</v>
      </c>
      <c r="C413" s="4">
        <f>27.4651 * CHOOSE(CONTROL!$C$9, $C$13, 100%, $E$13) + CHOOSE(CONTROL!$C$28, 0.0003, 0)</f>
        <v>27.465399999999999</v>
      </c>
      <c r="D413" s="4">
        <f>38.9404 * CHOOSE(CONTROL!$C$9, $C$13, 100%, $E$13) + CHOOSE(CONTROL!$C$28, 0, 0)</f>
        <v>38.940399999999997</v>
      </c>
      <c r="E413" s="4">
        <f>179.493662613006 * CHOOSE(CONTROL!$C$9, $C$13, 100%, $E$13) + CHOOSE(CONTROL!$C$28, 0, 0)</f>
        <v>179.49366261300599</v>
      </c>
    </row>
    <row r="414" spans="1:5" ht="15">
      <c r="A414" s="13">
        <v>54116</v>
      </c>
      <c r="B414" s="4">
        <f>28.4707 * CHOOSE(CONTROL!$C$9, $C$13, 100%, $E$13) + CHOOSE(CONTROL!$C$28, 0.0003, 0)</f>
        <v>28.471</v>
      </c>
      <c r="C414" s="4">
        <f>28.1075 * CHOOSE(CONTROL!$C$9, $C$13, 100%, $E$13) + CHOOSE(CONTROL!$C$28, 0.0003, 0)</f>
        <v>28.107800000000001</v>
      </c>
      <c r="D414" s="4">
        <f>40.2494 * CHOOSE(CONTROL!$C$9, $C$13, 100%, $E$13) + CHOOSE(CONTROL!$C$28, 0, 0)</f>
        <v>40.249400000000001</v>
      </c>
      <c r="E414" s="4">
        <f>183.755549531708 * CHOOSE(CONTROL!$C$9, $C$13, 100%, $E$13) + CHOOSE(CONTROL!$C$28, 0, 0)</f>
        <v>183.755549531708</v>
      </c>
    </row>
    <row r="415" spans="1:5" ht="15">
      <c r="A415" s="13">
        <v>54148</v>
      </c>
      <c r="B415" s="4">
        <f>30.1577 * CHOOSE(CONTROL!$C$9, $C$13, 100%, $E$13) + CHOOSE(CONTROL!$C$28, 0.0003, 0)</f>
        <v>30.157999999999998</v>
      </c>
      <c r="C415" s="4">
        <f>29.7944 * CHOOSE(CONTROL!$C$9, $C$13, 100%, $E$13) + CHOOSE(CONTROL!$C$28, 0.0003, 0)</f>
        <v>29.794699999999999</v>
      </c>
      <c r="D415" s="4">
        <f>42.2985 * CHOOSE(CONTROL!$C$9, $C$13, 100%, $E$13) + CHOOSE(CONTROL!$C$28, 0, 0)</f>
        <v>42.298499999999997</v>
      </c>
      <c r="E415" s="4">
        <f>194.947491070646 * CHOOSE(CONTROL!$C$9, $C$13, 100%, $E$13) + CHOOSE(CONTROL!$C$28, 0, 0)</f>
        <v>194.94749107064601</v>
      </c>
    </row>
    <row r="416" spans="1:5" ht="15">
      <c r="A416" s="13">
        <v>54178</v>
      </c>
      <c r="B416" s="4">
        <f>31.3563 * CHOOSE(CONTROL!$C$9, $C$13, 100%, $E$13) + CHOOSE(CONTROL!$C$28, 0.0003, 0)</f>
        <v>31.3566</v>
      </c>
      <c r="C416" s="4">
        <f>30.993 * CHOOSE(CONTROL!$C$9, $C$13, 100%, $E$13) + CHOOSE(CONTROL!$C$28, 0.0003, 0)</f>
        <v>30.993299999999998</v>
      </c>
      <c r="D416" s="4">
        <f>43.4789 * CHOOSE(CONTROL!$C$9, $C$13, 100%, $E$13) + CHOOSE(CONTROL!$C$28, 0, 0)</f>
        <v>43.478900000000003</v>
      </c>
      <c r="E416" s="4">
        <f>202.899514686294 * CHOOSE(CONTROL!$C$9, $C$13, 100%, $E$13) + CHOOSE(CONTROL!$C$28, 0, 0)</f>
        <v>202.899514686294</v>
      </c>
    </row>
    <row r="417" spans="1:5" ht="15">
      <c r="A417" s="13">
        <v>54209</v>
      </c>
      <c r="B417" s="4">
        <f>32.0886 * CHOOSE(CONTROL!$C$9, $C$13, 100%, $E$13) + CHOOSE(CONTROL!$C$28, 0.0192, 0)</f>
        <v>32.107799999999997</v>
      </c>
      <c r="C417" s="4">
        <f>31.7253 * CHOOSE(CONTROL!$C$9, $C$13, 100%, $E$13) + CHOOSE(CONTROL!$C$28, 0.0192, 0)</f>
        <v>31.744500000000002</v>
      </c>
      <c r="D417" s="4">
        <f>43.0125 * CHOOSE(CONTROL!$C$9, $C$13, 100%, $E$13) + CHOOSE(CONTROL!$C$28, 0, 0)</f>
        <v>43.012500000000003</v>
      </c>
      <c r="E417" s="4">
        <f>207.758010532047 * CHOOSE(CONTROL!$C$9, $C$13, 100%, $E$13) + CHOOSE(CONTROL!$C$28, 0, 0)</f>
        <v>207.758010532047</v>
      </c>
    </row>
    <row r="418" spans="1:5" ht="15">
      <c r="A418" s="13">
        <v>54239</v>
      </c>
      <c r="B418" s="4">
        <f>32.1877 * CHOOSE(CONTROL!$C$9, $C$13, 100%, $E$13) + CHOOSE(CONTROL!$C$28, 0.0192, 0)</f>
        <v>32.206899999999997</v>
      </c>
      <c r="C418" s="4">
        <f>31.8244 * CHOOSE(CONTROL!$C$9, $C$13, 100%, $E$13) + CHOOSE(CONTROL!$C$28, 0.0192, 0)</f>
        <v>31.843600000000002</v>
      </c>
      <c r="D418" s="4">
        <f>43.3923 * CHOOSE(CONTROL!$C$9, $C$13, 100%, $E$13) + CHOOSE(CONTROL!$C$28, 0, 0)</f>
        <v>43.392299999999999</v>
      </c>
      <c r="E418" s="4">
        <f>208.415385183149 * CHOOSE(CONTROL!$C$9, $C$13, 100%, $E$13) + CHOOSE(CONTROL!$C$28, 0, 0)</f>
        <v>208.415385183149</v>
      </c>
    </row>
    <row r="419" spans="1:5" ht="15">
      <c r="A419" s="13">
        <v>54270</v>
      </c>
      <c r="B419" s="4">
        <f>32.1777 * CHOOSE(CONTROL!$C$9, $C$13, 100%, $E$13) + CHOOSE(CONTROL!$C$28, 0.0192, 0)</f>
        <v>32.196899999999999</v>
      </c>
      <c r="C419" s="4">
        <f>31.8144 * CHOOSE(CONTROL!$C$9, $C$13, 100%, $E$13) + CHOOSE(CONTROL!$C$28, 0.0192, 0)</f>
        <v>31.833600000000001</v>
      </c>
      <c r="D419" s="4">
        <f>44.0778 * CHOOSE(CONTROL!$C$9, $C$13, 100%, $E$13) + CHOOSE(CONTROL!$C$28, 0, 0)</f>
        <v>44.077800000000003</v>
      </c>
      <c r="E419" s="4">
        <f>208.349095302366 * CHOOSE(CONTROL!$C$9, $C$13, 100%, $E$13) + CHOOSE(CONTROL!$C$28, 0, 0)</f>
        <v>208.34909530236601</v>
      </c>
    </row>
    <row r="420" spans="1:5" ht="15">
      <c r="A420" s="13">
        <v>54301</v>
      </c>
      <c r="B420" s="4">
        <f>32.9296 * CHOOSE(CONTROL!$C$9, $C$13, 100%, $E$13) + CHOOSE(CONTROL!$C$28, 0.0192, 0)</f>
        <v>32.948799999999999</v>
      </c>
      <c r="C420" s="4">
        <f>32.5663 * CHOOSE(CONTROL!$C$9, $C$13, 100%, $E$13) + CHOOSE(CONTROL!$C$28, 0.0192, 0)</f>
        <v>32.585499999999996</v>
      </c>
      <c r="D420" s="4">
        <f>43.6251 * CHOOSE(CONTROL!$C$9, $C$13, 100%, $E$13) + CHOOSE(CONTROL!$C$28, 0, 0)</f>
        <v>43.625100000000003</v>
      </c>
      <c r="E420" s="4">
        <f>213.33740883132 * CHOOSE(CONTROL!$C$9, $C$13, 100%, $E$13) + CHOOSE(CONTROL!$C$28, 0, 0)</f>
        <v>213.33740883132</v>
      </c>
    </row>
    <row r="421" spans="1:5" ht="15">
      <c r="A421" s="13">
        <v>54331</v>
      </c>
      <c r="B421" s="4">
        <f>31.6481 * CHOOSE(CONTROL!$C$9, $C$13, 100%, $E$13) + CHOOSE(CONTROL!$C$28, 0.0192, 0)</f>
        <v>31.667300000000001</v>
      </c>
      <c r="C421" s="4">
        <f>31.2849 * CHOOSE(CONTROL!$C$9, $C$13, 100%, $E$13) + CHOOSE(CONTROL!$C$28, 0.0192, 0)</f>
        <v>31.304100000000002</v>
      </c>
      <c r="D421" s="4">
        <f>43.4112 * CHOOSE(CONTROL!$C$9, $C$13, 100%, $E$13) + CHOOSE(CONTROL!$C$28, 0, 0)</f>
        <v>43.411200000000001</v>
      </c>
      <c r="E421" s="4">
        <f>204.835731620843 * CHOOSE(CONTROL!$C$9, $C$13, 100%, $E$13) + CHOOSE(CONTROL!$C$28, 0, 0)</f>
        <v>204.83573162084301</v>
      </c>
    </row>
    <row r="422" spans="1:5" ht="15">
      <c r="A422" s="13">
        <v>54362</v>
      </c>
      <c r="B422" s="4">
        <f>30.6223 * CHOOSE(CONTROL!$C$9, $C$13, 100%, $E$13) + CHOOSE(CONTROL!$C$28, 0.0003, 0)</f>
        <v>30.622599999999998</v>
      </c>
      <c r="C422" s="4">
        <f>30.259 * CHOOSE(CONTROL!$C$9, $C$13, 100%, $E$13) + CHOOSE(CONTROL!$C$28, 0.0003, 0)</f>
        <v>30.2593</v>
      </c>
      <c r="D422" s="4">
        <f>42.8386 * CHOOSE(CONTROL!$C$9, $C$13, 100%, $E$13) + CHOOSE(CONTROL!$C$28, 0, 0)</f>
        <v>42.8386</v>
      </c>
      <c r="E422" s="4">
        <f>198.029970527076 * CHOOSE(CONTROL!$C$9, $C$13, 100%, $E$13) + CHOOSE(CONTROL!$C$28, 0, 0)</f>
        <v>198.02997052707599</v>
      </c>
    </row>
    <row r="423" spans="1:5" ht="15">
      <c r="A423" s="13">
        <v>54392</v>
      </c>
      <c r="B423" s="4">
        <f>29.9616 * CHOOSE(CONTROL!$C$9, $C$13, 100%, $E$13) + CHOOSE(CONTROL!$C$28, 0.0003, 0)</f>
        <v>29.9619</v>
      </c>
      <c r="C423" s="4">
        <f>29.5983 * CHOOSE(CONTROL!$C$9, $C$13, 100%, $E$13) + CHOOSE(CONTROL!$C$28, 0.0003, 0)</f>
        <v>29.598599999999998</v>
      </c>
      <c r="D423" s="4">
        <f>42.6417 * CHOOSE(CONTROL!$C$9, $C$13, 100%, $E$13) + CHOOSE(CONTROL!$C$28, 0, 0)</f>
        <v>42.6417</v>
      </c>
      <c r="E423" s="4">
        <f>193.646552160271 * CHOOSE(CONTROL!$C$9, $C$13, 100%, $E$13) + CHOOSE(CONTROL!$C$28, 0, 0)</f>
        <v>193.646552160271</v>
      </c>
    </row>
    <row r="424" spans="1:5" ht="15">
      <c r="A424" s="13">
        <v>54423</v>
      </c>
      <c r="B424" s="4">
        <f>29.5045 * CHOOSE(CONTROL!$C$9, $C$13, 100%, $E$13) + CHOOSE(CONTROL!$C$28, 0.0003, 0)</f>
        <v>29.504799999999999</v>
      </c>
      <c r="C424" s="4">
        <f>29.1412 * CHOOSE(CONTROL!$C$9, $C$13, 100%, $E$13) + CHOOSE(CONTROL!$C$28, 0.0003, 0)</f>
        <v>29.141500000000001</v>
      </c>
      <c r="D424" s="4">
        <f>41.1923 * CHOOSE(CONTROL!$C$9, $C$13, 100%, $E$13) + CHOOSE(CONTROL!$C$28, 0, 0)</f>
        <v>41.192300000000003</v>
      </c>
      <c r="E424" s="4">
        <f>190.613790114428 * CHOOSE(CONTROL!$C$9, $C$13, 100%, $E$13) + CHOOSE(CONTROL!$C$28, 0, 0)</f>
        <v>190.61379011442801</v>
      </c>
    </row>
    <row r="425" spans="1:5" ht="15">
      <c r="A425" s="13">
        <v>54454</v>
      </c>
      <c r="B425" s="4">
        <f>28.2538 * CHOOSE(CONTROL!$C$9, $C$13, 100%, $E$13) + CHOOSE(CONTROL!$C$28, 0.0003, 0)</f>
        <v>28.254099999999998</v>
      </c>
      <c r="C425" s="4">
        <f>27.8905 * CHOOSE(CONTROL!$C$9, $C$13, 100%, $E$13) + CHOOSE(CONTROL!$C$28, 0.0003, 0)</f>
        <v>27.890799999999999</v>
      </c>
      <c r="D425" s="4">
        <f>39.5957 * CHOOSE(CONTROL!$C$9, $C$13, 100%, $E$13) + CHOOSE(CONTROL!$C$28, 0, 0)</f>
        <v>39.595700000000001</v>
      </c>
      <c r="E425" s="4">
        <f>182.673951214159 * CHOOSE(CONTROL!$C$9, $C$13, 100%, $E$13) + CHOOSE(CONTROL!$C$28, 0, 0)</f>
        <v>182.67395121415899</v>
      </c>
    </row>
    <row r="426" spans="1:5" ht="15">
      <c r="A426" s="13">
        <v>54482</v>
      </c>
      <c r="B426" s="4">
        <f>28.9063 * CHOOSE(CONTROL!$C$9, $C$13, 100%, $E$13) + CHOOSE(CONTROL!$C$28, 0.0003, 0)</f>
        <v>28.906600000000001</v>
      </c>
      <c r="C426" s="4">
        <f>28.543 * CHOOSE(CONTROL!$C$9, $C$13, 100%, $E$13) + CHOOSE(CONTROL!$C$28, 0.0003, 0)</f>
        <v>28.543299999999999</v>
      </c>
      <c r="D426" s="4">
        <f>40.9278 * CHOOSE(CONTROL!$C$9, $C$13, 100%, $E$13) + CHOOSE(CONTROL!$C$28, 0, 0)</f>
        <v>40.927799999999998</v>
      </c>
      <c r="E426" s="4">
        <f>187.011350717482 * CHOOSE(CONTROL!$C$9, $C$13, 100%, $E$13) + CHOOSE(CONTROL!$C$28, 0, 0)</f>
        <v>187.011350717482</v>
      </c>
    </row>
    <row r="427" spans="1:5" ht="15">
      <c r="A427" s="13">
        <v>54513</v>
      </c>
      <c r="B427" s="4">
        <f>30.6198 * CHOOSE(CONTROL!$C$9, $C$13, 100%, $E$13) + CHOOSE(CONTROL!$C$28, 0.0003, 0)</f>
        <v>30.620100000000001</v>
      </c>
      <c r="C427" s="4">
        <f>30.2565 * CHOOSE(CONTROL!$C$9, $C$13, 100%, $E$13) + CHOOSE(CONTROL!$C$28, 0.0003, 0)</f>
        <v>30.256799999999998</v>
      </c>
      <c r="D427" s="4">
        <f>43.0132 * CHOOSE(CONTROL!$C$9, $C$13, 100%, $E$13) + CHOOSE(CONTROL!$C$28, 0, 0)</f>
        <v>43.013199999999998</v>
      </c>
      <c r="E427" s="4">
        <f>198.401592316616 * CHOOSE(CONTROL!$C$9, $C$13, 100%, $E$13) + CHOOSE(CONTROL!$C$28, 0, 0)</f>
        <v>198.40159231661599</v>
      </c>
    </row>
    <row r="428" spans="1:5" ht="15">
      <c r="A428" s="13">
        <v>54543</v>
      </c>
      <c r="B428" s="4">
        <f>31.8372 * CHOOSE(CONTROL!$C$9, $C$13, 100%, $E$13) + CHOOSE(CONTROL!$C$28, 0.0003, 0)</f>
        <v>31.837499999999999</v>
      </c>
      <c r="C428" s="4">
        <f>31.4739 * CHOOSE(CONTROL!$C$9, $C$13, 100%, $E$13) + CHOOSE(CONTROL!$C$28, 0.0003, 0)</f>
        <v>31.4742</v>
      </c>
      <c r="D428" s="4">
        <f>44.2144 * CHOOSE(CONTROL!$C$9, $C$13, 100%, $E$13) + CHOOSE(CONTROL!$C$28, 0, 0)</f>
        <v>44.214399999999998</v>
      </c>
      <c r="E428" s="4">
        <f>206.494510767729 * CHOOSE(CONTROL!$C$9, $C$13, 100%, $E$13) + CHOOSE(CONTROL!$C$28, 0, 0)</f>
        <v>206.494510767729</v>
      </c>
    </row>
    <row r="429" spans="1:5" ht="15">
      <c r="A429" s="13">
        <v>54574</v>
      </c>
      <c r="B429" s="4">
        <f>32.581 * CHOOSE(CONTROL!$C$9, $C$13, 100%, $E$13) + CHOOSE(CONTROL!$C$28, 0.0192, 0)</f>
        <v>32.600200000000001</v>
      </c>
      <c r="C429" s="4">
        <f>32.2178 * CHOOSE(CONTROL!$C$9, $C$13, 100%, $E$13) + CHOOSE(CONTROL!$C$28, 0.0192, 0)</f>
        <v>32.236999999999995</v>
      </c>
      <c r="D429" s="4">
        <f>43.7397 * CHOOSE(CONTROL!$C$9, $C$13, 100%, $E$13) + CHOOSE(CONTROL!$C$28, 0, 0)</f>
        <v>43.739699999999999</v>
      </c>
      <c r="E429" s="4">
        <f>211.439089981174 * CHOOSE(CONTROL!$C$9, $C$13, 100%, $E$13) + CHOOSE(CONTROL!$C$28, 0, 0)</f>
        <v>211.43908998117399</v>
      </c>
    </row>
    <row r="430" spans="1:5" ht="15">
      <c r="A430" s="13">
        <v>54604</v>
      </c>
      <c r="B430" s="4">
        <f>32.6817 * CHOOSE(CONTROL!$C$9, $C$13, 100%, $E$13) + CHOOSE(CONTROL!$C$28, 0.0192, 0)</f>
        <v>32.700899999999997</v>
      </c>
      <c r="C430" s="4">
        <f>32.3184 * CHOOSE(CONTROL!$C$9, $C$13, 100%, $E$13) + CHOOSE(CONTROL!$C$28, 0.0192, 0)</f>
        <v>32.337599999999995</v>
      </c>
      <c r="D430" s="4">
        <f>44.1263 * CHOOSE(CONTROL!$C$9, $C$13, 100%, $E$13) + CHOOSE(CONTROL!$C$28, 0, 0)</f>
        <v>44.126300000000001</v>
      </c>
      <c r="E430" s="4">
        <f>212.108112069178 * CHOOSE(CONTROL!$C$9, $C$13, 100%, $E$13) + CHOOSE(CONTROL!$C$28, 0, 0)</f>
        <v>212.10811206917799</v>
      </c>
    </row>
    <row r="431" spans="1:5" ht="15">
      <c r="A431" s="13">
        <v>54635</v>
      </c>
      <c r="B431" s="4">
        <f>32.6715 * CHOOSE(CONTROL!$C$9, $C$13, 100%, $E$13) + CHOOSE(CONTROL!$C$28, 0.0192, 0)</f>
        <v>32.6907</v>
      </c>
      <c r="C431" s="4">
        <f>32.3083 * CHOOSE(CONTROL!$C$9, $C$13, 100%, $E$13) + CHOOSE(CONTROL!$C$28, 0.0192, 0)</f>
        <v>32.327500000000001</v>
      </c>
      <c r="D431" s="4">
        <f>44.8238 * CHOOSE(CONTROL!$C$9, $C$13, 100%, $E$13) + CHOOSE(CONTROL!$C$28, 0, 0)</f>
        <v>44.823799999999999</v>
      </c>
      <c r="E431" s="4">
        <f>212.040647656943 * CHOOSE(CONTROL!$C$9, $C$13, 100%, $E$13) + CHOOSE(CONTROL!$C$28, 0, 0)</f>
        <v>212.04064765694301</v>
      </c>
    </row>
    <row r="432" spans="1:5" ht="15">
      <c r="A432" s="13">
        <v>54666</v>
      </c>
      <c r="B432" s="4">
        <f>33.4352 * CHOOSE(CONTROL!$C$9, $C$13, 100%, $E$13) + CHOOSE(CONTROL!$C$28, 0.0192, 0)</f>
        <v>33.4544</v>
      </c>
      <c r="C432" s="4">
        <f>33.072 * CHOOSE(CONTROL!$C$9, $C$13, 100%, $E$13) + CHOOSE(CONTROL!$C$28, 0.0192, 0)</f>
        <v>33.091200000000001</v>
      </c>
      <c r="D432" s="4">
        <f>44.3632 * CHOOSE(CONTROL!$C$9, $C$13, 100%, $E$13) + CHOOSE(CONTROL!$C$28, 0, 0)</f>
        <v>44.363199999999999</v>
      </c>
      <c r="E432" s="4">
        <f>217.117344677682 * CHOOSE(CONTROL!$C$9, $C$13, 100%, $E$13) + CHOOSE(CONTROL!$C$28, 0, 0)</f>
        <v>217.11734467768201</v>
      </c>
    </row>
    <row r="433" spans="1:5" ht="15">
      <c r="A433" s="13">
        <v>54696</v>
      </c>
      <c r="B433" s="4">
        <f>32.1336 * CHOOSE(CONTROL!$C$9, $C$13, 100%, $E$13) + CHOOSE(CONTROL!$C$28, 0.0192, 0)</f>
        <v>32.152799999999999</v>
      </c>
      <c r="C433" s="4">
        <f>31.7704 * CHOOSE(CONTROL!$C$9, $C$13, 100%, $E$13) + CHOOSE(CONTROL!$C$28, 0.0192, 0)</f>
        <v>31.7896</v>
      </c>
      <c r="D433" s="4">
        <f>44.1455 * CHOOSE(CONTROL!$C$9, $C$13, 100%, $E$13) + CHOOSE(CONTROL!$C$28, 0, 0)</f>
        <v>44.145499999999998</v>
      </c>
      <c r="E433" s="4">
        <f>208.465033808448 * CHOOSE(CONTROL!$C$9, $C$13, 100%, $E$13) + CHOOSE(CONTROL!$C$28, 0, 0)</f>
        <v>208.465033808448</v>
      </c>
    </row>
    <row r="434" spans="1:5" ht="15">
      <c r="A434" s="13">
        <v>54727</v>
      </c>
      <c r="B434" s="4">
        <f>31.0917 * CHOOSE(CONTROL!$C$9, $C$13, 100%, $E$13) + CHOOSE(CONTROL!$C$28, 0.0003, 0)</f>
        <v>31.091999999999999</v>
      </c>
      <c r="C434" s="4">
        <f>30.7284 * CHOOSE(CONTROL!$C$9, $C$13, 100%, $E$13) + CHOOSE(CONTROL!$C$28, 0.0003, 0)</f>
        <v>30.7287</v>
      </c>
      <c r="D434" s="4">
        <f>43.5628 * CHOOSE(CONTROL!$C$9, $C$13, 100%, $E$13) + CHOOSE(CONTROL!$C$28, 0, 0)</f>
        <v>43.562800000000003</v>
      </c>
      <c r="E434" s="4">
        <f>201.538687485578 * CHOOSE(CONTROL!$C$9, $C$13, 100%, $E$13) + CHOOSE(CONTROL!$C$28, 0, 0)</f>
        <v>201.53868748557801</v>
      </c>
    </row>
    <row r="435" spans="1:5" ht="15">
      <c r="A435" s="13">
        <v>54757</v>
      </c>
      <c r="B435" s="4">
        <f>30.4206 * CHOOSE(CONTROL!$C$9, $C$13, 100%, $E$13) + CHOOSE(CONTROL!$C$28, 0.0003, 0)</f>
        <v>30.4209</v>
      </c>
      <c r="C435" s="4">
        <f>30.0573 * CHOOSE(CONTROL!$C$9, $C$13, 100%, $E$13) + CHOOSE(CONTROL!$C$28, 0.0003, 0)</f>
        <v>30.057600000000001</v>
      </c>
      <c r="D435" s="4">
        <f>43.3624 * CHOOSE(CONTROL!$C$9, $C$13, 100%, $E$13) + CHOOSE(CONTROL!$C$28, 0, 0)</f>
        <v>43.362400000000001</v>
      </c>
      <c r="E435" s="4">
        <f>197.07760322649 * CHOOSE(CONTROL!$C$9, $C$13, 100%, $E$13) + CHOOSE(CONTROL!$C$28, 0, 0)</f>
        <v>197.07760322649</v>
      </c>
    </row>
    <row r="436" spans="1:5" ht="15">
      <c r="A436" s="13">
        <v>54788</v>
      </c>
      <c r="B436" s="4">
        <f>29.9563 * CHOOSE(CONTROL!$C$9, $C$13, 100%, $E$13) + CHOOSE(CONTROL!$C$28, 0.0003, 0)</f>
        <v>29.956599999999998</v>
      </c>
      <c r="C436" s="4">
        <f>29.593 * CHOOSE(CONTROL!$C$9, $C$13, 100%, $E$13) + CHOOSE(CONTROL!$C$28, 0.0003, 0)</f>
        <v>29.593299999999999</v>
      </c>
      <c r="D436" s="4">
        <f>41.8874 * CHOOSE(CONTROL!$C$9, $C$13, 100%, $E$13) + CHOOSE(CONTROL!$C$28, 0, 0)</f>
        <v>41.8874</v>
      </c>
      <c r="E436" s="4">
        <f>193.991106366705 * CHOOSE(CONTROL!$C$9, $C$13, 100%, $E$13) + CHOOSE(CONTROL!$C$28, 0, 0)</f>
        <v>193.991106366705</v>
      </c>
    </row>
    <row r="437" spans="1:5" ht="15">
      <c r="A437" s="13">
        <v>54819</v>
      </c>
      <c r="B437" s="4">
        <f>28.6859 * CHOOSE(CONTROL!$C$9, $C$13, 100%, $E$13) + CHOOSE(CONTROL!$C$28, 0.0003, 0)</f>
        <v>28.686199999999999</v>
      </c>
      <c r="C437" s="4">
        <f>28.3226 * CHOOSE(CONTROL!$C$9, $C$13, 100%, $E$13) + CHOOSE(CONTROL!$C$28, 0.0003, 0)</f>
        <v>28.322900000000001</v>
      </c>
      <c r="D437" s="4">
        <f>40.2625 * CHOOSE(CONTROL!$C$9, $C$13, 100%, $E$13) + CHOOSE(CONTROL!$C$28, 0, 0)</f>
        <v>40.262500000000003</v>
      </c>
      <c r="E437" s="4">
        <f>185.910588521106 * CHOOSE(CONTROL!$C$9, $C$13, 100%, $E$13) + CHOOSE(CONTROL!$C$28, 0, 0)</f>
        <v>185.91058852110601</v>
      </c>
    </row>
    <row r="438" spans="1:5" ht="15">
      <c r="A438" s="13">
        <v>54847</v>
      </c>
      <c r="B438" s="4">
        <f>29.3487 * CHOOSE(CONTROL!$C$9, $C$13, 100%, $E$13) + CHOOSE(CONTROL!$C$28, 0.0003, 0)</f>
        <v>29.349</v>
      </c>
      <c r="C438" s="4">
        <f>28.9854 * CHOOSE(CONTROL!$C$9, $C$13, 100%, $E$13) + CHOOSE(CONTROL!$C$28, 0.0003, 0)</f>
        <v>28.985699999999998</v>
      </c>
      <c r="D438" s="4">
        <f>41.6182 * CHOOSE(CONTROL!$C$9, $C$13, 100%, $E$13) + CHOOSE(CONTROL!$C$28, 0, 0)</f>
        <v>41.618200000000002</v>
      </c>
      <c r="E438" s="4">
        <f>190.324838549391 * CHOOSE(CONTROL!$C$9, $C$13, 100%, $E$13) + CHOOSE(CONTROL!$C$28, 0, 0)</f>
        <v>190.32483854939099</v>
      </c>
    </row>
    <row r="439" spans="1:5" ht="15">
      <c r="A439" s="13">
        <v>54878</v>
      </c>
      <c r="B439" s="4">
        <f>31.0891 * CHOOSE(CONTROL!$C$9, $C$13, 100%, $E$13) + CHOOSE(CONTROL!$C$28, 0.0003, 0)</f>
        <v>31.089399999999998</v>
      </c>
      <c r="C439" s="4">
        <f>30.7258 * CHOOSE(CONTROL!$C$9, $C$13, 100%, $E$13) + CHOOSE(CONTROL!$C$28, 0.0003, 0)</f>
        <v>30.726099999999999</v>
      </c>
      <c r="D439" s="4">
        <f>43.7404 * CHOOSE(CONTROL!$C$9, $C$13, 100%, $E$13) + CHOOSE(CONTROL!$C$28, 0, 0)</f>
        <v>43.740400000000001</v>
      </c>
      <c r="E439" s="4">
        <f>201.916893711159 * CHOOSE(CONTROL!$C$9, $C$13, 100%, $E$13) + CHOOSE(CONTROL!$C$28, 0, 0)</f>
        <v>201.91689371115899</v>
      </c>
    </row>
    <row r="440" spans="1:5" ht="15">
      <c r="A440" s="13">
        <v>54908</v>
      </c>
      <c r="B440" s="4">
        <f>32.3257 * CHOOSE(CONTROL!$C$9, $C$13, 100%, $E$13) + CHOOSE(CONTROL!$C$28, 0.0003, 0)</f>
        <v>32.326000000000001</v>
      </c>
      <c r="C440" s="4">
        <f>31.9624 * CHOOSE(CONTROL!$C$9, $C$13, 100%, $E$13) + CHOOSE(CONTROL!$C$28, 0.0003, 0)</f>
        <v>31.962699999999998</v>
      </c>
      <c r="D440" s="4">
        <f>44.9629 * CHOOSE(CONTROL!$C$9, $C$13, 100%, $E$13) + CHOOSE(CONTROL!$C$28, 0, 0)</f>
        <v>44.962899999999998</v>
      </c>
      <c r="E440" s="4">
        <f>210.153203388043 * CHOOSE(CONTROL!$C$9, $C$13, 100%, $E$13) + CHOOSE(CONTROL!$C$28, 0, 0)</f>
        <v>210.15320338804301</v>
      </c>
    </row>
    <row r="441" spans="1:5" ht="15">
      <c r="A441" s="13">
        <v>54939</v>
      </c>
      <c r="B441" s="4">
        <f>33.0812 * CHOOSE(CONTROL!$C$9, $C$13, 100%, $E$13) + CHOOSE(CONTROL!$C$28, 0.0192, 0)</f>
        <v>33.1004</v>
      </c>
      <c r="C441" s="4">
        <f>32.7179 * CHOOSE(CONTROL!$C$9, $C$13, 100%, $E$13) + CHOOSE(CONTROL!$C$28, 0.0192, 0)</f>
        <v>32.737099999999998</v>
      </c>
      <c r="D441" s="4">
        <f>44.4798 * CHOOSE(CONTROL!$C$9, $C$13, 100%, $E$13) + CHOOSE(CONTROL!$C$28, 0, 0)</f>
        <v>44.479799999999997</v>
      </c>
      <c r="E441" s="4">
        <f>215.185391203825 * CHOOSE(CONTROL!$C$9, $C$13, 100%, $E$13) + CHOOSE(CONTROL!$C$28, 0, 0)</f>
        <v>215.18539120382499</v>
      </c>
    </row>
    <row r="442" spans="1:5" ht="15">
      <c r="A442" s="13">
        <v>54969</v>
      </c>
      <c r="B442" s="4">
        <f>33.1834 * CHOOSE(CONTROL!$C$9, $C$13, 100%, $E$13) + CHOOSE(CONTROL!$C$28, 0.0192, 0)</f>
        <v>33.202599999999997</v>
      </c>
      <c r="C442" s="4">
        <f>32.8202 * CHOOSE(CONTROL!$C$9, $C$13, 100%, $E$13) + CHOOSE(CONTROL!$C$28, 0.0192, 0)</f>
        <v>32.839399999999998</v>
      </c>
      <c r="D442" s="4">
        <f>44.8732 * CHOOSE(CONTROL!$C$9, $C$13, 100%, $E$13) + CHOOSE(CONTROL!$C$28, 0, 0)</f>
        <v>44.873199999999997</v>
      </c>
      <c r="E442" s="4">
        <f>215.866267099309 * CHOOSE(CONTROL!$C$9, $C$13, 100%, $E$13) + CHOOSE(CONTROL!$C$28, 0, 0)</f>
        <v>215.866267099309</v>
      </c>
    </row>
    <row r="443" spans="1:5" ht="15">
      <c r="A443" s="13">
        <v>55000</v>
      </c>
      <c r="B443" s="4">
        <f>33.1731 * CHOOSE(CONTROL!$C$9, $C$13, 100%, $E$13) + CHOOSE(CONTROL!$C$28, 0.0192, 0)</f>
        <v>33.192299999999996</v>
      </c>
      <c r="C443" s="4">
        <f>32.8099 * CHOOSE(CONTROL!$C$9, $C$13, 100%, $E$13) + CHOOSE(CONTROL!$C$28, 0.0192, 0)</f>
        <v>32.829099999999997</v>
      </c>
      <c r="D443" s="4">
        <f>45.5831 * CHOOSE(CONTROL!$C$9, $C$13, 100%, $E$13) + CHOOSE(CONTROL!$C$28, 0, 0)</f>
        <v>45.583100000000002</v>
      </c>
      <c r="E443" s="4">
        <f>215.797607345143 * CHOOSE(CONTROL!$C$9, $C$13, 100%, $E$13) + CHOOSE(CONTROL!$C$28, 0, 0)</f>
        <v>215.79760734514301</v>
      </c>
    </row>
    <row r="444" spans="1:5" ht="15">
      <c r="A444" s="13">
        <v>55031</v>
      </c>
      <c r="B444" s="4">
        <f>33.9488 * CHOOSE(CONTROL!$C$9, $C$13, 100%, $E$13) + CHOOSE(CONTROL!$C$28, 0.0192, 0)</f>
        <v>33.967999999999996</v>
      </c>
      <c r="C444" s="4">
        <f>33.5856 * CHOOSE(CONTROL!$C$9, $C$13, 100%, $E$13) + CHOOSE(CONTROL!$C$28, 0.0192, 0)</f>
        <v>33.604799999999997</v>
      </c>
      <c r="D444" s="4">
        <f>45.1143 * CHOOSE(CONTROL!$C$9, $C$13, 100%, $E$13) + CHOOSE(CONTROL!$C$28, 0, 0)</f>
        <v>45.1143</v>
      </c>
      <c r="E444" s="4">
        <f>220.964253846168 * CHOOSE(CONTROL!$C$9, $C$13, 100%, $E$13) + CHOOSE(CONTROL!$C$28, 0, 0)</f>
        <v>220.96425384616799</v>
      </c>
    </row>
    <row r="445" spans="1:5" ht="15">
      <c r="A445" s="13">
        <v>55061</v>
      </c>
      <c r="B445" s="4">
        <f>32.6268 * CHOOSE(CONTROL!$C$9, $C$13, 100%, $E$13) + CHOOSE(CONTROL!$C$28, 0.0192, 0)</f>
        <v>32.646000000000001</v>
      </c>
      <c r="C445" s="4">
        <f>32.2635 * CHOOSE(CONTROL!$C$9, $C$13, 100%, $E$13) + CHOOSE(CONTROL!$C$28, 0.0192, 0)</f>
        <v>32.282699999999998</v>
      </c>
      <c r="D445" s="4">
        <f>44.8928 * CHOOSE(CONTROL!$C$9, $C$13, 100%, $E$13) + CHOOSE(CONTROL!$C$28, 0, 0)</f>
        <v>44.892800000000001</v>
      </c>
      <c r="E445" s="4">
        <f>212.158640374321 * CHOOSE(CONTROL!$C$9, $C$13, 100%, $E$13) + CHOOSE(CONTROL!$C$28, 0, 0)</f>
        <v>212.15864037432101</v>
      </c>
    </row>
    <row r="446" spans="1:5" ht="15">
      <c r="A446" s="13">
        <v>55092</v>
      </c>
      <c r="B446" s="4">
        <f>31.5684 * CHOOSE(CONTROL!$C$9, $C$13, 100%, $E$13) + CHOOSE(CONTROL!$C$28, 0.0003, 0)</f>
        <v>31.5687</v>
      </c>
      <c r="C446" s="4">
        <f>31.2052 * CHOOSE(CONTROL!$C$9, $C$13, 100%, $E$13) + CHOOSE(CONTROL!$C$28, 0.0003, 0)</f>
        <v>31.205500000000001</v>
      </c>
      <c r="D446" s="4">
        <f>44.2997 * CHOOSE(CONTROL!$C$9, $C$13, 100%, $E$13) + CHOOSE(CONTROL!$C$28, 0, 0)</f>
        <v>44.299700000000001</v>
      </c>
      <c r="E446" s="4">
        <f>205.109572279899 * CHOOSE(CONTROL!$C$9, $C$13, 100%, $E$13) + CHOOSE(CONTROL!$C$28, 0, 0)</f>
        <v>205.109572279899</v>
      </c>
    </row>
    <row r="447" spans="1:5" ht="15">
      <c r="A447" s="13">
        <v>55122</v>
      </c>
      <c r="B447" s="4">
        <f>30.8868 * CHOOSE(CONTROL!$C$9, $C$13, 100%, $E$13) + CHOOSE(CONTROL!$C$28, 0.0003, 0)</f>
        <v>30.8871</v>
      </c>
      <c r="C447" s="4">
        <f>30.5235 * CHOOSE(CONTROL!$C$9, $C$13, 100%, $E$13) + CHOOSE(CONTROL!$C$28, 0.0003, 0)</f>
        <v>30.523799999999998</v>
      </c>
      <c r="D447" s="4">
        <f>44.0958 * CHOOSE(CONTROL!$C$9, $C$13, 100%, $E$13) + CHOOSE(CONTROL!$C$28, 0, 0)</f>
        <v>44.095799999999997</v>
      </c>
      <c r="E447" s="4">
        <f>200.569446035643 * CHOOSE(CONTROL!$C$9, $C$13, 100%, $E$13) + CHOOSE(CONTROL!$C$28, 0, 0)</f>
        <v>200.56944603564301</v>
      </c>
    </row>
    <row r="448" spans="1:5" ht="15">
      <c r="A448" s="13">
        <v>55153</v>
      </c>
      <c r="B448" s="4">
        <f>30.4152 * CHOOSE(CONTROL!$C$9, $C$13, 100%, $E$13) + CHOOSE(CONTROL!$C$28, 0.0003, 0)</f>
        <v>30.415499999999998</v>
      </c>
      <c r="C448" s="4">
        <f>30.0519 * CHOOSE(CONTROL!$C$9, $C$13, 100%, $E$13) + CHOOSE(CONTROL!$C$28, 0.0003, 0)</f>
        <v>30.052199999999999</v>
      </c>
      <c r="D448" s="4">
        <f>42.5948 * CHOOSE(CONTROL!$C$9, $C$13, 100%, $E$13) + CHOOSE(CONTROL!$C$28, 0, 0)</f>
        <v>42.594799999999999</v>
      </c>
      <c r="E448" s="4">
        <f>197.428262282528 * CHOOSE(CONTROL!$C$9, $C$13, 100%, $E$13) + CHOOSE(CONTROL!$C$28, 0, 0)</f>
        <v>197.42826228252801</v>
      </c>
    </row>
    <row r="449" spans="1:5" ht="15">
      <c r="A449" s="13">
        <v>55184</v>
      </c>
      <c r="B449" s="4">
        <f>29.1248 * CHOOSE(CONTROL!$C$9, $C$13, 100%, $E$13) + CHOOSE(CONTROL!$C$28, 0.0003, 0)</f>
        <v>29.1251</v>
      </c>
      <c r="C449" s="4">
        <f>28.7616 * CHOOSE(CONTROL!$C$9, $C$13, 100%, $E$13) + CHOOSE(CONTROL!$C$28, 0.0003, 0)</f>
        <v>28.761900000000001</v>
      </c>
      <c r="D449" s="4">
        <f>40.9412 * CHOOSE(CONTROL!$C$9, $C$13, 100%, $E$13) + CHOOSE(CONTROL!$C$28, 0, 0)</f>
        <v>40.941200000000002</v>
      </c>
      <c r="E449" s="4">
        <f>189.204572926462 * CHOOSE(CONTROL!$C$9, $C$13, 100%, $E$13) + CHOOSE(CONTROL!$C$28, 0, 0)</f>
        <v>189.20457292646199</v>
      </c>
    </row>
    <row r="450" spans="1:5" ht="15">
      <c r="A450" s="13">
        <v>55212</v>
      </c>
      <c r="B450" s="4">
        <f>29.798 * CHOOSE(CONTROL!$C$9, $C$13, 100%, $E$13) + CHOOSE(CONTROL!$C$28, 0.0003, 0)</f>
        <v>29.798299999999998</v>
      </c>
      <c r="C450" s="4">
        <f>29.4347 * CHOOSE(CONTROL!$C$9, $C$13, 100%, $E$13) + CHOOSE(CONTROL!$C$28, 0.0003, 0)</f>
        <v>29.434999999999999</v>
      </c>
      <c r="D450" s="4">
        <f>42.3208 * CHOOSE(CONTROL!$C$9, $C$13, 100%, $E$13) + CHOOSE(CONTROL!$C$28, 0, 0)</f>
        <v>42.320799999999998</v>
      </c>
      <c r="E450" s="4">
        <f>193.697035125824 * CHOOSE(CONTROL!$C$9, $C$13, 100%, $E$13) + CHOOSE(CONTROL!$C$28, 0, 0)</f>
        <v>193.69703512582399</v>
      </c>
    </row>
    <row r="451" spans="1:5" ht="15">
      <c r="A451" s="13">
        <v>55243</v>
      </c>
      <c r="B451" s="4">
        <f>31.5658 * CHOOSE(CONTROL!$C$9, $C$13, 100%, $E$13) + CHOOSE(CONTROL!$C$28, 0.0003, 0)</f>
        <v>31.566099999999999</v>
      </c>
      <c r="C451" s="4">
        <f>31.2025 * CHOOSE(CONTROL!$C$9, $C$13, 100%, $E$13) + CHOOSE(CONTROL!$C$28, 0.0003, 0)</f>
        <v>31.2028</v>
      </c>
      <c r="D451" s="4">
        <f>44.4805 * CHOOSE(CONTROL!$C$9, $C$13, 100%, $E$13) + CHOOSE(CONTROL!$C$28, 0, 0)</f>
        <v>44.480499999999999</v>
      </c>
      <c r="E451" s="4">
        <f>205.494479605288 * CHOOSE(CONTROL!$C$9, $C$13, 100%, $E$13) + CHOOSE(CONTROL!$C$28, 0, 0)</f>
        <v>205.49447960528801</v>
      </c>
    </row>
    <row r="452" spans="1:5" ht="15">
      <c r="A452" s="13">
        <v>55273</v>
      </c>
      <c r="B452" s="4">
        <f>32.8218 * CHOOSE(CONTROL!$C$9, $C$13, 100%, $E$13) + CHOOSE(CONTROL!$C$28, 0.0003, 0)</f>
        <v>32.822100000000006</v>
      </c>
      <c r="C452" s="4">
        <f>32.4586 * CHOOSE(CONTROL!$C$9, $C$13, 100%, $E$13) + CHOOSE(CONTROL!$C$28, 0.0003, 0)</f>
        <v>32.4589</v>
      </c>
      <c r="D452" s="4">
        <f>45.7246 * CHOOSE(CONTROL!$C$9, $C$13, 100%, $E$13) + CHOOSE(CONTROL!$C$28, 0, 0)</f>
        <v>45.724600000000002</v>
      </c>
      <c r="E452" s="4">
        <f>213.876721129568 * CHOOSE(CONTROL!$C$9, $C$13, 100%, $E$13) + CHOOSE(CONTROL!$C$28, 0, 0)</f>
        <v>213.87672112956801</v>
      </c>
    </row>
    <row r="453" spans="1:5" ht="15">
      <c r="A453" s="13">
        <v>55304</v>
      </c>
      <c r="B453" s="4">
        <f>33.5893 * CHOOSE(CONTROL!$C$9, $C$13, 100%, $E$13) + CHOOSE(CONTROL!$C$28, 0.0192, 0)</f>
        <v>33.608499999999999</v>
      </c>
      <c r="C453" s="4">
        <f>33.226 * CHOOSE(CONTROL!$C$9, $C$13, 100%, $E$13) + CHOOSE(CONTROL!$C$28, 0.0192, 0)</f>
        <v>33.245199999999997</v>
      </c>
      <c r="D453" s="4">
        <f>45.233 * CHOOSE(CONTROL!$C$9, $C$13, 100%, $E$13) + CHOOSE(CONTROL!$C$28, 0, 0)</f>
        <v>45.232999999999997</v>
      </c>
      <c r="E453" s="4">
        <f>218.998069806611 * CHOOSE(CONTROL!$C$9, $C$13, 100%, $E$13) + CHOOSE(CONTROL!$C$28, 0, 0)</f>
        <v>218.998069806611</v>
      </c>
    </row>
    <row r="454" spans="1:5" ht="15">
      <c r="A454" s="13">
        <v>55334</v>
      </c>
      <c r="B454" s="4">
        <f>33.6931 * CHOOSE(CONTROL!$C$9, $C$13, 100%, $E$13) + CHOOSE(CONTROL!$C$28, 0.0192, 0)</f>
        <v>33.712299999999999</v>
      </c>
      <c r="C454" s="4">
        <f>33.3298 * CHOOSE(CONTROL!$C$9, $C$13, 100%, $E$13) + CHOOSE(CONTROL!$C$28, 0.0192, 0)</f>
        <v>33.348999999999997</v>
      </c>
      <c r="D454" s="4">
        <f>45.6333 * CHOOSE(CONTROL!$C$9, $C$13, 100%, $E$13) + CHOOSE(CONTROL!$C$28, 0, 0)</f>
        <v>45.633299999999998</v>
      </c>
      <c r="E454" s="4">
        <f>219.691009536648 * CHOOSE(CONTROL!$C$9, $C$13, 100%, $E$13) + CHOOSE(CONTROL!$C$28, 0, 0)</f>
        <v>219.69100953664801</v>
      </c>
    </row>
    <row r="455" spans="1:5" ht="15">
      <c r="A455" s="13">
        <v>55365</v>
      </c>
      <c r="B455" s="4">
        <f>33.6826 * CHOOSE(CONTROL!$C$9, $C$13, 100%, $E$13) + CHOOSE(CONTROL!$C$28, 0.0192, 0)</f>
        <v>33.701799999999999</v>
      </c>
      <c r="C455" s="4">
        <f>33.3193 * CHOOSE(CONTROL!$C$9, $C$13, 100%, $E$13) + CHOOSE(CONTROL!$C$28, 0.0192, 0)</f>
        <v>33.338499999999996</v>
      </c>
      <c r="D455" s="4">
        <f>46.3557 * CHOOSE(CONTROL!$C$9, $C$13, 100%, $E$13) + CHOOSE(CONTROL!$C$28, 0, 0)</f>
        <v>46.355699999999999</v>
      </c>
      <c r="E455" s="4">
        <f>219.62113326135 * CHOOSE(CONTROL!$C$9, $C$13, 100%, $E$13) + CHOOSE(CONTROL!$C$28, 0, 0)</f>
        <v>219.62113326135</v>
      </c>
    </row>
    <row r="456" spans="1:5" ht="15">
      <c r="A456" s="13">
        <v>55396</v>
      </c>
      <c r="B456" s="4">
        <f>34.4705 * CHOOSE(CONTROL!$C$9, $C$13, 100%, $E$13) + CHOOSE(CONTROL!$C$28, 0.0192, 0)</f>
        <v>34.489699999999999</v>
      </c>
      <c r="C456" s="4">
        <f>34.1072 * CHOOSE(CONTROL!$C$9, $C$13, 100%, $E$13) + CHOOSE(CONTROL!$C$28, 0.0192, 0)</f>
        <v>34.126399999999997</v>
      </c>
      <c r="D456" s="4">
        <f>45.8786 * CHOOSE(CONTROL!$C$9, $C$13, 100%, $E$13) + CHOOSE(CONTROL!$C$28, 0, 0)</f>
        <v>45.878599999999999</v>
      </c>
      <c r="E456" s="4">
        <f>224.879322977519 * CHOOSE(CONTROL!$C$9, $C$13, 100%, $E$13) + CHOOSE(CONTROL!$C$28, 0, 0)</f>
        <v>224.879322977519</v>
      </c>
    </row>
    <row r="457" spans="1:5" ht="15">
      <c r="A457" s="13">
        <v>55426</v>
      </c>
      <c r="B457" s="4">
        <f>33.1277 * CHOOSE(CONTROL!$C$9, $C$13, 100%, $E$13) + CHOOSE(CONTROL!$C$28, 0.0192, 0)</f>
        <v>33.146899999999995</v>
      </c>
      <c r="C457" s="4">
        <f>32.7644 * CHOOSE(CONTROL!$C$9, $C$13, 100%, $E$13) + CHOOSE(CONTROL!$C$28, 0.0192, 0)</f>
        <v>32.7836</v>
      </c>
      <c r="D457" s="4">
        <f>45.6532 * CHOOSE(CONTROL!$C$9, $C$13, 100%, $E$13) + CHOOSE(CONTROL!$C$28, 0, 0)</f>
        <v>45.653199999999998</v>
      </c>
      <c r="E457" s="4">
        <f>215.917690670561 * CHOOSE(CONTROL!$C$9, $C$13, 100%, $E$13) + CHOOSE(CONTROL!$C$28, 0, 0)</f>
        <v>215.917690670561</v>
      </c>
    </row>
    <row r="458" spans="1:5" ht="15">
      <c r="A458" s="13">
        <v>55457</v>
      </c>
      <c r="B458" s="4">
        <f>32.0527 * CHOOSE(CONTROL!$C$9, $C$13, 100%, $E$13) + CHOOSE(CONTROL!$C$28, 0.0003, 0)</f>
        <v>32.053000000000004</v>
      </c>
      <c r="C458" s="4">
        <f>31.6894 * CHOOSE(CONTROL!$C$9, $C$13, 100%, $E$13) + CHOOSE(CONTROL!$C$28, 0.0003, 0)</f>
        <v>31.689699999999998</v>
      </c>
      <c r="D458" s="4">
        <f>45.0497 * CHOOSE(CONTROL!$C$9, $C$13, 100%, $E$13) + CHOOSE(CONTROL!$C$28, 0, 0)</f>
        <v>45.049700000000001</v>
      </c>
      <c r="E458" s="4">
        <f>208.743726406641 * CHOOSE(CONTROL!$C$9, $C$13, 100%, $E$13) + CHOOSE(CONTROL!$C$28, 0, 0)</f>
        <v>208.743726406641</v>
      </c>
    </row>
    <row r="459" spans="1:5" ht="15">
      <c r="A459" s="13">
        <v>55487</v>
      </c>
      <c r="B459" s="4">
        <f>31.3603 * CHOOSE(CONTROL!$C$9, $C$13, 100%, $E$13) + CHOOSE(CONTROL!$C$28, 0.0003, 0)</f>
        <v>31.360599999999998</v>
      </c>
      <c r="C459" s="4">
        <f>30.997 * CHOOSE(CONTROL!$C$9, $C$13, 100%, $E$13) + CHOOSE(CONTROL!$C$28, 0.0003, 0)</f>
        <v>30.997299999999999</v>
      </c>
      <c r="D459" s="4">
        <f>44.8422 * CHOOSE(CONTROL!$C$9, $C$13, 100%, $E$13) + CHOOSE(CONTROL!$C$28, 0, 0)</f>
        <v>44.842199999999998</v>
      </c>
      <c r="E459" s="4">
        <f>204.123157702567 * CHOOSE(CONTROL!$C$9, $C$13, 100%, $E$13) + CHOOSE(CONTROL!$C$28, 0, 0)</f>
        <v>204.123157702567</v>
      </c>
    </row>
    <row r="460" spans="1:5" ht="15">
      <c r="A460" s="13">
        <v>55518</v>
      </c>
      <c r="B460" s="4">
        <f>30.8813 * CHOOSE(CONTROL!$C$9, $C$13, 100%, $E$13) + CHOOSE(CONTROL!$C$28, 0.0003, 0)</f>
        <v>30.881599999999999</v>
      </c>
      <c r="C460" s="4">
        <f>30.518 * CHOOSE(CONTROL!$C$9, $C$13, 100%, $E$13) + CHOOSE(CONTROL!$C$28, 0.0003, 0)</f>
        <v>30.5183</v>
      </c>
      <c r="D460" s="4">
        <f>43.3146 * CHOOSE(CONTROL!$C$9, $C$13, 100%, $E$13) + CHOOSE(CONTROL!$C$28, 0, 0)</f>
        <v>43.314599999999999</v>
      </c>
      <c r="E460" s="4">
        <f>200.926318107687 * CHOOSE(CONTROL!$C$9, $C$13, 100%, $E$13) + CHOOSE(CONTROL!$C$28, 0, 0)</f>
        <v>200.926318107687</v>
      </c>
    </row>
    <row r="461" spans="1:5" ht="15">
      <c r="A461" s="13">
        <v>55549</v>
      </c>
      <c r="B461" s="4">
        <f>29.5707 * CHOOSE(CONTROL!$C$9, $C$13, 100%, $E$13) + CHOOSE(CONTROL!$C$28, 0.0003, 0)</f>
        <v>29.570999999999998</v>
      </c>
      <c r="C461" s="4">
        <f>29.2074 * CHOOSE(CONTROL!$C$9, $C$13, 100%, $E$13) + CHOOSE(CONTROL!$C$28, 0.0003, 0)</f>
        <v>29.207699999999999</v>
      </c>
      <c r="D461" s="4">
        <f>41.6318 * CHOOSE(CONTROL!$C$9, $C$13, 100%, $E$13) + CHOOSE(CONTROL!$C$28, 0, 0)</f>
        <v>41.631799999999998</v>
      </c>
      <c r="E461" s="4">
        <f>192.556920512467 * CHOOSE(CONTROL!$C$9, $C$13, 100%, $E$13) + CHOOSE(CONTROL!$C$28, 0, 0)</f>
        <v>192.556920512467</v>
      </c>
    </row>
    <row r="462" spans="1:5" ht="15">
      <c r="A462" s="13">
        <v>55577</v>
      </c>
      <c r="B462" s="4">
        <f>30.2544 * CHOOSE(CONTROL!$C$9, $C$13, 100%, $E$13) + CHOOSE(CONTROL!$C$28, 0.0003, 0)</f>
        <v>30.2547</v>
      </c>
      <c r="C462" s="4">
        <f>29.8911 * CHOOSE(CONTROL!$C$9, $C$13, 100%, $E$13) + CHOOSE(CONTROL!$C$28, 0.0003, 0)</f>
        <v>29.891400000000001</v>
      </c>
      <c r="D462" s="4">
        <f>43.0358 * CHOOSE(CONTROL!$C$9, $C$13, 100%, $E$13) + CHOOSE(CONTROL!$C$28, 0, 0)</f>
        <v>43.035800000000002</v>
      </c>
      <c r="E462" s="4">
        <f>197.128980654819 * CHOOSE(CONTROL!$C$9, $C$13, 100%, $E$13) + CHOOSE(CONTROL!$C$28, 0, 0)</f>
        <v>197.128980654819</v>
      </c>
    </row>
    <row r="463" spans="1:5" ht="15">
      <c r="A463" s="13">
        <v>55609</v>
      </c>
      <c r="B463" s="4">
        <f>32.05 * CHOOSE(CONTROL!$C$9, $C$13, 100%, $E$13) + CHOOSE(CONTROL!$C$28, 0.0003, 0)</f>
        <v>32.0503</v>
      </c>
      <c r="C463" s="4">
        <f>31.6867 * CHOOSE(CONTROL!$C$9, $C$13, 100%, $E$13) + CHOOSE(CONTROL!$C$28, 0.0003, 0)</f>
        <v>31.686999999999998</v>
      </c>
      <c r="D463" s="4">
        <f>45.2337 * CHOOSE(CONTROL!$C$9, $C$13, 100%, $E$13) + CHOOSE(CONTROL!$C$28, 0, 0)</f>
        <v>45.233699999999999</v>
      </c>
      <c r="E463" s="4">
        <f>209.135453562667 * CHOOSE(CONTROL!$C$9, $C$13, 100%, $E$13) + CHOOSE(CONTROL!$C$28, 0, 0)</f>
        <v>209.13545356266701</v>
      </c>
    </row>
    <row r="464" spans="1:5" ht="15">
      <c r="A464" s="13">
        <v>55639</v>
      </c>
      <c r="B464" s="4">
        <f>33.3258 * CHOOSE(CONTROL!$C$9, $C$13, 100%, $E$13) + CHOOSE(CONTROL!$C$28, 0.0003, 0)</f>
        <v>33.326100000000004</v>
      </c>
      <c r="C464" s="4">
        <f>32.9625 * CHOOSE(CONTROL!$C$9, $C$13, 100%, $E$13) + CHOOSE(CONTROL!$C$28, 0.0003, 0)</f>
        <v>32.962800000000001</v>
      </c>
      <c r="D464" s="4">
        <f>46.4997 * CHOOSE(CONTROL!$C$9, $C$13, 100%, $E$13) + CHOOSE(CONTROL!$C$28, 0, 0)</f>
        <v>46.499699999999997</v>
      </c>
      <c r="E464" s="4">
        <f>217.666212570983 * CHOOSE(CONTROL!$C$9, $C$13, 100%, $E$13) + CHOOSE(CONTROL!$C$28, 0, 0)</f>
        <v>217.66621257098299</v>
      </c>
    </row>
    <row r="465" spans="1:5" ht="15">
      <c r="A465" s="13">
        <v>55670</v>
      </c>
      <c r="B465" s="4">
        <f>34.1053 * CHOOSE(CONTROL!$C$9, $C$13, 100%, $E$13) + CHOOSE(CONTROL!$C$28, 0.0192, 0)</f>
        <v>34.124499999999998</v>
      </c>
      <c r="C465" s="4">
        <f>33.742 * CHOOSE(CONTROL!$C$9, $C$13, 100%, $E$13) + CHOOSE(CONTROL!$C$28, 0.0192, 0)</f>
        <v>33.761199999999995</v>
      </c>
      <c r="D465" s="4">
        <f>45.9994 * CHOOSE(CONTROL!$C$9, $C$13, 100%, $E$13) + CHOOSE(CONTROL!$C$28, 0, 0)</f>
        <v>45.999400000000001</v>
      </c>
      <c r="E465" s="4">
        <f>222.878301871305 * CHOOSE(CONTROL!$C$9, $C$13, 100%, $E$13) + CHOOSE(CONTROL!$C$28, 0, 0)</f>
        <v>222.87830187130501</v>
      </c>
    </row>
    <row r="466" spans="1:5" ht="15">
      <c r="A466" s="13">
        <v>55700</v>
      </c>
      <c r="B466" s="4">
        <f>34.2107 * CHOOSE(CONTROL!$C$9, $C$13, 100%, $E$13) + CHOOSE(CONTROL!$C$28, 0.0192, 0)</f>
        <v>34.229900000000001</v>
      </c>
      <c r="C466" s="4">
        <f>33.8475 * CHOOSE(CONTROL!$C$9, $C$13, 100%, $E$13) + CHOOSE(CONTROL!$C$28, 0.0192, 0)</f>
        <v>33.866699999999994</v>
      </c>
      <c r="D466" s="4">
        <f>46.4069 * CHOOSE(CONTROL!$C$9, $C$13, 100%, $E$13) + CHOOSE(CONTROL!$C$28, 0, 0)</f>
        <v>46.4069</v>
      </c>
      <c r="E466" s="4">
        <f>223.583519184254 * CHOOSE(CONTROL!$C$9, $C$13, 100%, $E$13) + CHOOSE(CONTROL!$C$28, 0, 0)</f>
        <v>223.58351918425399</v>
      </c>
    </row>
    <row r="467" spans="1:5" ht="15">
      <c r="A467" s="13">
        <v>55731</v>
      </c>
      <c r="B467" s="4">
        <f>34.2001 * CHOOSE(CONTROL!$C$9, $C$13, 100%, $E$13) + CHOOSE(CONTROL!$C$28, 0.0192, 0)</f>
        <v>34.219299999999997</v>
      </c>
      <c r="C467" s="4">
        <f>33.8368 * CHOOSE(CONTROL!$C$9, $C$13, 100%, $E$13) + CHOOSE(CONTROL!$C$28, 0.0192, 0)</f>
        <v>33.855999999999995</v>
      </c>
      <c r="D467" s="4">
        <f>47.142 * CHOOSE(CONTROL!$C$9, $C$13, 100%, $E$13) + CHOOSE(CONTROL!$C$28, 0, 0)</f>
        <v>47.142000000000003</v>
      </c>
      <c r="E467" s="4">
        <f>223.512404833368 * CHOOSE(CONTROL!$C$9, $C$13, 100%, $E$13) + CHOOSE(CONTROL!$C$28, 0, 0)</f>
        <v>223.51240483336801</v>
      </c>
    </row>
    <row r="468" spans="1:5" ht="15">
      <c r="A468" s="13">
        <v>55762</v>
      </c>
      <c r="B468" s="4">
        <f>35.0004 * CHOOSE(CONTROL!$C$9, $C$13, 100%, $E$13) + CHOOSE(CONTROL!$C$28, 0.0192, 0)</f>
        <v>35.019599999999997</v>
      </c>
      <c r="C468" s="4">
        <f>34.6371 * CHOOSE(CONTROL!$C$9, $C$13, 100%, $E$13) + CHOOSE(CONTROL!$C$28, 0.0192, 0)</f>
        <v>34.656299999999995</v>
      </c>
      <c r="D468" s="4">
        <f>46.6565 * CHOOSE(CONTROL!$C$9, $C$13, 100%, $E$13) + CHOOSE(CONTROL!$C$28, 0, 0)</f>
        <v>46.656500000000001</v>
      </c>
      <c r="E468" s="4">
        <f>228.863759737508 * CHOOSE(CONTROL!$C$9, $C$13, 100%, $E$13) + CHOOSE(CONTROL!$C$28, 0, 0)</f>
        <v>228.86375973750799</v>
      </c>
    </row>
    <row r="469" spans="1:5" ht="15">
      <c r="A469" s="13">
        <v>55792</v>
      </c>
      <c r="B469" s="4">
        <f>33.6364 * CHOOSE(CONTROL!$C$9, $C$13, 100%, $E$13) + CHOOSE(CONTROL!$C$28, 0.0192, 0)</f>
        <v>33.6556</v>
      </c>
      <c r="C469" s="4">
        <f>33.2732 * CHOOSE(CONTROL!$C$9, $C$13, 100%, $E$13) + CHOOSE(CONTROL!$C$28, 0.0192, 0)</f>
        <v>33.292400000000001</v>
      </c>
      <c r="D469" s="4">
        <f>46.4271 * CHOOSE(CONTROL!$C$9, $C$13, 100%, $E$13) + CHOOSE(CONTROL!$C$28, 0, 0)</f>
        <v>46.427100000000003</v>
      </c>
      <c r="E469" s="4">
        <f>219.743344236433 * CHOOSE(CONTROL!$C$9, $C$13, 100%, $E$13) + CHOOSE(CONTROL!$C$28, 0, 0)</f>
        <v>219.74334423643299</v>
      </c>
    </row>
    <row r="470" spans="1:5" ht="15">
      <c r="A470" s="13">
        <v>55823</v>
      </c>
      <c r="B470" s="4">
        <f>32.5446 * CHOOSE(CONTROL!$C$9, $C$13, 100%, $E$13) + CHOOSE(CONTROL!$C$28, 0.0003, 0)</f>
        <v>32.544900000000005</v>
      </c>
      <c r="C470" s="4">
        <f>32.1813 * CHOOSE(CONTROL!$C$9, $C$13, 100%, $E$13) + CHOOSE(CONTROL!$C$28, 0.0003, 0)</f>
        <v>32.181600000000003</v>
      </c>
      <c r="D470" s="4">
        <f>45.8129 * CHOOSE(CONTROL!$C$9, $C$13, 100%, $E$13) + CHOOSE(CONTROL!$C$28, 0, 0)</f>
        <v>45.812899999999999</v>
      </c>
      <c r="E470" s="4">
        <f>212.442270878847 * CHOOSE(CONTROL!$C$9, $C$13, 100%, $E$13) + CHOOSE(CONTROL!$C$28, 0, 0)</f>
        <v>212.44227087884701</v>
      </c>
    </row>
    <row r="471" spans="1:5" ht="15">
      <c r="A471" s="13">
        <v>55853</v>
      </c>
      <c r="B471" s="4">
        <f>31.8413 * CHOOSE(CONTROL!$C$9, $C$13, 100%, $E$13) + CHOOSE(CONTROL!$C$28, 0.0003, 0)</f>
        <v>31.8416</v>
      </c>
      <c r="C471" s="4">
        <f>31.478 * CHOOSE(CONTROL!$C$9, $C$13, 100%, $E$13) + CHOOSE(CONTROL!$C$28, 0.0003, 0)</f>
        <v>31.478300000000001</v>
      </c>
      <c r="D471" s="4">
        <f>45.6018 * CHOOSE(CONTROL!$C$9, $C$13, 100%, $E$13) + CHOOSE(CONTROL!$C$28, 0, 0)</f>
        <v>45.601799999999997</v>
      </c>
      <c r="E471" s="4">
        <f>207.739834426538 * CHOOSE(CONTROL!$C$9, $C$13, 100%, $E$13) + CHOOSE(CONTROL!$C$28, 0, 0)</f>
        <v>207.73983442653801</v>
      </c>
    </row>
    <row r="472" spans="1:5" ht="15">
      <c r="A472" s="13">
        <v>55884</v>
      </c>
      <c r="B472" s="4">
        <f>31.3547 * CHOOSE(CONTROL!$C$9, $C$13, 100%, $E$13) + CHOOSE(CONTROL!$C$28, 0.0003, 0)</f>
        <v>31.355</v>
      </c>
      <c r="C472" s="4">
        <f>30.9914 * CHOOSE(CONTROL!$C$9, $C$13, 100%, $E$13) + CHOOSE(CONTROL!$C$28, 0.0003, 0)</f>
        <v>30.991699999999998</v>
      </c>
      <c r="D472" s="4">
        <f>44.0472 * CHOOSE(CONTROL!$C$9, $C$13, 100%, $E$13) + CHOOSE(CONTROL!$C$28, 0, 0)</f>
        <v>44.047199999999997</v>
      </c>
      <c r="E472" s="4">
        <f>204.486352873523 * CHOOSE(CONTROL!$C$9, $C$13, 100%, $E$13) + CHOOSE(CONTROL!$C$28, 0, 0)</f>
        <v>204.486352873523</v>
      </c>
    </row>
    <row r="473" spans="1:5" ht="15">
      <c r="A473" s="13">
        <v>55915</v>
      </c>
      <c r="B473" s="4">
        <f>30.0235 * CHOOSE(CONTROL!$C$9, $C$13, 100%, $E$13) + CHOOSE(CONTROL!$C$28, 0.0003, 0)</f>
        <v>30.023799999999998</v>
      </c>
      <c r="C473" s="4">
        <f>29.6602 * CHOOSE(CONTROL!$C$9, $C$13, 100%, $E$13) + CHOOSE(CONTROL!$C$28, 0.0003, 0)</f>
        <v>29.660499999999999</v>
      </c>
      <c r="D473" s="4">
        <f>42.3347 * CHOOSE(CONTROL!$C$9, $C$13, 100%, $E$13) + CHOOSE(CONTROL!$C$28, 0, 0)</f>
        <v>42.334699999999998</v>
      </c>
      <c r="E473" s="4">
        <f>195.968665364425 * CHOOSE(CONTROL!$C$9, $C$13, 100%, $E$13) + CHOOSE(CONTROL!$C$28, 0, 0)</f>
        <v>195.96866536442499</v>
      </c>
    </row>
    <row r="474" spans="1:5" ht="15">
      <c r="A474" s="13">
        <v>55943</v>
      </c>
      <c r="B474" s="4">
        <f>30.718 * CHOOSE(CONTROL!$C$9, $C$13, 100%, $E$13) + CHOOSE(CONTROL!$C$28, 0.0003, 0)</f>
        <v>30.718299999999999</v>
      </c>
      <c r="C474" s="4">
        <f>30.3547 * CHOOSE(CONTROL!$C$9, $C$13, 100%, $E$13) + CHOOSE(CONTROL!$C$28, 0.0003, 0)</f>
        <v>30.355</v>
      </c>
      <c r="D474" s="4">
        <f>43.7635 * CHOOSE(CONTROL!$C$9, $C$13, 100%, $E$13) + CHOOSE(CONTROL!$C$28, 0, 0)</f>
        <v>43.763500000000001</v>
      </c>
      <c r="E474" s="4">
        <f>200.62173377494 * CHOOSE(CONTROL!$C$9, $C$13, 100%, $E$13) + CHOOSE(CONTROL!$C$28, 0, 0)</f>
        <v>200.62173377494</v>
      </c>
    </row>
    <row r="475" spans="1:5" ht="15">
      <c r="A475" s="13">
        <v>55974</v>
      </c>
      <c r="B475" s="4">
        <f>32.5418 * CHOOSE(CONTROL!$C$9, $C$13, 100%, $E$13) + CHOOSE(CONTROL!$C$28, 0.0003, 0)</f>
        <v>32.542100000000005</v>
      </c>
      <c r="C475" s="4">
        <f>32.1786 * CHOOSE(CONTROL!$C$9, $C$13, 100%, $E$13) + CHOOSE(CONTROL!$C$28, 0.0003, 0)</f>
        <v>32.178900000000006</v>
      </c>
      <c r="D475" s="4">
        <f>46.0002 * CHOOSE(CONTROL!$C$9, $C$13, 100%, $E$13) + CHOOSE(CONTROL!$C$28, 0, 0)</f>
        <v>46.0002</v>
      </c>
      <c r="E475" s="4">
        <f>212.840938700025 * CHOOSE(CONTROL!$C$9, $C$13, 100%, $E$13) + CHOOSE(CONTROL!$C$28, 0, 0)</f>
        <v>212.84093870002499</v>
      </c>
    </row>
    <row r="476" spans="1:5" ht="15">
      <c r="A476" s="13">
        <v>56004</v>
      </c>
      <c r="B476" s="4">
        <f>33.8377 * CHOOSE(CONTROL!$C$9, $C$13, 100%, $E$13) + CHOOSE(CONTROL!$C$28, 0.0003, 0)</f>
        <v>33.838000000000001</v>
      </c>
      <c r="C476" s="4">
        <f>33.4744 * CHOOSE(CONTROL!$C$9, $C$13, 100%, $E$13) + CHOOSE(CONTROL!$C$28, 0.0003, 0)</f>
        <v>33.474700000000006</v>
      </c>
      <c r="D476" s="4">
        <f>47.2886 * CHOOSE(CONTROL!$C$9, $C$13, 100%, $E$13) + CHOOSE(CONTROL!$C$28, 0, 0)</f>
        <v>47.288600000000002</v>
      </c>
      <c r="E476" s="4">
        <f>221.522846641614 * CHOOSE(CONTROL!$C$9, $C$13, 100%, $E$13) + CHOOSE(CONTROL!$C$28, 0, 0)</f>
        <v>221.522846641614</v>
      </c>
    </row>
    <row r="477" spans="1:5" ht="15">
      <c r="A477" s="13">
        <v>56035</v>
      </c>
      <c r="B477" s="4">
        <f>34.6294 * CHOOSE(CONTROL!$C$9, $C$13, 100%, $E$13) + CHOOSE(CONTROL!$C$28, 0.0192, 0)</f>
        <v>34.648599999999995</v>
      </c>
      <c r="C477" s="4">
        <f>34.2661 * CHOOSE(CONTROL!$C$9, $C$13, 100%, $E$13) + CHOOSE(CONTROL!$C$28, 0.0192, 0)</f>
        <v>34.285299999999999</v>
      </c>
      <c r="D477" s="4">
        <f>46.7794 * CHOOSE(CONTROL!$C$9, $C$13, 100%, $E$13) + CHOOSE(CONTROL!$C$28, 0, 0)</f>
        <v>46.779400000000003</v>
      </c>
      <c r="E477" s="4">
        <f>226.827284317632 * CHOOSE(CONTROL!$C$9, $C$13, 100%, $E$13) + CHOOSE(CONTROL!$C$28, 0, 0)</f>
        <v>226.82728431763201</v>
      </c>
    </row>
    <row r="478" spans="1:5" ht="15">
      <c r="A478" s="13">
        <v>56065</v>
      </c>
      <c r="B478" s="4">
        <f>34.7365 * CHOOSE(CONTROL!$C$9, $C$13, 100%, $E$13) + CHOOSE(CONTROL!$C$28, 0.0192, 0)</f>
        <v>34.755699999999997</v>
      </c>
      <c r="C478" s="4">
        <f>34.3733 * CHOOSE(CONTROL!$C$9, $C$13, 100%, $E$13) + CHOOSE(CONTROL!$C$28, 0.0192, 0)</f>
        <v>34.392499999999998</v>
      </c>
      <c r="D478" s="4">
        <f>47.1941 * CHOOSE(CONTROL!$C$9, $C$13, 100%, $E$13) + CHOOSE(CONTROL!$C$28, 0, 0)</f>
        <v>47.194099999999999</v>
      </c>
      <c r="E478" s="4">
        <f>227.544996749066 * CHOOSE(CONTROL!$C$9, $C$13, 100%, $E$13) + CHOOSE(CONTROL!$C$28, 0, 0)</f>
        <v>227.544996749066</v>
      </c>
    </row>
    <row r="479" spans="1:5" ht="15">
      <c r="A479" s="13">
        <v>56096</v>
      </c>
      <c r="B479" s="4">
        <f>34.7257 * CHOOSE(CONTROL!$C$9, $C$13, 100%, $E$13) + CHOOSE(CONTROL!$C$28, 0.0192, 0)</f>
        <v>34.744900000000001</v>
      </c>
      <c r="C479" s="4">
        <f>34.3625 * CHOOSE(CONTROL!$C$9, $C$13, 100%, $E$13) + CHOOSE(CONTROL!$C$28, 0.0192, 0)</f>
        <v>34.381699999999995</v>
      </c>
      <c r="D479" s="4">
        <f>47.9422 * CHOOSE(CONTROL!$C$9, $C$13, 100%, $E$13) + CHOOSE(CONTROL!$C$28, 0, 0)</f>
        <v>47.9422</v>
      </c>
      <c r="E479" s="4">
        <f>227.472622386232 * CHOOSE(CONTROL!$C$9, $C$13, 100%, $E$13) + CHOOSE(CONTROL!$C$28, 0, 0)</f>
        <v>227.47262238623199</v>
      </c>
    </row>
    <row r="480" spans="1:5" ht="15">
      <c r="A480" s="13">
        <v>56127</v>
      </c>
      <c r="B480" s="4">
        <f>35.5386 * CHOOSE(CONTROL!$C$9, $C$13, 100%, $E$13) + CHOOSE(CONTROL!$C$28, 0.0192, 0)</f>
        <v>35.5578</v>
      </c>
      <c r="C480" s="4">
        <f>35.1753 * CHOOSE(CONTROL!$C$9, $C$13, 100%, $E$13) + CHOOSE(CONTROL!$C$28, 0.0192, 0)</f>
        <v>35.194499999999998</v>
      </c>
      <c r="D480" s="4">
        <f>47.4481 * CHOOSE(CONTROL!$C$9, $C$13, 100%, $E$13) + CHOOSE(CONTROL!$C$28, 0, 0)</f>
        <v>47.448099999999997</v>
      </c>
      <c r="E480" s="4">
        <f>232.918793189466 * CHOOSE(CONTROL!$C$9, $C$13, 100%, $E$13) + CHOOSE(CONTROL!$C$28, 0, 0)</f>
        <v>232.91879318946599</v>
      </c>
    </row>
    <row r="481" spans="1:5" ht="15">
      <c r="A481" s="13">
        <v>56157</v>
      </c>
      <c r="B481" s="4">
        <f>34.1532 * CHOOSE(CONTROL!$C$9, $C$13, 100%, $E$13) + CHOOSE(CONTROL!$C$28, 0.0192, 0)</f>
        <v>34.172399999999996</v>
      </c>
      <c r="C481" s="4">
        <f>33.7899 * CHOOSE(CONTROL!$C$9, $C$13, 100%, $E$13) + CHOOSE(CONTROL!$C$28, 0.0192, 0)</f>
        <v>33.809100000000001</v>
      </c>
      <c r="D481" s="4">
        <f>47.2147 * CHOOSE(CONTROL!$C$9, $C$13, 100%, $E$13) + CHOOSE(CONTROL!$C$28, 0, 0)</f>
        <v>47.214700000000001</v>
      </c>
      <c r="E481" s="4">
        <f>223.636781156048 * CHOOSE(CONTROL!$C$9, $C$13, 100%, $E$13) + CHOOSE(CONTROL!$C$28, 0, 0)</f>
        <v>223.63678115604799</v>
      </c>
    </row>
    <row r="482" spans="1:5" ht="15">
      <c r="A482" s="13">
        <v>56188</v>
      </c>
      <c r="B482" s="4">
        <f>33.0441 * CHOOSE(CONTROL!$C$9, $C$13, 100%, $E$13) + CHOOSE(CONTROL!$C$28, 0.0003, 0)</f>
        <v>33.044400000000003</v>
      </c>
      <c r="C482" s="4">
        <f>32.6809 * CHOOSE(CONTROL!$C$9, $C$13, 100%, $E$13) + CHOOSE(CONTROL!$C$28, 0.0003, 0)</f>
        <v>32.681200000000004</v>
      </c>
      <c r="D482" s="4">
        <f>46.5897 * CHOOSE(CONTROL!$C$9, $C$13, 100%, $E$13) + CHOOSE(CONTROL!$C$28, 0, 0)</f>
        <v>46.589700000000001</v>
      </c>
      <c r="E482" s="4">
        <f>216.206346571791 * CHOOSE(CONTROL!$C$9, $C$13, 100%, $E$13) + CHOOSE(CONTROL!$C$28, 0, 0)</f>
        <v>216.20634657179099</v>
      </c>
    </row>
    <row r="483" spans="1:5" ht="15">
      <c r="A483" s="13">
        <v>56218</v>
      </c>
      <c r="B483" s="4">
        <f>32.3298 * CHOOSE(CONTROL!$C$9, $C$13, 100%, $E$13) + CHOOSE(CONTROL!$C$28, 0.0003, 0)</f>
        <v>32.330100000000002</v>
      </c>
      <c r="C483" s="4">
        <f>31.9666 * CHOOSE(CONTROL!$C$9, $C$13, 100%, $E$13) + CHOOSE(CONTROL!$C$28, 0.0003, 0)</f>
        <v>31.966899999999999</v>
      </c>
      <c r="D483" s="4">
        <f>46.3748 * CHOOSE(CONTROL!$C$9, $C$13, 100%, $E$13) + CHOOSE(CONTROL!$C$28, 0, 0)</f>
        <v>46.3748</v>
      </c>
      <c r="E483" s="4">
        <f>211.420591829414 * CHOOSE(CONTROL!$C$9, $C$13, 100%, $E$13) + CHOOSE(CONTROL!$C$28, 0, 0)</f>
        <v>211.42059182941401</v>
      </c>
    </row>
    <row r="484" spans="1:5" ht="15">
      <c r="A484" s="13">
        <v>56249</v>
      </c>
      <c r="B484" s="4">
        <f>31.8356 * CHOOSE(CONTROL!$C$9, $C$13, 100%, $E$13) + CHOOSE(CONTROL!$C$28, 0.0003, 0)</f>
        <v>31.835899999999999</v>
      </c>
      <c r="C484" s="4">
        <f>31.4723 * CHOOSE(CONTROL!$C$9, $C$13, 100%, $E$13) + CHOOSE(CONTROL!$C$28, 0.0003, 0)</f>
        <v>31.4726</v>
      </c>
      <c r="D484" s="4">
        <f>44.7927 * CHOOSE(CONTROL!$C$9, $C$13, 100%, $E$13) + CHOOSE(CONTROL!$C$28, 0, 0)</f>
        <v>44.792700000000004</v>
      </c>
      <c r="E484" s="4">
        <f>208.109464729773 * CHOOSE(CONTROL!$C$9, $C$13, 100%, $E$13) + CHOOSE(CONTROL!$C$28, 0, 0)</f>
        <v>208.10946472977301</v>
      </c>
    </row>
    <row r="485" spans="1:5" ht="15">
      <c r="A485" s="13">
        <v>56280</v>
      </c>
      <c r="B485" s="4">
        <f>30.4835 * CHOOSE(CONTROL!$C$9, $C$13, 100%, $E$13) + CHOOSE(CONTROL!$C$28, 0.0003, 0)</f>
        <v>30.483799999999999</v>
      </c>
      <c r="C485" s="4">
        <f>30.1202 * CHOOSE(CONTROL!$C$9, $C$13, 100%, $E$13) + CHOOSE(CONTROL!$C$28, 0.0003, 0)</f>
        <v>30.1205</v>
      </c>
      <c r="D485" s="4">
        <f>43.0499 * CHOOSE(CONTROL!$C$9, $C$13, 100%, $E$13) + CHOOSE(CONTROL!$C$28, 0, 0)</f>
        <v>43.049900000000001</v>
      </c>
      <c r="E485" s="4">
        <f>199.440859889673 * CHOOSE(CONTROL!$C$9, $C$13, 100%, $E$13) + CHOOSE(CONTROL!$C$28, 0, 0)</f>
        <v>199.44085988967299</v>
      </c>
    </row>
    <row r="486" spans="1:5" ht="15">
      <c r="A486" s="13">
        <v>56308</v>
      </c>
      <c r="B486" s="4">
        <f>31.1889 * CHOOSE(CONTROL!$C$9, $C$13, 100%, $E$13) + CHOOSE(CONTROL!$C$28, 0.0003, 0)</f>
        <v>31.1892</v>
      </c>
      <c r="C486" s="4">
        <f>30.8256 * CHOOSE(CONTROL!$C$9, $C$13, 100%, $E$13) + CHOOSE(CONTROL!$C$28, 0.0003, 0)</f>
        <v>30.825900000000001</v>
      </c>
      <c r="D486" s="4">
        <f>44.504 * CHOOSE(CONTROL!$C$9, $C$13, 100%, $E$13) + CHOOSE(CONTROL!$C$28, 0, 0)</f>
        <v>44.503999999999998</v>
      </c>
      <c r="E486" s="4">
        <f>204.176371881822 * CHOOSE(CONTROL!$C$9, $C$13, 100%, $E$13) + CHOOSE(CONTROL!$C$28, 0, 0)</f>
        <v>204.17637188182201</v>
      </c>
    </row>
    <row r="487" spans="1:5" ht="15">
      <c r="A487" s="13">
        <v>56339</v>
      </c>
      <c r="B487" s="4">
        <f>33.0414 * CHOOSE(CONTROL!$C$9, $C$13, 100%, $E$13) + CHOOSE(CONTROL!$C$28, 0.0003, 0)</f>
        <v>33.041700000000006</v>
      </c>
      <c r="C487" s="4">
        <f>32.6781 * CHOOSE(CONTROL!$C$9, $C$13, 100%, $E$13) + CHOOSE(CONTROL!$C$28, 0.0003, 0)</f>
        <v>32.678400000000003</v>
      </c>
      <c r="D487" s="4">
        <f>46.7802 * CHOOSE(CONTROL!$C$9, $C$13, 100%, $E$13) + CHOOSE(CONTROL!$C$28, 0, 0)</f>
        <v>46.780200000000001</v>
      </c>
      <c r="E487" s="4">
        <f>216.612078033594 * CHOOSE(CONTROL!$C$9, $C$13, 100%, $E$13) + CHOOSE(CONTROL!$C$28, 0, 0)</f>
        <v>216.612078033594</v>
      </c>
    </row>
    <row r="488" spans="1:5" ht="15">
      <c r="A488" s="13">
        <v>56369</v>
      </c>
      <c r="B488" s="4">
        <f>34.3576 * CHOOSE(CONTROL!$C$9, $C$13, 100%, $E$13) + CHOOSE(CONTROL!$C$28, 0.0003, 0)</f>
        <v>34.357900000000001</v>
      </c>
      <c r="C488" s="4">
        <f>33.9943 * CHOOSE(CONTROL!$C$9, $C$13, 100%, $E$13) + CHOOSE(CONTROL!$C$28, 0.0003, 0)</f>
        <v>33.994600000000005</v>
      </c>
      <c r="D488" s="4">
        <f>48.0914 * CHOOSE(CONTROL!$C$9, $C$13, 100%, $E$13) + CHOOSE(CONTROL!$C$28, 0, 0)</f>
        <v>48.0914</v>
      </c>
      <c r="E488" s="4">
        <f>225.447812982004 * CHOOSE(CONTROL!$C$9, $C$13, 100%, $E$13) + CHOOSE(CONTROL!$C$28, 0, 0)</f>
        <v>225.447812982004</v>
      </c>
    </row>
    <row r="489" spans="1:5" ht="15">
      <c r="A489" s="13">
        <v>56400</v>
      </c>
      <c r="B489" s="4">
        <f>35.1618 * CHOOSE(CONTROL!$C$9, $C$13, 100%, $E$13) + CHOOSE(CONTROL!$C$28, 0.0192, 0)</f>
        <v>35.180999999999997</v>
      </c>
      <c r="C489" s="4">
        <f>34.7985 * CHOOSE(CONTROL!$C$9, $C$13, 100%, $E$13) + CHOOSE(CONTROL!$C$28, 0.0192, 0)</f>
        <v>34.817699999999995</v>
      </c>
      <c r="D489" s="4">
        <f>47.5732 * CHOOSE(CONTROL!$C$9, $C$13, 100%, $E$13) + CHOOSE(CONTROL!$C$28, 0, 0)</f>
        <v>47.5732</v>
      </c>
      <c r="E489" s="4">
        <f>230.84623527247 * CHOOSE(CONTROL!$C$9, $C$13, 100%, $E$13) + CHOOSE(CONTROL!$C$28, 0, 0)</f>
        <v>230.84623527247001</v>
      </c>
    </row>
    <row r="490" spans="1:5" ht="15">
      <c r="A490" s="13">
        <v>56430</v>
      </c>
      <c r="B490" s="4">
        <f>35.2706 * CHOOSE(CONTROL!$C$9, $C$13, 100%, $E$13) + CHOOSE(CONTROL!$C$28, 0.0192, 0)</f>
        <v>35.2898</v>
      </c>
      <c r="C490" s="4">
        <f>34.9073 * CHOOSE(CONTROL!$C$9, $C$13, 100%, $E$13) + CHOOSE(CONTROL!$C$28, 0.0192, 0)</f>
        <v>34.926499999999997</v>
      </c>
      <c r="D490" s="4">
        <f>47.9952 * CHOOSE(CONTROL!$C$9, $C$13, 100%, $E$13) + CHOOSE(CONTROL!$C$28, 0, 0)</f>
        <v>47.995199999999997</v>
      </c>
      <c r="E490" s="4">
        <f>231.576664212283 * CHOOSE(CONTROL!$C$9, $C$13, 100%, $E$13) + CHOOSE(CONTROL!$C$28, 0, 0)</f>
        <v>231.57666421228299</v>
      </c>
    </row>
    <row r="491" spans="1:5" ht="15">
      <c r="A491" s="13">
        <v>56461</v>
      </c>
      <c r="B491" s="4">
        <f>35.2596 * CHOOSE(CONTROL!$C$9, $C$13, 100%, $E$13) + CHOOSE(CONTROL!$C$28, 0.0192, 0)</f>
        <v>35.278799999999997</v>
      </c>
      <c r="C491" s="4">
        <f>34.8964 * CHOOSE(CONTROL!$C$9, $C$13, 100%, $E$13) + CHOOSE(CONTROL!$C$28, 0.0192, 0)</f>
        <v>34.915599999999998</v>
      </c>
      <c r="D491" s="4">
        <f>48.7566 * CHOOSE(CONTROL!$C$9, $C$13, 100%, $E$13) + CHOOSE(CONTROL!$C$28, 0, 0)</f>
        <v>48.756599999999999</v>
      </c>
      <c r="E491" s="4">
        <f>231.503007512469 * CHOOSE(CONTROL!$C$9, $C$13, 100%, $E$13) + CHOOSE(CONTROL!$C$28, 0, 0)</f>
        <v>231.503007512469</v>
      </c>
    </row>
    <row r="492" spans="1:5" ht="15">
      <c r="A492" s="13">
        <v>56492</v>
      </c>
      <c r="B492" s="4">
        <f>36.0853 * CHOOSE(CONTROL!$C$9, $C$13, 100%, $E$13) + CHOOSE(CONTROL!$C$28, 0.0192, 0)</f>
        <v>36.104499999999994</v>
      </c>
      <c r="C492" s="4">
        <f>35.722 * CHOOSE(CONTROL!$C$9, $C$13, 100%, $E$13) + CHOOSE(CONTROL!$C$28, 0.0192, 0)</f>
        <v>35.741199999999999</v>
      </c>
      <c r="D492" s="4">
        <f>48.2538 * CHOOSE(CONTROL!$C$9, $C$13, 100%, $E$13) + CHOOSE(CONTROL!$C$28, 0, 0)</f>
        <v>48.253799999999998</v>
      </c>
      <c r="E492" s="4">
        <f>237.045674173403 * CHOOSE(CONTROL!$C$9, $C$13, 100%, $E$13) + CHOOSE(CONTROL!$C$28, 0, 0)</f>
        <v>237.045674173403</v>
      </c>
    </row>
    <row r="493" spans="1:5" ht="15">
      <c r="A493" s="13">
        <v>56522</v>
      </c>
      <c r="B493" s="4">
        <f>34.6781 * CHOOSE(CONTROL!$C$9, $C$13, 100%, $E$13) + CHOOSE(CONTROL!$C$28, 0.0192, 0)</f>
        <v>34.697299999999998</v>
      </c>
      <c r="C493" s="4">
        <f>34.3148 * CHOOSE(CONTROL!$C$9, $C$13, 100%, $E$13) + CHOOSE(CONTROL!$C$28, 0.0192, 0)</f>
        <v>34.333999999999996</v>
      </c>
      <c r="D493" s="4">
        <f>48.0162 * CHOOSE(CONTROL!$C$9, $C$13, 100%, $E$13) + CHOOSE(CONTROL!$C$28, 0, 0)</f>
        <v>48.016199999999998</v>
      </c>
      <c r="E493" s="4">
        <f>227.599202422377 * CHOOSE(CONTROL!$C$9, $C$13, 100%, $E$13) + CHOOSE(CONTROL!$C$28, 0, 0)</f>
        <v>227.599202422377</v>
      </c>
    </row>
    <row r="494" spans="1:5" ht="15">
      <c r="A494" s="13">
        <v>56553</v>
      </c>
      <c r="B494" s="4">
        <f>33.5516 * CHOOSE(CONTROL!$C$9, $C$13, 100%, $E$13) + CHOOSE(CONTROL!$C$28, 0.0003, 0)</f>
        <v>33.551900000000003</v>
      </c>
      <c r="C494" s="4">
        <f>33.1883 * CHOOSE(CONTROL!$C$9, $C$13, 100%, $E$13) + CHOOSE(CONTROL!$C$28, 0.0003, 0)</f>
        <v>33.188600000000001</v>
      </c>
      <c r="D494" s="4">
        <f>47.3801 * CHOOSE(CONTROL!$C$9, $C$13, 100%, $E$13) + CHOOSE(CONTROL!$C$28, 0, 0)</f>
        <v>47.380099999999999</v>
      </c>
      <c r="E494" s="4">
        <f>220.037114574902 * CHOOSE(CONTROL!$C$9, $C$13, 100%, $E$13) + CHOOSE(CONTROL!$C$28, 0, 0)</f>
        <v>220.03711457490201</v>
      </c>
    </row>
    <row r="495" spans="1:5" ht="15">
      <c r="A495" s="13">
        <v>56583</v>
      </c>
      <c r="B495" s="4">
        <f>32.8261 * CHOOSE(CONTROL!$C$9, $C$13, 100%, $E$13) + CHOOSE(CONTROL!$C$28, 0.0003, 0)</f>
        <v>32.8264</v>
      </c>
      <c r="C495" s="4">
        <f>32.4628 * CHOOSE(CONTROL!$C$9, $C$13, 100%, $E$13) + CHOOSE(CONTROL!$C$28, 0.0003, 0)</f>
        <v>32.463100000000004</v>
      </c>
      <c r="D495" s="4">
        <f>47.1614 * CHOOSE(CONTROL!$C$9, $C$13, 100%, $E$13) + CHOOSE(CONTROL!$C$28, 0, 0)</f>
        <v>47.1614</v>
      </c>
      <c r="E495" s="4">
        <f>215.166565299763 * CHOOSE(CONTROL!$C$9, $C$13, 100%, $E$13) + CHOOSE(CONTROL!$C$28, 0, 0)</f>
        <v>215.16656529976299</v>
      </c>
    </row>
    <row r="496" spans="1:5" ht="15">
      <c r="A496" s="13">
        <v>56614</v>
      </c>
      <c r="B496" s="4">
        <f>32.3241 * CHOOSE(CONTROL!$C$9, $C$13, 100%, $E$13) + CHOOSE(CONTROL!$C$28, 0.0003, 0)</f>
        <v>32.324400000000004</v>
      </c>
      <c r="C496" s="4">
        <f>31.9608 * CHOOSE(CONTROL!$C$9, $C$13, 100%, $E$13) + CHOOSE(CONTROL!$C$28, 0.0003, 0)</f>
        <v>31.961099999999998</v>
      </c>
      <c r="D496" s="4">
        <f>45.5514 * CHOOSE(CONTROL!$C$9, $C$13, 100%, $E$13) + CHOOSE(CONTROL!$C$28, 0, 0)</f>
        <v>45.551400000000001</v>
      </c>
      <c r="E496" s="4">
        <f>211.796771283315 * CHOOSE(CONTROL!$C$9, $C$13, 100%, $E$13) + CHOOSE(CONTROL!$C$28, 0, 0)</f>
        <v>211.796771283315</v>
      </c>
    </row>
    <row r="497" spans="1:5" ht="15">
      <c r="A497" s="13">
        <v>56645</v>
      </c>
      <c r="B497" s="4">
        <f>30.9506 * CHOOSE(CONTROL!$C$9, $C$13, 100%, $E$13) + CHOOSE(CONTROL!$C$28, 0.0003, 0)</f>
        <v>30.950900000000001</v>
      </c>
      <c r="C497" s="4">
        <f>30.5874 * CHOOSE(CONTROL!$C$9, $C$13, 100%, $E$13) + CHOOSE(CONTROL!$C$28, 0.0003, 0)</f>
        <v>30.587699999999998</v>
      </c>
      <c r="D497" s="4">
        <f>43.7779 * CHOOSE(CONTROL!$C$9, $C$13, 100%, $E$13) + CHOOSE(CONTROL!$C$28, 0, 0)</f>
        <v>43.777900000000002</v>
      </c>
      <c r="E497" s="4">
        <f>202.974575142221 * CHOOSE(CONTROL!$C$9, $C$13, 100%, $E$13) + CHOOSE(CONTROL!$C$28, 0, 0)</f>
        <v>202.974575142221</v>
      </c>
    </row>
    <row r="498" spans="1:5" ht="15">
      <c r="A498" s="13">
        <v>56673</v>
      </c>
      <c r="B498" s="4">
        <f>31.6672 * CHOOSE(CONTROL!$C$9, $C$13, 100%, $E$13) + CHOOSE(CONTROL!$C$28, 0.0003, 0)</f>
        <v>31.6675</v>
      </c>
      <c r="C498" s="4">
        <f>31.3039 * CHOOSE(CONTROL!$C$9, $C$13, 100%, $E$13) + CHOOSE(CONTROL!$C$28, 0.0003, 0)</f>
        <v>31.304199999999998</v>
      </c>
      <c r="D498" s="4">
        <f>45.2576 * CHOOSE(CONTROL!$C$9, $C$13, 100%, $E$13) + CHOOSE(CONTROL!$C$28, 0, 0)</f>
        <v>45.257599999999996</v>
      </c>
      <c r="E498" s="4">
        <f>207.793991460517 * CHOOSE(CONTROL!$C$9, $C$13, 100%, $E$13) + CHOOSE(CONTROL!$C$28, 0, 0)</f>
        <v>207.79399146051699</v>
      </c>
    </row>
    <row r="499" spans="1:5" ht="15">
      <c r="A499" s="13">
        <v>56704</v>
      </c>
      <c r="B499" s="4">
        <f>33.5488 * CHOOSE(CONTROL!$C$9, $C$13, 100%, $E$13) + CHOOSE(CONTROL!$C$28, 0.0003, 0)</f>
        <v>33.549100000000003</v>
      </c>
      <c r="C499" s="4">
        <f>33.1855 * CHOOSE(CONTROL!$C$9, $C$13, 100%, $E$13) + CHOOSE(CONTROL!$C$28, 0.0003, 0)</f>
        <v>33.1858</v>
      </c>
      <c r="D499" s="4">
        <f>47.574 * CHOOSE(CONTROL!$C$9, $C$13, 100%, $E$13) + CHOOSE(CONTROL!$C$28, 0, 0)</f>
        <v>47.573999999999998</v>
      </c>
      <c r="E499" s="4">
        <f>220.450034831699 * CHOOSE(CONTROL!$C$9, $C$13, 100%, $E$13) + CHOOSE(CONTROL!$C$28, 0, 0)</f>
        <v>220.45003483169901</v>
      </c>
    </row>
    <row r="500" spans="1:5" ht="15">
      <c r="A500" s="13">
        <v>56734</v>
      </c>
      <c r="B500" s="4">
        <f>34.8857 * CHOOSE(CONTROL!$C$9, $C$13, 100%, $E$13) + CHOOSE(CONTROL!$C$28, 0.0003, 0)</f>
        <v>34.886000000000003</v>
      </c>
      <c r="C500" s="4">
        <f>34.5224 * CHOOSE(CONTROL!$C$9, $C$13, 100%, $E$13) + CHOOSE(CONTROL!$C$28, 0.0003, 0)</f>
        <v>34.5227</v>
      </c>
      <c r="D500" s="4">
        <f>48.9083 * CHOOSE(CONTROL!$C$9, $C$13, 100%, $E$13) + CHOOSE(CONTROL!$C$28, 0, 0)</f>
        <v>48.908299999999997</v>
      </c>
      <c r="E500" s="4">
        <f>229.442322310878 * CHOOSE(CONTROL!$C$9, $C$13, 100%, $E$13) + CHOOSE(CONTROL!$C$28, 0, 0)</f>
        <v>229.44232231087801</v>
      </c>
    </row>
    <row r="501" spans="1:5" ht="15">
      <c r="A501" s="13">
        <v>56765</v>
      </c>
      <c r="B501" s="4">
        <f>35.7026 * CHOOSE(CONTROL!$C$9, $C$13, 100%, $E$13) + CHOOSE(CONTROL!$C$28, 0.0192, 0)</f>
        <v>35.721799999999995</v>
      </c>
      <c r="C501" s="4">
        <f>35.3393 * CHOOSE(CONTROL!$C$9, $C$13, 100%, $E$13) + CHOOSE(CONTROL!$C$28, 0.0192, 0)</f>
        <v>35.358499999999999</v>
      </c>
      <c r="D501" s="4">
        <f>48.3811 * CHOOSE(CONTROL!$C$9, $C$13, 100%, $E$13) + CHOOSE(CONTROL!$C$28, 0, 0)</f>
        <v>48.381100000000004</v>
      </c>
      <c r="E501" s="4">
        <f>234.936394445604 * CHOOSE(CONTROL!$C$9, $C$13, 100%, $E$13) + CHOOSE(CONTROL!$C$28, 0, 0)</f>
        <v>234.93639444560401</v>
      </c>
    </row>
    <row r="502" spans="1:5" ht="15">
      <c r="A502" s="13">
        <v>56795</v>
      </c>
      <c r="B502" s="4">
        <f>35.8131 * CHOOSE(CONTROL!$C$9, $C$13, 100%, $E$13) + CHOOSE(CONTROL!$C$28, 0.0192, 0)</f>
        <v>35.832299999999996</v>
      </c>
      <c r="C502" s="4">
        <f>35.4498 * CHOOSE(CONTROL!$C$9, $C$13, 100%, $E$13) + CHOOSE(CONTROL!$C$28, 0.0192, 0)</f>
        <v>35.469000000000001</v>
      </c>
      <c r="D502" s="4">
        <f>48.8105 * CHOOSE(CONTROL!$C$9, $C$13, 100%, $E$13) + CHOOSE(CONTROL!$C$28, 0, 0)</f>
        <v>48.810499999999998</v>
      </c>
      <c r="E502" s="4">
        <f>235.679765206301 * CHOOSE(CONTROL!$C$9, $C$13, 100%, $E$13) + CHOOSE(CONTROL!$C$28, 0, 0)</f>
        <v>235.679765206301</v>
      </c>
    </row>
    <row r="503" spans="1:5" ht="15">
      <c r="A503" s="13">
        <v>56826</v>
      </c>
      <c r="B503" s="4">
        <f>35.8019 * CHOOSE(CONTROL!$C$9, $C$13, 100%, $E$13) + CHOOSE(CONTROL!$C$28, 0.0192, 0)</f>
        <v>35.821100000000001</v>
      </c>
      <c r="C503" s="4">
        <f>35.4386 * CHOOSE(CONTROL!$C$9, $C$13, 100%, $E$13) + CHOOSE(CONTROL!$C$28, 0.0192, 0)</f>
        <v>35.457799999999999</v>
      </c>
      <c r="D503" s="4">
        <f>49.5853 * CHOOSE(CONTROL!$C$9, $C$13, 100%, $E$13) + CHOOSE(CONTROL!$C$28, 0, 0)</f>
        <v>49.585299999999997</v>
      </c>
      <c r="E503" s="4">
        <f>235.604803448919 * CHOOSE(CONTROL!$C$9, $C$13, 100%, $E$13) + CHOOSE(CONTROL!$C$28, 0, 0)</f>
        <v>235.604803448919</v>
      </c>
    </row>
    <row r="504" spans="1:5" ht="15">
      <c r="A504" s="13">
        <v>56857</v>
      </c>
      <c r="B504" s="4">
        <f>36.6406 * CHOOSE(CONTROL!$C$9, $C$13, 100%, $E$13) + CHOOSE(CONTROL!$C$28, 0.0192, 0)</f>
        <v>36.659799999999997</v>
      </c>
      <c r="C504" s="4">
        <f>36.2773 * CHOOSE(CONTROL!$C$9, $C$13, 100%, $E$13) + CHOOSE(CONTROL!$C$28, 0.0192, 0)</f>
        <v>36.296499999999995</v>
      </c>
      <c r="D504" s="4">
        <f>49.0736 * CHOOSE(CONTROL!$C$9, $C$13, 100%, $E$13) + CHOOSE(CONTROL!$C$28, 0, 0)</f>
        <v>49.073599999999999</v>
      </c>
      <c r="E504" s="4">
        <f>241.24567569185 * CHOOSE(CONTROL!$C$9, $C$13, 100%, $E$13) + CHOOSE(CONTROL!$C$28, 0, 0)</f>
        <v>241.24567569185001</v>
      </c>
    </row>
    <row r="505" spans="1:5" ht="15">
      <c r="A505" s="13">
        <v>56887</v>
      </c>
      <c r="B505" s="4">
        <f>35.2112 * CHOOSE(CONTROL!$C$9, $C$13, 100%, $E$13) + CHOOSE(CONTROL!$C$28, 0.0192, 0)</f>
        <v>35.230399999999996</v>
      </c>
      <c r="C505" s="4">
        <f>34.848 * CHOOSE(CONTROL!$C$9, $C$13, 100%, $E$13) + CHOOSE(CONTROL!$C$28, 0.0192, 0)</f>
        <v>34.867199999999997</v>
      </c>
      <c r="D505" s="4">
        <f>48.8318 * CHOOSE(CONTROL!$C$9, $C$13, 100%, $E$13) + CHOOSE(CONTROL!$C$28, 0, 0)</f>
        <v>48.831800000000001</v>
      </c>
      <c r="E505" s="4">
        <f>231.631830307719 * CHOOSE(CONTROL!$C$9, $C$13, 100%, $E$13) + CHOOSE(CONTROL!$C$28, 0, 0)</f>
        <v>231.63183030771901</v>
      </c>
    </row>
    <row r="506" spans="1:5" ht="15">
      <c r="A506" s="13">
        <v>56918</v>
      </c>
      <c r="B506" s="4">
        <f>34.067 * CHOOSE(CONTROL!$C$9, $C$13, 100%, $E$13) + CHOOSE(CONTROL!$C$28, 0.0003, 0)</f>
        <v>34.067300000000003</v>
      </c>
      <c r="C506" s="4">
        <f>33.7038 * CHOOSE(CONTROL!$C$9, $C$13, 100%, $E$13) + CHOOSE(CONTROL!$C$28, 0.0003, 0)</f>
        <v>33.704100000000004</v>
      </c>
      <c r="D506" s="4">
        <f>48.1845 * CHOOSE(CONTROL!$C$9, $C$13, 100%, $E$13) + CHOOSE(CONTROL!$C$28, 0, 0)</f>
        <v>48.1845</v>
      </c>
      <c r="E506" s="4">
        <f>223.935756549922 * CHOOSE(CONTROL!$C$9, $C$13, 100%, $E$13) + CHOOSE(CONTROL!$C$28, 0, 0)</f>
        <v>223.93575654992199</v>
      </c>
    </row>
    <row r="507" spans="1:5" ht="15">
      <c r="A507" s="13">
        <v>56948</v>
      </c>
      <c r="B507" s="4">
        <f>33.3301 * CHOOSE(CONTROL!$C$9, $C$13, 100%, $E$13) + CHOOSE(CONTROL!$C$28, 0.0003, 0)</f>
        <v>33.330400000000004</v>
      </c>
      <c r="C507" s="4">
        <f>32.9668 * CHOOSE(CONTROL!$C$9, $C$13, 100%, $E$13) + CHOOSE(CONTROL!$C$28, 0.0003, 0)</f>
        <v>32.967100000000002</v>
      </c>
      <c r="D507" s="4">
        <f>47.962 * CHOOSE(CONTROL!$C$9, $C$13, 100%, $E$13) + CHOOSE(CONTROL!$C$28, 0, 0)</f>
        <v>47.962000000000003</v>
      </c>
      <c r="E507" s="4">
        <f>218.978910343094 * CHOOSE(CONTROL!$C$9, $C$13, 100%, $E$13) + CHOOSE(CONTROL!$C$28, 0, 0)</f>
        <v>218.97891034309399</v>
      </c>
    </row>
    <row r="508" spans="1:5" ht="15">
      <c r="A508" s="13">
        <v>56979</v>
      </c>
      <c r="B508" s="4">
        <f>32.8202 * CHOOSE(CONTROL!$C$9, $C$13, 100%, $E$13) + CHOOSE(CONTROL!$C$28, 0.0003, 0)</f>
        <v>32.820500000000003</v>
      </c>
      <c r="C508" s="4">
        <f>32.4569 * CHOOSE(CONTROL!$C$9, $C$13, 100%, $E$13) + CHOOSE(CONTROL!$C$28, 0.0003, 0)</f>
        <v>32.4572</v>
      </c>
      <c r="D508" s="4">
        <f>46.3235 * CHOOSE(CONTROL!$C$9, $C$13, 100%, $E$13) + CHOOSE(CONTROL!$C$28, 0, 0)</f>
        <v>46.323500000000003</v>
      </c>
      <c r="E508" s="4">
        <f>215.549409942907 * CHOOSE(CONTROL!$C$9, $C$13, 100%, $E$13) + CHOOSE(CONTROL!$C$28, 0, 0)</f>
        <v>215.549409942907</v>
      </c>
    </row>
    <row r="509" spans="1:5" ht="15">
      <c r="A509" s="13">
        <v>57010</v>
      </c>
      <c r="B509" s="4">
        <f>31.4252 * CHOOSE(CONTROL!$C$9, $C$13, 100%, $E$13) + CHOOSE(CONTROL!$C$28, 0.0003, 0)</f>
        <v>31.4255</v>
      </c>
      <c r="C509" s="4">
        <f>31.0619 * CHOOSE(CONTROL!$C$9, $C$13, 100%, $E$13) + CHOOSE(CONTROL!$C$28, 0.0003, 0)</f>
        <v>31.062200000000001</v>
      </c>
      <c r="D509" s="4">
        <f>44.5186 * CHOOSE(CONTROL!$C$9, $C$13, 100%, $E$13) + CHOOSE(CONTROL!$C$28, 0, 0)</f>
        <v>44.518599999999999</v>
      </c>
      <c r="E509" s="4">
        <f>206.570901153131 * CHOOSE(CONTROL!$C$9, $C$13, 100%, $E$13) + CHOOSE(CONTROL!$C$28, 0, 0)</f>
        <v>206.57090115313099</v>
      </c>
    </row>
    <row r="510" spans="1:5" ht="15">
      <c r="A510" s="13">
        <v>57038</v>
      </c>
      <c r="B510" s="4">
        <f>32.153 * CHOOSE(CONTROL!$C$9, $C$13, 100%, $E$13) + CHOOSE(CONTROL!$C$28, 0.0003, 0)</f>
        <v>32.153300000000002</v>
      </c>
      <c r="C510" s="4">
        <f>31.7897 * CHOOSE(CONTROL!$C$9, $C$13, 100%, $E$13) + CHOOSE(CONTROL!$C$28, 0.0003, 0)</f>
        <v>31.79</v>
      </c>
      <c r="D510" s="4">
        <f>46.0245 * CHOOSE(CONTROL!$C$9, $C$13, 100%, $E$13) + CHOOSE(CONTROL!$C$28, 0, 0)</f>
        <v>46.024500000000003</v>
      </c>
      <c r="E510" s="4">
        <f>211.475708423721 * CHOOSE(CONTROL!$C$9, $C$13, 100%, $E$13) + CHOOSE(CONTROL!$C$28, 0, 0)</f>
        <v>211.47570842372099</v>
      </c>
    </row>
    <row r="511" spans="1:5" ht="15">
      <c r="A511" s="13">
        <v>57070</v>
      </c>
      <c r="B511" s="4">
        <f>34.0642 * CHOOSE(CONTROL!$C$9, $C$13, 100%, $E$13) + CHOOSE(CONTROL!$C$28, 0.0003, 0)</f>
        <v>34.064500000000002</v>
      </c>
      <c r="C511" s="4">
        <f>33.7009 * CHOOSE(CONTROL!$C$9, $C$13, 100%, $E$13) + CHOOSE(CONTROL!$C$28, 0.0003, 0)</f>
        <v>33.7012</v>
      </c>
      <c r="D511" s="4">
        <f>48.3818 * CHOOSE(CONTROL!$C$9, $C$13, 100%, $E$13) + CHOOSE(CONTROL!$C$28, 0, 0)</f>
        <v>48.381799999999998</v>
      </c>
      <c r="E511" s="4">
        <f>224.355992973579 * CHOOSE(CONTROL!$C$9, $C$13, 100%, $E$13) + CHOOSE(CONTROL!$C$28, 0, 0)</f>
        <v>224.35599297357899</v>
      </c>
    </row>
    <row r="512" spans="1:5" ht="15">
      <c r="A512" s="13">
        <v>57100</v>
      </c>
      <c r="B512" s="4">
        <f>35.4221 * CHOOSE(CONTROL!$C$9, $C$13, 100%, $E$13) + CHOOSE(CONTROL!$C$28, 0.0003, 0)</f>
        <v>35.422400000000003</v>
      </c>
      <c r="C512" s="4">
        <f>35.0589 * CHOOSE(CONTROL!$C$9, $C$13, 100%, $E$13) + CHOOSE(CONTROL!$C$28, 0.0003, 0)</f>
        <v>35.059200000000004</v>
      </c>
      <c r="D512" s="4">
        <f>49.7397 * CHOOSE(CONTROL!$C$9, $C$13, 100%, $E$13) + CHOOSE(CONTROL!$C$28, 0, 0)</f>
        <v>49.739699999999999</v>
      </c>
      <c r="E512" s="4">
        <f>233.507606798613 * CHOOSE(CONTROL!$C$9, $C$13, 100%, $E$13) + CHOOSE(CONTROL!$C$28, 0, 0)</f>
        <v>233.50760679861301</v>
      </c>
    </row>
    <row r="513" spans="1:5" ht="15">
      <c r="A513" s="13">
        <v>57131</v>
      </c>
      <c r="B513" s="4">
        <f>36.2518 * CHOOSE(CONTROL!$C$9, $C$13, 100%, $E$13) + CHOOSE(CONTROL!$C$28, 0.0192, 0)</f>
        <v>36.271000000000001</v>
      </c>
      <c r="C513" s="4">
        <f>35.8885 * CHOOSE(CONTROL!$C$9, $C$13, 100%, $E$13) + CHOOSE(CONTROL!$C$28, 0.0192, 0)</f>
        <v>35.907699999999998</v>
      </c>
      <c r="D513" s="4">
        <f>49.2032 * CHOOSE(CONTROL!$C$9, $C$13, 100%, $E$13) + CHOOSE(CONTROL!$C$28, 0, 0)</f>
        <v>49.203200000000002</v>
      </c>
      <c r="E513" s="4">
        <f>239.099023512137 * CHOOSE(CONTROL!$C$9, $C$13, 100%, $E$13) + CHOOSE(CONTROL!$C$28, 0, 0)</f>
        <v>239.09902351213699</v>
      </c>
    </row>
    <row r="514" spans="1:5" ht="15">
      <c r="A514" s="13">
        <v>57161</v>
      </c>
      <c r="B514" s="4">
        <f>36.3641 * CHOOSE(CONTROL!$C$9, $C$13, 100%, $E$13) + CHOOSE(CONTROL!$C$28, 0.0192, 0)</f>
        <v>36.383299999999998</v>
      </c>
      <c r="C514" s="4">
        <f>36.0008 * CHOOSE(CONTROL!$C$9, $C$13, 100%, $E$13) + CHOOSE(CONTROL!$C$28, 0.0192, 0)</f>
        <v>36.019999999999996</v>
      </c>
      <c r="D514" s="4">
        <f>49.6402 * CHOOSE(CONTROL!$C$9, $C$13, 100%, $E$13) + CHOOSE(CONTROL!$C$28, 0, 0)</f>
        <v>49.6402</v>
      </c>
      <c r="E514" s="4">
        <f>239.855565398333 * CHOOSE(CONTROL!$C$9, $C$13, 100%, $E$13) + CHOOSE(CONTROL!$C$28, 0, 0)</f>
        <v>239.855565398333</v>
      </c>
    </row>
    <row r="515" spans="1:5" ht="15">
      <c r="A515" s="13">
        <v>57192</v>
      </c>
      <c r="B515" s="4">
        <f>36.3528 * CHOOSE(CONTROL!$C$9, $C$13, 100%, $E$13) + CHOOSE(CONTROL!$C$28, 0.0192, 0)</f>
        <v>36.372</v>
      </c>
      <c r="C515" s="4">
        <f>35.9895 * CHOOSE(CONTROL!$C$9, $C$13, 100%, $E$13) + CHOOSE(CONTROL!$C$28, 0.0192, 0)</f>
        <v>36.008699999999997</v>
      </c>
      <c r="D515" s="4">
        <f>50.4287 * CHOOSE(CONTROL!$C$9, $C$13, 100%, $E$13) + CHOOSE(CONTROL!$C$28, 0, 0)</f>
        <v>50.428699999999999</v>
      </c>
      <c r="E515" s="4">
        <f>239.779275460229 * CHOOSE(CONTROL!$C$9, $C$13, 100%, $E$13) + CHOOSE(CONTROL!$C$28, 0, 0)</f>
        <v>239.779275460229</v>
      </c>
    </row>
    <row r="516" spans="1:5" ht="15">
      <c r="A516" s="13">
        <v>57223</v>
      </c>
      <c r="B516" s="4">
        <f>37.2046 * CHOOSE(CONTROL!$C$9, $C$13, 100%, $E$13) + CHOOSE(CONTROL!$C$28, 0.0192, 0)</f>
        <v>37.223799999999997</v>
      </c>
      <c r="C516" s="4">
        <f>36.8413 * CHOOSE(CONTROL!$C$9, $C$13, 100%, $E$13) + CHOOSE(CONTROL!$C$28, 0.0192, 0)</f>
        <v>36.860499999999995</v>
      </c>
      <c r="D516" s="4">
        <f>49.9079 * CHOOSE(CONTROL!$C$9, $C$13, 100%, $E$13) + CHOOSE(CONTROL!$C$28, 0, 0)</f>
        <v>49.907899999999998</v>
      </c>
      <c r="E516" s="4">
        <f>245.52009330254 * CHOOSE(CONTROL!$C$9, $C$13, 100%, $E$13) + CHOOSE(CONTROL!$C$28, 0, 0)</f>
        <v>245.52009330254</v>
      </c>
    </row>
    <row r="517" spans="1:5" ht="15">
      <c r="A517" s="13">
        <v>57253</v>
      </c>
      <c r="B517" s="4">
        <f>35.7528 * CHOOSE(CONTROL!$C$9, $C$13, 100%, $E$13) + CHOOSE(CONTROL!$C$28, 0.0192, 0)</f>
        <v>35.771999999999998</v>
      </c>
      <c r="C517" s="4">
        <f>35.3895 * CHOOSE(CONTROL!$C$9, $C$13, 100%, $E$13) + CHOOSE(CONTROL!$C$28, 0.0192, 0)</f>
        <v>35.408699999999996</v>
      </c>
      <c r="D517" s="4">
        <f>49.6619 * CHOOSE(CONTROL!$C$9, $C$13, 100%, $E$13) + CHOOSE(CONTROL!$C$28, 0, 0)</f>
        <v>49.661900000000003</v>
      </c>
      <c r="E517" s="4">
        <f>235.735908740728 * CHOOSE(CONTROL!$C$9, $C$13, 100%, $E$13) + CHOOSE(CONTROL!$C$28, 0, 0)</f>
        <v>235.73590874072801</v>
      </c>
    </row>
    <row r="518" spans="1:5" ht="15">
      <c r="A518" s="13">
        <v>57284</v>
      </c>
      <c r="B518" s="4">
        <f>34.5906 * CHOOSE(CONTROL!$C$9, $C$13, 100%, $E$13) + CHOOSE(CONTROL!$C$28, 0.0003, 0)</f>
        <v>34.590900000000005</v>
      </c>
      <c r="C518" s="4">
        <f>34.2273 * CHOOSE(CONTROL!$C$9, $C$13, 100%, $E$13) + CHOOSE(CONTROL!$C$28, 0.0003, 0)</f>
        <v>34.227600000000002</v>
      </c>
      <c r="D518" s="4">
        <f>49.0031 * CHOOSE(CONTROL!$C$9, $C$13, 100%, $E$13) + CHOOSE(CONTROL!$C$28, 0, 0)</f>
        <v>49.003100000000003</v>
      </c>
      <c r="E518" s="4">
        <f>227.903475095405 * CHOOSE(CONTROL!$C$9, $C$13, 100%, $E$13) + CHOOSE(CONTROL!$C$28, 0, 0)</f>
        <v>227.90347509540501</v>
      </c>
    </row>
    <row r="519" spans="1:5" ht="15">
      <c r="A519" s="13">
        <v>57314</v>
      </c>
      <c r="B519" s="4">
        <f>33.842 * CHOOSE(CONTROL!$C$9, $C$13, 100%, $E$13) + CHOOSE(CONTROL!$C$28, 0.0003, 0)</f>
        <v>33.842300000000002</v>
      </c>
      <c r="C519" s="4">
        <f>33.4787 * CHOOSE(CONTROL!$C$9, $C$13, 100%, $E$13) + CHOOSE(CONTROL!$C$28, 0.0003, 0)</f>
        <v>33.479000000000006</v>
      </c>
      <c r="D519" s="4">
        <f>48.7766 * CHOOSE(CONTROL!$C$9, $C$13, 100%, $E$13) + CHOOSE(CONTROL!$C$28, 0, 0)</f>
        <v>48.776600000000002</v>
      </c>
      <c r="E519" s="4">
        <f>222.858802938292 * CHOOSE(CONTROL!$C$9, $C$13, 100%, $E$13) + CHOOSE(CONTROL!$C$28, 0, 0)</f>
        <v>222.858802938292</v>
      </c>
    </row>
    <row r="520" spans="1:5" ht="15">
      <c r="A520" s="13">
        <v>57345</v>
      </c>
      <c r="B520" s="4">
        <f>33.3241 * CHOOSE(CONTROL!$C$9, $C$13, 100%, $E$13) + CHOOSE(CONTROL!$C$28, 0.0003, 0)</f>
        <v>33.324400000000004</v>
      </c>
      <c r="C520" s="4">
        <f>32.9609 * CHOOSE(CONTROL!$C$9, $C$13, 100%, $E$13) + CHOOSE(CONTROL!$C$28, 0.0003, 0)</f>
        <v>32.961200000000005</v>
      </c>
      <c r="D520" s="4">
        <f>47.1092 * CHOOSE(CONTROL!$C$9, $C$13, 100%, $E$13) + CHOOSE(CONTROL!$C$28, 0, 0)</f>
        <v>47.109200000000001</v>
      </c>
      <c r="E520" s="4">
        <f>219.368538270043 * CHOOSE(CONTROL!$C$9, $C$13, 100%, $E$13) + CHOOSE(CONTROL!$C$28, 0, 0)</f>
        <v>219.36853827004299</v>
      </c>
    </row>
    <row r="521" spans="1:5" ht="15">
      <c r="A521" s="13">
        <v>57376</v>
      </c>
      <c r="B521" s="4">
        <f>31.9072 * CHOOSE(CONTROL!$C$9, $C$13, 100%, $E$13) + CHOOSE(CONTROL!$C$28, 0.0003, 0)</f>
        <v>31.907499999999999</v>
      </c>
      <c r="C521" s="4">
        <f>31.5439 * CHOOSE(CONTROL!$C$9, $C$13, 100%, $E$13) + CHOOSE(CONTROL!$C$28, 0.0003, 0)</f>
        <v>31.5442</v>
      </c>
      <c r="D521" s="4">
        <f>45.2725 * CHOOSE(CONTROL!$C$9, $C$13, 100%, $E$13) + CHOOSE(CONTROL!$C$28, 0, 0)</f>
        <v>45.272500000000001</v>
      </c>
      <c r="E521" s="4">
        <f>210.230947266757 * CHOOSE(CONTROL!$C$9, $C$13, 100%, $E$13) + CHOOSE(CONTROL!$C$28, 0, 0)</f>
        <v>210.230947266757</v>
      </c>
    </row>
    <row r="522" spans="1:5" ht="15">
      <c r="A522" s="13">
        <v>57404</v>
      </c>
      <c r="B522" s="4">
        <f>32.6464 * CHOOSE(CONTROL!$C$9, $C$13, 100%, $E$13) + CHOOSE(CONTROL!$C$28, 0.0003, 0)</f>
        <v>32.646700000000003</v>
      </c>
      <c r="C522" s="4">
        <f>32.2831 * CHOOSE(CONTROL!$C$9, $C$13, 100%, $E$13) + CHOOSE(CONTROL!$C$28, 0.0003, 0)</f>
        <v>32.2834</v>
      </c>
      <c r="D522" s="4">
        <f>46.8049 * CHOOSE(CONTROL!$C$9, $C$13, 100%, $E$13) + CHOOSE(CONTROL!$C$28, 0, 0)</f>
        <v>46.804900000000004</v>
      </c>
      <c r="E522" s="4">
        <f>215.222658455995 * CHOOSE(CONTROL!$C$9, $C$13, 100%, $E$13) + CHOOSE(CONTROL!$C$28, 0, 0)</f>
        <v>215.222658455995</v>
      </c>
    </row>
    <row r="523" spans="1:5" ht="15">
      <c r="A523" s="13">
        <v>57435</v>
      </c>
      <c r="B523" s="4">
        <f>34.5877 * CHOOSE(CONTROL!$C$9, $C$13, 100%, $E$13) + CHOOSE(CONTROL!$C$28, 0.0003, 0)</f>
        <v>34.588000000000001</v>
      </c>
      <c r="C523" s="4">
        <f>34.2244 * CHOOSE(CONTROL!$C$9, $C$13, 100%, $E$13) + CHOOSE(CONTROL!$C$28, 0.0003, 0)</f>
        <v>34.224700000000006</v>
      </c>
      <c r="D523" s="4">
        <f>49.2039 * CHOOSE(CONTROL!$C$9, $C$13, 100%, $E$13) + CHOOSE(CONTROL!$C$28, 0, 0)</f>
        <v>49.203899999999997</v>
      </c>
      <c r="E523" s="4">
        <f>228.331157314576 * CHOOSE(CONTROL!$C$9, $C$13, 100%, $E$13) + CHOOSE(CONTROL!$C$28, 0, 0)</f>
        <v>228.33115731457599</v>
      </c>
    </row>
    <row r="524" spans="1:5" ht="15">
      <c r="A524" s="13">
        <v>57465</v>
      </c>
      <c r="B524" s="4">
        <f>35.967 * CHOOSE(CONTROL!$C$9, $C$13, 100%, $E$13) + CHOOSE(CONTROL!$C$28, 0.0003, 0)</f>
        <v>35.967300000000002</v>
      </c>
      <c r="C524" s="4">
        <f>35.6037 * CHOOSE(CONTROL!$C$9, $C$13, 100%, $E$13) + CHOOSE(CONTROL!$C$28, 0.0003, 0)</f>
        <v>35.604000000000006</v>
      </c>
      <c r="D524" s="4">
        <f>50.5858 * CHOOSE(CONTROL!$C$9, $C$13, 100%, $E$13) + CHOOSE(CONTROL!$C$28, 0, 0)</f>
        <v>50.585799999999999</v>
      </c>
      <c r="E524" s="4">
        <f>237.644920447314 * CHOOSE(CONTROL!$C$9, $C$13, 100%, $E$13) + CHOOSE(CONTROL!$C$28, 0, 0)</f>
        <v>237.64492044731401</v>
      </c>
    </row>
    <row r="525" spans="1:5" ht="15">
      <c r="A525" s="13">
        <v>57496</v>
      </c>
      <c r="B525" s="4">
        <f>36.8097 * CHOOSE(CONTROL!$C$9, $C$13, 100%, $E$13) + CHOOSE(CONTROL!$C$28, 0.0192, 0)</f>
        <v>36.828899999999997</v>
      </c>
      <c r="C525" s="4">
        <f>36.4464 * CHOOSE(CONTROL!$C$9, $C$13, 100%, $E$13) + CHOOSE(CONTROL!$C$28, 0.0192, 0)</f>
        <v>36.465599999999995</v>
      </c>
      <c r="D525" s="4">
        <f>50.0398 * CHOOSE(CONTROL!$C$9, $C$13, 100%, $E$13) + CHOOSE(CONTROL!$C$28, 0, 0)</f>
        <v>50.0398</v>
      </c>
      <c r="E525" s="4">
        <f>243.335406501669 * CHOOSE(CONTROL!$C$9, $C$13, 100%, $E$13) + CHOOSE(CONTROL!$C$28, 0, 0)</f>
        <v>243.33540650166901</v>
      </c>
    </row>
    <row r="526" spans="1:5" ht="15">
      <c r="A526" s="13">
        <v>57526</v>
      </c>
      <c r="B526" s="4">
        <f>36.9237 * CHOOSE(CONTROL!$C$9, $C$13, 100%, $E$13) + CHOOSE(CONTROL!$C$28, 0.0192, 0)</f>
        <v>36.942899999999995</v>
      </c>
      <c r="C526" s="4">
        <f>36.5604 * CHOOSE(CONTROL!$C$9, $C$13, 100%, $E$13) + CHOOSE(CONTROL!$C$28, 0.0192, 0)</f>
        <v>36.579599999999999</v>
      </c>
      <c r="D526" s="4">
        <f>50.4845 * CHOOSE(CONTROL!$C$9, $C$13, 100%, $E$13) + CHOOSE(CONTROL!$C$28, 0, 0)</f>
        <v>50.484499999999997</v>
      </c>
      <c r="E526" s="4">
        <f>244.105352880825 * CHOOSE(CONTROL!$C$9, $C$13, 100%, $E$13) + CHOOSE(CONTROL!$C$28, 0, 0)</f>
        <v>244.105352880825</v>
      </c>
    </row>
    <row r="527" spans="1:5" ht="15">
      <c r="A527" s="13">
        <v>57557</v>
      </c>
      <c r="B527" s="4">
        <f>36.9122 * CHOOSE(CONTROL!$C$9, $C$13, 100%, $E$13) + CHOOSE(CONTROL!$C$28, 0.0192, 0)</f>
        <v>36.931399999999996</v>
      </c>
      <c r="C527" s="4">
        <f>36.549 * CHOOSE(CONTROL!$C$9, $C$13, 100%, $E$13) + CHOOSE(CONTROL!$C$28, 0.0192, 0)</f>
        <v>36.568199999999997</v>
      </c>
      <c r="D527" s="4">
        <f>51.2869 * CHOOSE(CONTROL!$C$9, $C$13, 100%, $E$13) + CHOOSE(CONTROL!$C$28, 0, 0)</f>
        <v>51.286900000000003</v>
      </c>
      <c r="E527" s="4">
        <f>244.027711229146 * CHOOSE(CONTROL!$C$9, $C$13, 100%, $E$13) + CHOOSE(CONTROL!$C$28, 0, 0)</f>
        <v>244.02771122914601</v>
      </c>
    </row>
    <row r="528" spans="1:5" ht="15">
      <c r="A528" s="13">
        <v>57588</v>
      </c>
      <c r="B528" s="4">
        <f>37.7775 * CHOOSE(CONTROL!$C$9, $C$13, 100%, $E$13) + CHOOSE(CONTROL!$C$28, 0.0192, 0)</f>
        <v>37.796700000000001</v>
      </c>
      <c r="C528" s="4">
        <f>37.4142 * CHOOSE(CONTROL!$C$9, $C$13, 100%, $E$13) + CHOOSE(CONTROL!$C$28, 0.0192, 0)</f>
        <v>37.433399999999999</v>
      </c>
      <c r="D528" s="4">
        <f>50.757 * CHOOSE(CONTROL!$C$9, $C$13, 100%, $E$13) + CHOOSE(CONTROL!$C$28, 0, 0)</f>
        <v>50.756999999999998</v>
      </c>
      <c r="E528" s="4">
        <f>249.870245518039 * CHOOSE(CONTROL!$C$9, $C$13, 100%, $E$13) + CHOOSE(CONTROL!$C$28, 0, 0)</f>
        <v>249.87024551803901</v>
      </c>
    </row>
    <row r="529" spans="1:5" ht="15">
      <c r="A529" s="13">
        <v>57618</v>
      </c>
      <c r="B529" s="4">
        <f>36.3028 * CHOOSE(CONTROL!$C$9, $C$13, 100%, $E$13) + CHOOSE(CONTROL!$C$28, 0.0192, 0)</f>
        <v>36.321999999999996</v>
      </c>
      <c r="C529" s="4">
        <f>35.9395 * CHOOSE(CONTROL!$C$9, $C$13, 100%, $E$13) + CHOOSE(CONTROL!$C$28, 0.0192, 0)</f>
        <v>35.9587</v>
      </c>
      <c r="D529" s="4">
        <f>50.5066 * CHOOSE(CONTROL!$C$9, $C$13, 100%, $E$13) + CHOOSE(CONTROL!$C$28, 0, 0)</f>
        <v>50.506599999999999</v>
      </c>
      <c r="E529" s="4">
        <f>239.912703690124 * CHOOSE(CONTROL!$C$9, $C$13, 100%, $E$13) + CHOOSE(CONTROL!$C$28, 0, 0)</f>
        <v>239.912703690124</v>
      </c>
    </row>
    <row r="530" spans="1:5" ht="15">
      <c r="A530" s="13">
        <v>57649</v>
      </c>
      <c r="B530" s="4">
        <f>35.1223 * CHOOSE(CONTROL!$C$9, $C$13, 100%, $E$13) + CHOOSE(CONTROL!$C$28, 0.0003, 0)</f>
        <v>35.122600000000006</v>
      </c>
      <c r="C530" s="4">
        <f>34.7591 * CHOOSE(CONTROL!$C$9, $C$13, 100%, $E$13) + CHOOSE(CONTROL!$C$28, 0.0003, 0)</f>
        <v>34.759399999999999</v>
      </c>
      <c r="D530" s="4">
        <f>49.8362 * CHOOSE(CONTROL!$C$9, $C$13, 100%, $E$13) + CHOOSE(CONTROL!$C$28, 0, 0)</f>
        <v>49.836199999999998</v>
      </c>
      <c r="E530" s="4">
        <f>231.94149411768 * CHOOSE(CONTROL!$C$9, $C$13, 100%, $E$13) + CHOOSE(CONTROL!$C$28, 0, 0)</f>
        <v>231.94149411768001</v>
      </c>
    </row>
    <row r="531" spans="1:5" ht="15">
      <c r="A531" s="13">
        <v>57679</v>
      </c>
      <c r="B531" s="4">
        <f>34.362 * CHOOSE(CONTROL!$C$9, $C$13, 100%, $E$13) + CHOOSE(CONTROL!$C$28, 0.0003, 0)</f>
        <v>34.362300000000005</v>
      </c>
      <c r="C531" s="4">
        <f>33.9988 * CHOOSE(CONTROL!$C$9, $C$13, 100%, $E$13) + CHOOSE(CONTROL!$C$28, 0.0003, 0)</f>
        <v>33.999100000000006</v>
      </c>
      <c r="D531" s="4">
        <f>49.6057 * CHOOSE(CONTROL!$C$9, $C$13, 100%, $E$13) + CHOOSE(CONTROL!$C$28, 0, 0)</f>
        <v>49.605699999999999</v>
      </c>
      <c r="E531" s="4">
        <f>226.807439900363 * CHOOSE(CONTROL!$C$9, $C$13, 100%, $E$13) + CHOOSE(CONTROL!$C$28, 0, 0)</f>
        <v>226.80743990036299</v>
      </c>
    </row>
    <row r="532" spans="1:5" ht="15">
      <c r="A532" s="13">
        <v>57710</v>
      </c>
      <c r="B532" s="4">
        <f>33.836 * CHOOSE(CONTROL!$C$9, $C$13, 100%, $E$13) + CHOOSE(CONTROL!$C$28, 0.0003, 0)</f>
        <v>33.836300000000001</v>
      </c>
      <c r="C532" s="4">
        <f>33.4727 * CHOOSE(CONTROL!$C$9, $C$13, 100%, $E$13) + CHOOSE(CONTROL!$C$28, 0.0003, 0)</f>
        <v>33.473000000000006</v>
      </c>
      <c r="D532" s="4">
        <f>47.9089 * CHOOSE(CONTROL!$C$9, $C$13, 100%, $E$13) + CHOOSE(CONTROL!$C$28, 0, 0)</f>
        <v>47.908900000000003</v>
      </c>
      <c r="E532" s="4">
        <f>223.255334336019 * CHOOSE(CONTROL!$C$9, $C$13, 100%, $E$13) + CHOOSE(CONTROL!$C$28, 0, 0)</f>
        <v>223.25533433601899</v>
      </c>
    </row>
    <row r="533" spans="1:5" ht="15">
      <c r="A533" s="13">
        <v>57741</v>
      </c>
      <c r="B533" s="4">
        <f>32.3967 * CHOOSE(CONTROL!$C$9, $C$13, 100%, $E$13) + CHOOSE(CONTROL!$C$28, 0.0003, 0)</f>
        <v>32.397000000000006</v>
      </c>
      <c r="C533" s="4">
        <f>32.0335 * CHOOSE(CONTROL!$C$9, $C$13, 100%, $E$13) + CHOOSE(CONTROL!$C$28, 0.0003, 0)</f>
        <v>32.033799999999999</v>
      </c>
      <c r="D533" s="4">
        <f>46.0396 * CHOOSE(CONTROL!$C$9, $C$13, 100%, $E$13) + CHOOSE(CONTROL!$C$28, 0, 0)</f>
        <v>46.0396</v>
      </c>
      <c r="E533" s="4">
        <f>213.955842482939 * CHOOSE(CONTROL!$C$9, $C$13, 100%, $E$13) + CHOOSE(CONTROL!$C$28, 0, 0)</f>
        <v>213.955842482939</v>
      </c>
    </row>
    <row r="534" spans="1:5" ht="15">
      <c r="A534" s="13">
        <v>57769</v>
      </c>
      <c r="B534" s="4">
        <f>33.1476 * CHOOSE(CONTROL!$C$9, $C$13, 100%, $E$13) + CHOOSE(CONTROL!$C$28, 0.0003, 0)</f>
        <v>33.1479</v>
      </c>
      <c r="C534" s="4">
        <f>32.7843 * CHOOSE(CONTROL!$C$9, $C$13, 100%, $E$13) + CHOOSE(CONTROL!$C$28, 0.0003, 0)</f>
        <v>32.784600000000005</v>
      </c>
      <c r="D534" s="4">
        <f>47.5992 * CHOOSE(CONTROL!$C$9, $C$13, 100%, $E$13) + CHOOSE(CONTROL!$C$28, 0, 0)</f>
        <v>47.599200000000003</v>
      </c>
      <c r="E534" s="4">
        <f>219.035997364083 * CHOOSE(CONTROL!$C$9, $C$13, 100%, $E$13) + CHOOSE(CONTROL!$C$28, 0, 0)</f>
        <v>219.03599736408299</v>
      </c>
    </row>
    <row r="535" spans="1:5" ht="15">
      <c r="A535" s="13">
        <v>57800</v>
      </c>
      <c r="B535" s="4">
        <f>35.1194 * CHOOSE(CONTROL!$C$9, $C$13, 100%, $E$13) + CHOOSE(CONTROL!$C$28, 0.0003, 0)</f>
        <v>35.119700000000002</v>
      </c>
      <c r="C535" s="4">
        <f>34.7561 * CHOOSE(CONTROL!$C$9, $C$13, 100%, $E$13) + CHOOSE(CONTROL!$C$28, 0.0003, 0)</f>
        <v>34.756400000000006</v>
      </c>
      <c r="D535" s="4">
        <f>50.0406 * CHOOSE(CONTROL!$C$9, $C$13, 100%, $E$13) + CHOOSE(CONTROL!$C$28, 0, 0)</f>
        <v>50.040599999999998</v>
      </c>
      <c r="E535" s="4">
        <f>232.376754057795 * CHOOSE(CONTROL!$C$9, $C$13, 100%, $E$13) + CHOOSE(CONTROL!$C$28, 0, 0)</f>
        <v>232.37675405779501</v>
      </c>
    </row>
    <row r="536" spans="1:5" ht="15">
      <c r="A536" s="13">
        <v>57830</v>
      </c>
      <c r="B536" s="4">
        <f>36.5204 * CHOOSE(CONTROL!$C$9, $C$13, 100%, $E$13) + CHOOSE(CONTROL!$C$28, 0.0003, 0)</f>
        <v>36.520700000000005</v>
      </c>
      <c r="C536" s="4">
        <f>36.1571 * CHOOSE(CONTROL!$C$9, $C$13, 100%, $E$13) + CHOOSE(CONTROL!$C$28, 0.0003, 0)</f>
        <v>36.157400000000003</v>
      </c>
      <c r="D536" s="4">
        <f>51.4469 * CHOOSE(CONTROL!$C$9, $C$13, 100%, $E$13) + CHOOSE(CONTROL!$C$28, 0, 0)</f>
        <v>51.446899999999999</v>
      </c>
      <c r="E536" s="4">
        <f>241.855539477636 * CHOOSE(CONTROL!$C$9, $C$13, 100%, $E$13) + CHOOSE(CONTROL!$C$28, 0, 0)</f>
        <v>241.855539477636</v>
      </c>
    </row>
    <row r="537" spans="1:5" ht="15">
      <c r="A537" s="13">
        <v>57861</v>
      </c>
      <c r="B537" s="4">
        <f>37.3764 * CHOOSE(CONTROL!$C$9, $C$13, 100%, $E$13) + CHOOSE(CONTROL!$C$28, 0.0192, 0)</f>
        <v>37.395599999999995</v>
      </c>
      <c r="C537" s="4">
        <f>37.0131 * CHOOSE(CONTROL!$C$9, $C$13, 100%, $E$13) + CHOOSE(CONTROL!$C$28, 0.0192, 0)</f>
        <v>37.032299999999999</v>
      </c>
      <c r="D537" s="4">
        <f>50.8912 * CHOOSE(CONTROL!$C$9, $C$13, 100%, $E$13) + CHOOSE(CONTROL!$C$28, 0, 0)</f>
        <v>50.891199999999998</v>
      </c>
      <c r="E537" s="4">
        <f>247.646850194378 * CHOOSE(CONTROL!$C$9, $C$13, 100%, $E$13) + CHOOSE(CONTROL!$C$28, 0, 0)</f>
        <v>247.646850194378</v>
      </c>
    </row>
    <row r="538" spans="1:5" ht="15">
      <c r="A538" s="13">
        <v>57891</v>
      </c>
      <c r="B538" s="4">
        <f>37.4922 * CHOOSE(CONTROL!$C$9, $C$13, 100%, $E$13) + CHOOSE(CONTROL!$C$28, 0.0192, 0)</f>
        <v>37.511399999999995</v>
      </c>
      <c r="C538" s="4">
        <f>37.1289 * CHOOSE(CONTROL!$C$9, $C$13, 100%, $E$13) + CHOOSE(CONTROL!$C$28, 0.0192, 0)</f>
        <v>37.148099999999999</v>
      </c>
      <c r="D538" s="4">
        <f>51.3438 * CHOOSE(CONTROL!$C$9, $C$13, 100%, $E$13) + CHOOSE(CONTROL!$C$28, 0, 0)</f>
        <v>51.343800000000002</v>
      </c>
      <c r="E538" s="4">
        <f>248.430438568787 * CHOOSE(CONTROL!$C$9, $C$13, 100%, $E$13) + CHOOSE(CONTROL!$C$28, 0, 0)</f>
        <v>248.430438568787</v>
      </c>
    </row>
    <row r="539" spans="1:5" ht="15">
      <c r="A539" s="13">
        <v>57922</v>
      </c>
      <c r="B539" s="4">
        <f>37.4805 * CHOOSE(CONTROL!$C$9, $C$13, 100%, $E$13) + CHOOSE(CONTROL!$C$28, 0.0192, 0)</f>
        <v>37.499699999999997</v>
      </c>
      <c r="C539" s="4">
        <f>37.1172 * CHOOSE(CONTROL!$C$9, $C$13, 100%, $E$13) + CHOOSE(CONTROL!$C$28, 0.0192, 0)</f>
        <v>37.136399999999995</v>
      </c>
      <c r="D539" s="4">
        <f>52.1604 * CHOOSE(CONTROL!$C$9, $C$13, 100%, $E$13) + CHOOSE(CONTROL!$C$28, 0, 0)</f>
        <v>52.160400000000003</v>
      </c>
      <c r="E539" s="4">
        <f>248.35142125372 * CHOOSE(CONTROL!$C$9, $C$13, 100%, $E$13) + CHOOSE(CONTROL!$C$28, 0, 0)</f>
        <v>248.35142125371999</v>
      </c>
    </row>
    <row r="540" spans="1:5" ht="15">
      <c r="A540" s="13">
        <v>57953</v>
      </c>
      <c r="B540" s="4">
        <f>38.3594 * CHOOSE(CONTROL!$C$9, $C$13, 100%, $E$13) + CHOOSE(CONTROL!$C$28, 0.0192, 0)</f>
        <v>38.378599999999999</v>
      </c>
      <c r="C540" s="4">
        <f>37.9961 * CHOOSE(CONTROL!$C$9, $C$13, 100%, $E$13) + CHOOSE(CONTROL!$C$28, 0.0192, 0)</f>
        <v>38.015299999999996</v>
      </c>
      <c r="D540" s="4">
        <f>51.6211 * CHOOSE(CONTROL!$C$9, $C$13, 100%, $E$13) + CHOOSE(CONTROL!$C$28, 0, 0)</f>
        <v>51.621099999999998</v>
      </c>
      <c r="E540" s="4">
        <f>254.297474212468 * CHOOSE(CONTROL!$C$9, $C$13, 100%, $E$13) + CHOOSE(CONTROL!$C$28, 0, 0)</f>
        <v>254.29747421246799</v>
      </c>
    </row>
    <row r="541" spans="1:5" ht="15">
      <c r="A541" s="13">
        <v>57983</v>
      </c>
      <c r="B541" s="4">
        <f>36.8615 * CHOOSE(CONTROL!$C$9, $C$13, 100%, $E$13) + CHOOSE(CONTROL!$C$28, 0.0192, 0)</f>
        <v>36.880699999999997</v>
      </c>
      <c r="C541" s="4">
        <f>36.4982 * CHOOSE(CONTROL!$C$9, $C$13, 100%, $E$13) + CHOOSE(CONTROL!$C$28, 0.0192, 0)</f>
        <v>36.517399999999995</v>
      </c>
      <c r="D541" s="4">
        <f>51.3663 * CHOOSE(CONTROL!$C$9, $C$13, 100%, $E$13) + CHOOSE(CONTROL!$C$28, 0, 0)</f>
        <v>51.366300000000003</v>
      </c>
      <c r="E541" s="4">
        <f>244.163503555201 * CHOOSE(CONTROL!$C$9, $C$13, 100%, $E$13) + CHOOSE(CONTROL!$C$28, 0, 0)</f>
        <v>244.163503555201</v>
      </c>
    </row>
    <row r="542" spans="1:5" ht="15">
      <c r="A542" s="13">
        <v>58014</v>
      </c>
      <c r="B542" s="4">
        <f>35.6625 * CHOOSE(CONTROL!$C$9, $C$13, 100%, $E$13) + CHOOSE(CONTROL!$C$28, 0.0003, 0)</f>
        <v>35.662800000000004</v>
      </c>
      <c r="C542" s="4">
        <f>35.2992 * CHOOSE(CONTROL!$C$9, $C$13, 100%, $E$13) + CHOOSE(CONTROL!$C$28, 0.0003, 0)</f>
        <v>35.299500000000002</v>
      </c>
      <c r="D542" s="4">
        <f>50.684 * CHOOSE(CONTROL!$C$9, $C$13, 100%, $E$13) + CHOOSE(CONTROL!$C$28, 0, 0)</f>
        <v>50.683999999999997</v>
      </c>
      <c r="E542" s="4">
        <f>236.051059208383 * CHOOSE(CONTROL!$C$9, $C$13, 100%, $E$13) + CHOOSE(CONTROL!$C$28, 0, 0)</f>
        <v>236.05105920838301</v>
      </c>
    </row>
    <row r="543" spans="1:5" ht="15">
      <c r="A543" s="13">
        <v>58044</v>
      </c>
      <c r="B543" s="4">
        <f>34.8902 * CHOOSE(CONTROL!$C$9, $C$13, 100%, $E$13) + CHOOSE(CONTROL!$C$28, 0.0003, 0)</f>
        <v>34.890500000000003</v>
      </c>
      <c r="C543" s="4">
        <f>34.5269 * CHOOSE(CONTROL!$C$9, $C$13, 100%, $E$13) + CHOOSE(CONTROL!$C$28, 0.0003, 0)</f>
        <v>34.527200000000001</v>
      </c>
      <c r="D543" s="4">
        <f>50.4495 * CHOOSE(CONTROL!$C$9, $C$13, 100%, $E$13) + CHOOSE(CONTROL!$C$28, 0, 0)</f>
        <v>50.4495</v>
      </c>
      <c r="E543" s="4">
        <f>230.826039249617 * CHOOSE(CONTROL!$C$9, $C$13, 100%, $E$13) + CHOOSE(CONTROL!$C$28, 0, 0)</f>
        <v>230.826039249617</v>
      </c>
    </row>
    <row r="544" spans="1:5" ht="15">
      <c r="A544" s="13">
        <v>58075</v>
      </c>
      <c r="B544" s="4">
        <f>34.3559 * CHOOSE(CONTROL!$C$9, $C$13, 100%, $E$13) + CHOOSE(CONTROL!$C$28, 0.0003, 0)</f>
        <v>34.356200000000001</v>
      </c>
      <c r="C544" s="4">
        <f>33.9926 * CHOOSE(CONTROL!$C$9, $C$13, 100%, $E$13) + CHOOSE(CONTROL!$C$28, 0.0003, 0)</f>
        <v>33.992900000000006</v>
      </c>
      <c r="D544" s="4">
        <f>48.7226 * CHOOSE(CONTROL!$C$9, $C$13, 100%, $E$13) + CHOOSE(CONTROL!$C$28, 0, 0)</f>
        <v>48.7226</v>
      </c>
      <c r="E544" s="4">
        <f>227.210997085329 * CHOOSE(CONTROL!$C$9, $C$13, 100%, $E$13) + CHOOSE(CONTROL!$C$28, 0, 0)</f>
        <v>227.21099708532901</v>
      </c>
    </row>
    <row r="545" spans="1:5" ht="15">
      <c r="A545" s="13">
        <v>58106</v>
      </c>
      <c r="B545" s="4">
        <f>32.894 * CHOOSE(CONTROL!$C$9, $C$13, 100%, $E$13) + CHOOSE(CONTROL!$C$28, 0.0003, 0)</f>
        <v>32.894300000000001</v>
      </c>
      <c r="C545" s="4">
        <f>32.5307 * CHOOSE(CONTROL!$C$9, $C$13, 100%, $E$13) + CHOOSE(CONTROL!$C$28, 0.0003, 0)</f>
        <v>32.531000000000006</v>
      </c>
      <c r="D545" s="4">
        <f>46.8204 * CHOOSE(CONTROL!$C$9, $C$13, 100%, $E$13) + CHOOSE(CONTROL!$C$28, 0, 0)</f>
        <v>46.820399999999999</v>
      </c>
      <c r="E545" s="4">
        <f>217.746735805259 * CHOOSE(CONTROL!$C$9, $C$13, 100%, $E$13) + CHOOSE(CONTROL!$C$28, 0, 0)</f>
        <v>217.74673580525899</v>
      </c>
    </row>
    <row r="546" spans="1:5" ht="15">
      <c r="A546" s="13">
        <v>58134</v>
      </c>
      <c r="B546" s="4">
        <f>33.6567 * CHOOSE(CONTROL!$C$9, $C$13, 100%, $E$13) + CHOOSE(CONTROL!$C$28, 0.0003, 0)</f>
        <v>33.657000000000004</v>
      </c>
      <c r="C546" s="4">
        <f>33.2934 * CHOOSE(CONTROL!$C$9, $C$13, 100%, $E$13) + CHOOSE(CONTROL!$C$28, 0.0003, 0)</f>
        <v>33.293700000000001</v>
      </c>
      <c r="D546" s="4">
        <f>48.4075 * CHOOSE(CONTROL!$C$9, $C$13, 100%, $E$13) + CHOOSE(CONTROL!$C$28, 0, 0)</f>
        <v>48.407499999999999</v>
      </c>
      <c r="E546" s="4">
        <f>222.916901433443 * CHOOSE(CONTROL!$C$9, $C$13, 100%, $E$13) + CHOOSE(CONTROL!$C$28, 0, 0)</f>
        <v>222.916901433443</v>
      </c>
    </row>
    <row r="547" spans="1:5" ht="15">
      <c r="A547" s="13">
        <v>58165</v>
      </c>
      <c r="B547" s="4">
        <f>35.6595 * CHOOSE(CONTROL!$C$9, $C$13, 100%, $E$13) + CHOOSE(CONTROL!$C$28, 0.0003, 0)</f>
        <v>35.659800000000004</v>
      </c>
      <c r="C547" s="4">
        <f>35.2962 * CHOOSE(CONTROL!$C$9, $C$13, 100%, $E$13) + CHOOSE(CONTROL!$C$28, 0.0003, 0)</f>
        <v>35.296500000000002</v>
      </c>
      <c r="D547" s="4">
        <f>50.892 * CHOOSE(CONTROL!$C$9, $C$13, 100%, $E$13) + CHOOSE(CONTROL!$C$28, 0, 0)</f>
        <v>50.892000000000003</v>
      </c>
      <c r="E547" s="4">
        <f>236.494031132342 * CHOOSE(CONTROL!$C$9, $C$13, 100%, $E$13) + CHOOSE(CONTROL!$C$28, 0, 0)</f>
        <v>236.494031132342</v>
      </c>
    </row>
    <row r="548" spans="1:5" ht="15">
      <c r="A548" s="13">
        <v>58195</v>
      </c>
      <c r="B548" s="4">
        <f>37.0825 * CHOOSE(CONTROL!$C$9, $C$13, 100%, $E$13) + CHOOSE(CONTROL!$C$28, 0.0003, 0)</f>
        <v>37.082800000000006</v>
      </c>
      <c r="C548" s="4">
        <f>36.7192 * CHOOSE(CONTROL!$C$9, $C$13, 100%, $E$13) + CHOOSE(CONTROL!$C$28, 0.0003, 0)</f>
        <v>36.719500000000004</v>
      </c>
      <c r="D548" s="4">
        <f>52.3231 * CHOOSE(CONTROL!$C$9, $C$13, 100%, $E$13) + CHOOSE(CONTROL!$C$28, 0, 0)</f>
        <v>52.323099999999997</v>
      </c>
      <c r="E548" s="4">
        <f>246.140762722452 * CHOOSE(CONTROL!$C$9, $C$13, 100%, $E$13) + CHOOSE(CONTROL!$C$28, 0, 0)</f>
        <v>246.140762722452</v>
      </c>
    </row>
    <row r="549" spans="1:5" ht="15">
      <c r="A549" s="13">
        <v>58226</v>
      </c>
      <c r="B549" s="4">
        <f>37.952 * CHOOSE(CONTROL!$C$9, $C$13, 100%, $E$13) + CHOOSE(CONTROL!$C$28, 0.0192, 0)</f>
        <v>37.971199999999996</v>
      </c>
      <c r="C549" s="4">
        <f>37.5887 * CHOOSE(CONTROL!$C$9, $C$13, 100%, $E$13) + CHOOSE(CONTROL!$C$28, 0.0192, 0)</f>
        <v>37.607900000000001</v>
      </c>
      <c r="D549" s="4">
        <f>51.7576 * CHOOSE(CONTROL!$C$9, $C$13, 100%, $E$13) + CHOOSE(CONTROL!$C$28, 0, 0)</f>
        <v>51.757599999999996</v>
      </c>
      <c r="E549" s="4">
        <f>252.034684524121 * CHOOSE(CONTROL!$C$9, $C$13, 100%, $E$13) + CHOOSE(CONTROL!$C$28, 0, 0)</f>
        <v>252.03468452412099</v>
      </c>
    </row>
    <row r="550" spans="1:5" ht="15">
      <c r="A550" s="13">
        <v>58256</v>
      </c>
      <c r="B550" s="4">
        <f>38.0696 * CHOOSE(CONTROL!$C$9, $C$13, 100%, $E$13) + CHOOSE(CONTROL!$C$28, 0.0192, 0)</f>
        <v>38.088799999999999</v>
      </c>
      <c r="C550" s="4">
        <f>37.7063 * CHOOSE(CONTROL!$C$9, $C$13, 100%, $E$13) + CHOOSE(CONTROL!$C$28, 0.0192, 0)</f>
        <v>37.725499999999997</v>
      </c>
      <c r="D550" s="4">
        <f>52.2182 * CHOOSE(CONTROL!$C$9, $C$13, 100%, $E$13) + CHOOSE(CONTROL!$C$28, 0, 0)</f>
        <v>52.218200000000003</v>
      </c>
      <c r="E550" s="4">
        <f>252.832156604165 * CHOOSE(CONTROL!$C$9, $C$13, 100%, $E$13) + CHOOSE(CONTROL!$C$28, 0, 0)</f>
        <v>252.83215660416499</v>
      </c>
    </row>
    <row r="551" spans="1:5" ht="15">
      <c r="A551" s="13">
        <v>58287</v>
      </c>
      <c r="B551" s="4">
        <f>38.0577 * CHOOSE(CONTROL!$C$9, $C$13, 100%, $E$13) + CHOOSE(CONTROL!$C$28, 0.0192, 0)</f>
        <v>38.076899999999995</v>
      </c>
      <c r="C551" s="4">
        <f>37.6944 * CHOOSE(CONTROL!$C$9, $C$13, 100%, $E$13) + CHOOSE(CONTROL!$C$28, 0.0192, 0)</f>
        <v>37.7136</v>
      </c>
      <c r="D551" s="4">
        <f>53.0492 * CHOOSE(CONTROL!$C$9, $C$13, 100%, $E$13) + CHOOSE(CONTROL!$C$28, 0, 0)</f>
        <v>53.049199999999999</v>
      </c>
      <c r="E551" s="4">
        <f>252.751739251556 * CHOOSE(CONTROL!$C$9, $C$13, 100%, $E$13) + CHOOSE(CONTROL!$C$28, 0, 0)</f>
        <v>252.75173925155599</v>
      </c>
    </row>
    <row r="552" spans="1:5" ht="15">
      <c r="A552" s="13">
        <v>58318</v>
      </c>
      <c r="B552" s="4">
        <f>38.9504 * CHOOSE(CONTROL!$C$9, $C$13, 100%, $E$13) + CHOOSE(CONTROL!$C$28, 0.0192, 0)</f>
        <v>38.9696</v>
      </c>
      <c r="C552" s="4">
        <f>38.5871 * CHOOSE(CONTROL!$C$9, $C$13, 100%, $E$13) + CHOOSE(CONTROL!$C$28, 0.0192, 0)</f>
        <v>38.606299999999997</v>
      </c>
      <c r="D552" s="4">
        <f>52.5004 * CHOOSE(CONTROL!$C$9, $C$13, 100%, $E$13) + CHOOSE(CONTROL!$C$28, 0, 0)</f>
        <v>52.500399999999999</v>
      </c>
      <c r="E552" s="4">
        <f>258.803145035418 * CHOOSE(CONTROL!$C$9, $C$13, 100%, $E$13) + CHOOSE(CONTROL!$C$28, 0, 0)</f>
        <v>258.80314503541803</v>
      </c>
    </row>
    <row r="553" spans="1:5" ht="15">
      <c r="A553" s="13">
        <v>58348</v>
      </c>
      <c r="B553" s="4">
        <f>37.429 * CHOOSE(CONTROL!$C$9, $C$13, 100%, $E$13) + CHOOSE(CONTROL!$C$28, 0.0192, 0)</f>
        <v>37.4482</v>
      </c>
      <c r="C553" s="4">
        <f>37.0657 * CHOOSE(CONTROL!$C$9, $C$13, 100%, $E$13) + CHOOSE(CONTROL!$C$28, 0.0192, 0)</f>
        <v>37.084899999999998</v>
      </c>
      <c r="D553" s="4">
        <f>52.2411 * CHOOSE(CONTROL!$C$9, $C$13, 100%, $E$13) + CHOOSE(CONTROL!$C$28, 0, 0)</f>
        <v>52.241100000000003</v>
      </c>
      <c r="E553" s="4">
        <f>248.489619563254 * CHOOSE(CONTROL!$C$9, $C$13, 100%, $E$13) + CHOOSE(CONTROL!$C$28, 0, 0)</f>
        <v>248.489619563254</v>
      </c>
    </row>
    <row r="554" spans="1:5" ht="15">
      <c r="A554" s="13">
        <v>58379</v>
      </c>
      <c r="B554" s="4">
        <f>36.2111 * CHOOSE(CONTROL!$C$9, $C$13, 100%, $E$13) + CHOOSE(CONTROL!$C$28, 0.0003, 0)</f>
        <v>36.211400000000005</v>
      </c>
      <c r="C554" s="4">
        <f>35.8478 * CHOOSE(CONTROL!$C$9, $C$13, 100%, $E$13) + CHOOSE(CONTROL!$C$28, 0.0003, 0)</f>
        <v>35.848100000000002</v>
      </c>
      <c r="D554" s="4">
        <f>51.5468 * CHOOSE(CONTROL!$C$9, $C$13, 100%, $E$13) + CHOOSE(CONTROL!$C$28, 0, 0)</f>
        <v>51.546799999999998</v>
      </c>
      <c r="E554" s="4">
        <f>240.233438028682 * CHOOSE(CONTROL!$C$9, $C$13, 100%, $E$13) + CHOOSE(CONTROL!$C$28, 0, 0)</f>
        <v>240.233438028682</v>
      </c>
    </row>
    <row r="555" spans="1:5" ht="15">
      <c r="A555" s="13">
        <v>58409</v>
      </c>
      <c r="B555" s="4">
        <f>35.4267 * CHOOSE(CONTROL!$C$9, $C$13, 100%, $E$13) + CHOOSE(CONTROL!$C$28, 0.0003, 0)</f>
        <v>35.427</v>
      </c>
      <c r="C555" s="4">
        <f>35.0634 * CHOOSE(CONTROL!$C$9, $C$13, 100%, $E$13) + CHOOSE(CONTROL!$C$28, 0.0003, 0)</f>
        <v>35.063700000000004</v>
      </c>
      <c r="D555" s="4">
        <f>51.3081 * CHOOSE(CONTROL!$C$9, $C$13, 100%, $E$13) + CHOOSE(CONTROL!$C$28, 0, 0)</f>
        <v>51.308100000000003</v>
      </c>
      <c r="E555" s="4">
        <f>234.915840587381 * CHOOSE(CONTROL!$C$9, $C$13, 100%, $E$13) + CHOOSE(CONTROL!$C$28, 0, 0)</f>
        <v>234.91584058738101</v>
      </c>
    </row>
    <row r="556" spans="1:5" ht="15">
      <c r="A556" s="13">
        <v>58440</v>
      </c>
      <c r="B556" s="4">
        <f>34.884 * CHOOSE(CONTROL!$C$9, $C$13, 100%, $E$13) + CHOOSE(CONTROL!$C$28, 0.0003, 0)</f>
        <v>34.884300000000003</v>
      </c>
      <c r="C556" s="4">
        <f>34.5207 * CHOOSE(CONTROL!$C$9, $C$13, 100%, $E$13) + CHOOSE(CONTROL!$C$28, 0.0003, 0)</f>
        <v>34.521000000000001</v>
      </c>
      <c r="D556" s="4">
        <f>49.5507 * CHOOSE(CONTROL!$C$9, $C$13, 100%, $E$13) + CHOOSE(CONTROL!$C$28, 0, 0)</f>
        <v>49.550699999999999</v>
      </c>
      <c r="E556" s="4">
        <f>231.236746705498 * CHOOSE(CONTROL!$C$9, $C$13, 100%, $E$13) + CHOOSE(CONTROL!$C$28, 0, 0)</f>
        <v>231.23674670549801</v>
      </c>
    </row>
    <row r="557" spans="1:5" ht="15">
      <c r="A557" s="13">
        <v>58471</v>
      </c>
      <c r="B557" s="4">
        <f>33.3991 * CHOOSE(CONTROL!$C$9, $C$13, 100%, $E$13) + CHOOSE(CONTROL!$C$28, 0.0003, 0)</f>
        <v>33.3994</v>
      </c>
      <c r="C557" s="4">
        <f>33.0358 * CHOOSE(CONTROL!$C$9, $C$13, 100%, $E$13) + CHOOSE(CONTROL!$C$28, 0.0003, 0)</f>
        <v>33.036100000000005</v>
      </c>
      <c r="D557" s="4">
        <f>47.6149 * CHOOSE(CONTROL!$C$9, $C$13, 100%, $E$13) + CHOOSE(CONTROL!$C$28, 0, 0)</f>
        <v>47.614899999999999</v>
      </c>
      <c r="E557" s="4">
        <f>221.604796595477 * CHOOSE(CONTROL!$C$9, $C$13, 100%, $E$13) + CHOOSE(CONTROL!$C$28, 0, 0)</f>
        <v>221.60479659547701</v>
      </c>
    </row>
    <row r="558" spans="1:5" ht="15">
      <c r="A558" s="13">
        <v>58499</v>
      </c>
      <c r="B558" s="4">
        <f>34.1738 * CHOOSE(CONTROL!$C$9, $C$13, 100%, $E$13) + CHOOSE(CONTROL!$C$28, 0.0003, 0)</f>
        <v>34.174100000000003</v>
      </c>
      <c r="C558" s="4">
        <f>33.8105 * CHOOSE(CONTROL!$C$9, $C$13, 100%, $E$13) + CHOOSE(CONTROL!$C$28, 0.0003, 0)</f>
        <v>33.8108</v>
      </c>
      <c r="D558" s="4">
        <f>49.23 * CHOOSE(CONTROL!$C$9, $C$13, 100%, $E$13) + CHOOSE(CONTROL!$C$28, 0, 0)</f>
        <v>49.23</v>
      </c>
      <c r="E558" s="4">
        <f>226.866567791088 * CHOOSE(CONTROL!$C$9, $C$13, 100%, $E$13) + CHOOSE(CONTROL!$C$28, 0, 0)</f>
        <v>226.86656779108799</v>
      </c>
    </row>
    <row r="559" spans="1:5" ht="15">
      <c r="A559" s="13">
        <v>58531</v>
      </c>
      <c r="B559" s="4">
        <f>36.2081 * CHOOSE(CONTROL!$C$9, $C$13, 100%, $E$13) + CHOOSE(CONTROL!$C$28, 0.0003, 0)</f>
        <v>36.208400000000005</v>
      </c>
      <c r="C559" s="4">
        <f>35.8448 * CHOOSE(CONTROL!$C$9, $C$13, 100%, $E$13) + CHOOSE(CONTROL!$C$28, 0.0003, 0)</f>
        <v>35.845100000000002</v>
      </c>
      <c r="D559" s="4">
        <f>51.7584 * CHOOSE(CONTROL!$C$9, $C$13, 100%, $E$13) + CHOOSE(CONTROL!$C$28, 0, 0)</f>
        <v>51.758400000000002</v>
      </c>
      <c r="E559" s="4">
        <f>240.684258578268 * CHOOSE(CONTROL!$C$9, $C$13, 100%, $E$13) + CHOOSE(CONTROL!$C$28, 0, 0)</f>
        <v>240.68425857826799</v>
      </c>
    </row>
    <row r="560" spans="1:5" ht="15">
      <c r="A560" s="13">
        <v>58561</v>
      </c>
      <c r="B560" s="4">
        <f>37.6535 * CHOOSE(CONTROL!$C$9, $C$13, 100%, $E$13) + CHOOSE(CONTROL!$C$28, 0.0003, 0)</f>
        <v>37.653800000000004</v>
      </c>
      <c r="C560" s="4">
        <f>37.2902 * CHOOSE(CONTROL!$C$9, $C$13, 100%, $E$13) + CHOOSE(CONTROL!$C$28, 0.0003, 0)</f>
        <v>37.290500000000002</v>
      </c>
      <c r="D560" s="4">
        <f>53.2149 * CHOOSE(CONTROL!$C$9, $C$13, 100%, $E$13) + CHOOSE(CONTROL!$C$28, 0, 0)</f>
        <v>53.2149</v>
      </c>
      <c r="E560" s="4">
        <f>250.501912027501 * CHOOSE(CONTROL!$C$9, $C$13, 100%, $E$13) + CHOOSE(CONTROL!$C$28, 0, 0)</f>
        <v>250.50191202750099</v>
      </c>
    </row>
    <row r="561" spans="1:5" ht="15">
      <c r="A561" s="13">
        <v>58592</v>
      </c>
      <c r="B561" s="4">
        <f>38.5366 * CHOOSE(CONTROL!$C$9, $C$13, 100%, $E$13) + CHOOSE(CONTROL!$C$28, 0.0192, 0)</f>
        <v>38.555799999999998</v>
      </c>
      <c r="C561" s="4">
        <f>38.1733 * CHOOSE(CONTROL!$C$9, $C$13, 100%, $E$13) + CHOOSE(CONTROL!$C$28, 0.0192, 0)</f>
        <v>38.192499999999995</v>
      </c>
      <c r="D561" s="4">
        <f>52.6394 * CHOOSE(CONTROL!$C$9, $C$13, 100%, $E$13) + CHOOSE(CONTROL!$C$28, 0, 0)</f>
        <v>52.639400000000002</v>
      </c>
      <c r="E561" s="4">
        <f>256.500262988668 * CHOOSE(CONTROL!$C$9, $C$13, 100%, $E$13) + CHOOSE(CONTROL!$C$28, 0, 0)</f>
        <v>256.500262988668</v>
      </c>
    </row>
    <row r="562" spans="1:5" ht="15">
      <c r="A562" s="13">
        <v>58622</v>
      </c>
      <c r="B562" s="4">
        <f>38.6561 * CHOOSE(CONTROL!$C$9, $C$13, 100%, $E$13) + CHOOSE(CONTROL!$C$28, 0.0192, 0)</f>
        <v>38.6753</v>
      </c>
      <c r="C562" s="4">
        <f>38.2928 * CHOOSE(CONTROL!$C$9, $C$13, 100%, $E$13) + CHOOSE(CONTROL!$C$28, 0.0192, 0)</f>
        <v>38.311999999999998</v>
      </c>
      <c r="D562" s="4">
        <f>53.1081 * CHOOSE(CONTROL!$C$9, $C$13, 100%, $E$13) + CHOOSE(CONTROL!$C$28, 0, 0)</f>
        <v>53.1081</v>
      </c>
      <c r="E562" s="4">
        <f>257.311864767382 * CHOOSE(CONTROL!$C$9, $C$13, 100%, $E$13) + CHOOSE(CONTROL!$C$28, 0, 0)</f>
        <v>257.31186476738202</v>
      </c>
    </row>
    <row r="563" spans="1:5" ht="15">
      <c r="A563" s="13">
        <v>58653</v>
      </c>
      <c r="B563" s="4">
        <f>38.644 * CHOOSE(CONTROL!$C$9, $C$13, 100%, $E$13) + CHOOSE(CONTROL!$C$28, 0.0192, 0)</f>
        <v>38.663199999999996</v>
      </c>
      <c r="C563" s="4">
        <f>38.2807 * CHOOSE(CONTROL!$C$9, $C$13, 100%, $E$13) + CHOOSE(CONTROL!$C$28, 0.0192, 0)</f>
        <v>38.299900000000001</v>
      </c>
      <c r="D563" s="4">
        <f>53.9538 * CHOOSE(CONTROL!$C$9, $C$13, 100%, $E$13) + CHOOSE(CONTROL!$C$28, 0, 0)</f>
        <v>53.953800000000001</v>
      </c>
      <c r="E563" s="4">
        <f>257.230022571209 * CHOOSE(CONTROL!$C$9, $C$13, 100%, $E$13) + CHOOSE(CONTROL!$C$28, 0, 0)</f>
        <v>257.23002257120902</v>
      </c>
    </row>
    <row r="564" spans="1:5" ht="15">
      <c r="A564" s="13">
        <v>58684</v>
      </c>
      <c r="B564" s="4">
        <f>39.5507 * CHOOSE(CONTROL!$C$9, $C$13, 100%, $E$13) + CHOOSE(CONTROL!$C$28, 0.0192, 0)</f>
        <v>39.569899999999997</v>
      </c>
      <c r="C564" s="4">
        <f>39.1874 * CHOOSE(CONTROL!$C$9, $C$13, 100%, $E$13) + CHOOSE(CONTROL!$C$28, 0.0192, 0)</f>
        <v>39.206599999999995</v>
      </c>
      <c r="D564" s="4">
        <f>53.3953 * CHOOSE(CONTROL!$C$9, $C$13, 100%, $E$13) + CHOOSE(CONTROL!$C$28, 0, 0)</f>
        <v>53.395299999999999</v>
      </c>
      <c r="E564" s="4">
        <f>263.388647833214 * CHOOSE(CONTROL!$C$9, $C$13, 100%, $E$13) + CHOOSE(CONTROL!$C$28, 0, 0)</f>
        <v>263.38864783321401</v>
      </c>
    </row>
    <row r="565" spans="1:5" ht="15">
      <c r="A565" s="13">
        <v>58714</v>
      </c>
      <c r="B565" s="4">
        <f>38.0054 * CHOOSE(CONTROL!$C$9, $C$13, 100%, $E$13) + CHOOSE(CONTROL!$C$28, 0.0192, 0)</f>
        <v>38.0246</v>
      </c>
      <c r="C565" s="4">
        <f>37.6421 * CHOOSE(CONTROL!$C$9, $C$13, 100%, $E$13) + CHOOSE(CONTROL!$C$28, 0.0192, 0)</f>
        <v>37.661299999999997</v>
      </c>
      <c r="D565" s="4">
        <f>53.1314 * CHOOSE(CONTROL!$C$9, $C$13, 100%, $E$13) + CHOOSE(CONTROL!$C$28, 0, 0)</f>
        <v>53.131399999999999</v>
      </c>
      <c r="E565" s="4">
        <f>252.892386174049 * CHOOSE(CONTROL!$C$9, $C$13, 100%, $E$13) + CHOOSE(CONTROL!$C$28, 0, 0)</f>
        <v>252.89238617404899</v>
      </c>
    </row>
    <row r="566" spans="1:5" ht="15">
      <c r="A566" s="13">
        <v>58745</v>
      </c>
      <c r="B566" s="4">
        <f>36.7684 * CHOOSE(CONTROL!$C$9, $C$13, 100%, $E$13) + CHOOSE(CONTROL!$C$28, 0.0003, 0)</f>
        <v>36.768700000000003</v>
      </c>
      <c r="C566" s="4">
        <f>36.4051 * CHOOSE(CONTROL!$C$9, $C$13, 100%, $E$13) + CHOOSE(CONTROL!$C$28, 0.0003, 0)</f>
        <v>36.4054</v>
      </c>
      <c r="D566" s="4">
        <f>52.4248 * CHOOSE(CONTROL!$C$9, $C$13, 100%, $E$13) + CHOOSE(CONTROL!$C$28, 0, 0)</f>
        <v>52.424799999999998</v>
      </c>
      <c r="E566" s="4">
        <f>244.489920700305 * CHOOSE(CONTROL!$C$9, $C$13, 100%, $E$13) + CHOOSE(CONTROL!$C$28, 0, 0)</f>
        <v>244.48992070030499</v>
      </c>
    </row>
    <row r="567" spans="1:5" ht="15">
      <c r="A567" s="13">
        <v>58775</v>
      </c>
      <c r="B567" s="4">
        <f>35.9716 * CHOOSE(CONTROL!$C$9, $C$13, 100%, $E$13) + CHOOSE(CONTROL!$C$28, 0.0003, 0)</f>
        <v>35.971900000000005</v>
      </c>
      <c r="C567" s="4">
        <f>35.6083 * CHOOSE(CONTROL!$C$9, $C$13, 100%, $E$13) + CHOOSE(CONTROL!$C$28, 0.0003, 0)</f>
        <v>35.608600000000003</v>
      </c>
      <c r="D567" s="4">
        <f>52.1819 * CHOOSE(CONTROL!$C$9, $C$13, 100%, $E$13) + CHOOSE(CONTROL!$C$28, 0, 0)</f>
        <v>52.181899999999999</v>
      </c>
      <c r="E567" s="4">
        <f>239.078105478376 * CHOOSE(CONTROL!$C$9, $C$13, 100%, $E$13) + CHOOSE(CONTROL!$C$28, 0, 0)</f>
        <v>239.07810547837599</v>
      </c>
    </row>
    <row r="568" spans="1:5" ht="15">
      <c r="A568" s="13">
        <v>58806</v>
      </c>
      <c r="B568" s="4">
        <f>35.4204 * CHOOSE(CONTROL!$C$9, $C$13, 100%, $E$13) + CHOOSE(CONTROL!$C$28, 0.0003, 0)</f>
        <v>35.420700000000004</v>
      </c>
      <c r="C568" s="4">
        <f>35.0571 * CHOOSE(CONTROL!$C$9, $C$13, 100%, $E$13) + CHOOSE(CONTROL!$C$28, 0.0003, 0)</f>
        <v>35.057400000000001</v>
      </c>
      <c r="D568" s="4">
        <f>50.3935 * CHOOSE(CONTROL!$C$9, $C$13, 100%, $E$13) + CHOOSE(CONTROL!$C$28, 0, 0)</f>
        <v>50.393500000000003</v>
      </c>
      <c r="E568" s="4">
        <f>235.333825003469 * CHOOSE(CONTROL!$C$9, $C$13, 100%, $E$13) + CHOOSE(CONTROL!$C$28, 0, 0)</f>
        <v>235.333825003469</v>
      </c>
    </row>
    <row r="569" spans="1:5" ht="15">
      <c r="A569" s="13">
        <v>58837</v>
      </c>
      <c r="B569" s="4">
        <f>33.9121 * CHOOSE(CONTROL!$C$9, $C$13, 100%, $E$13) + CHOOSE(CONTROL!$C$28, 0.0003, 0)</f>
        <v>33.912400000000005</v>
      </c>
      <c r="C569" s="4">
        <f>33.5489 * CHOOSE(CONTROL!$C$9, $C$13, 100%, $E$13) + CHOOSE(CONTROL!$C$28, 0.0003, 0)</f>
        <v>33.549200000000006</v>
      </c>
      <c r="D569" s="4">
        <f>48.4234 * CHOOSE(CONTROL!$C$9, $C$13, 100%, $E$13) + CHOOSE(CONTROL!$C$28, 0, 0)</f>
        <v>48.423400000000001</v>
      </c>
      <c r="E569" s="4">
        <f>225.531214934229 * CHOOSE(CONTROL!$C$9, $C$13, 100%, $E$13) + CHOOSE(CONTROL!$C$28, 0, 0)</f>
        <v>225.53121493422901</v>
      </c>
    </row>
    <row r="570" spans="1:5" ht="15">
      <c r="A570" s="13">
        <v>58865</v>
      </c>
      <c r="B570" s="4">
        <f>34.699 * CHOOSE(CONTROL!$C$9, $C$13, 100%, $E$13) + CHOOSE(CONTROL!$C$28, 0.0003, 0)</f>
        <v>34.699300000000001</v>
      </c>
      <c r="C570" s="4">
        <f>34.3357 * CHOOSE(CONTROL!$C$9, $C$13, 100%, $E$13) + CHOOSE(CONTROL!$C$28, 0.0003, 0)</f>
        <v>34.336000000000006</v>
      </c>
      <c r="D570" s="4">
        <f>50.0671 * CHOOSE(CONTROL!$C$9, $C$13, 100%, $E$13) + CHOOSE(CONTROL!$C$28, 0, 0)</f>
        <v>50.067100000000003</v>
      </c>
      <c r="E570" s="4">
        <f>230.886214774861 * CHOOSE(CONTROL!$C$9, $C$13, 100%, $E$13) + CHOOSE(CONTROL!$C$28, 0, 0)</f>
        <v>230.886214774861</v>
      </c>
    </row>
    <row r="571" spans="1:5" ht="15">
      <c r="A571" s="13">
        <v>58893</v>
      </c>
      <c r="B571" s="4">
        <f>36.7653 * CHOOSE(CONTROL!$C$9, $C$13, 100%, $E$13) + CHOOSE(CONTROL!$C$28, 0.0003, 0)</f>
        <v>36.765600000000006</v>
      </c>
      <c r="C571" s="4">
        <f>36.402 * CHOOSE(CONTROL!$C$9, $C$13, 100%, $E$13) + CHOOSE(CONTROL!$C$28, 0.0003, 0)</f>
        <v>36.402300000000004</v>
      </c>
      <c r="D571" s="4">
        <f>52.6402 * CHOOSE(CONTROL!$C$9, $C$13, 100%, $E$13) + CHOOSE(CONTROL!$C$28, 0, 0)</f>
        <v>52.6402</v>
      </c>
      <c r="E571" s="4">
        <f>244.948728938337 * CHOOSE(CONTROL!$C$9, $C$13, 100%, $E$13) + CHOOSE(CONTROL!$C$28, 0, 0)</f>
        <v>244.94872893833701</v>
      </c>
    </row>
    <row r="572" spans="1:5" ht="15">
      <c r="A572" s="13">
        <v>58926</v>
      </c>
      <c r="B572" s="4">
        <f>38.2334 * CHOOSE(CONTROL!$C$9, $C$13, 100%, $E$13) + CHOOSE(CONTROL!$C$28, 0.0003, 0)</f>
        <v>38.233700000000006</v>
      </c>
      <c r="C572" s="4">
        <f>37.8701 * CHOOSE(CONTROL!$C$9, $C$13, 100%, $E$13) + CHOOSE(CONTROL!$C$28, 0.0003, 0)</f>
        <v>37.870400000000004</v>
      </c>
      <c r="D572" s="4">
        <f>54.1224 * CHOOSE(CONTROL!$C$9, $C$13, 100%, $E$13) + CHOOSE(CONTROL!$C$28, 0, 0)</f>
        <v>54.122399999999999</v>
      </c>
      <c r="E572" s="4">
        <f>254.940332659129 * CHOOSE(CONTROL!$C$9, $C$13, 100%, $E$13) + CHOOSE(CONTROL!$C$28, 0, 0)</f>
        <v>254.94033265912901</v>
      </c>
    </row>
    <row r="573" spans="1:5" ht="15">
      <c r="A573" s="13">
        <v>58957</v>
      </c>
      <c r="B573" s="4">
        <f>39.1304 * CHOOSE(CONTROL!$C$9, $C$13, 100%, $E$13) + CHOOSE(CONTROL!$C$28, 0.0192, 0)</f>
        <v>39.1496</v>
      </c>
      <c r="C573" s="4">
        <f>38.7671 * CHOOSE(CONTROL!$C$9, $C$13, 100%, $E$13) + CHOOSE(CONTROL!$C$28, 0.0192, 0)</f>
        <v>38.786299999999997</v>
      </c>
      <c r="D573" s="4">
        <f>53.5367 * CHOOSE(CONTROL!$C$9, $C$13, 100%, $E$13) + CHOOSE(CONTROL!$C$28, 0, 0)</f>
        <v>53.536700000000003</v>
      </c>
      <c r="E573" s="4">
        <f>261.044963067213 * CHOOSE(CONTROL!$C$9, $C$13, 100%, $E$13) + CHOOSE(CONTROL!$C$28, 0, 0)</f>
        <v>261.04496306721302</v>
      </c>
    </row>
    <row r="574" spans="1:5" ht="15">
      <c r="A574" s="13">
        <v>58987</v>
      </c>
      <c r="B574" s="4">
        <f>39.2518 * CHOOSE(CONTROL!$C$9, $C$13, 100%, $E$13) + CHOOSE(CONTROL!$C$28, 0.0192, 0)</f>
        <v>39.271000000000001</v>
      </c>
      <c r="C574" s="4">
        <f>38.8885 * CHOOSE(CONTROL!$C$9, $C$13, 100%, $E$13) + CHOOSE(CONTROL!$C$28, 0.0192, 0)</f>
        <v>38.907699999999998</v>
      </c>
      <c r="D574" s="4">
        <f>54.0137 * CHOOSE(CONTROL!$C$9, $C$13, 100%, $E$13) + CHOOSE(CONTROL!$C$28, 0, 0)</f>
        <v>54.0137</v>
      </c>
      <c r="E574" s="4">
        <f>261.870944896163 * CHOOSE(CONTROL!$C$9, $C$13, 100%, $E$13) + CHOOSE(CONTROL!$C$28, 0, 0)</f>
        <v>261.870944896163</v>
      </c>
    </row>
    <row r="575" spans="1:5" ht="15">
      <c r="A575" s="13">
        <v>59018</v>
      </c>
      <c r="B575" s="4">
        <f>39.2395 * CHOOSE(CONTROL!$C$9, $C$13, 100%, $E$13) + CHOOSE(CONTROL!$C$28, 0.0192, 0)</f>
        <v>39.258699999999997</v>
      </c>
      <c r="C575" s="4">
        <f>38.8763 * CHOOSE(CONTROL!$C$9, $C$13, 100%, $E$13) + CHOOSE(CONTROL!$C$28, 0.0192, 0)</f>
        <v>38.895499999999998</v>
      </c>
      <c r="D575" s="4">
        <f>54.8744 * CHOOSE(CONTROL!$C$9, $C$13, 100%, $E$13) + CHOOSE(CONTROL!$C$28, 0, 0)</f>
        <v>54.874400000000001</v>
      </c>
      <c r="E575" s="4">
        <f>261.787652610891 * CHOOSE(CONTROL!$C$9, $C$13, 100%, $E$13) + CHOOSE(CONTROL!$C$28, 0, 0)</f>
        <v>261.78765261089097</v>
      </c>
    </row>
    <row r="576" spans="1:5" ht="15">
      <c r="A576" s="13">
        <v>59049</v>
      </c>
      <c r="B576" s="4">
        <f>40.1605 * CHOOSE(CONTROL!$C$9, $C$13, 100%, $E$13) + CHOOSE(CONTROL!$C$28, 0.0192, 0)</f>
        <v>40.179699999999997</v>
      </c>
      <c r="C576" s="4">
        <f>39.7972 * CHOOSE(CONTROL!$C$9, $C$13, 100%, $E$13) + CHOOSE(CONTROL!$C$28, 0.0192, 0)</f>
        <v>39.816399999999994</v>
      </c>
      <c r="D576" s="4">
        <f>54.306 * CHOOSE(CONTROL!$C$9, $C$13, 100%, $E$13) + CHOOSE(CONTROL!$C$28, 0, 0)</f>
        <v>54.305999999999997</v>
      </c>
      <c r="E576" s="4">
        <f>268.055397077632 * CHOOSE(CONTROL!$C$9, $C$13, 100%, $E$13) + CHOOSE(CONTROL!$C$28, 0, 0)</f>
        <v>268.05539707763199</v>
      </c>
    </row>
    <row r="577" spans="1:5" ht="15">
      <c r="A577" s="13">
        <v>59079</v>
      </c>
      <c r="B577" s="4">
        <f>38.5909 * CHOOSE(CONTROL!$C$9, $C$13, 100%, $E$13) + CHOOSE(CONTROL!$C$28, 0.0192, 0)</f>
        <v>38.610099999999996</v>
      </c>
      <c r="C577" s="4">
        <f>38.2276 * CHOOSE(CONTROL!$C$9, $C$13, 100%, $E$13) + CHOOSE(CONTROL!$C$28, 0.0192, 0)</f>
        <v>38.2468</v>
      </c>
      <c r="D577" s="4">
        <f>54.0374 * CHOOSE(CONTROL!$C$9, $C$13, 100%, $E$13) + CHOOSE(CONTROL!$C$28, 0, 0)</f>
        <v>54.037399999999998</v>
      </c>
      <c r="E577" s="4">
        <f>257.373161491458 * CHOOSE(CONTROL!$C$9, $C$13, 100%, $E$13) + CHOOSE(CONTROL!$C$28, 0, 0)</f>
        <v>257.37316149145801</v>
      </c>
    </row>
    <row r="578" spans="1:5" ht="15">
      <c r="A578" s="13">
        <v>59110</v>
      </c>
      <c r="B578" s="4">
        <f>37.3344 * CHOOSE(CONTROL!$C$9, $C$13, 100%, $E$13) + CHOOSE(CONTROL!$C$28, 0.0003, 0)</f>
        <v>37.334700000000005</v>
      </c>
      <c r="C578" s="4">
        <f>36.9711 * CHOOSE(CONTROL!$C$9, $C$13, 100%, $E$13) + CHOOSE(CONTROL!$C$28, 0.0003, 0)</f>
        <v>36.971400000000003</v>
      </c>
      <c r="D578" s="4">
        <f>53.3184 * CHOOSE(CONTROL!$C$9, $C$13, 100%, $E$13) + CHOOSE(CONTROL!$C$28, 0, 0)</f>
        <v>53.318399999999997</v>
      </c>
      <c r="E578" s="4">
        <f>248.8218202035 * CHOOSE(CONTROL!$C$9, $C$13, 100%, $E$13) + CHOOSE(CONTROL!$C$28, 0, 0)</f>
        <v>248.82182020350001</v>
      </c>
    </row>
    <row r="579" spans="1:5" ht="15">
      <c r="A579" s="13">
        <v>59140</v>
      </c>
      <c r="B579" s="4">
        <f>36.5251 * CHOOSE(CONTROL!$C$9, $C$13, 100%, $E$13) + CHOOSE(CONTROL!$C$28, 0.0003, 0)</f>
        <v>36.525400000000005</v>
      </c>
      <c r="C579" s="4">
        <f>36.1618 * CHOOSE(CONTROL!$C$9, $C$13, 100%, $E$13) + CHOOSE(CONTROL!$C$28, 0.0003, 0)</f>
        <v>36.162100000000002</v>
      </c>
      <c r="D579" s="4">
        <f>53.0711 * CHOOSE(CONTROL!$C$9, $C$13, 100%, $E$13) + CHOOSE(CONTROL!$C$28, 0, 0)</f>
        <v>53.071100000000001</v>
      </c>
      <c r="E579" s="4">
        <f>243.314117839868 * CHOOSE(CONTROL!$C$9, $C$13, 100%, $E$13) + CHOOSE(CONTROL!$C$28, 0, 0)</f>
        <v>243.314117839868</v>
      </c>
    </row>
    <row r="580" spans="1:5" ht="15">
      <c r="A580" s="13">
        <v>59171</v>
      </c>
      <c r="B580" s="4">
        <f>35.9652 * CHOOSE(CONTROL!$C$9, $C$13, 100%, $E$13) + CHOOSE(CONTROL!$C$28, 0.0003, 0)</f>
        <v>35.965500000000006</v>
      </c>
      <c r="C580" s="4">
        <f>35.6019 * CHOOSE(CONTROL!$C$9, $C$13, 100%, $E$13) + CHOOSE(CONTROL!$C$28, 0.0003, 0)</f>
        <v>35.602200000000003</v>
      </c>
      <c r="D580" s="4">
        <f>51.2511 * CHOOSE(CONTROL!$C$9, $C$13, 100%, $E$13) + CHOOSE(CONTROL!$C$28, 0, 0)</f>
        <v>51.251100000000001</v>
      </c>
      <c r="E580" s="4">
        <f>239.50349578866 * CHOOSE(CONTROL!$C$9, $C$13, 100%, $E$13) + CHOOSE(CONTROL!$C$28, 0, 0)</f>
        <v>239.50349578865999</v>
      </c>
    </row>
    <row r="581" spans="1:5" ht="15">
      <c r="A581" s="13">
        <v>59202</v>
      </c>
      <c r="B581" s="4">
        <f>34.4333 * CHOOSE(CONTROL!$C$9, $C$13, 100%, $E$13) + CHOOSE(CONTROL!$C$28, 0.0003, 0)</f>
        <v>34.433600000000006</v>
      </c>
      <c r="C581" s="4">
        <f>34.07 * CHOOSE(CONTROL!$C$9, $C$13, 100%, $E$13) + CHOOSE(CONTROL!$C$28, 0.0003, 0)</f>
        <v>34.070300000000003</v>
      </c>
      <c r="D581" s="4">
        <f>49.2463 * CHOOSE(CONTROL!$C$9, $C$13, 100%, $E$13) + CHOOSE(CONTROL!$C$28, 0, 0)</f>
        <v>49.246299999999998</v>
      </c>
      <c r="E581" s="4">
        <f>229.527201988133 * CHOOSE(CONTROL!$C$9, $C$13, 100%, $E$13) + CHOOSE(CONTROL!$C$28, 0, 0)</f>
        <v>229.52720198813299</v>
      </c>
    </row>
    <row r="582" spans="1:5" ht="15">
      <c r="A582" s="13">
        <v>59230</v>
      </c>
      <c r="B582" s="4">
        <f>35.2325 * CHOOSE(CONTROL!$C$9, $C$13, 100%, $E$13) + CHOOSE(CONTROL!$C$28, 0.0003, 0)</f>
        <v>35.232800000000005</v>
      </c>
      <c r="C582" s="4">
        <f>34.8692 * CHOOSE(CONTROL!$C$9, $C$13, 100%, $E$13) + CHOOSE(CONTROL!$C$28, 0.0003, 0)</f>
        <v>34.869500000000002</v>
      </c>
      <c r="D582" s="4">
        <f>50.919 * CHOOSE(CONTROL!$C$9, $C$13, 100%, $E$13) + CHOOSE(CONTROL!$C$28, 0, 0)</f>
        <v>50.918999999999997</v>
      </c>
      <c r="E582" s="4">
        <f>234.977082309249 * CHOOSE(CONTROL!$C$9, $C$13, 100%, $E$13) + CHOOSE(CONTROL!$C$28, 0, 0)</f>
        <v>234.977082309249</v>
      </c>
    </row>
    <row r="583" spans="1:5" ht="15">
      <c r="A583" s="13">
        <v>59261</v>
      </c>
      <c r="B583" s="4">
        <f>37.3313 * CHOOSE(CONTROL!$C$9, $C$13, 100%, $E$13) + CHOOSE(CONTROL!$C$28, 0.0003, 0)</f>
        <v>37.331600000000002</v>
      </c>
      <c r="C583" s="4">
        <f>36.968 * CHOOSE(CONTROL!$C$9, $C$13, 100%, $E$13) + CHOOSE(CONTROL!$C$28, 0.0003, 0)</f>
        <v>36.968300000000006</v>
      </c>
      <c r="D583" s="4">
        <f>53.5375 * CHOOSE(CONTROL!$C$9, $C$13, 100%, $E$13) + CHOOSE(CONTROL!$C$28, 0, 0)</f>
        <v>53.537500000000001</v>
      </c>
      <c r="E583" s="4">
        <f>249.288757656728 * CHOOSE(CONTROL!$C$9, $C$13, 100%, $E$13) + CHOOSE(CONTROL!$C$28, 0, 0)</f>
        <v>249.288757656728</v>
      </c>
    </row>
    <row r="584" spans="1:5" ht="15">
      <c r="A584" s="13">
        <v>59291</v>
      </c>
      <c r="B584" s="4">
        <f>38.8225 * CHOOSE(CONTROL!$C$9, $C$13, 100%, $E$13) + CHOOSE(CONTROL!$C$28, 0.0003, 0)</f>
        <v>38.822800000000001</v>
      </c>
      <c r="C584" s="4">
        <f>38.4592 * CHOOSE(CONTROL!$C$9, $C$13, 100%, $E$13) + CHOOSE(CONTROL!$C$28, 0.0003, 0)</f>
        <v>38.459500000000006</v>
      </c>
      <c r="D584" s="4">
        <f>55.0459 * CHOOSE(CONTROL!$C$9, $C$13, 100%, $E$13) + CHOOSE(CONTROL!$C$28, 0, 0)</f>
        <v>55.045900000000003</v>
      </c>
      <c r="E584" s="4">
        <f>259.457393719263 * CHOOSE(CONTROL!$C$9, $C$13, 100%, $E$13) + CHOOSE(CONTROL!$C$28, 0, 0)</f>
        <v>259.457393719263</v>
      </c>
    </row>
    <row r="585" spans="1:5" ht="15">
      <c r="A585" s="13">
        <v>59322</v>
      </c>
      <c r="B585" s="4">
        <f>39.7336 * CHOOSE(CONTROL!$C$9, $C$13, 100%, $E$13) + CHOOSE(CONTROL!$C$28, 0.0192, 0)</f>
        <v>39.752800000000001</v>
      </c>
      <c r="C585" s="4">
        <f>39.3703 * CHOOSE(CONTROL!$C$9, $C$13, 100%, $E$13) + CHOOSE(CONTROL!$C$28, 0.0192, 0)</f>
        <v>39.389499999999998</v>
      </c>
      <c r="D585" s="4">
        <f>54.4499 * CHOOSE(CONTROL!$C$9, $C$13, 100%, $E$13) + CHOOSE(CONTROL!$C$28, 0, 0)</f>
        <v>54.4499</v>
      </c>
      <c r="E585" s="4">
        <f>265.670186645278 * CHOOSE(CONTROL!$C$9, $C$13, 100%, $E$13) + CHOOSE(CONTROL!$C$28, 0, 0)</f>
        <v>265.67018664527802</v>
      </c>
    </row>
    <row r="586" spans="1:5" ht="15">
      <c r="A586" s="13">
        <v>59352</v>
      </c>
      <c r="B586" s="4">
        <f>39.8568 * CHOOSE(CONTROL!$C$9, $C$13, 100%, $E$13) + CHOOSE(CONTROL!$C$28, 0.0192, 0)</f>
        <v>39.875999999999998</v>
      </c>
      <c r="C586" s="4">
        <f>39.4936 * CHOOSE(CONTROL!$C$9, $C$13, 100%, $E$13) + CHOOSE(CONTROL!$C$28, 0.0192, 0)</f>
        <v>39.512799999999999</v>
      </c>
      <c r="D586" s="4">
        <f>54.9353 * CHOOSE(CONTROL!$C$9, $C$13, 100%, $E$13) + CHOOSE(CONTROL!$C$28, 0, 0)</f>
        <v>54.935299999999998</v>
      </c>
      <c r="E586" s="4">
        <f>266.510803311789 * CHOOSE(CONTROL!$C$9, $C$13, 100%, $E$13) + CHOOSE(CONTROL!$C$28, 0, 0)</f>
        <v>266.510803311789</v>
      </c>
    </row>
    <row r="587" spans="1:5" ht="15">
      <c r="A587" s="13">
        <v>59383</v>
      </c>
      <c r="B587" s="4">
        <f>39.8444 * CHOOSE(CONTROL!$C$9, $C$13, 100%, $E$13) + CHOOSE(CONTROL!$C$28, 0.0192, 0)</f>
        <v>39.863599999999998</v>
      </c>
      <c r="C587" s="4">
        <f>39.4811 * CHOOSE(CONTROL!$C$9, $C$13, 100%, $E$13) + CHOOSE(CONTROL!$C$28, 0.0192, 0)</f>
        <v>39.500299999999996</v>
      </c>
      <c r="D587" s="4">
        <f>55.8112 * CHOOSE(CONTROL!$C$9, $C$13, 100%, $E$13) + CHOOSE(CONTROL!$C$28, 0, 0)</f>
        <v>55.811199999999999</v>
      </c>
      <c r="E587" s="4">
        <f>266.426035244578 * CHOOSE(CONTROL!$C$9, $C$13, 100%, $E$13) + CHOOSE(CONTROL!$C$28, 0, 0)</f>
        <v>266.42603524457797</v>
      </c>
    </row>
    <row r="588" spans="1:5" ht="15">
      <c r="A588" s="13">
        <v>59414</v>
      </c>
      <c r="B588" s="4">
        <f>40.7799 * CHOOSE(CONTROL!$C$9, $C$13, 100%, $E$13) + CHOOSE(CONTROL!$C$28, 0.0192, 0)</f>
        <v>40.799099999999996</v>
      </c>
      <c r="C588" s="4">
        <f>40.4166 * CHOOSE(CONTROL!$C$9, $C$13, 100%, $E$13) + CHOOSE(CONTROL!$C$28, 0.0192, 0)</f>
        <v>40.4358</v>
      </c>
      <c r="D588" s="4">
        <f>55.2327 * CHOOSE(CONTROL!$C$9, $C$13, 100%, $E$13) + CHOOSE(CONTROL!$C$28, 0, 0)</f>
        <v>55.232700000000001</v>
      </c>
      <c r="E588" s="4">
        <f>272.804832302215 * CHOOSE(CONTROL!$C$9, $C$13, 100%, $E$13) + CHOOSE(CONTROL!$C$28, 0, 0)</f>
        <v>272.804832302215</v>
      </c>
    </row>
    <row r="589" spans="1:5" ht="15">
      <c r="A589" s="13">
        <v>59444</v>
      </c>
      <c r="B589" s="4">
        <f>39.1856 * CHOOSE(CONTROL!$C$9, $C$13, 100%, $E$13) + CHOOSE(CONTROL!$C$28, 0.0192, 0)</f>
        <v>39.204799999999999</v>
      </c>
      <c r="C589" s="4">
        <f>38.8223 * CHOOSE(CONTROL!$C$9, $C$13, 100%, $E$13) + CHOOSE(CONTROL!$C$28, 0.0192, 0)</f>
        <v>38.841499999999996</v>
      </c>
      <c r="D589" s="4">
        <f>54.9594 * CHOOSE(CONTROL!$C$9, $C$13, 100%, $E$13) + CHOOSE(CONTROL!$C$28, 0, 0)</f>
        <v>54.959400000000002</v>
      </c>
      <c r="E589" s="4">
        <f>261.933327682388 * CHOOSE(CONTROL!$C$9, $C$13, 100%, $E$13) + CHOOSE(CONTROL!$C$28, 0, 0)</f>
        <v>261.93332768238798</v>
      </c>
    </row>
    <row r="590" spans="1:5" ht="15">
      <c r="A590" s="13">
        <v>59475</v>
      </c>
      <c r="B590" s="4">
        <f>37.9093 * CHOOSE(CONTROL!$C$9, $C$13, 100%, $E$13) + CHOOSE(CONTROL!$C$28, 0.0003, 0)</f>
        <v>37.909600000000005</v>
      </c>
      <c r="C590" s="4">
        <f>37.546 * CHOOSE(CONTROL!$C$9, $C$13, 100%, $E$13) + CHOOSE(CONTROL!$C$28, 0.0003, 0)</f>
        <v>37.546300000000002</v>
      </c>
      <c r="D590" s="4">
        <f>54.2277 * CHOOSE(CONTROL!$C$9, $C$13, 100%, $E$13) + CHOOSE(CONTROL!$C$28, 0, 0)</f>
        <v>54.227699999999999</v>
      </c>
      <c r="E590" s="4">
        <f>253.230472782045 * CHOOSE(CONTROL!$C$9, $C$13, 100%, $E$13) + CHOOSE(CONTROL!$C$28, 0, 0)</f>
        <v>253.23047278204501</v>
      </c>
    </row>
    <row r="591" spans="1:5" ht="15">
      <c r="A591" s="13">
        <v>59505</v>
      </c>
      <c r="B591" s="4">
        <f>37.0873 * CHOOSE(CONTROL!$C$9, $C$13, 100%, $E$13) + CHOOSE(CONTROL!$C$28, 0.0003, 0)</f>
        <v>37.087600000000002</v>
      </c>
      <c r="C591" s="4">
        <f>36.724 * CHOOSE(CONTROL!$C$9, $C$13, 100%, $E$13) + CHOOSE(CONTROL!$C$28, 0.0003, 0)</f>
        <v>36.724299999999999</v>
      </c>
      <c r="D591" s="4">
        <f>53.9761 * CHOOSE(CONTROL!$C$9, $C$13, 100%, $E$13) + CHOOSE(CONTROL!$C$28, 0, 0)</f>
        <v>53.976100000000002</v>
      </c>
      <c r="E591" s="4">
        <f>247.625184337709 * CHOOSE(CONTROL!$C$9, $C$13, 100%, $E$13) + CHOOSE(CONTROL!$C$28, 0, 0)</f>
        <v>247.62518433770899</v>
      </c>
    </row>
    <row r="592" spans="1:5" ht="15">
      <c r="A592" s="13">
        <v>59536</v>
      </c>
      <c r="B592" s="4">
        <f>36.5186 * CHOOSE(CONTROL!$C$9, $C$13, 100%, $E$13) + CHOOSE(CONTROL!$C$28, 0.0003, 0)</f>
        <v>36.518900000000002</v>
      </c>
      <c r="C592" s="4">
        <f>36.1553 * CHOOSE(CONTROL!$C$9, $C$13, 100%, $E$13) + CHOOSE(CONTROL!$C$28, 0.0003, 0)</f>
        <v>36.1556</v>
      </c>
      <c r="D592" s="4">
        <f>52.1239 * CHOOSE(CONTROL!$C$9, $C$13, 100%, $E$13) + CHOOSE(CONTROL!$C$28, 0, 0)</f>
        <v>52.123899999999999</v>
      </c>
      <c r="E592" s="4">
        <f>243.7470452628 * CHOOSE(CONTROL!$C$9, $C$13, 100%, $E$13) + CHOOSE(CONTROL!$C$28, 0, 0)</f>
        <v>243.74704526279999</v>
      </c>
    </row>
    <row r="593" spans="1:5" ht="15">
      <c r="A593" s="13">
        <v>59567</v>
      </c>
      <c r="B593" s="4">
        <f>34.9626 * CHOOSE(CONTROL!$C$9, $C$13, 100%, $E$13) + CHOOSE(CONTROL!$C$28, 0.0003, 0)</f>
        <v>34.962900000000005</v>
      </c>
      <c r="C593" s="4">
        <f>34.5993 * CHOOSE(CONTROL!$C$9, $C$13, 100%, $E$13) + CHOOSE(CONTROL!$C$28, 0.0003, 0)</f>
        <v>34.599600000000002</v>
      </c>
      <c r="D593" s="4">
        <f>50.0836 * CHOOSE(CONTROL!$C$9, $C$13, 100%, $E$13) + CHOOSE(CONTROL!$C$28, 0, 0)</f>
        <v>50.083599999999997</v>
      </c>
      <c r="E593" s="4">
        <f>233.593990383394 * CHOOSE(CONTROL!$C$9, $C$13, 100%, $E$13) + CHOOSE(CONTROL!$C$28, 0, 0)</f>
        <v>233.59399038339399</v>
      </c>
    </row>
    <row r="594" spans="1:5" ht="15">
      <c r="A594" s="13">
        <v>59595</v>
      </c>
      <c r="B594" s="4">
        <f>35.7743 * CHOOSE(CONTROL!$C$9, $C$13, 100%, $E$13) + CHOOSE(CONTROL!$C$28, 0.0003, 0)</f>
        <v>35.7746</v>
      </c>
      <c r="C594" s="4">
        <f>35.4111 * CHOOSE(CONTROL!$C$9, $C$13, 100%, $E$13) + CHOOSE(CONTROL!$C$28, 0.0003, 0)</f>
        <v>35.4114</v>
      </c>
      <c r="D594" s="4">
        <f>51.7859 * CHOOSE(CONTROL!$C$9, $C$13, 100%, $E$13) + CHOOSE(CONTROL!$C$28, 0, 0)</f>
        <v>51.785899999999998</v>
      </c>
      <c r="E594" s="4">
        <f>239.140432287858 * CHOOSE(CONTROL!$C$9, $C$13, 100%, $E$13) + CHOOSE(CONTROL!$C$28, 0, 0)</f>
        <v>239.140432287858</v>
      </c>
    </row>
    <row r="595" spans="1:5" ht="15">
      <c r="A595" s="13">
        <v>59626</v>
      </c>
      <c r="B595" s="4">
        <f>37.9061 * CHOOSE(CONTROL!$C$9, $C$13, 100%, $E$13) + CHOOSE(CONTROL!$C$28, 0.0003, 0)</f>
        <v>37.906400000000005</v>
      </c>
      <c r="C595" s="4">
        <f>37.5428 * CHOOSE(CONTROL!$C$9, $C$13, 100%, $E$13) + CHOOSE(CONTROL!$C$28, 0.0003, 0)</f>
        <v>37.543100000000003</v>
      </c>
      <c r="D595" s="4">
        <f>54.4507 * CHOOSE(CONTROL!$C$9, $C$13, 100%, $E$13) + CHOOSE(CONTROL!$C$28, 0, 0)</f>
        <v>54.450699999999998</v>
      </c>
      <c r="E595" s="4">
        <f>253.705683484803 * CHOOSE(CONTROL!$C$9, $C$13, 100%, $E$13) + CHOOSE(CONTROL!$C$28, 0, 0)</f>
        <v>253.70568348480299</v>
      </c>
    </row>
    <row r="596" spans="1:5" ht="15">
      <c r="A596" s="13">
        <v>59656</v>
      </c>
      <c r="B596" s="4">
        <f>39.4208 * CHOOSE(CONTROL!$C$9, $C$13, 100%, $E$13) + CHOOSE(CONTROL!$C$28, 0.0003, 0)</f>
        <v>39.421100000000003</v>
      </c>
      <c r="C596" s="4">
        <f>39.0575 * CHOOSE(CONTROL!$C$9, $C$13, 100%, $E$13) + CHOOSE(CONTROL!$C$28, 0.0003, 0)</f>
        <v>39.0578</v>
      </c>
      <c r="D596" s="4">
        <f>55.9858 * CHOOSE(CONTROL!$C$9, $C$13, 100%, $E$13) + CHOOSE(CONTROL!$C$28, 0, 0)</f>
        <v>55.985799999999998</v>
      </c>
      <c r="E596" s="4">
        <f>264.054488567727 * CHOOSE(CONTROL!$C$9, $C$13, 100%, $E$13) + CHOOSE(CONTROL!$C$28, 0, 0)</f>
        <v>264.05448856772699</v>
      </c>
    </row>
    <row r="597" spans="1:5" ht="15">
      <c r="A597" s="13">
        <v>59687</v>
      </c>
      <c r="B597" s="4">
        <f>40.3462 * CHOOSE(CONTROL!$C$9, $C$13, 100%, $E$13) + CHOOSE(CONTROL!$C$28, 0.0192, 0)</f>
        <v>40.365400000000001</v>
      </c>
      <c r="C597" s="4">
        <f>39.9829 * CHOOSE(CONTROL!$C$9, $C$13, 100%, $E$13) + CHOOSE(CONTROL!$C$28, 0.0192, 0)</f>
        <v>40.002099999999999</v>
      </c>
      <c r="D597" s="4">
        <f>55.3792 * CHOOSE(CONTROL!$C$9, $C$13, 100%, $E$13) + CHOOSE(CONTROL!$C$28, 0, 0)</f>
        <v>55.379199999999997</v>
      </c>
      <c r="E597" s="4">
        <f>270.377360447151 * CHOOSE(CONTROL!$C$9, $C$13, 100%, $E$13) + CHOOSE(CONTROL!$C$28, 0, 0)</f>
        <v>270.37736044715098</v>
      </c>
    </row>
    <row r="598" spans="1:5" ht="15">
      <c r="A598" s="13">
        <v>59717</v>
      </c>
      <c r="B598" s="4">
        <f>40.4714 * CHOOSE(CONTROL!$C$9, $C$13, 100%, $E$13) + CHOOSE(CONTROL!$C$28, 0.0192, 0)</f>
        <v>40.490600000000001</v>
      </c>
      <c r="C598" s="4">
        <f>40.1081 * CHOOSE(CONTROL!$C$9, $C$13, 100%, $E$13) + CHOOSE(CONTROL!$C$28, 0.0192, 0)</f>
        <v>40.127299999999998</v>
      </c>
      <c r="D598" s="4">
        <f>55.8732 * CHOOSE(CONTROL!$C$9, $C$13, 100%, $E$13) + CHOOSE(CONTROL!$C$28, 0, 0)</f>
        <v>55.873199999999997</v>
      </c>
      <c r="E598" s="4">
        <f>271.232871252895 * CHOOSE(CONTROL!$C$9, $C$13, 100%, $E$13) + CHOOSE(CONTROL!$C$28, 0, 0)</f>
        <v>271.23287125289499</v>
      </c>
    </row>
    <row r="599" spans="1:5" ht="15">
      <c r="A599" s="13">
        <v>59748</v>
      </c>
      <c r="B599" s="4">
        <f>40.4588 * CHOOSE(CONTROL!$C$9, $C$13, 100%, $E$13) + CHOOSE(CONTROL!$C$28, 0.0192, 0)</f>
        <v>40.477999999999994</v>
      </c>
      <c r="C599" s="4">
        <f>40.0955 * CHOOSE(CONTROL!$C$9, $C$13, 100%, $E$13) + CHOOSE(CONTROL!$C$28, 0.0192, 0)</f>
        <v>40.114699999999999</v>
      </c>
      <c r="D599" s="4">
        <f>56.7645 * CHOOSE(CONTROL!$C$9, $C$13, 100%, $E$13) + CHOOSE(CONTROL!$C$28, 0, 0)</f>
        <v>56.764499999999998</v>
      </c>
      <c r="E599" s="4">
        <f>271.146601255677 * CHOOSE(CONTROL!$C$9, $C$13, 100%, $E$13) + CHOOSE(CONTROL!$C$28, 0, 0)</f>
        <v>271.14660125567701</v>
      </c>
    </row>
    <row r="600" spans="1:5" ht="15">
      <c r="A600" s="13">
        <v>59779</v>
      </c>
      <c r="B600" s="4">
        <f>41.4089 * CHOOSE(CONTROL!$C$9, $C$13, 100%, $E$13) + CHOOSE(CONTROL!$C$28, 0.0192, 0)</f>
        <v>41.428100000000001</v>
      </c>
      <c r="C600" s="4">
        <f>41.0457 * CHOOSE(CONTROL!$C$9, $C$13, 100%, $E$13) + CHOOSE(CONTROL!$C$28, 0.0192, 0)</f>
        <v>41.064899999999994</v>
      </c>
      <c r="D600" s="4">
        <f>56.1759 * CHOOSE(CONTROL!$C$9, $C$13, 100%, $E$13) + CHOOSE(CONTROL!$C$28, 0, 0)</f>
        <v>56.175899999999999</v>
      </c>
      <c r="E600" s="4">
        <f>277.63841854632 * CHOOSE(CONTROL!$C$9, $C$13, 100%, $E$13) + CHOOSE(CONTROL!$C$28, 0, 0)</f>
        <v>277.63841854632</v>
      </c>
    </row>
    <row r="601" spans="1:5" ht="15">
      <c r="A601" s="13">
        <v>59809</v>
      </c>
      <c r="B601" s="4">
        <f>39.7896 * CHOOSE(CONTROL!$C$9, $C$13, 100%, $E$13) + CHOOSE(CONTROL!$C$28, 0.0192, 0)</f>
        <v>39.808799999999998</v>
      </c>
      <c r="C601" s="4">
        <f>39.4263 * CHOOSE(CONTROL!$C$9, $C$13, 100%, $E$13) + CHOOSE(CONTROL!$C$28, 0.0192, 0)</f>
        <v>39.445499999999996</v>
      </c>
      <c r="D601" s="4">
        <f>55.8978 * CHOOSE(CONTROL!$C$9, $C$13, 100%, $E$13) + CHOOSE(CONTROL!$C$28, 0, 0)</f>
        <v>55.897799999999997</v>
      </c>
      <c r="E601" s="4">
        <f>266.574291403131 * CHOOSE(CONTROL!$C$9, $C$13, 100%, $E$13) + CHOOSE(CONTROL!$C$28, 0, 0)</f>
        <v>266.57429140313099</v>
      </c>
    </row>
    <row r="602" spans="1:5" ht="15">
      <c r="A602" s="13">
        <v>59840</v>
      </c>
      <c r="B602" s="4">
        <f>38.4933 * CHOOSE(CONTROL!$C$9, $C$13, 100%, $E$13) + CHOOSE(CONTROL!$C$28, 0.0003, 0)</f>
        <v>38.493600000000001</v>
      </c>
      <c r="C602" s="4">
        <f>38.13 * CHOOSE(CONTROL!$C$9, $C$13, 100%, $E$13) + CHOOSE(CONTROL!$C$28, 0.0003, 0)</f>
        <v>38.130300000000005</v>
      </c>
      <c r="D602" s="4">
        <f>55.1531 * CHOOSE(CONTROL!$C$9, $C$13, 100%, $E$13) + CHOOSE(CONTROL!$C$28, 0, 0)</f>
        <v>55.153100000000002</v>
      </c>
      <c r="E602" s="4">
        <f>257.717238355433 * CHOOSE(CONTROL!$C$9, $C$13, 100%, $E$13) + CHOOSE(CONTROL!$C$28, 0, 0)</f>
        <v>257.71723835543298</v>
      </c>
    </row>
    <row r="603" spans="1:5" ht="15">
      <c r="A603" s="13">
        <v>59870</v>
      </c>
      <c r="B603" s="4">
        <f>37.6583 * CHOOSE(CONTROL!$C$9, $C$13, 100%, $E$13) + CHOOSE(CONTROL!$C$28, 0.0003, 0)</f>
        <v>37.6586</v>
      </c>
      <c r="C603" s="4">
        <f>37.295 * CHOOSE(CONTROL!$C$9, $C$13, 100%, $E$13) + CHOOSE(CONTROL!$C$28, 0.0003, 0)</f>
        <v>37.295300000000005</v>
      </c>
      <c r="D603" s="4">
        <f>54.897 * CHOOSE(CONTROL!$C$9, $C$13, 100%, $E$13) + CHOOSE(CONTROL!$C$28, 0, 0)</f>
        <v>54.896999999999998</v>
      </c>
      <c r="E603" s="4">
        <f>252.012634789403 * CHOOSE(CONTROL!$C$9, $C$13, 100%, $E$13) + CHOOSE(CONTROL!$C$28, 0, 0)</f>
        <v>252.01263478940299</v>
      </c>
    </row>
    <row r="604" spans="1:5" ht="15">
      <c r="A604" s="13">
        <v>59901</v>
      </c>
      <c r="B604" s="4">
        <f>37.0807 * CHOOSE(CONTROL!$C$9, $C$13, 100%, $E$13) + CHOOSE(CONTROL!$C$28, 0.0003, 0)</f>
        <v>37.081000000000003</v>
      </c>
      <c r="C604" s="4">
        <f>36.7174 * CHOOSE(CONTROL!$C$9, $C$13, 100%, $E$13) + CHOOSE(CONTROL!$C$28, 0.0003, 0)</f>
        <v>36.717700000000001</v>
      </c>
      <c r="D604" s="4">
        <f>53.0122 * CHOOSE(CONTROL!$C$9, $C$13, 100%, $E$13) + CHOOSE(CONTROL!$C$28, 0, 0)</f>
        <v>53.0122</v>
      </c>
      <c r="E604" s="4">
        <f>248.065782416687 * CHOOSE(CONTROL!$C$9, $C$13, 100%, $E$13) + CHOOSE(CONTROL!$C$28, 0, 0)</f>
        <v>248.065782416687</v>
      </c>
    </row>
    <row r="605" spans="1:5" ht="15">
      <c r="A605" s="13">
        <v>59932</v>
      </c>
      <c r="B605" s="4">
        <f>35.5002 * CHOOSE(CONTROL!$C$9, $C$13, 100%, $E$13) + CHOOSE(CONTROL!$C$28, 0.0003, 0)</f>
        <v>35.500500000000002</v>
      </c>
      <c r="C605" s="4">
        <f>35.1369 * CHOOSE(CONTROL!$C$9, $C$13, 100%, $E$13) + CHOOSE(CONTROL!$C$28, 0.0003, 0)</f>
        <v>35.1372</v>
      </c>
      <c r="D605" s="4">
        <f>50.9358 * CHOOSE(CONTROL!$C$9, $C$13, 100%, $E$13) + CHOOSE(CONTROL!$C$28, 0, 0)</f>
        <v>50.9358</v>
      </c>
      <c r="E605" s="4">
        <f>237.732834586021 * CHOOSE(CONTROL!$C$9, $C$13, 100%, $E$13) + CHOOSE(CONTROL!$C$28, 0, 0)</f>
        <v>237.732834586021</v>
      </c>
    </row>
    <row r="606" spans="1:5" ht="15">
      <c r="A606" s="13">
        <v>59961</v>
      </c>
      <c r="B606" s="4">
        <f>36.3247 * CHOOSE(CONTROL!$C$9, $C$13, 100%, $E$13) + CHOOSE(CONTROL!$C$28, 0.0003, 0)</f>
        <v>36.325000000000003</v>
      </c>
      <c r="C606" s="4">
        <f>35.9614 * CHOOSE(CONTROL!$C$9, $C$13, 100%, $E$13) + CHOOSE(CONTROL!$C$28, 0.0003, 0)</f>
        <v>35.9617</v>
      </c>
      <c r="D606" s="4">
        <f>52.6682 * CHOOSE(CONTROL!$C$9, $C$13, 100%, $E$13) + CHOOSE(CONTROL!$C$28, 0, 0)</f>
        <v>52.668199999999999</v>
      </c>
      <c r="E606" s="4">
        <f>243.377548962665 * CHOOSE(CONTROL!$C$9, $C$13, 100%, $E$13) + CHOOSE(CONTROL!$C$28, 0, 0)</f>
        <v>243.377548962665</v>
      </c>
    </row>
    <row r="607" spans="1:5" ht="15">
      <c r="A607" s="13">
        <v>59992</v>
      </c>
      <c r="B607" s="4">
        <f>38.49 * CHOOSE(CONTROL!$C$9, $C$13, 100%, $E$13) + CHOOSE(CONTROL!$C$28, 0.0003, 0)</f>
        <v>38.490300000000005</v>
      </c>
      <c r="C607" s="4">
        <f>38.1268 * CHOOSE(CONTROL!$C$9, $C$13, 100%, $E$13) + CHOOSE(CONTROL!$C$28, 0.0003, 0)</f>
        <v>38.127100000000006</v>
      </c>
      <c r="D607" s="4">
        <f>55.3801 * CHOOSE(CONTROL!$C$9, $C$13, 100%, $E$13) + CHOOSE(CONTROL!$C$28, 0, 0)</f>
        <v>55.380099999999999</v>
      </c>
      <c r="E607" s="4">
        <f>258.200868894073 * CHOOSE(CONTROL!$C$9, $C$13, 100%, $E$13) + CHOOSE(CONTROL!$C$28, 0, 0)</f>
        <v>258.20086889407298</v>
      </c>
    </row>
    <row r="608" spans="1:5" ht="15">
      <c r="A608" s="13">
        <v>60022</v>
      </c>
      <c r="B608" s="4">
        <f>40.0285 * CHOOSE(CONTROL!$C$9, $C$13, 100%, $E$13) + CHOOSE(CONTROL!$C$28, 0.0003, 0)</f>
        <v>40.028800000000004</v>
      </c>
      <c r="C608" s="4">
        <f>39.6652 * CHOOSE(CONTROL!$C$9, $C$13, 100%, $E$13) + CHOOSE(CONTROL!$C$28, 0.0003, 0)</f>
        <v>39.665500000000002</v>
      </c>
      <c r="D608" s="4">
        <f>56.9422 * CHOOSE(CONTROL!$C$9, $C$13, 100%, $E$13) + CHOOSE(CONTROL!$C$28, 0, 0)</f>
        <v>56.9422</v>
      </c>
      <c r="E608" s="4">
        <f>268.733035252051 * CHOOSE(CONTROL!$C$9, $C$13, 100%, $E$13) + CHOOSE(CONTROL!$C$28, 0, 0)</f>
        <v>268.73303525205102</v>
      </c>
    </row>
    <row r="609" spans="1:5" ht="15">
      <c r="A609" s="13">
        <v>60053</v>
      </c>
      <c r="B609" s="4">
        <f>40.9685 * CHOOSE(CONTROL!$C$9, $C$13, 100%, $E$13) + CHOOSE(CONTROL!$C$28, 0.0192, 0)</f>
        <v>40.987699999999997</v>
      </c>
      <c r="C609" s="4">
        <f>40.6052 * CHOOSE(CONTROL!$C$9, $C$13, 100%, $E$13) + CHOOSE(CONTROL!$C$28, 0.0192, 0)</f>
        <v>40.624400000000001</v>
      </c>
      <c r="D609" s="4">
        <f>56.3249 * CHOOSE(CONTROL!$C$9, $C$13, 100%, $E$13) + CHOOSE(CONTROL!$C$28, 0, 0)</f>
        <v>56.3249</v>
      </c>
      <c r="E609" s="4">
        <f>275.167936475976 * CHOOSE(CONTROL!$C$9, $C$13, 100%, $E$13) + CHOOSE(CONTROL!$C$28, 0, 0)</f>
        <v>275.16793647597598</v>
      </c>
    </row>
    <row r="610" spans="1:5" ht="15">
      <c r="A610" s="13">
        <v>60083</v>
      </c>
      <c r="B610" s="4">
        <f>41.0957 * CHOOSE(CONTROL!$C$9, $C$13, 100%, $E$13) + CHOOSE(CONTROL!$C$28, 0.0192, 0)</f>
        <v>41.114899999999999</v>
      </c>
      <c r="C610" s="4">
        <f>40.7324 * CHOOSE(CONTROL!$C$9, $C$13, 100%, $E$13) + CHOOSE(CONTROL!$C$28, 0.0192, 0)</f>
        <v>40.751599999999996</v>
      </c>
      <c r="D610" s="4">
        <f>56.8277 * CHOOSE(CONTROL!$C$9, $C$13, 100%, $E$13) + CHOOSE(CONTROL!$C$28, 0, 0)</f>
        <v>56.8277</v>
      </c>
      <c r="E610" s="4">
        <f>276.038605316962 * CHOOSE(CONTROL!$C$9, $C$13, 100%, $E$13) + CHOOSE(CONTROL!$C$28, 0, 0)</f>
        <v>276.03860531696199</v>
      </c>
    </row>
    <row r="611" spans="1:5" ht="15">
      <c r="A611" s="13">
        <v>60114</v>
      </c>
      <c r="B611" s="4">
        <f>41.0828 * CHOOSE(CONTROL!$C$9, $C$13, 100%, $E$13) + CHOOSE(CONTROL!$C$28, 0.0192, 0)</f>
        <v>41.101999999999997</v>
      </c>
      <c r="C611" s="4">
        <f>40.7196 * CHOOSE(CONTROL!$C$9, $C$13, 100%, $E$13) + CHOOSE(CONTROL!$C$28, 0.0192, 0)</f>
        <v>40.738799999999998</v>
      </c>
      <c r="D611" s="4">
        <f>57.7348 * CHOOSE(CONTROL!$C$9, $C$13, 100%, $E$13) + CHOOSE(CONTROL!$C$28, 0, 0)</f>
        <v>57.7348</v>
      </c>
      <c r="E611" s="4">
        <f>275.950806778376 * CHOOSE(CONTROL!$C$9, $C$13, 100%, $E$13) + CHOOSE(CONTROL!$C$28, 0, 0)</f>
        <v>275.95080677837598</v>
      </c>
    </row>
    <row r="612" spans="1:5" ht="15">
      <c r="A612" s="13">
        <v>60145</v>
      </c>
      <c r="B612" s="4">
        <f>42.0479 * CHOOSE(CONTROL!$C$9, $C$13, 100%, $E$13) + CHOOSE(CONTROL!$C$28, 0.0192, 0)</f>
        <v>42.067099999999996</v>
      </c>
      <c r="C612" s="4">
        <f>41.6847 * CHOOSE(CONTROL!$C$9, $C$13, 100%, $E$13) + CHOOSE(CONTROL!$C$28, 0.0192, 0)</f>
        <v>41.703899999999997</v>
      </c>
      <c r="D612" s="4">
        <f>57.1357 * CHOOSE(CONTROL!$C$9, $C$13, 100%, $E$13) + CHOOSE(CONTROL!$C$28, 0, 0)</f>
        <v>57.1357</v>
      </c>
      <c r="E612" s="4">
        <f>282.557646807034 * CHOOSE(CONTROL!$C$9, $C$13, 100%, $E$13) + CHOOSE(CONTROL!$C$28, 0, 0)</f>
        <v>282.55764680703402</v>
      </c>
    </row>
    <row r="613" spans="1:5" ht="15">
      <c r="A613" s="13">
        <v>60175</v>
      </c>
      <c r="B613" s="4">
        <f>40.4031 * CHOOSE(CONTROL!$C$9, $C$13, 100%, $E$13) + CHOOSE(CONTROL!$C$28, 0.0192, 0)</f>
        <v>40.4223</v>
      </c>
      <c r="C613" s="4">
        <f>40.0398 * CHOOSE(CONTROL!$C$9, $C$13, 100%, $E$13) + CHOOSE(CONTROL!$C$28, 0.0192, 0)</f>
        <v>40.058999999999997</v>
      </c>
      <c r="D613" s="4">
        <f>56.8527 * CHOOSE(CONTROL!$C$9, $C$13, 100%, $E$13) + CHOOSE(CONTROL!$C$28, 0, 0)</f>
        <v>56.852699999999999</v>
      </c>
      <c r="E613" s="4">
        <f>271.297484233274 * CHOOSE(CONTROL!$C$9, $C$13, 100%, $E$13) + CHOOSE(CONTROL!$C$28, 0, 0)</f>
        <v>271.29748423327402</v>
      </c>
    </row>
    <row r="614" spans="1:5" ht="15">
      <c r="A614" s="13">
        <v>60206</v>
      </c>
      <c r="B614" s="4">
        <f>39.0864 * CHOOSE(CONTROL!$C$9, $C$13, 100%, $E$13) + CHOOSE(CONTROL!$C$28, 0.0003, 0)</f>
        <v>39.0867</v>
      </c>
      <c r="C614" s="4">
        <f>38.7231 * CHOOSE(CONTROL!$C$9, $C$13, 100%, $E$13) + CHOOSE(CONTROL!$C$28, 0.0003, 0)</f>
        <v>38.723400000000005</v>
      </c>
      <c r="D614" s="4">
        <f>56.0948 * CHOOSE(CONTROL!$C$9, $C$13, 100%, $E$13) + CHOOSE(CONTROL!$C$28, 0, 0)</f>
        <v>56.094799999999999</v>
      </c>
      <c r="E614" s="4">
        <f>262.283500938361 * CHOOSE(CONTROL!$C$9, $C$13, 100%, $E$13) + CHOOSE(CONTROL!$C$28, 0, 0)</f>
        <v>262.28350093836099</v>
      </c>
    </row>
    <row r="615" spans="1:5" ht="15">
      <c r="A615" s="13">
        <v>60236</v>
      </c>
      <c r="B615" s="4">
        <f>38.2383 * CHOOSE(CONTROL!$C$9, $C$13, 100%, $E$13) + CHOOSE(CONTROL!$C$28, 0.0003, 0)</f>
        <v>38.238600000000005</v>
      </c>
      <c r="C615" s="4">
        <f>37.8751 * CHOOSE(CONTROL!$C$9, $C$13, 100%, $E$13) + CHOOSE(CONTROL!$C$28, 0.0003, 0)</f>
        <v>37.875400000000006</v>
      </c>
      <c r="D615" s="4">
        <f>55.8343 * CHOOSE(CONTROL!$C$9, $C$13, 100%, $E$13) + CHOOSE(CONTROL!$C$28, 0, 0)</f>
        <v>55.834299999999999</v>
      </c>
      <c r="E615" s="4">
        <f>256.477822574307 * CHOOSE(CONTROL!$C$9, $C$13, 100%, $E$13) + CHOOSE(CONTROL!$C$28, 0, 0)</f>
        <v>256.47782257430703</v>
      </c>
    </row>
    <row r="616" spans="1:5" ht="15">
      <c r="A616" s="13">
        <v>60267</v>
      </c>
      <c r="B616" s="4">
        <f>37.6516 * CHOOSE(CONTROL!$C$9, $C$13, 100%, $E$13) + CHOOSE(CONTROL!$C$28, 0.0003, 0)</f>
        <v>37.651900000000005</v>
      </c>
      <c r="C616" s="4">
        <f>37.2883 * CHOOSE(CONTROL!$C$9, $C$13, 100%, $E$13) + CHOOSE(CONTROL!$C$28, 0.0003, 0)</f>
        <v>37.288600000000002</v>
      </c>
      <c r="D616" s="4">
        <f>53.9161 * CHOOSE(CONTROL!$C$9, $C$13, 100%, $E$13) + CHOOSE(CONTROL!$C$28, 0, 0)</f>
        <v>53.9161</v>
      </c>
      <c r="E616" s="4">
        <f>252.46103943396 * CHOOSE(CONTROL!$C$9, $C$13, 100%, $E$13) + CHOOSE(CONTROL!$C$28, 0, 0)</f>
        <v>252.46103943396</v>
      </c>
    </row>
    <row r="617" spans="1:5" ht="15">
      <c r="A617" s="13">
        <v>60298</v>
      </c>
      <c r="B617" s="4">
        <f>36.0462 * CHOOSE(CONTROL!$C$9, $C$13, 100%, $E$13) + CHOOSE(CONTROL!$C$28, 0.0003, 0)</f>
        <v>36.046500000000002</v>
      </c>
      <c r="C617" s="4">
        <f>35.683 * CHOOSE(CONTROL!$C$9, $C$13, 100%, $E$13) + CHOOSE(CONTROL!$C$28, 0.0003, 0)</f>
        <v>35.683300000000003</v>
      </c>
      <c r="D617" s="4">
        <f>51.8031 * CHOOSE(CONTROL!$C$9, $C$13, 100%, $E$13) + CHOOSE(CONTROL!$C$28, 0, 0)</f>
        <v>51.803100000000001</v>
      </c>
      <c r="E617" s="4">
        <f>241.945011288793 * CHOOSE(CONTROL!$C$9, $C$13, 100%, $E$13) + CHOOSE(CONTROL!$C$28, 0, 0)</f>
        <v>241.94501128879301</v>
      </c>
    </row>
    <row r="618" spans="1:5" ht="15">
      <c r="A618" s="13">
        <v>60326</v>
      </c>
      <c r="B618" s="4">
        <f>36.8838 * CHOOSE(CONTROL!$C$9, $C$13, 100%, $E$13) + CHOOSE(CONTROL!$C$28, 0.0003, 0)</f>
        <v>36.884100000000004</v>
      </c>
      <c r="C618" s="4">
        <f>36.5205 * CHOOSE(CONTROL!$C$9, $C$13, 100%, $E$13) + CHOOSE(CONTROL!$C$28, 0.0003, 0)</f>
        <v>36.520800000000001</v>
      </c>
      <c r="D618" s="4">
        <f>53.566 * CHOOSE(CONTROL!$C$9, $C$13, 100%, $E$13) + CHOOSE(CONTROL!$C$28, 0, 0)</f>
        <v>53.566000000000003</v>
      </c>
      <c r="E618" s="4">
        <f>247.689739340168 * CHOOSE(CONTROL!$C$9, $C$13, 100%, $E$13) + CHOOSE(CONTROL!$C$28, 0, 0)</f>
        <v>247.68973934016799</v>
      </c>
    </row>
    <row r="619" spans="1:5" ht="15">
      <c r="A619" s="13">
        <v>60357</v>
      </c>
      <c r="B619" s="4">
        <f>39.0831 * CHOOSE(CONTROL!$C$9, $C$13, 100%, $E$13) + CHOOSE(CONTROL!$C$28, 0.0003, 0)</f>
        <v>39.083400000000005</v>
      </c>
      <c r="C619" s="4">
        <f>38.7198 * CHOOSE(CONTROL!$C$9, $C$13, 100%, $E$13) + CHOOSE(CONTROL!$C$28, 0.0003, 0)</f>
        <v>38.720100000000002</v>
      </c>
      <c r="D619" s="4">
        <f>56.3258 * CHOOSE(CONTROL!$C$9, $C$13, 100%, $E$13) + CHOOSE(CONTROL!$C$28, 0, 0)</f>
        <v>56.325800000000001</v>
      </c>
      <c r="E619" s="4">
        <f>262.775700496469 * CHOOSE(CONTROL!$C$9, $C$13, 100%, $E$13) + CHOOSE(CONTROL!$C$28, 0, 0)</f>
        <v>262.77570049646903</v>
      </c>
    </row>
    <row r="620" spans="1:5" ht="15">
      <c r="A620" s="13">
        <v>60387</v>
      </c>
      <c r="B620" s="4">
        <f>40.6458 * CHOOSE(CONTROL!$C$9, $C$13, 100%, $E$13) + CHOOSE(CONTROL!$C$28, 0.0003, 0)</f>
        <v>40.646100000000004</v>
      </c>
      <c r="C620" s="4">
        <f>40.2825 * CHOOSE(CONTROL!$C$9, $C$13, 100%, $E$13) + CHOOSE(CONTROL!$C$28, 0.0003, 0)</f>
        <v>40.282800000000002</v>
      </c>
      <c r="D620" s="4">
        <f>57.9156 * CHOOSE(CONTROL!$C$9, $C$13, 100%, $E$13) + CHOOSE(CONTROL!$C$28, 0, 0)</f>
        <v>57.915599999999998</v>
      </c>
      <c r="E620" s="4">
        <f>273.494476944886 * CHOOSE(CONTROL!$C$9, $C$13, 100%, $E$13) + CHOOSE(CONTROL!$C$28, 0, 0)</f>
        <v>273.494476944886</v>
      </c>
    </row>
    <row r="621" spans="1:5" ht="15">
      <c r="A621" s="13">
        <v>60418</v>
      </c>
      <c r="B621" s="4">
        <f>41.6006 * CHOOSE(CONTROL!$C$9, $C$13, 100%, $E$13) + CHOOSE(CONTROL!$C$28, 0.0192, 0)</f>
        <v>41.619799999999998</v>
      </c>
      <c r="C621" s="4">
        <f>41.2373 * CHOOSE(CONTROL!$C$9, $C$13, 100%, $E$13) + CHOOSE(CONTROL!$C$28, 0.0192, 0)</f>
        <v>41.256499999999996</v>
      </c>
      <c r="D621" s="4">
        <f>57.2874 * CHOOSE(CONTROL!$C$9, $C$13, 100%, $E$13) + CHOOSE(CONTROL!$C$28, 0, 0)</f>
        <v>57.287399999999998</v>
      </c>
      <c r="E621" s="4">
        <f>280.043392461652 * CHOOSE(CONTROL!$C$9, $C$13, 100%, $E$13) + CHOOSE(CONTROL!$C$28, 0, 0)</f>
        <v>280.04339246165199</v>
      </c>
    </row>
    <row r="622" spans="1:5" ht="15">
      <c r="A622" s="13">
        <v>60448</v>
      </c>
      <c r="B622" s="4">
        <f>41.7297 * CHOOSE(CONTROL!$C$9, $C$13, 100%, $E$13) + CHOOSE(CONTROL!$C$28, 0.0192, 0)</f>
        <v>41.748899999999999</v>
      </c>
      <c r="C622" s="4">
        <f>41.3665 * CHOOSE(CONTROL!$C$9, $C$13, 100%, $E$13) + CHOOSE(CONTROL!$C$28, 0.0192, 0)</f>
        <v>41.3857</v>
      </c>
      <c r="D622" s="4">
        <f>57.799 * CHOOSE(CONTROL!$C$9, $C$13, 100%, $E$13) + CHOOSE(CONTROL!$C$28, 0, 0)</f>
        <v>57.798999999999999</v>
      </c>
      <c r="E622" s="4">
        <f>280.929487909628 * CHOOSE(CONTROL!$C$9, $C$13, 100%, $E$13) + CHOOSE(CONTROL!$C$28, 0, 0)</f>
        <v>280.92948790962799</v>
      </c>
    </row>
    <row r="623" spans="1:5" ht="15">
      <c r="A623" s="13">
        <v>60479</v>
      </c>
      <c r="B623" s="4">
        <f>41.7167 * CHOOSE(CONTROL!$C$9, $C$13, 100%, $E$13) + CHOOSE(CONTROL!$C$28, 0.0192, 0)</f>
        <v>41.735900000000001</v>
      </c>
      <c r="C623" s="4">
        <f>41.3534 * CHOOSE(CONTROL!$C$9, $C$13, 100%, $E$13) + CHOOSE(CONTROL!$C$28, 0.0192, 0)</f>
        <v>41.372599999999998</v>
      </c>
      <c r="D623" s="4">
        <f>58.7221 * CHOOSE(CONTROL!$C$9, $C$13, 100%, $E$13) + CHOOSE(CONTROL!$C$28, 0, 0)</f>
        <v>58.722099999999998</v>
      </c>
      <c r="E623" s="4">
        <f>280.840133746807 * CHOOSE(CONTROL!$C$9, $C$13, 100%, $E$13) + CHOOSE(CONTROL!$C$28, 0, 0)</f>
        <v>280.840133746807</v>
      </c>
    </row>
    <row r="624" spans="1:5" ht="15">
      <c r="A624" s="13">
        <v>60510</v>
      </c>
      <c r="B624" s="4">
        <f>42.697 * CHOOSE(CONTROL!$C$9, $C$13, 100%, $E$13) + CHOOSE(CONTROL!$C$28, 0.0192, 0)</f>
        <v>42.716200000000001</v>
      </c>
      <c r="C624" s="4">
        <f>42.3337 * CHOOSE(CONTROL!$C$9, $C$13, 100%, $E$13) + CHOOSE(CONTROL!$C$28, 0.0192, 0)</f>
        <v>42.352899999999998</v>
      </c>
      <c r="D624" s="4">
        <f>58.1125 * CHOOSE(CONTROL!$C$9, $C$13, 100%, $E$13) + CHOOSE(CONTROL!$C$28, 0, 0)</f>
        <v>58.112499999999997</v>
      </c>
      <c r="E624" s="4">
        <f>287.564034499097 * CHOOSE(CONTROL!$C$9, $C$13, 100%, $E$13) + CHOOSE(CONTROL!$C$28, 0, 0)</f>
        <v>287.56403449909698</v>
      </c>
    </row>
    <row r="625" spans="1:5" ht="15">
      <c r="A625" s="13">
        <v>60540</v>
      </c>
      <c r="B625" s="4">
        <f>41.0263 * CHOOSE(CONTROL!$C$9, $C$13, 100%, $E$13) + CHOOSE(CONTROL!$C$28, 0.0192, 0)</f>
        <v>41.045499999999997</v>
      </c>
      <c r="C625" s="4">
        <f>40.663 * CHOOSE(CONTROL!$C$9, $C$13, 100%, $E$13) + CHOOSE(CONTROL!$C$28, 0.0192, 0)</f>
        <v>40.682199999999995</v>
      </c>
      <c r="D625" s="4">
        <f>57.8244 * CHOOSE(CONTROL!$C$9, $C$13, 100%, $E$13) + CHOOSE(CONTROL!$C$28, 0, 0)</f>
        <v>57.824399999999997</v>
      </c>
      <c r="E625" s="4">
        <f>276.104363117287 * CHOOSE(CONTROL!$C$9, $C$13, 100%, $E$13) + CHOOSE(CONTROL!$C$28, 0, 0)</f>
        <v>276.10436311728699</v>
      </c>
    </row>
    <row r="626" spans="1:5" ht="15">
      <c r="A626" s="13">
        <v>60571</v>
      </c>
      <c r="B626" s="4">
        <f>39.6889 * CHOOSE(CONTROL!$C$9, $C$13, 100%, $E$13) + CHOOSE(CONTROL!$C$28, 0.0003, 0)</f>
        <v>39.6892</v>
      </c>
      <c r="C626" s="4">
        <f>39.3256 * CHOOSE(CONTROL!$C$9, $C$13, 100%, $E$13) + CHOOSE(CONTROL!$C$28, 0.0003, 0)</f>
        <v>39.325900000000004</v>
      </c>
      <c r="D626" s="4">
        <f>57.0532 * CHOOSE(CONTROL!$C$9, $C$13, 100%, $E$13) + CHOOSE(CONTROL!$C$28, 0, 0)</f>
        <v>57.053199999999997</v>
      </c>
      <c r="E626" s="4">
        <f>266.930669067651 * CHOOSE(CONTROL!$C$9, $C$13, 100%, $E$13) + CHOOSE(CONTROL!$C$28, 0, 0)</f>
        <v>266.93066906765102</v>
      </c>
    </row>
    <row r="627" spans="1:5" ht="15">
      <c r="A627" s="13">
        <v>60601</v>
      </c>
      <c r="B627" s="4">
        <f>38.8275 * CHOOSE(CONTROL!$C$9, $C$13, 100%, $E$13) + CHOOSE(CONTROL!$C$28, 0.0003, 0)</f>
        <v>38.827800000000003</v>
      </c>
      <c r="C627" s="4">
        <f>38.4642 * CHOOSE(CONTROL!$C$9, $C$13, 100%, $E$13) + CHOOSE(CONTROL!$C$28, 0.0003, 0)</f>
        <v>38.464500000000001</v>
      </c>
      <c r="D627" s="4">
        <f>56.788 * CHOOSE(CONTROL!$C$9, $C$13, 100%, $E$13) + CHOOSE(CONTROL!$C$28, 0, 0)</f>
        <v>56.787999999999997</v>
      </c>
      <c r="E627" s="4">
        <f>261.022125051104 * CHOOSE(CONTROL!$C$9, $C$13, 100%, $E$13) + CHOOSE(CONTROL!$C$28, 0, 0)</f>
        <v>261.02212505110401</v>
      </c>
    </row>
    <row r="628" spans="1:5" ht="15">
      <c r="A628" s="13">
        <v>60632</v>
      </c>
      <c r="B628" s="4">
        <f>38.2315 * CHOOSE(CONTROL!$C$9, $C$13, 100%, $E$13) + CHOOSE(CONTROL!$C$28, 0.0003, 0)</f>
        <v>38.2318</v>
      </c>
      <c r="C628" s="4">
        <f>37.8682 * CHOOSE(CONTROL!$C$9, $C$13, 100%, $E$13) + CHOOSE(CONTROL!$C$28, 0.0003, 0)</f>
        <v>37.868500000000004</v>
      </c>
      <c r="D628" s="4">
        <f>54.836 * CHOOSE(CONTROL!$C$9, $C$13, 100%, $E$13) + CHOOSE(CONTROL!$C$28, 0, 0)</f>
        <v>54.835999999999999</v>
      </c>
      <c r="E628" s="4">
        <f>256.934172102037 * CHOOSE(CONTROL!$C$9, $C$13, 100%, $E$13) + CHOOSE(CONTROL!$C$28, 0, 0)</f>
        <v>256.934172102037</v>
      </c>
    </row>
    <row r="629" spans="1:5" ht="15">
      <c r="A629" s="13">
        <v>60663</v>
      </c>
      <c r="B629" s="4">
        <f>36.6009 * CHOOSE(CONTROL!$C$9, $C$13, 100%, $E$13) + CHOOSE(CONTROL!$C$28, 0.0003, 0)</f>
        <v>36.601200000000006</v>
      </c>
      <c r="C629" s="4">
        <f>36.2376 * CHOOSE(CONTROL!$C$9, $C$13, 100%, $E$13) + CHOOSE(CONTROL!$C$28, 0.0003, 0)</f>
        <v>36.237900000000003</v>
      </c>
      <c r="D629" s="4">
        <f>52.6856 * CHOOSE(CONTROL!$C$9, $C$13, 100%, $E$13) + CHOOSE(CONTROL!$C$28, 0, 0)</f>
        <v>52.685600000000001</v>
      </c>
      <c r="E629" s="4">
        <f>246.231819805072 * CHOOSE(CONTROL!$C$9, $C$13, 100%, $E$13) + CHOOSE(CONTROL!$C$28, 0, 0)</f>
        <v>246.23181980507201</v>
      </c>
    </row>
    <row r="630" spans="1:5" ht="15">
      <c r="A630" s="13">
        <v>60691</v>
      </c>
      <c r="B630" s="4">
        <f>37.4516 * CHOOSE(CONTROL!$C$9, $C$13, 100%, $E$13) + CHOOSE(CONTROL!$C$28, 0.0003, 0)</f>
        <v>37.451900000000002</v>
      </c>
      <c r="C630" s="4">
        <f>37.0883 * CHOOSE(CONTROL!$C$9, $C$13, 100%, $E$13) + CHOOSE(CONTROL!$C$28, 0.0003, 0)</f>
        <v>37.0886</v>
      </c>
      <c r="D630" s="4">
        <f>54.4797 * CHOOSE(CONTROL!$C$9, $C$13, 100%, $E$13) + CHOOSE(CONTROL!$C$28, 0, 0)</f>
        <v>54.479700000000001</v>
      </c>
      <c r="E630" s="4">
        <f>252.078333584548 * CHOOSE(CONTROL!$C$9, $C$13, 100%, $E$13) + CHOOSE(CONTROL!$C$28, 0, 0)</f>
        <v>252.07833358454801</v>
      </c>
    </row>
    <row r="631" spans="1:5" ht="15">
      <c r="A631" s="13">
        <v>60722</v>
      </c>
      <c r="B631" s="4">
        <f>39.6855 * CHOOSE(CONTROL!$C$9, $C$13, 100%, $E$13) + CHOOSE(CONTROL!$C$28, 0.0003, 0)</f>
        <v>39.6858</v>
      </c>
      <c r="C631" s="4">
        <f>39.3223 * CHOOSE(CONTROL!$C$9, $C$13, 100%, $E$13) + CHOOSE(CONTROL!$C$28, 0.0003, 0)</f>
        <v>39.322600000000001</v>
      </c>
      <c r="D631" s="4">
        <f>57.2883 * CHOOSE(CONTROL!$C$9, $C$13, 100%, $E$13) + CHOOSE(CONTROL!$C$28, 0, 0)</f>
        <v>57.2883</v>
      </c>
      <c r="E631" s="4">
        <f>267.431589472063 * CHOOSE(CONTROL!$C$9, $C$13, 100%, $E$13) + CHOOSE(CONTROL!$C$28, 0, 0)</f>
        <v>267.43158947206302</v>
      </c>
    </row>
    <row r="632" spans="1:5" ht="15">
      <c r="A632" s="13">
        <v>60752</v>
      </c>
      <c r="B632" s="4">
        <f>41.2728 * CHOOSE(CONTROL!$C$9, $C$13, 100%, $E$13) + CHOOSE(CONTROL!$C$28, 0.0003, 0)</f>
        <v>41.273099999999999</v>
      </c>
      <c r="C632" s="4">
        <f>40.9095 * CHOOSE(CONTROL!$C$9, $C$13, 100%, $E$13) + CHOOSE(CONTROL!$C$28, 0.0003, 0)</f>
        <v>40.909800000000004</v>
      </c>
      <c r="D632" s="4">
        <f>58.9061 * CHOOSE(CONTROL!$C$9, $C$13, 100%, $E$13) + CHOOSE(CONTROL!$C$28, 0, 0)</f>
        <v>58.906100000000002</v>
      </c>
      <c r="E632" s="4">
        <f>278.340282389179 * CHOOSE(CONTROL!$C$9, $C$13, 100%, $E$13) + CHOOSE(CONTROL!$C$28, 0, 0)</f>
        <v>278.34028238917898</v>
      </c>
    </row>
    <row r="633" spans="1:5" ht="15">
      <c r="A633" s="13">
        <v>60783</v>
      </c>
      <c r="B633" s="4">
        <f>42.2426 * CHOOSE(CONTROL!$C$9, $C$13, 100%, $E$13) + CHOOSE(CONTROL!$C$28, 0.0192, 0)</f>
        <v>42.261800000000001</v>
      </c>
      <c r="C633" s="4">
        <f>41.8793 * CHOOSE(CONTROL!$C$9, $C$13, 100%, $E$13) + CHOOSE(CONTROL!$C$28, 0.0192, 0)</f>
        <v>41.898499999999999</v>
      </c>
      <c r="D633" s="4">
        <f>58.2668 * CHOOSE(CONTROL!$C$9, $C$13, 100%, $E$13) + CHOOSE(CONTROL!$C$28, 0, 0)</f>
        <v>58.266800000000003</v>
      </c>
      <c r="E633" s="4">
        <f>285.005232316656 * CHOOSE(CONTROL!$C$9, $C$13, 100%, $E$13) + CHOOSE(CONTROL!$C$28, 0, 0)</f>
        <v>285.00523231665602</v>
      </c>
    </row>
    <row r="634" spans="1:5" ht="15">
      <c r="A634" s="13">
        <v>60813</v>
      </c>
      <c r="B634" s="4">
        <f>42.3738 * CHOOSE(CONTROL!$C$9, $C$13, 100%, $E$13) + CHOOSE(CONTROL!$C$28, 0.0192, 0)</f>
        <v>42.393000000000001</v>
      </c>
      <c r="C634" s="4">
        <f>42.0105 * CHOOSE(CONTROL!$C$9, $C$13, 100%, $E$13) + CHOOSE(CONTROL!$C$28, 0.0192, 0)</f>
        <v>42.029699999999998</v>
      </c>
      <c r="D634" s="4">
        <f>58.7875 * CHOOSE(CONTROL!$C$9, $C$13, 100%, $E$13) + CHOOSE(CONTROL!$C$28, 0, 0)</f>
        <v>58.787500000000001</v>
      </c>
      <c r="E634" s="4">
        <f>285.907027701955 * CHOOSE(CONTROL!$C$9, $C$13, 100%, $E$13) + CHOOSE(CONTROL!$C$28, 0, 0)</f>
        <v>285.90702770195497</v>
      </c>
    </row>
    <row r="635" spans="1:5" ht="15">
      <c r="A635" s="13">
        <v>60844</v>
      </c>
      <c r="B635" s="4">
        <f>42.3605 * CHOOSE(CONTROL!$C$9, $C$13, 100%, $E$13) + CHOOSE(CONTROL!$C$28, 0.0192, 0)</f>
        <v>42.3797</v>
      </c>
      <c r="C635" s="4">
        <f>41.9973 * CHOOSE(CONTROL!$C$9, $C$13, 100%, $E$13) + CHOOSE(CONTROL!$C$28, 0.0192, 0)</f>
        <v>42.016500000000001</v>
      </c>
      <c r="D635" s="4">
        <f>59.7269 * CHOOSE(CONTROL!$C$9, $C$13, 100%, $E$13) + CHOOSE(CONTROL!$C$28, 0, 0)</f>
        <v>59.726900000000001</v>
      </c>
      <c r="E635" s="4">
        <f>285.816090352177 * CHOOSE(CONTROL!$C$9, $C$13, 100%, $E$13) + CHOOSE(CONTROL!$C$28, 0, 0)</f>
        <v>285.81609035217701</v>
      </c>
    </row>
    <row r="636" spans="1:5" ht="15">
      <c r="A636" s="13">
        <v>60875</v>
      </c>
      <c r="B636" s="4">
        <f>43.3562 * CHOOSE(CONTROL!$C$9, $C$13, 100%, $E$13) + CHOOSE(CONTROL!$C$28, 0.0192, 0)</f>
        <v>43.375399999999999</v>
      </c>
      <c r="C636" s="4">
        <f>42.9929 * CHOOSE(CONTROL!$C$9, $C$13, 100%, $E$13) + CHOOSE(CONTROL!$C$28, 0.0192, 0)</f>
        <v>43.012099999999997</v>
      </c>
      <c r="D636" s="4">
        <f>59.1065 * CHOOSE(CONTROL!$C$9, $C$13, 100%, $E$13) + CHOOSE(CONTROL!$C$28, 0, 0)</f>
        <v>59.106499999999997</v>
      </c>
      <c r="E636" s="4">
        <f>292.659125922969 * CHOOSE(CONTROL!$C$9, $C$13, 100%, $E$13) + CHOOSE(CONTROL!$C$28, 0, 0)</f>
        <v>292.659125922969</v>
      </c>
    </row>
    <row r="637" spans="1:5" ht="15">
      <c r="A637" s="13">
        <v>60905</v>
      </c>
      <c r="B637" s="4">
        <f>41.6593 * CHOOSE(CONTROL!$C$9, $C$13, 100%, $E$13) + CHOOSE(CONTROL!$C$28, 0.0192, 0)</f>
        <v>41.6785</v>
      </c>
      <c r="C637" s="4">
        <f>41.296 * CHOOSE(CONTROL!$C$9, $C$13, 100%, $E$13) + CHOOSE(CONTROL!$C$28, 0.0192, 0)</f>
        <v>41.315199999999997</v>
      </c>
      <c r="D637" s="4">
        <f>58.8134 * CHOOSE(CONTROL!$C$9, $C$13, 100%, $E$13) + CHOOSE(CONTROL!$C$28, 0, 0)</f>
        <v>58.813400000000001</v>
      </c>
      <c r="E637" s="4">
        <f>280.996410813944 * CHOOSE(CONTROL!$C$9, $C$13, 100%, $E$13) + CHOOSE(CONTROL!$C$28, 0, 0)</f>
        <v>280.99641081394401</v>
      </c>
    </row>
    <row r="638" spans="1:5" ht="15">
      <c r="A638" s="13">
        <v>60936</v>
      </c>
      <c r="B638" s="4">
        <f>40.3008 * CHOOSE(CONTROL!$C$9, $C$13, 100%, $E$13) + CHOOSE(CONTROL!$C$28, 0.0003, 0)</f>
        <v>40.301100000000005</v>
      </c>
      <c r="C638" s="4">
        <f>39.9375 * CHOOSE(CONTROL!$C$9, $C$13, 100%, $E$13) + CHOOSE(CONTROL!$C$28, 0.0003, 0)</f>
        <v>39.937800000000003</v>
      </c>
      <c r="D638" s="4">
        <f>58.0285 * CHOOSE(CONTROL!$C$9, $C$13, 100%, $E$13) + CHOOSE(CONTROL!$C$28, 0, 0)</f>
        <v>58.028500000000001</v>
      </c>
      <c r="E638" s="4">
        <f>271.660176236739 * CHOOSE(CONTROL!$C$9, $C$13, 100%, $E$13) + CHOOSE(CONTROL!$C$28, 0, 0)</f>
        <v>271.66017623673901</v>
      </c>
    </row>
    <row r="639" spans="1:5" ht="15">
      <c r="A639" s="13">
        <v>60966</v>
      </c>
      <c r="B639" s="4">
        <f>39.4259 * CHOOSE(CONTROL!$C$9, $C$13, 100%, $E$13) + CHOOSE(CONTROL!$C$28, 0.0003, 0)</f>
        <v>39.426200000000001</v>
      </c>
      <c r="C639" s="4">
        <f>39.0626 * CHOOSE(CONTROL!$C$9, $C$13, 100%, $E$13) + CHOOSE(CONTROL!$C$28, 0.0003, 0)</f>
        <v>39.062900000000006</v>
      </c>
      <c r="D639" s="4">
        <f>57.7587 * CHOOSE(CONTROL!$C$9, $C$13, 100%, $E$13) + CHOOSE(CONTROL!$C$28, 0, 0)</f>
        <v>57.758699999999997</v>
      </c>
      <c r="E639" s="4">
        <f>265.64694398267 * CHOOSE(CONTROL!$C$9, $C$13, 100%, $E$13) + CHOOSE(CONTROL!$C$28, 0, 0)</f>
        <v>265.64694398267</v>
      </c>
    </row>
    <row r="640" spans="1:5" ht="15">
      <c r="A640" s="13">
        <v>60997</v>
      </c>
      <c r="B640" s="4">
        <f>38.8205 * CHOOSE(CONTROL!$C$9, $C$13, 100%, $E$13) + CHOOSE(CONTROL!$C$28, 0.0003, 0)</f>
        <v>38.820800000000006</v>
      </c>
      <c r="C640" s="4">
        <f>38.4572 * CHOOSE(CONTROL!$C$9, $C$13, 100%, $E$13) + CHOOSE(CONTROL!$C$28, 0.0003, 0)</f>
        <v>38.457500000000003</v>
      </c>
      <c r="D640" s="4">
        <f>55.7721 * CHOOSE(CONTROL!$C$9, $C$13, 100%, $E$13) + CHOOSE(CONTROL!$C$28, 0, 0)</f>
        <v>55.772100000000002</v>
      </c>
      <c r="E640" s="4">
        <f>261.486560230328 * CHOOSE(CONTROL!$C$9, $C$13, 100%, $E$13) + CHOOSE(CONTROL!$C$28, 0, 0)</f>
        <v>261.486560230328</v>
      </c>
    </row>
    <row r="641" spans="1:5" ht="15">
      <c r="A641" s="13">
        <v>61028</v>
      </c>
      <c r="B641" s="4">
        <f>37.1643 * CHOOSE(CONTROL!$C$9, $C$13, 100%, $E$13) + CHOOSE(CONTROL!$C$28, 0.0003, 0)</f>
        <v>37.1646</v>
      </c>
      <c r="C641" s="4">
        <f>36.801 * CHOOSE(CONTROL!$C$9, $C$13, 100%, $E$13) + CHOOSE(CONTROL!$C$28, 0.0003, 0)</f>
        <v>36.801300000000005</v>
      </c>
      <c r="D641" s="4">
        <f>53.5837 * CHOOSE(CONTROL!$C$9, $C$13, 100%, $E$13) + CHOOSE(CONTROL!$C$28, 0, 0)</f>
        <v>53.5837</v>
      </c>
      <c r="E641" s="4">
        <f>250.594582469599 * CHOOSE(CONTROL!$C$9, $C$13, 100%, $E$13) + CHOOSE(CONTROL!$C$28, 0, 0)</f>
        <v>250.594582469599</v>
      </c>
    </row>
    <row r="642" spans="1:5" ht="15">
      <c r="A642" s="13">
        <v>61056</v>
      </c>
      <c r="B642" s="4">
        <f>38.0284 * CHOOSE(CONTROL!$C$9, $C$13, 100%, $E$13) + CHOOSE(CONTROL!$C$28, 0.0003, 0)</f>
        <v>38.028700000000001</v>
      </c>
      <c r="C642" s="4">
        <f>37.6651 * CHOOSE(CONTROL!$C$9, $C$13, 100%, $E$13) + CHOOSE(CONTROL!$C$28, 0.0003, 0)</f>
        <v>37.665400000000005</v>
      </c>
      <c r="D642" s="4">
        <f>55.4096 * CHOOSE(CONTROL!$C$9, $C$13, 100%, $E$13) + CHOOSE(CONTROL!$C$28, 0, 0)</f>
        <v>55.409599999999998</v>
      </c>
      <c r="E642" s="4">
        <f>256.544685427983 * CHOOSE(CONTROL!$C$9, $C$13, 100%, $E$13) + CHOOSE(CONTROL!$C$28, 0, 0)</f>
        <v>256.54468542798298</v>
      </c>
    </row>
    <row r="643" spans="1:5" ht="15">
      <c r="A643" s="13">
        <v>61087</v>
      </c>
      <c r="B643" s="4">
        <f>40.2974 * CHOOSE(CONTROL!$C$9, $C$13, 100%, $E$13) + CHOOSE(CONTROL!$C$28, 0.0003, 0)</f>
        <v>40.297700000000006</v>
      </c>
      <c r="C643" s="4">
        <f>39.9341 * CHOOSE(CONTROL!$C$9, $C$13, 100%, $E$13) + CHOOSE(CONTROL!$C$28, 0.0003, 0)</f>
        <v>39.934400000000004</v>
      </c>
      <c r="D643" s="4">
        <f>58.2678 * CHOOSE(CONTROL!$C$9, $C$13, 100%, $E$13) + CHOOSE(CONTROL!$C$28, 0, 0)</f>
        <v>58.267800000000001</v>
      </c>
      <c r="E643" s="4">
        <f>272.169972004375 * CHOOSE(CONTROL!$C$9, $C$13, 100%, $E$13) + CHOOSE(CONTROL!$C$28, 0, 0)</f>
        <v>272.16997200437498</v>
      </c>
    </row>
    <row r="644" spans="1:5" ht="15">
      <c r="A644" s="13">
        <v>61117</v>
      </c>
      <c r="B644" s="4">
        <f>41.9096 * CHOOSE(CONTROL!$C$9, $C$13, 100%, $E$13) + CHOOSE(CONTROL!$C$28, 0.0003, 0)</f>
        <v>41.9099</v>
      </c>
      <c r="C644" s="4">
        <f>41.5464 * CHOOSE(CONTROL!$C$9, $C$13, 100%, $E$13) + CHOOSE(CONTROL!$C$28, 0.0003, 0)</f>
        <v>41.546700000000001</v>
      </c>
      <c r="D644" s="4">
        <f>59.9142 * CHOOSE(CONTROL!$C$9, $C$13, 100%, $E$13) + CHOOSE(CONTROL!$C$28, 0, 0)</f>
        <v>59.914200000000001</v>
      </c>
      <c r="E644" s="4">
        <f>283.271946351224 * CHOOSE(CONTROL!$C$9, $C$13, 100%, $E$13) + CHOOSE(CONTROL!$C$28, 0, 0)</f>
        <v>283.27194635122402</v>
      </c>
    </row>
    <row r="645" spans="1:5" ht="15">
      <c r="A645" s="13">
        <v>61148</v>
      </c>
      <c r="B645" s="4">
        <f>42.8947 * CHOOSE(CONTROL!$C$9, $C$13, 100%, $E$13) + CHOOSE(CONTROL!$C$28, 0.0192, 0)</f>
        <v>42.913899999999998</v>
      </c>
      <c r="C645" s="4">
        <f>42.5314 * CHOOSE(CONTROL!$C$9, $C$13, 100%, $E$13) + CHOOSE(CONTROL!$C$28, 0.0192, 0)</f>
        <v>42.550599999999996</v>
      </c>
      <c r="D645" s="4">
        <f>59.2636 * CHOOSE(CONTROL!$C$9, $C$13, 100%, $E$13) + CHOOSE(CONTROL!$C$28, 0, 0)</f>
        <v>59.263599999999997</v>
      </c>
      <c r="E645" s="4">
        <f>290.054986599959 * CHOOSE(CONTROL!$C$9, $C$13, 100%, $E$13) + CHOOSE(CONTROL!$C$28, 0, 0)</f>
        <v>290.05498659995902</v>
      </c>
    </row>
    <row r="646" spans="1:5" ht="15">
      <c r="A646" s="13">
        <v>61178</v>
      </c>
      <c r="B646" s="4">
        <f>43.0279 * CHOOSE(CONTROL!$C$9, $C$13, 100%, $E$13) + CHOOSE(CONTROL!$C$28, 0.0192, 0)</f>
        <v>43.0471</v>
      </c>
      <c r="C646" s="4">
        <f>42.6647 * CHOOSE(CONTROL!$C$9, $C$13, 100%, $E$13) + CHOOSE(CONTROL!$C$28, 0.0192, 0)</f>
        <v>42.683900000000001</v>
      </c>
      <c r="D646" s="4">
        <f>59.7934 * CHOOSE(CONTROL!$C$9, $C$13, 100%, $E$13) + CHOOSE(CONTROL!$C$28, 0, 0)</f>
        <v>59.793399999999998</v>
      </c>
      <c r="E646" s="4">
        <f>290.972760095808 * CHOOSE(CONTROL!$C$9, $C$13, 100%, $E$13) + CHOOSE(CONTROL!$C$28, 0, 0)</f>
        <v>290.97276009580798</v>
      </c>
    </row>
    <row r="647" spans="1:5" ht="15">
      <c r="A647" s="13">
        <v>61209</v>
      </c>
      <c r="B647" s="4">
        <f>43.0145 * CHOOSE(CONTROL!$C$9, $C$13, 100%, $E$13) + CHOOSE(CONTROL!$C$28, 0.0192, 0)</f>
        <v>43.033699999999996</v>
      </c>
      <c r="C647" s="4">
        <f>42.6512 * CHOOSE(CONTROL!$C$9, $C$13, 100%, $E$13) + CHOOSE(CONTROL!$C$28, 0.0192, 0)</f>
        <v>42.670400000000001</v>
      </c>
      <c r="D647" s="4">
        <f>60.7495 * CHOOSE(CONTROL!$C$9, $C$13, 100%, $E$13) + CHOOSE(CONTROL!$C$28, 0, 0)</f>
        <v>60.749499999999998</v>
      </c>
      <c r="E647" s="4">
        <f>290.880211507991 * CHOOSE(CONTROL!$C$9, $C$13, 100%, $E$13) + CHOOSE(CONTROL!$C$28, 0, 0)</f>
        <v>290.88021150799102</v>
      </c>
    </row>
    <row r="648" spans="1:5" ht="15">
      <c r="A648" s="13">
        <v>61240</v>
      </c>
      <c r="B648" s="4">
        <f>44.0258 * CHOOSE(CONTROL!$C$9, $C$13, 100%, $E$13) + CHOOSE(CONTROL!$C$28, 0.0192, 0)</f>
        <v>44.044999999999995</v>
      </c>
      <c r="C648" s="4">
        <f>43.6626 * CHOOSE(CONTROL!$C$9, $C$13, 100%, $E$13) + CHOOSE(CONTROL!$C$28, 0.0192, 0)</f>
        <v>43.681799999999996</v>
      </c>
      <c r="D648" s="4">
        <f>60.1181 * CHOOSE(CONTROL!$C$9, $C$13, 100%, $E$13) + CHOOSE(CONTROL!$C$28, 0, 0)</f>
        <v>60.118099999999998</v>
      </c>
      <c r="E648" s="4">
        <f>297.8444927412 * CHOOSE(CONTROL!$C$9, $C$13, 100%, $E$13) + CHOOSE(CONTROL!$C$28, 0, 0)</f>
        <v>297.84449274119999</v>
      </c>
    </row>
    <row r="649" spans="1:5" ht="15">
      <c r="A649" s="13">
        <v>61270</v>
      </c>
      <c r="B649" s="4">
        <f>42.3022 * CHOOSE(CONTROL!$C$9, $C$13, 100%, $E$13) + CHOOSE(CONTROL!$C$28, 0.0192, 0)</f>
        <v>42.321399999999997</v>
      </c>
      <c r="C649" s="4">
        <f>41.9389 * CHOOSE(CONTROL!$C$9, $C$13, 100%, $E$13) + CHOOSE(CONTROL!$C$28, 0.0192, 0)</f>
        <v>41.958099999999995</v>
      </c>
      <c r="D649" s="4">
        <f>59.8198 * CHOOSE(CONTROL!$C$9, $C$13, 100%, $E$13) + CHOOSE(CONTROL!$C$28, 0, 0)</f>
        <v>59.819800000000001</v>
      </c>
      <c r="E649" s="4">
        <f>285.975136353704 * CHOOSE(CONTROL!$C$9, $C$13, 100%, $E$13) + CHOOSE(CONTROL!$C$28, 0, 0)</f>
        <v>285.97513635370399</v>
      </c>
    </row>
    <row r="650" spans="1:5" ht="15">
      <c r="A650" s="13">
        <v>61301</v>
      </c>
      <c r="B650" s="4">
        <f>40.9224 * CHOOSE(CONTROL!$C$9, $C$13, 100%, $E$13) + CHOOSE(CONTROL!$C$28, 0.0003, 0)</f>
        <v>40.922700000000006</v>
      </c>
      <c r="C650" s="4">
        <f>40.5591 * CHOOSE(CONTROL!$C$9, $C$13, 100%, $E$13) + CHOOSE(CONTROL!$C$28, 0.0003, 0)</f>
        <v>40.559400000000004</v>
      </c>
      <c r="D650" s="4">
        <f>59.0211 * CHOOSE(CONTROL!$C$9, $C$13, 100%, $E$13) + CHOOSE(CONTROL!$C$28, 0, 0)</f>
        <v>59.021099999999997</v>
      </c>
      <c r="E650" s="4">
        <f>276.473481337853 * CHOOSE(CONTROL!$C$9, $C$13, 100%, $E$13) + CHOOSE(CONTROL!$C$28, 0, 0)</f>
        <v>276.473481337853</v>
      </c>
    </row>
    <row r="651" spans="1:5" ht="15">
      <c r="A651" s="13">
        <v>61331</v>
      </c>
      <c r="B651" s="4">
        <f>40.0337 * CHOOSE(CONTROL!$C$9, $C$13, 100%, $E$13) + CHOOSE(CONTROL!$C$28, 0.0003, 0)</f>
        <v>40.034000000000006</v>
      </c>
      <c r="C651" s="4">
        <f>39.6704 * CHOOSE(CONTROL!$C$9, $C$13, 100%, $E$13) + CHOOSE(CONTROL!$C$28, 0.0003, 0)</f>
        <v>39.670700000000004</v>
      </c>
      <c r="D651" s="4">
        <f>58.7465 * CHOOSE(CONTROL!$C$9, $C$13, 100%, $E$13) + CHOOSE(CONTROL!$C$28, 0, 0)</f>
        <v>58.746499999999997</v>
      </c>
      <c r="E651" s="4">
        <f>270.353705968472 * CHOOSE(CONTROL!$C$9, $C$13, 100%, $E$13) + CHOOSE(CONTROL!$C$28, 0, 0)</f>
        <v>270.35370596847201</v>
      </c>
    </row>
    <row r="652" spans="1:5" ht="15">
      <c r="A652" s="13">
        <v>61362</v>
      </c>
      <c r="B652" s="4">
        <f>39.4188 * CHOOSE(CONTROL!$C$9, $C$13, 100%, $E$13) + CHOOSE(CONTROL!$C$28, 0.0003, 0)</f>
        <v>39.4191</v>
      </c>
      <c r="C652" s="4">
        <f>39.0555 * CHOOSE(CONTROL!$C$9, $C$13, 100%, $E$13) + CHOOSE(CONTROL!$C$28, 0.0003, 0)</f>
        <v>39.055800000000005</v>
      </c>
      <c r="D652" s="4">
        <f>56.7248 * CHOOSE(CONTROL!$C$9, $C$13, 100%, $E$13) + CHOOSE(CONTROL!$C$28, 0, 0)</f>
        <v>56.724800000000002</v>
      </c>
      <c r="E652" s="4">
        <f>266.119608075856 * CHOOSE(CONTROL!$C$9, $C$13, 100%, $E$13) + CHOOSE(CONTROL!$C$28, 0, 0)</f>
        <v>266.11960807585598</v>
      </c>
    </row>
    <row r="653" spans="1:5" ht="15">
      <c r="A653" s="13">
        <v>61393</v>
      </c>
      <c r="B653" s="4">
        <f>37.7365 * CHOOSE(CONTROL!$C$9, $C$13, 100%, $E$13) + CHOOSE(CONTROL!$C$28, 0.0003, 0)</f>
        <v>37.736800000000002</v>
      </c>
      <c r="C653" s="4">
        <f>37.3733 * CHOOSE(CONTROL!$C$9, $C$13, 100%, $E$13) + CHOOSE(CONTROL!$C$28, 0.0003, 0)</f>
        <v>37.373600000000003</v>
      </c>
      <c r="D653" s="4">
        <f>54.4978 * CHOOSE(CONTROL!$C$9, $C$13, 100%, $E$13) + CHOOSE(CONTROL!$C$28, 0, 0)</f>
        <v>54.497799999999998</v>
      </c>
      <c r="E653" s="4">
        <f>255.034645046388 * CHOOSE(CONTROL!$C$9, $C$13, 100%, $E$13) + CHOOSE(CONTROL!$C$28, 0, 0)</f>
        <v>255.03464504638799</v>
      </c>
    </row>
    <row r="654" spans="1:5" ht="15">
      <c r="A654" s="13">
        <v>61422</v>
      </c>
      <c r="B654" s="4">
        <f>38.6142 * CHOOSE(CONTROL!$C$9, $C$13, 100%, $E$13) + CHOOSE(CONTROL!$C$28, 0.0003, 0)</f>
        <v>38.6145</v>
      </c>
      <c r="C654" s="4">
        <f>38.2509 * CHOOSE(CONTROL!$C$9, $C$13, 100%, $E$13) + CHOOSE(CONTROL!$C$28, 0.0003, 0)</f>
        <v>38.251200000000004</v>
      </c>
      <c r="D654" s="4">
        <f>56.3558 * CHOOSE(CONTROL!$C$9, $C$13, 100%, $E$13) + CHOOSE(CONTROL!$C$28, 0, 0)</f>
        <v>56.355800000000002</v>
      </c>
      <c r="E654" s="4">
        <f>261.09017258823 * CHOOSE(CONTROL!$C$9, $C$13, 100%, $E$13) + CHOOSE(CONTROL!$C$28, 0, 0)</f>
        <v>261.09017258823002</v>
      </c>
    </row>
    <row r="655" spans="1:5" ht="15">
      <c r="A655" s="13">
        <v>61453</v>
      </c>
      <c r="B655" s="4">
        <f>40.9189 * CHOOSE(CONTROL!$C$9, $C$13, 100%, $E$13) + CHOOSE(CONTROL!$C$28, 0.0003, 0)</f>
        <v>40.919200000000004</v>
      </c>
      <c r="C655" s="4">
        <f>40.5557 * CHOOSE(CONTROL!$C$9, $C$13, 100%, $E$13) + CHOOSE(CONTROL!$C$28, 0.0003, 0)</f>
        <v>40.556000000000004</v>
      </c>
      <c r="D655" s="4">
        <f>59.2645 * CHOOSE(CONTROL!$C$9, $C$13, 100%, $E$13) + CHOOSE(CONTROL!$C$28, 0, 0)</f>
        <v>59.264499999999998</v>
      </c>
      <c r="E655" s="4">
        <f>276.992309723383 * CHOOSE(CONTROL!$C$9, $C$13, 100%, $E$13) + CHOOSE(CONTROL!$C$28, 0, 0)</f>
        <v>276.99230972338302</v>
      </c>
    </row>
    <row r="656" spans="1:5" ht="15">
      <c r="A656" s="13">
        <v>61483</v>
      </c>
      <c r="B656" s="4">
        <f>42.5565 * CHOOSE(CONTROL!$C$9, $C$13, 100%, $E$13) + CHOOSE(CONTROL!$C$28, 0.0003, 0)</f>
        <v>42.556800000000003</v>
      </c>
      <c r="C656" s="4">
        <f>42.1932 * CHOOSE(CONTROL!$C$9, $C$13, 100%, $E$13) + CHOOSE(CONTROL!$C$28, 0.0003, 0)</f>
        <v>42.1935</v>
      </c>
      <c r="D656" s="4">
        <f>60.94 * CHOOSE(CONTROL!$C$9, $C$13, 100%, $E$13) + CHOOSE(CONTROL!$C$28, 0, 0)</f>
        <v>60.94</v>
      </c>
      <c r="E656" s="4">
        <f>288.290990081751 * CHOOSE(CONTROL!$C$9, $C$13, 100%, $E$13) + CHOOSE(CONTROL!$C$28, 0, 0)</f>
        <v>288.29099008175098</v>
      </c>
    </row>
    <row r="657" spans="1:5" ht="15">
      <c r="A657" s="13">
        <v>61514</v>
      </c>
      <c r="B657" s="4">
        <f>43.557 * CHOOSE(CONTROL!$C$9, $C$13, 100%, $E$13) + CHOOSE(CONTROL!$C$28, 0.0192, 0)</f>
        <v>43.5762</v>
      </c>
      <c r="C657" s="4">
        <f>43.1937 * CHOOSE(CONTROL!$C$9, $C$13, 100%, $E$13) + CHOOSE(CONTROL!$C$28, 0.0192, 0)</f>
        <v>43.212899999999998</v>
      </c>
      <c r="D657" s="4">
        <f>60.278 * CHOOSE(CONTROL!$C$9, $C$13, 100%, $E$13) + CHOOSE(CONTROL!$C$28, 0, 0)</f>
        <v>60.277999999999999</v>
      </c>
      <c r="E657" s="4">
        <f>295.194212989139 * CHOOSE(CONTROL!$C$9, $C$13, 100%, $E$13) + CHOOSE(CONTROL!$C$28, 0, 0)</f>
        <v>295.19421298913898</v>
      </c>
    </row>
    <row r="658" spans="1:5" ht="15">
      <c r="A658" s="13">
        <v>61544</v>
      </c>
      <c r="B658" s="4">
        <f>43.6924 * CHOOSE(CONTROL!$C$9, $C$13, 100%, $E$13) + CHOOSE(CONTROL!$C$28, 0.0192, 0)</f>
        <v>43.711599999999997</v>
      </c>
      <c r="C658" s="4">
        <f>43.3291 * CHOOSE(CONTROL!$C$9, $C$13, 100%, $E$13) + CHOOSE(CONTROL!$C$28, 0.0192, 0)</f>
        <v>43.348299999999995</v>
      </c>
      <c r="D658" s="4">
        <f>60.8172 * CHOOSE(CONTROL!$C$9, $C$13, 100%, $E$13) + CHOOSE(CONTROL!$C$28, 0, 0)</f>
        <v>60.8172</v>
      </c>
      <c r="E658" s="4">
        <f>296.128247697472 * CHOOSE(CONTROL!$C$9, $C$13, 100%, $E$13) + CHOOSE(CONTROL!$C$28, 0, 0)</f>
        <v>296.12824769747198</v>
      </c>
    </row>
    <row r="659" spans="1:5" ht="15">
      <c r="A659" s="13">
        <v>61575</v>
      </c>
      <c r="B659" s="4">
        <f>43.6787 * CHOOSE(CONTROL!$C$9, $C$13, 100%, $E$13) + CHOOSE(CONTROL!$C$28, 0.0192, 0)</f>
        <v>43.697899999999997</v>
      </c>
      <c r="C659" s="4">
        <f>43.3154 * CHOOSE(CONTROL!$C$9, $C$13, 100%, $E$13) + CHOOSE(CONTROL!$C$28, 0.0192, 0)</f>
        <v>43.334599999999995</v>
      </c>
      <c r="D659" s="4">
        <f>61.7901 * CHOOSE(CONTROL!$C$9, $C$13, 100%, $E$13) + CHOOSE(CONTROL!$C$28, 0, 0)</f>
        <v>61.790100000000002</v>
      </c>
      <c r="E659" s="4">
        <f>296.034059323523 * CHOOSE(CONTROL!$C$9, $C$13, 100%, $E$13) + CHOOSE(CONTROL!$C$28, 0, 0)</f>
        <v>296.03405932352302</v>
      </c>
    </row>
    <row r="660" spans="1:5" ht="15">
      <c r="A660" s="13">
        <v>61606</v>
      </c>
      <c r="B660" s="4">
        <f>44.706 * CHOOSE(CONTROL!$C$9, $C$13, 100%, $E$13) + CHOOSE(CONTROL!$C$28, 0.0192, 0)</f>
        <v>44.725200000000001</v>
      </c>
      <c r="C660" s="4">
        <f>44.3427 * CHOOSE(CONTROL!$C$9, $C$13, 100%, $E$13) + CHOOSE(CONTROL!$C$28, 0.0192, 0)</f>
        <v>44.361899999999999</v>
      </c>
      <c r="D660" s="4">
        <f>61.1476 * CHOOSE(CONTROL!$C$9, $C$13, 100%, $E$13) + CHOOSE(CONTROL!$C$28, 0, 0)</f>
        <v>61.147599999999997</v>
      </c>
      <c r="E660" s="4">
        <f>303.121734463229 * CHOOSE(CONTROL!$C$9, $C$13, 100%, $E$13) + CHOOSE(CONTROL!$C$28, 0, 0)</f>
        <v>303.12173446322902</v>
      </c>
    </row>
    <row r="661" spans="1:5" ht="15">
      <c r="A661" s="13">
        <v>61636</v>
      </c>
      <c r="B661" s="4">
        <f>42.9552 * CHOOSE(CONTROL!$C$9, $C$13, 100%, $E$13) + CHOOSE(CONTROL!$C$28, 0.0192, 0)</f>
        <v>42.974399999999996</v>
      </c>
      <c r="C661" s="4">
        <f>42.5919 * CHOOSE(CONTROL!$C$9, $C$13, 100%, $E$13) + CHOOSE(CONTROL!$C$28, 0.0192, 0)</f>
        <v>42.6111</v>
      </c>
      <c r="D661" s="4">
        <f>60.844 * CHOOSE(CONTROL!$C$9, $C$13, 100%, $E$13) + CHOOSE(CONTROL!$C$28, 0, 0)</f>
        <v>60.844000000000001</v>
      </c>
      <c r="E661" s="4">
        <f>291.042075504195 * CHOOSE(CONTROL!$C$9, $C$13, 100%, $E$13) + CHOOSE(CONTROL!$C$28, 0, 0)</f>
        <v>291.042075504195</v>
      </c>
    </row>
    <row r="662" spans="1:5" ht="15">
      <c r="A662" s="13">
        <v>61667</v>
      </c>
      <c r="B662" s="4">
        <f>41.5537 * CHOOSE(CONTROL!$C$9, $C$13, 100%, $E$13) + CHOOSE(CONTROL!$C$28, 0.0003, 0)</f>
        <v>41.554000000000002</v>
      </c>
      <c r="C662" s="4">
        <f>41.1904 * CHOOSE(CONTROL!$C$9, $C$13, 100%, $E$13) + CHOOSE(CONTROL!$C$28, 0.0003, 0)</f>
        <v>41.1907</v>
      </c>
      <c r="D662" s="4">
        <f>60.0311 * CHOOSE(CONTROL!$C$9, $C$13, 100%, $E$13) + CHOOSE(CONTROL!$C$28, 0, 0)</f>
        <v>60.031100000000002</v>
      </c>
      <c r="E662" s="4">
        <f>281.372069112039 * CHOOSE(CONTROL!$C$9, $C$13, 100%, $E$13) + CHOOSE(CONTROL!$C$28, 0, 0)</f>
        <v>281.37206911203901</v>
      </c>
    </row>
    <row r="663" spans="1:5" ht="15">
      <c r="A663" s="13">
        <v>61697</v>
      </c>
      <c r="B663" s="4">
        <f>40.651 * CHOOSE(CONTROL!$C$9, $C$13, 100%, $E$13) + CHOOSE(CONTROL!$C$28, 0.0003, 0)</f>
        <v>40.651300000000006</v>
      </c>
      <c r="C663" s="4">
        <f>40.2878 * CHOOSE(CONTROL!$C$9, $C$13, 100%, $E$13) + CHOOSE(CONTROL!$C$28, 0.0003, 0)</f>
        <v>40.2881</v>
      </c>
      <c r="D663" s="4">
        <f>59.7517 * CHOOSE(CONTROL!$C$9, $C$13, 100%, $E$13) + CHOOSE(CONTROL!$C$28, 0, 0)</f>
        <v>59.7517</v>
      </c>
      <c r="E663" s="4">
        <f>275.143862884623 * CHOOSE(CONTROL!$C$9, $C$13, 100%, $E$13) + CHOOSE(CONTROL!$C$28, 0, 0)</f>
        <v>275.14386288462299</v>
      </c>
    </row>
    <row r="664" spans="1:5" ht="15">
      <c r="A664" s="13">
        <v>61728</v>
      </c>
      <c r="B664" s="4">
        <f>40.0265 * CHOOSE(CONTROL!$C$9, $C$13, 100%, $E$13) + CHOOSE(CONTROL!$C$28, 0.0003, 0)</f>
        <v>40.026800000000001</v>
      </c>
      <c r="C664" s="4">
        <f>39.6632 * CHOOSE(CONTROL!$C$9, $C$13, 100%, $E$13) + CHOOSE(CONTROL!$C$28, 0.0003, 0)</f>
        <v>39.663500000000006</v>
      </c>
      <c r="D664" s="4">
        <f>57.6943 * CHOOSE(CONTROL!$C$9, $C$13, 100%, $E$13) + CHOOSE(CONTROL!$C$28, 0, 0)</f>
        <v>57.694299999999998</v>
      </c>
      <c r="E664" s="4">
        <f>270.83474477643 * CHOOSE(CONTROL!$C$9, $C$13, 100%, $E$13) + CHOOSE(CONTROL!$C$28, 0, 0)</f>
        <v>270.83474477643</v>
      </c>
    </row>
    <row r="665" spans="1:5" ht="15">
      <c r="A665" s="13">
        <v>61759</v>
      </c>
      <c r="B665" s="4">
        <f>38.3178 * CHOOSE(CONTROL!$C$9, $C$13, 100%, $E$13) + CHOOSE(CONTROL!$C$28, 0.0003, 0)</f>
        <v>38.318100000000001</v>
      </c>
      <c r="C665" s="4">
        <f>37.9545 * CHOOSE(CONTROL!$C$9, $C$13, 100%, $E$13) + CHOOSE(CONTROL!$C$28, 0.0003, 0)</f>
        <v>37.954800000000006</v>
      </c>
      <c r="D665" s="4">
        <f>55.4279 * CHOOSE(CONTROL!$C$9, $C$13, 100%, $E$13) + CHOOSE(CONTROL!$C$28, 0, 0)</f>
        <v>55.427900000000001</v>
      </c>
      <c r="E665" s="4">
        <f>259.553377143848 * CHOOSE(CONTROL!$C$9, $C$13, 100%, $E$13) + CHOOSE(CONTROL!$C$28, 0, 0)</f>
        <v>259.55337714384802</v>
      </c>
    </row>
    <row r="666" spans="1:5" ht="15">
      <c r="A666" s="13">
        <v>61787</v>
      </c>
      <c r="B666" s="4">
        <f>39.2092 * CHOOSE(CONTROL!$C$9, $C$13, 100%, $E$13) + CHOOSE(CONTROL!$C$28, 0.0003, 0)</f>
        <v>39.209500000000006</v>
      </c>
      <c r="C666" s="4">
        <f>38.8459 * CHOOSE(CONTROL!$C$9, $C$13, 100%, $E$13) + CHOOSE(CONTROL!$C$28, 0.0003, 0)</f>
        <v>38.846200000000003</v>
      </c>
      <c r="D666" s="4">
        <f>57.3188 * CHOOSE(CONTROL!$C$9, $C$13, 100%, $E$13) + CHOOSE(CONTROL!$C$28, 0, 0)</f>
        <v>57.318800000000003</v>
      </c>
      <c r="E666" s="4">
        <f>265.716197193598 * CHOOSE(CONTROL!$C$9, $C$13, 100%, $E$13) + CHOOSE(CONTROL!$C$28, 0, 0)</f>
        <v>265.71619719359802</v>
      </c>
    </row>
    <row r="667" spans="1:5" ht="15">
      <c r="A667" s="13">
        <v>61818</v>
      </c>
      <c r="B667" s="4">
        <f>41.5502 * CHOOSE(CONTROL!$C$9, $C$13, 100%, $E$13) + CHOOSE(CONTROL!$C$28, 0.0003, 0)</f>
        <v>41.5505</v>
      </c>
      <c r="C667" s="4">
        <f>41.1869 * CHOOSE(CONTROL!$C$9, $C$13, 100%, $E$13) + CHOOSE(CONTROL!$C$28, 0.0003, 0)</f>
        <v>41.187200000000004</v>
      </c>
      <c r="D667" s="4">
        <f>60.2789 * CHOOSE(CONTROL!$C$9, $C$13, 100%, $E$13) + CHOOSE(CONTROL!$C$28, 0, 0)</f>
        <v>60.2789</v>
      </c>
      <c r="E667" s="4">
        <f>281.900090156387 * CHOOSE(CONTROL!$C$9, $C$13, 100%, $E$13) + CHOOSE(CONTROL!$C$28, 0, 0)</f>
        <v>281.90009015638702</v>
      </c>
    </row>
    <row r="668" spans="1:5" ht="15">
      <c r="A668" s="13">
        <v>61848</v>
      </c>
      <c r="B668" s="4">
        <f>43.2135 * CHOOSE(CONTROL!$C$9, $C$13, 100%, $E$13) + CHOOSE(CONTROL!$C$28, 0.0003, 0)</f>
        <v>43.213800000000006</v>
      </c>
      <c r="C668" s="4">
        <f>42.8503 * CHOOSE(CONTROL!$C$9, $C$13, 100%, $E$13) + CHOOSE(CONTROL!$C$28, 0.0003, 0)</f>
        <v>42.8506</v>
      </c>
      <c r="D668" s="4">
        <f>61.984 * CHOOSE(CONTROL!$C$9, $C$13, 100%, $E$13) + CHOOSE(CONTROL!$C$28, 0, 0)</f>
        <v>61.984000000000002</v>
      </c>
      <c r="E668" s="4">
        <f>293.398961785181 * CHOOSE(CONTROL!$C$9, $C$13, 100%, $E$13) + CHOOSE(CONTROL!$C$28, 0, 0)</f>
        <v>293.39896178518097</v>
      </c>
    </row>
    <row r="669" spans="1:5" ht="15">
      <c r="A669" s="13">
        <v>61879</v>
      </c>
      <c r="B669" s="4">
        <f>44.2298 * CHOOSE(CONTROL!$C$9, $C$13, 100%, $E$13) + CHOOSE(CONTROL!$C$28, 0.0192, 0)</f>
        <v>44.248999999999995</v>
      </c>
      <c r="C669" s="4">
        <f>43.8665 * CHOOSE(CONTROL!$C$9, $C$13, 100%, $E$13) + CHOOSE(CONTROL!$C$28, 0.0192, 0)</f>
        <v>43.8857</v>
      </c>
      <c r="D669" s="4">
        <f>61.3102 * CHOOSE(CONTROL!$C$9, $C$13, 100%, $E$13) + CHOOSE(CONTROL!$C$28, 0, 0)</f>
        <v>61.310200000000002</v>
      </c>
      <c r="E669" s="4">
        <f>300.424496760883 * CHOOSE(CONTROL!$C$9, $C$13, 100%, $E$13) + CHOOSE(CONTROL!$C$28, 0, 0)</f>
        <v>300.42449676088302</v>
      </c>
    </row>
    <row r="670" spans="1:5" ht="15">
      <c r="A670" s="13">
        <v>61909</v>
      </c>
      <c r="B670" s="4">
        <f>44.3673 * CHOOSE(CONTROL!$C$9, $C$13, 100%, $E$13) + CHOOSE(CONTROL!$C$28, 0.0192, 0)</f>
        <v>44.386499999999998</v>
      </c>
      <c r="C670" s="4">
        <f>44.004 * CHOOSE(CONTROL!$C$9, $C$13, 100%, $E$13) + CHOOSE(CONTROL!$C$28, 0.0192, 0)</f>
        <v>44.023199999999996</v>
      </c>
      <c r="D670" s="4">
        <f>61.859 * CHOOSE(CONTROL!$C$9, $C$13, 100%, $E$13) + CHOOSE(CONTROL!$C$28, 0, 0)</f>
        <v>61.859000000000002</v>
      </c>
      <c r="E670" s="4">
        <f>301.375080799665 * CHOOSE(CONTROL!$C$9, $C$13, 100%, $E$13) + CHOOSE(CONTROL!$C$28, 0, 0)</f>
        <v>301.375080799665</v>
      </c>
    </row>
    <row r="671" spans="1:5" ht="15">
      <c r="A671" s="13">
        <v>61940</v>
      </c>
      <c r="B671" s="4">
        <f>44.3534 * CHOOSE(CONTROL!$C$9, $C$13, 100%, $E$13) + CHOOSE(CONTROL!$C$28, 0.0192, 0)</f>
        <v>44.372599999999998</v>
      </c>
      <c r="C671" s="4">
        <f>43.9901 * CHOOSE(CONTROL!$C$9, $C$13, 100%, $E$13) + CHOOSE(CONTROL!$C$28, 0.0192, 0)</f>
        <v>44.009299999999996</v>
      </c>
      <c r="D671" s="4">
        <f>62.8491 * CHOOSE(CONTROL!$C$9, $C$13, 100%, $E$13) + CHOOSE(CONTROL!$C$28, 0, 0)</f>
        <v>62.8491</v>
      </c>
      <c r="E671" s="4">
        <f>301.27922358567 * CHOOSE(CONTROL!$C$9, $C$13, 100%, $E$13) + CHOOSE(CONTROL!$C$28, 0, 0)</f>
        <v>301.27922358567002</v>
      </c>
    </row>
    <row r="672" spans="1:5" ht="15">
      <c r="A672" s="13">
        <v>61971</v>
      </c>
      <c r="B672" s="4">
        <f>45.3968 * CHOOSE(CONTROL!$C$9, $C$13, 100%, $E$13) + CHOOSE(CONTROL!$C$28, 0.0192, 0)</f>
        <v>45.415999999999997</v>
      </c>
      <c r="C672" s="4">
        <f>45.0335 * CHOOSE(CONTROL!$C$9, $C$13, 100%, $E$13) + CHOOSE(CONTROL!$C$28, 0.0192, 0)</f>
        <v>45.052699999999994</v>
      </c>
      <c r="D672" s="4">
        <f>62.1952 * CHOOSE(CONTROL!$C$9, $C$13, 100%, $E$13) + CHOOSE(CONTROL!$C$28, 0, 0)</f>
        <v>62.1952</v>
      </c>
      <c r="E672" s="4">
        <f>308.492478938779 * CHOOSE(CONTROL!$C$9, $C$13, 100%, $E$13) + CHOOSE(CONTROL!$C$28, 0, 0)</f>
        <v>308.49247893877902</v>
      </c>
    </row>
    <row r="673" spans="1:5" ht="15">
      <c r="A673" s="13">
        <v>62001</v>
      </c>
      <c r="B673" s="4">
        <f>43.6185 * CHOOSE(CONTROL!$C$9, $C$13, 100%, $E$13) + CHOOSE(CONTROL!$C$28, 0.0192, 0)</f>
        <v>43.637699999999995</v>
      </c>
      <c r="C673" s="4">
        <f>43.2552 * CHOOSE(CONTROL!$C$9, $C$13, 100%, $E$13) + CHOOSE(CONTROL!$C$28, 0.0192, 0)</f>
        <v>43.2744</v>
      </c>
      <c r="D673" s="4">
        <f>61.8863 * CHOOSE(CONTROL!$C$9, $C$13, 100%, $E$13) + CHOOSE(CONTROL!$C$28, 0, 0)</f>
        <v>61.886299999999999</v>
      </c>
      <c r="E673" s="4">
        <f>296.198791243946 * CHOOSE(CONTROL!$C$9, $C$13, 100%, $E$13) + CHOOSE(CONTROL!$C$28, 0, 0)</f>
        <v>296.198791243946</v>
      </c>
    </row>
    <row r="674" spans="1:5" ht="15">
      <c r="A674" s="13">
        <v>62032</v>
      </c>
      <c r="B674" s="4">
        <f>42.195 * CHOOSE(CONTROL!$C$9, $C$13, 100%, $E$13) + CHOOSE(CONTROL!$C$28, 0.0003, 0)</f>
        <v>42.195300000000003</v>
      </c>
      <c r="C674" s="4">
        <f>41.8317 * CHOOSE(CONTROL!$C$9, $C$13, 100%, $E$13) + CHOOSE(CONTROL!$C$28, 0.0003, 0)</f>
        <v>41.832000000000001</v>
      </c>
      <c r="D674" s="4">
        <f>61.0591 * CHOOSE(CONTROL!$C$9, $C$13, 100%, $E$13) + CHOOSE(CONTROL!$C$28, 0, 0)</f>
        <v>61.059100000000001</v>
      </c>
      <c r="E674" s="4">
        <f>286.357450607146 * CHOOSE(CONTROL!$C$9, $C$13, 100%, $E$13) + CHOOSE(CONTROL!$C$28, 0, 0)</f>
        <v>286.35745060714601</v>
      </c>
    </row>
    <row r="675" spans="1:5" ht="15">
      <c r="A675" s="13">
        <v>62062</v>
      </c>
      <c r="B675" s="4">
        <f>41.2781 * CHOOSE(CONTROL!$C$9, $C$13, 100%, $E$13) + CHOOSE(CONTROL!$C$28, 0.0003, 0)</f>
        <v>41.278400000000005</v>
      </c>
      <c r="C675" s="4">
        <f>40.9148 * CHOOSE(CONTROL!$C$9, $C$13, 100%, $E$13) + CHOOSE(CONTROL!$C$28, 0.0003, 0)</f>
        <v>40.915100000000002</v>
      </c>
      <c r="D675" s="4">
        <f>60.7747 * CHOOSE(CONTROL!$C$9, $C$13, 100%, $E$13) + CHOOSE(CONTROL!$C$28, 0, 0)</f>
        <v>60.774700000000003</v>
      </c>
      <c r="E675" s="4">
        <f>280.018892331739 * CHOOSE(CONTROL!$C$9, $C$13, 100%, $E$13) + CHOOSE(CONTROL!$C$28, 0, 0)</f>
        <v>280.01889233173898</v>
      </c>
    </row>
    <row r="676" spans="1:5" ht="15">
      <c r="A676" s="13">
        <v>62093</v>
      </c>
      <c r="B676" s="4">
        <f>40.6438 * CHOOSE(CONTROL!$C$9, $C$13, 100%, $E$13) + CHOOSE(CONTROL!$C$28, 0.0003, 0)</f>
        <v>40.644100000000002</v>
      </c>
      <c r="C676" s="4">
        <f>40.2805 * CHOOSE(CONTROL!$C$9, $C$13, 100%, $E$13) + CHOOSE(CONTROL!$C$28, 0.0003, 0)</f>
        <v>40.280800000000006</v>
      </c>
      <c r="D676" s="4">
        <f>58.6809 * CHOOSE(CONTROL!$C$9, $C$13, 100%, $E$13) + CHOOSE(CONTROL!$C$28, 0, 0)</f>
        <v>58.680900000000001</v>
      </c>
      <c r="E676" s="4">
        <f>275.633424791477 * CHOOSE(CONTROL!$C$9, $C$13, 100%, $E$13) + CHOOSE(CONTROL!$C$28, 0, 0)</f>
        <v>275.63342479147701</v>
      </c>
    </row>
    <row r="677" spans="1:5" ht="15">
      <c r="A677" s="13">
        <v>62124</v>
      </c>
      <c r="B677" s="4">
        <f>38.9082 * CHOOSE(CONTROL!$C$9, $C$13, 100%, $E$13) + CHOOSE(CONTROL!$C$28, 0.0003, 0)</f>
        <v>38.908500000000004</v>
      </c>
      <c r="C677" s="4">
        <f>38.5449 * CHOOSE(CONTROL!$C$9, $C$13, 100%, $E$13) + CHOOSE(CONTROL!$C$28, 0.0003, 0)</f>
        <v>38.545200000000001</v>
      </c>
      <c r="D677" s="4">
        <f>56.3745 * CHOOSE(CONTROL!$C$9, $C$13, 100%, $E$13) + CHOOSE(CONTROL!$C$28, 0, 0)</f>
        <v>56.374499999999998</v>
      </c>
      <c r="E677" s="4">
        <f>264.152172637264 * CHOOSE(CONTROL!$C$9, $C$13, 100%, $E$13) + CHOOSE(CONTROL!$C$28, 0, 0)</f>
        <v>264.15217263726402</v>
      </c>
    </row>
    <row r="678" spans="1:5" ht="15">
      <c r="A678" s="13">
        <v>62152</v>
      </c>
      <c r="B678" s="4">
        <f>39.8136 * CHOOSE(CONTROL!$C$9, $C$13, 100%, $E$13) + CHOOSE(CONTROL!$C$28, 0.0003, 0)</f>
        <v>39.813900000000004</v>
      </c>
      <c r="C678" s="4">
        <f>39.4503 * CHOOSE(CONTROL!$C$9, $C$13, 100%, $E$13) + CHOOSE(CONTROL!$C$28, 0.0003, 0)</f>
        <v>39.450600000000001</v>
      </c>
      <c r="D678" s="4">
        <f>58.2988 * CHOOSE(CONTROL!$C$9, $C$13, 100%, $E$13) + CHOOSE(CONTROL!$C$28, 0, 0)</f>
        <v>58.2988</v>
      </c>
      <c r="E678" s="4">
        <f>270.424186215464 * CHOOSE(CONTROL!$C$9, $C$13, 100%, $E$13) + CHOOSE(CONTROL!$C$28, 0, 0)</f>
        <v>270.42418621546398</v>
      </c>
    </row>
    <row r="679" spans="1:5" ht="15">
      <c r="A679" s="13">
        <v>62183</v>
      </c>
      <c r="B679" s="4">
        <f>42.1914 * CHOOSE(CONTROL!$C$9, $C$13, 100%, $E$13) + CHOOSE(CONTROL!$C$28, 0.0003, 0)</f>
        <v>42.191700000000004</v>
      </c>
      <c r="C679" s="4">
        <f>41.8282 * CHOOSE(CONTROL!$C$9, $C$13, 100%, $E$13) + CHOOSE(CONTROL!$C$28, 0.0003, 0)</f>
        <v>41.828500000000005</v>
      </c>
      <c r="D679" s="4">
        <f>61.3112 * CHOOSE(CONTROL!$C$9, $C$13, 100%, $E$13) + CHOOSE(CONTROL!$C$28, 0, 0)</f>
        <v>61.311199999999999</v>
      </c>
      <c r="E679" s="4">
        <f>286.89482718686 * CHOOSE(CONTROL!$C$9, $C$13, 100%, $E$13) + CHOOSE(CONTROL!$C$28, 0, 0)</f>
        <v>286.89482718686003</v>
      </c>
    </row>
    <row r="680" spans="1:5" ht="15">
      <c r="A680" s="13">
        <v>62213</v>
      </c>
      <c r="B680" s="4">
        <f>43.8809 * CHOOSE(CONTROL!$C$9, $C$13, 100%, $E$13) + CHOOSE(CONTROL!$C$28, 0.0003, 0)</f>
        <v>43.8812</v>
      </c>
      <c r="C680" s="4">
        <f>43.5176 * CHOOSE(CONTROL!$C$9, $C$13, 100%, $E$13) + CHOOSE(CONTROL!$C$28, 0.0003, 0)</f>
        <v>43.517900000000004</v>
      </c>
      <c r="D680" s="4">
        <f>63.0465 * CHOOSE(CONTROL!$C$9, $C$13, 100%, $E$13) + CHOOSE(CONTROL!$C$28, 0, 0)</f>
        <v>63.046500000000002</v>
      </c>
      <c r="E680" s="4">
        <f>298.597437097188 * CHOOSE(CONTROL!$C$9, $C$13, 100%, $E$13) + CHOOSE(CONTROL!$C$28, 0, 0)</f>
        <v>298.59743709718799</v>
      </c>
    </row>
    <row r="681" spans="1:5" ht="15">
      <c r="A681" s="13">
        <v>62244</v>
      </c>
      <c r="B681" s="4">
        <f>44.9131 * CHOOSE(CONTROL!$C$9, $C$13, 100%, $E$13) + CHOOSE(CONTROL!$C$28, 0.0192, 0)</f>
        <v>44.932299999999998</v>
      </c>
      <c r="C681" s="4">
        <f>44.5498 * CHOOSE(CONTROL!$C$9, $C$13, 100%, $E$13) + CHOOSE(CONTROL!$C$28, 0.0192, 0)</f>
        <v>44.568999999999996</v>
      </c>
      <c r="D681" s="4">
        <f>62.3608 * CHOOSE(CONTROL!$C$9, $C$13, 100%, $E$13) + CHOOSE(CONTROL!$C$28, 0, 0)</f>
        <v>62.360799999999998</v>
      </c>
      <c r="E681" s="4">
        <f>305.747451279983 * CHOOSE(CONTROL!$C$9, $C$13, 100%, $E$13) + CHOOSE(CONTROL!$C$28, 0, 0)</f>
        <v>305.74745127998301</v>
      </c>
    </row>
    <row r="682" spans="1:5" ht="15">
      <c r="A682" s="13">
        <v>62274</v>
      </c>
      <c r="B682" s="4">
        <f>45.0528 * CHOOSE(CONTROL!$C$9, $C$13, 100%, $E$13) + CHOOSE(CONTROL!$C$28, 0.0192, 0)</f>
        <v>45.071999999999996</v>
      </c>
      <c r="C682" s="4">
        <f>44.6895 * CHOOSE(CONTROL!$C$9, $C$13, 100%, $E$13) + CHOOSE(CONTROL!$C$28, 0.0192, 0)</f>
        <v>44.7087</v>
      </c>
      <c r="D682" s="4">
        <f>62.9192 * CHOOSE(CONTROL!$C$9, $C$13, 100%, $E$13) + CHOOSE(CONTROL!$C$28, 0, 0)</f>
        <v>62.919199999999996</v>
      </c>
      <c r="E682" s="4">
        <f>306.714877872084 * CHOOSE(CONTROL!$C$9, $C$13, 100%, $E$13) + CHOOSE(CONTROL!$C$28, 0, 0)</f>
        <v>306.714877872084</v>
      </c>
    </row>
    <row r="683" spans="1:5" ht="15">
      <c r="A683" s="13">
        <v>62305</v>
      </c>
      <c r="B683" s="4">
        <f>45.0387 * CHOOSE(CONTROL!$C$9, $C$13, 100%, $E$13) + CHOOSE(CONTROL!$C$28, 0.0192, 0)</f>
        <v>45.057899999999997</v>
      </c>
      <c r="C683" s="4">
        <f>44.6754 * CHOOSE(CONTROL!$C$9, $C$13, 100%, $E$13) + CHOOSE(CONTROL!$C$28, 0.0192, 0)</f>
        <v>44.694600000000001</v>
      </c>
      <c r="D683" s="4">
        <f>63.9268 * CHOOSE(CONTROL!$C$9, $C$13, 100%, $E$13) + CHOOSE(CONTROL!$C$28, 0, 0)</f>
        <v>63.9268</v>
      </c>
      <c r="E683" s="4">
        <f>306.617322249351 * CHOOSE(CONTROL!$C$9, $C$13, 100%, $E$13) + CHOOSE(CONTROL!$C$28, 0, 0)</f>
        <v>306.61732224935099</v>
      </c>
    </row>
    <row r="684" spans="1:5" ht="15">
      <c r="A684" s="13">
        <v>62336</v>
      </c>
      <c r="B684" s="4">
        <f>46.0985 * CHOOSE(CONTROL!$C$9, $C$13, 100%, $E$13) + CHOOSE(CONTROL!$C$28, 0.0192, 0)</f>
        <v>46.117699999999999</v>
      </c>
      <c r="C684" s="4">
        <f>45.7352 * CHOOSE(CONTROL!$C$9, $C$13, 100%, $E$13) + CHOOSE(CONTROL!$C$28, 0.0192, 0)</f>
        <v>45.754399999999997</v>
      </c>
      <c r="D684" s="4">
        <f>63.2614 * CHOOSE(CONTROL!$C$9, $C$13, 100%, $E$13) + CHOOSE(CONTROL!$C$28, 0, 0)</f>
        <v>63.261400000000002</v>
      </c>
      <c r="E684" s="4">
        <f>313.958382859998 * CHOOSE(CONTROL!$C$9, $C$13, 100%, $E$13) + CHOOSE(CONTROL!$C$28, 0, 0)</f>
        <v>313.95838285999798</v>
      </c>
    </row>
    <row r="685" spans="1:5" ht="15">
      <c r="A685" s="13">
        <v>62366</v>
      </c>
      <c r="B685" s="4">
        <f>44.2923 * CHOOSE(CONTROL!$C$9, $C$13, 100%, $E$13) + CHOOSE(CONTROL!$C$28, 0.0192, 0)</f>
        <v>44.311499999999995</v>
      </c>
      <c r="C685" s="4">
        <f>43.929 * CHOOSE(CONTROL!$C$9, $C$13, 100%, $E$13) + CHOOSE(CONTROL!$C$28, 0.0192, 0)</f>
        <v>43.9482</v>
      </c>
      <c r="D685" s="4">
        <f>62.947 * CHOOSE(CONTROL!$C$9, $C$13, 100%, $E$13) + CHOOSE(CONTROL!$C$28, 0, 0)</f>
        <v>62.947000000000003</v>
      </c>
      <c r="E685" s="4">
        <f>301.44687424451 * CHOOSE(CONTROL!$C$9, $C$13, 100%, $E$13) + CHOOSE(CONTROL!$C$28, 0, 0)</f>
        <v>301.44687424451001</v>
      </c>
    </row>
    <row r="686" spans="1:5" ht="15">
      <c r="A686" s="13">
        <v>62397</v>
      </c>
      <c r="B686" s="4">
        <f>42.8463 * CHOOSE(CONTROL!$C$9, $C$13, 100%, $E$13) + CHOOSE(CONTROL!$C$28, 0.0003, 0)</f>
        <v>42.846600000000002</v>
      </c>
      <c r="C686" s="4">
        <f>42.4831 * CHOOSE(CONTROL!$C$9, $C$13, 100%, $E$13) + CHOOSE(CONTROL!$C$28, 0.0003, 0)</f>
        <v>42.483400000000003</v>
      </c>
      <c r="D686" s="4">
        <f>62.1052 * CHOOSE(CONTROL!$C$9, $C$13, 100%, $E$13) + CHOOSE(CONTROL!$C$28, 0, 0)</f>
        <v>62.105200000000004</v>
      </c>
      <c r="E686" s="4">
        <f>291.431163643937 * CHOOSE(CONTROL!$C$9, $C$13, 100%, $E$13) + CHOOSE(CONTROL!$C$28, 0, 0)</f>
        <v>291.431163643937</v>
      </c>
    </row>
    <row r="687" spans="1:5" ht="15">
      <c r="A687" s="13">
        <v>62427</v>
      </c>
      <c r="B687" s="4">
        <f>41.915 * CHOOSE(CONTROL!$C$9, $C$13, 100%, $E$13) + CHOOSE(CONTROL!$C$28, 0.0003, 0)</f>
        <v>41.915300000000002</v>
      </c>
      <c r="C687" s="4">
        <f>41.5518 * CHOOSE(CONTROL!$C$9, $C$13, 100%, $E$13) + CHOOSE(CONTROL!$C$28, 0.0003, 0)</f>
        <v>41.552100000000003</v>
      </c>
      <c r="D687" s="4">
        <f>61.8157 * CHOOSE(CONTROL!$C$9, $C$13, 100%, $E$13) + CHOOSE(CONTROL!$C$28, 0, 0)</f>
        <v>61.8157</v>
      </c>
      <c r="E687" s="4">
        <f>284.980298090728 * CHOOSE(CONTROL!$C$9, $C$13, 100%, $E$13) + CHOOSE(CONTROL!$C$28, 0, 0)</f>
        <v>284.98029809072801</v>
      </c>
    </row>
    <row r="688" spans="1:5" ht="15">
      <c r="A688" s="13">
        <v>62458</v>
      </c>
      <c r="B688" s="4">
        <f>41.2707 * CHOOSE(CONTROL!$C$9, $C$13, 100%, $E$13) + CHOOSE(CONTROL!$C$28, 0.0003, 0)</f>
        <v>41.271000000000001</v>
      </c>
      <c r="C688" s="4">
        <f>40.9074 * CHOOSE(CONTROL!$C$9, $C$13, 100%, $E$13) + CHOOSE(CONTROL!$C$28, 0.0003, 0)</f>
        <v>40.907700000000006</v>
      </c>
      <c r="D688" s="4">
        <f>59.685 * CHOOSE(CONTROL!$C$9, $C$13, 100%, $E$13) + CHOOSE(CONTROL!$C$28, 0, 0)</f>
        <v>59.685000000000002</v>
      </c>
      <c r="E688" s="4">
        <f>280.5171283507 * CHOOSE(CONTROL!$C$9, $C$13, 100%, $E$13) + CHOOSE(CONTROL!$C$28, 0, 0)</f>
        <v>280.51712835069998</v>
      </c>
    </row>
    <row r="689" spans="1:5" ht="15">
      <c r="A689" s="13">
        <v>62489</v>
      </c>
      <c r="B689" s="4">
        <f>39.5078 * CHOOSE(CONTROL!$C$9, $C$13, 100%, $E$13) + CHOOSE(CONTROL!$C$28, 0.0003, 0)</f>
        <v>39.508100000000006</v>
      </c>
      <c r="C689" s="4">
        <f>39.1445 * CHOOSE(CONTROL!$C$9, $C$13, 100%, $E$13) + CHOOSE(CONTROL!$C$28, 0.0003, 0)</f>
        <v>39.144800000000004</v>
      </c>
      <c r="D689" s="4">
        <f>57.3379 * CHOOSE(CONTROL!$C$9, $C$13, 100%, $E$13) + CHOOSE(CONTROL!$C$28, 0, 0)</f>
        <v>57.337899999999998</v>
      </c>
      <c r="E689" s="4">
        <f>268.832450098755 * CHOOSE(CONTROL!$C$9, $C$13, 100%, $E$13) + CHOOSE(CONTROL!$C$28, 0, 0)</f>
        <v>268.83245009875498</v>
      </c>
    </row>
    <row r="690" spans="1:5" ht="15">
      <c r="A690" s="13">
        <v>62517</v>
      </c>
      <c r="B690" s="4">
        <f>40.4275 * CHOOSE(CONTROL!$C$9, $C$13, 100%, $E$13) + CHOOSE(CONTROL!$C$28, 0.0003, 0)</f>
        <v>40.427800000000005</v>
      </c>
      <c r="C690" s="4">
        <f>40.0643 * CHOOSE(CONTROL!$C$9, $C$13, 100%, $E$13) + CHOOSE(CONTROL!$C$28, 0.0003, 0)</f>
        <v>40.064600000000006</v>
      </c>
      <c r="D690" s="4">
        <f>59.2962 * CHOOSE(CONTROL!$C$9, $C$13, 100%, $E$13) + CHOOSE(CONTROL!$C$28, 0, 0)</f>
        <v>59.296199999999999</v>
      </c>
      <c r="E690" s="4">
        <f>275.21559190844 * CHOOSE(CONTROL!$C$9, $C$13, 100%, $E$13) + CHOOSE(CONTROL!$C$28, 0, 0)</f>
        <v>275.21559190843999</v>
      </c>
    </row>
    <row r="691" spans="1:5" ht="15">
      <c r="A691" s="13">
        <v>62548</v>
      </c>
      <c r="B691" s="4">
        <f>42.8427 * CHOOSE(CONTROL!$C$9, $C$13, 100%, $E$13) + CHOOSE(CONTROL!$C$28, 0.0003, 0)</f>
        <v>42.843000000000004</v>
      </c>
      <c r="C691" s="4">
        <f>42.4795 * CHOOSE(CONTROL!$C$9, $C$13, 100%, $E$13) + CHOOSE(CONTROL!$C$28, 0.0003, 0)</f>
        <v>42.479800000000004</v>
      </c>
      <c r="D691" s="4">
        <f>62.3618 * CHOOSE(CONTROL!$C$9, $C$13, 100%, $E$13) + CHOOSE(CONTROL!$C$28, 0, 0)</f>
        <v>62.361800000000002</v>
      </c>
      <c r="E691" s="4">
        <f>291.97806152143 * CHOOSE(CONTROL!$C$9, $C$13, 100%, $E$13) + CHOOSE(CONTROL!$C$28, 0, 0)</f>
        <v>291.97806152142999</v>
      </c>
    </row>
    <row r="692" spans="1:5" ht="15">
      <c r="A692" s="13">
        <v>62578</v>
      </c>
      <c r="B692" s="4">
        <f>44.5588 * CHOOSE(CONTROL!$C$9, $C$13, 100%, $E$13) + CHOOSE(CONTROL!$C$28, 0.0003, 0)</f>
        <v>44.559100000000001</v>
      </c>
      <c r="C692" s="4">
        <f>44.1955 * CHOOSE(CONTROL!$C$9, $C$13, 100%, $E$13) + CHOOSE(CONTROL!$C$28, 0.0003, 0)</f>
        <v>44.195800000000006</v>
      </c>
      <c r="D692" s="4">
        <f>64.1277 * CHOOSE(CONTROL!$C$9, $C$13, 100%, $E$13) + CHOOSE(CONTROL!$C$28, 0, 0)</f>
        <v>64.127700000000004</v>
      </c>
      <c r="E692" s="4">
        <f>303.888019570738 * CHOOSE(CONTROL!$C$9, $C$13, 100%, $E$13) + CHOOSE(CONTROL!$C$28, 0, 0)</f>
        <v>303.88801957073798</v>
      </c>
    </row>
    <row r="693" spans="1:5" ht="15">
      <c r="A693" s="13">
        <v>62609</v>
      </c>
      <c r="B693" s="4">
        <f>45.6072 * CHOOSE(CONTROL!$C$9, $C$13, 100%, $E$13) + CHOOSE(CONTROL!$C$28, 0.0192, 0)</f>
        <v>45.626399999999997</v>
      </c>
      <c r="C693" s="4">
        <f>45.2439 * CHOOSE(CONTROL!$C$9, $C$13, 100%, $E$13) + CHOOSE(CONTROL!$C$28, 0.0192, 0)</f>
        <v>45.263099999999994</v>
      </c>
      <c r="D693" s="4">
        <f>63.4299 * CHOOSE(CONTROL!$C$9, $C$13, 100%, $E$13) + CHOOSE(CONTROL!$C$28, 0, 0)</f>
        <v>63.429900000000004</v>
      </c>
      <c r="E693" s="4">
        <f>311.164718497009 * CHOOSE(CONTROL!$C$9, $C$13, 100%, $E$13) + CHOOSE(CONTROL!$C$28, 0, 0)</f>
        <v>311.16471849700901</v>
      </c>
    </row>
    <row r="694" spans="1:5" ht="15">
      <c r="A694" s="13">
        <v>62639</v>
      </c>
      <c r="B694" s="4">
        <f>45.7491 * CHOOSE(CONTROL!$C$9, $C$13, 100%, $E$13) + CHOOSE(CONTROL!$C$28, 0.0192, 0)</f>
        <v>45.768299999999996</v>
      </c>
      <c r="C694" s="4">
        <f>45.3858 * CHOOSE(CONTROL!$C$9, $C$13, 100%, $E$13) + CHOOSE(CONTROL!$C$28, 0.0192, 0)</f>
        <v>45.405000000000001</v>
      </c>
      <c r="D694" s="4">
        <f>63.9982 * CHOOSE(CONTROL!$C$9, $C$13, 100%, $E$13) + CHOOSE(CONTROL!$C$28, 0, 0)</f>
        <v>63.998199999999997</v>
      </c>
      <c r="E694" s="4">
        <f>312.149286060655 * CHOOSE(CONTROL!$C$9, $C$13, 100%, $E$13) + CHOOSE(CONTROL!$C$28, 0, 0)</f>
        <v>312.14928606065502</v>
      </c>
    </row>
    <row r="695" spans="1:5" ht="15">
      <c r="A695" s="13">
        <v>62670</v>
      </c>
      <c r="B695" s="4">
        <f>45.7348 * CHOOSE(CONTROL!$C$9, $C$13, 100%, $E$13) + CHOOSE(CONTROL!$C$28, 0.0192, 0)</f>
        <v>45.753999999999998</v>
      </c>
      <c r="C695" s="4">
        <f>45.3715 * CHOOSE(CONTROL!$C$9, $C$13, 100%, $E$13) + CHOOSE(CONTROL!$C$28, 0.0192, 0)</f>
        <v>45.390699999999995</v>
      </c>
      <c r="D695" s="4">
        <f>65.0236 * CHOOSE(CONTROL!$C$9, $C$13, 100%, $E$13) + CHOOSE(CONTROL!$C$28, 0, 0)</f>
        <v>65.023600000000002</v>
      </c>
      <c r="E695" s="4">
        <f>312.05000193659 * CHOOSE(CONTROL!$C$9, $C$13, 100%, $E$13) + CHOOSE(CONTROL!$C$28, 0, 0)</f>
        <v>312.05000193658998</v>
      </c>
    </row>
    <row r="696" spans="1:5" ht="15">
      <c r="A696" s="13">
        <v>62701</v>
      </c>
      <c r="B696" s="4">
        <f>46.8112 * CHOOSE(CONTROL!$C$9, $C$13, 100%, $E$13) + CHOOSE(CONTROL!$C$28, 0.0192, 0)</f>
        <v>46.830399999999997</v>
      </c>
      <c r="C696" s="4">
        <f>46.448 * CHOOSE(CONTROL!$C$9, $C$13, 100%, $E$13) + CHOOSE(CONTROL!$C$28, 0.0192, 0)</f>
        <v>46.467199999999998</v>
      </c>
      <c r="D696" s="4">
        <f>64.3464 * CHOOSE(CONTROL!$C$9, $C$13, 100%, $E$13) + CHOOSE(CONTROL!$C$28, 0, 0)</f>
        <v>64.346400000000003</v>
      </c>
      <c r="E696" s="4">
        <f>319.521132272488 * CHOOSE(CONTROL!$C$9, $C$13, 100%, $E$13) + CHOOSE(CONTROL!$C$28, 0, 0)</f>
        <v>319.52113227248799</v>
      </c>
    </row>
    <row r="697" spans="1:5" ht="15">
      <c r="A697" s="13">
        <v>62731</v>
      </c>
      <c r="B697" s="4">
        <f>44.9766 * CHOOSE(CONTROL!$C$9, $C$13, 100%, $E$13) + CHOOSE(CONTROL!$C$28, 0.0192, 0)</f>
        <v>44.995799999999996</v>
      </c>
      <c r="C697" s="4">
        <f>44.6133 * CHOOSE(CONTROL!$C$9, $C$13, 100%, $E$13) + CHOOSE(CONTROL!$C$28, 0.0192, 0)</f>
        <v>44.6325</v>
      </c>
      <c r="D697" s="4">
        <f>64.0264 * CHOOSE(CONTROL!$C$9, $C$13, 100%, $E$13) + CHOOSE(CONTROL!$C$28, 0, 0)</f>
        <v>64.026399999999995</v>
      </c>
      <c r="E697" s="4">
        <f>306.78794336114 * CHOOSE(CONTROL!$C$9, $C$13, 100%, $E$13) + CHOOSE(CONTROL!$C$28, 0, 0)</f>
        <v>306.78794336113998</v>
      </c>
    </row>
    <row r="698" spans="1:5" ht="15">
      <c r="A698" s="13">
        <v>62762</v>
      </c>
      <c r="B698" s="4">
        <f>43.5079 * CHOOSE(CONTROL!$C$9, $C$13, 100%, $E$13) + CHOOSE(CONTROL!$C$28, 0.0003, 0)</f>
        <v>43.508200000000002</v>
      </c>
      <c r="C698" s="4">
        <f>43.1446 * CHOOSE(CONTROL!$C$9, $C$13, 100%, $E$13) + CHOOSE(CONTROL!$C$28, 0.0003, 0)</f>
        <v>43.1449</v>
      </c>
      <c r="D698" s="4">
        <f>63.1697 * CHOOSE(CONTROL!$C$9, $C$13, 100%, $E$13) + CHOOSE(CONTROL!$C$28, 0, 0)</f>
        <v>63.169699999999999</v>
      </c>
      <c r="E698" s="4">
        <f>296.594773290457 * CHOOSE(CONTROL!$C$9, $C$13, 100%, $E$13) + CHOOSE(CONTROL!$C$28, 0, 0)</f>
        <v>296.594773290457</v>
      </c>
    </row>
    <row r="699" spans="1:5" ht="15">
      <c r="A699" s="13">
        <v>62792</v>
      </c>
      <c r="B699" s="4">
        <f>42.562 * CHOOSE(CONTROL!$C$9, $C$13, 100%, $E$13) + CHOOSE(CONTROL!$C$28, 0.0003, 0)</f>
        <v>42.5623</v>
      </c>
      <c r="C699" s="4">
        <f>42.1987 * CHOOSE(CONTROL!$C$9, $C$13, 100%, $E$13) + CHOOSE(CONTROL!$C$28, 0.0003, 0)</f>
        <v>42.199000000000005</v>
      </c>
      <c r="D699" s="4">
        <f>62.8752 * CHOOSE(CONTROL!$C$9, $C$13, 100%, $E$13) + CHOOSE(CONTROL!$C$28, 0, 0)</f>
        <v>62.8752</v>
      </c>
      <c r="E699" s="4">
        <f>290.029610586652 * CHOOSE(CONTROL!$C$9, $C$13, 100%, $E$13) + CHOOSE(CONTROL!$C$28, 0, 0)</f>
        <v>290.02961058665198</v>
      </c>
    </row>
    <row r="700" spans="1:5" ht="15">
      <c r="A700" s="13">
        <v>62823</v>
      </c>
      <c r="B700" s="4">
        <f>41.9075 * CHOOSE(CONTROL!$C$9, $C$13, 100%, $E$13) + CHOOSE(CONTROL!$C$28, 0.0003, 0)</f>
        <v>41.907800000000002</v>
      </c>
      <c r="C700" s="4">
        <f>41.5442 * CHOOSE(CONTROL!$C$9, $C$13, 100%, $E$13) + CHOOSE(CONTROL!$C$28, 0.0003, 0)</f>
        <v>41.544499999999999</v>
      </c>
      <c r="D700" s="4">
        <f>60.7068 * CHOOSE(CONTROL!$C$9, $C$13, 100%, $E$13) + CHOOSE(CONTROL!$C$28, 0, 0)</f>
        <v>60.706800000000001</v>
      </c>
      <c r="E700" s="4">
        <f>285.487361910674 * CHOOSE(CONTROL!$C$9, $C$13, 100%, $E$13) + CHOOSE(CONTROL!$C$28, 0, 0)</f>
        <v>285.487361910674</v>
      </c>
    </row>
    <row r="701" spans="1:5" ht="15">
      <c r="A701" s="13">
        <v>62854</v>
      </c>
      <c r="B701" s="4">
        <f>40.1169 * CHOOSE(CONTROL!$C$9, $C$13, 100%, $E$13) + CHOOSE(CONTROL!$C$28, 0.0003, 0)</f>
        <v>40.117200000000004</v>
      </c>
      <c r="C701" s="4">
        <f>39.7536 * CHOOSE(CONTROL!$C$9, $C$13, 100%, $E$13) + CHOOSE(CONTROL!$C$28, 0.0003, 0)</f>
        <v>39.753900000000002</v>
      </c>
      <c r="D701" s="4">
        <f>58.3182 * CHOOSE(CONTROL!$C$9, $C$13, 100%, $E$13) + CHOOSE(CONTROL!$C$28, 0, 0)</f>
        <v>58.318199999999997</v>
      </c>
      <c r="E701" s="4">
        <f>273.595653234859 * CHOOSE(CONTROL!$C$9, $C$13, 100%, $E$13) + CHOOSE(CONTROL!$C$28, 0, 0)</f>
        <v>273.59565323485901</v>
      </c>
    </row>
    <row r="702" spans="1:5" ht="15">
      <c r="A702" s="13">
        <v>62883</v>
      </c>
      <c r="B702" s="4">
        <f>41.0511 * CHOOSE(CONTROL!$C$9, $C$13, 100%, $E$13) + CHOOSE(CONTROL!$C$28, 0.0003, 0)</f>
        <v>41.051400000000001</v>
      </c>
      <c r="C702" s="4">
        <f>40.6878 * CHOOSE(CONTROL!$C$9, $C$13, 100%, $E$13) + CHOOSE(CONTROL!$C$28, 0.0003, 0)</f>
        <v>40.688100000000006</v>
      </c>
      <c r="D702" s="4">
        <f>60.3111 * CHOOSE(CONTROL!$C$9, $C$13, 100%, $E$13) + CHOOSE(CONTROL!$C$28, 0, 0)</f>
        <v>60.311100000000003</v>
      </c>
      <c r="E702" s="4">
        <f>280.091892258347 * CHOOSE(CONTROL!$C$9, $C$13, 100%, $E$13) + CHOOSE(CONTROL!$C$28, 0, 0)</f>
        <v>280.091892258347</v>
      </c>
    </row>
    <row r="703" spans="1:5" ht="15">
      <c r="A703" s="13">
        <v>62914</v>
      </c>
      <c r="B703" s="4">
        <f>43.5043 * CHOOSE(CONTROL!$C$9, $C$13, 100%, $E$13) + CHOOSE(CONTROL!$C$28, 0.0003, 0)</f>
        <v>43.504600000000003</v>
      </c>
      <c r="C703" s="4">
        <f>43.141 * CHOOSE(CONTROL!$C$9, $C$13, 100%, $E$13) + CHOOSE(CONTROL!$C$28, 0.0003, 0)</f>
        <v>43.141300000000001</v>
      </c>
      <c r="D703" s="4">
        <f>63.4309 * CHOOSE(CONTROL!$C$9, $C$13, 100%, $E$13) + CHOOSE(CONTROL!$C$28, 0, 0)</f>
        <v>63.430900000000001</v>
      </c>
      <c r="E703" s="4">
        <f>297.151361165136 * CHOOSE(CONTROL!$C$9, $C$13, 100%, $E$13) + CHOOSE(CONTROL!$C$28, 0, 0)</f>
        <v>297.151361165136</v>
      </c>
    </row>
    <row r="704" spans="1:5" ht="15">
      <c r="A704" s="13">
        <v>62944</v>
      </c>
      <c r="B704" s="4">
        <f>45.2473 * CHOOSE(CONTROL!$C$9, $C$13, 100%, $E$13) + CHOOSE(CONTROL!$C$28, 0.0003, 0)</f>
        <v>45.247600000000006</v>
      </c>
      <c r="C704" s="4">
        <f>44.884 * CHOOSE(CONTROL!$C$9, $C$13, 100%, $E$13) + CHOOSE(CONTROL!$C$28, 0.0003, 0)</f>
        <v>44.884300000000003</v>
      </c>
      <c r="D704" s="4">
        <f>65.228 * CHOOSE(CONTROL!$C$9, $C$13, 100%, $E$13) + CHOOSE(CONTROL!$C$28, 0, 0)</f>
        <v>65.227999999999994</v>
      </c>
      <c r="E704" s="4">
        <f>309.272341170724 * CHOOSE(CONTROL!$C$9, $C$13, 100%, $E$13) + CHOOSE(CONTROL!$C$28, 0, 0)</f>
        <v>309.27234117072402</v>
      </c>
    </row>
    <row r="705" spans="1:5" ht="15">
      <c r="A705" s="13">
        <v>62975</v>
      </c>
      <c r="B705" s="4">
        <f>46.3122 * CHOOSE(CONTROL!$C$9, $C$13, 100%, $E$13) + CHOOSE(CONTROL!$C$28, 0.0192, 0)</f>
        <v>46.331399999999995</v>
      </c>
      <c r="C705" s="4">
        <f>45.9489 * CHOOSE(CONTROL!$C$9, $C$13, 100%, $E$13) + CHOOSE(CONTROL!$C$28, 0.0192, 0)</f>
        <v>45.9681</v>
      </c>
      <c r="D705" s="4">
        <f>64.5178 * CHOOSE(CONTROL!$C$9, $C$13, 100%, $E$13) + CHOOSE(CONTROL!$C$28, 0, 0)</f>
        <v>64.517799999999994</v>
      </c>
      <c r="E705" s="4">
        <f>316.677969454791 * CHOOSE(CONTROL!$C$9, $C$13, 100%, $E$13) + CHOOSE(CONTROL!$C$28, 0, 0)</f>
        <v>316.67796945479103</v>
      </c>
    </row>
    <row r="706" spans="1:5" ht="15">
      <c r="A706" s="13">
        <v>63005</v>
      </c>
      <c r="B706" s="4">
        <f>46.4563 * CHOOSE(CONTROL!$C$9, $C$13, 100%, $E$13) + CHOOSE(CONTROL!$C$28, 0.0192, 0)</f>
        <v>46.475499999999997</v>
      </c>
      <c r="C706" s="4">
        <f>46.093 * CHOOSE(CONTROL!$C$9, $C$13, 100%, $E$13) + CHOOSE(CONTROL!$C$28, 0.0192, 0)</f>
        <v>46.112200000000001</v>
      </c>
      <c r="D706" s="4">
        <f>65.0962 * CHOOSE(CONTROL!$C$9, $C$13, 100%, $E$13) + CHOOSE(CONTROL!$C$28, 0, 0)</f>
        <v>65.096199999999996</v>
      </c>
      <c r="E706" s="4">
        <f>317.679981695615 * CHOOSE(CONTROL!$C$9, $C$13, 100%, $E$13) + CHOOSE(CONTROL!$C$28, 0, 0)</f>
        <v>317.67998169561503</v>
      </c>
    </row>
    <row r="707" spans="1:5" ht="15">
      <c r="A707" s="13">
        <v>63036</v>
      </c>
      <c r="B707" s="4">
        <f>46.4418 * CHOOSE(CONTROL!$C$9, $C$13, 100%, $E$13) + CHOOSE(CONTROL!$C$28, 0.0192, 0)</f>
        <v>46.460999999999999</v>
      </c>
      <c r="C707" s="4">
        <f>46.0785 * CHOOSE(CONTROL!$C$9, $C$13, 100%, $E$13) + CHOOSE(CONTROL!$C$28, 0.0192, 0)</f>
        <v>46.097699999999996</v>
      </c>
      <c r="D707" s="4">
        <f>66.1397 * CHOOSE(CONTROL!$C$9, $C$13, 100%, $E$13) + CHOOSE(CONTROL!$C$28, 0, 0)</f>
        <v>66.139700000000005</v>
      </c>
      <c r="E707" s="4">
        <f>317.578938444439 * CHOOSE(CONTROL!$C$9, $C$13, 100%, $E$13) + CHOOSE(CONTROL!$C$28, 0, 0)</f>
        <v>317.57893844443902</v>
      </c>
    </row>
    <row r="708" spans="1:5" ht="15">
      <c r="A708" s="13">
        <v>63067</v>
      </c>
      <c r="B708" s="4">
        <f>47.5352 * CHOOSE(CONTROL!$C$9, $C$13, 100%, $E$13) + CHOOSE(CONTROL!$C$28, 0.0192, 0)</f>
        <v>47.554400000000001</v>
      </c>
      <c r="C708" s="4">
        <f>47.1719 * CHOOSE(CONTROL!$C$9, $C$13, 100%, $E$13) + CHOOSE(CONTROL!$C$28, 0.0192, 0)</f>
        <v>47.191099999999999</v>
      </c>
      <c r="D708" s="4">
        <f>65.4506 * CHOOSE(CONTROL!$C$9, $C$13, 100%, $E$13) + CHOOSE(CONTROL!$C$28, 0, 0)</f>
        <v>65.450599999999994</v>
      </c>
      <c r="E708" s="4">
        <f>325.182443095392 * CHOOSE(CONTROL!$C$9, $C$13, 100%, $E$13) + CHOOSE(CONTROL!$C$28, 0, 0)</f>
        <v>325.18244309539199</v>
      </c>
    </row>
    <row r="709" spans="1:5" ht="15">
      <c r="A709" s="13">
        <v>63097</v>
      </c>
      <c r="B709" s="4">
        <f>45.6717 * CHOOSE(CONTROL!$C$9, $C$13, 100%, $E$13) + CHOOSE(CONTROL!$C$28, 0.0192, 0)</f>
        <v>45.690899999999999</v>
      </c>
      <c r="C709" s="4">
        <f>45.3084 * CHOOSE(CONTROL!$C$9, $C$13, 100%, $E$13) + CHOOSE(CONTROL!$C$28, 0.0192, 0)</f>
        <v>45.327599999999997</v>
      </c>
      <c r="D709" s="4">
        <f>65.125 * CHOOSE(CONTROL!$C$9, $C$13, 100%, $E$13) + CHOOSE(CONTROL!$C$28, 0, 0)</f>
        <v>65.125</v>
      </c>
      <c r="E709" s="4">
        <f>312.22364613214 * CHOOSE(CONTROL!$C$9, $C$13, 100%, $E$13) + CHOOSE(CONTROL!$C$28, 0, 0)</f>
        <v>312.22364613214</v>
      </c>
    </row>
    <row r="710" spans="1:5" ht="15">
      <c r="A710" s="13">
        <v>63128</v>
      </c>
      <c r="B710" s="4">
        <f>44.1799 * CHOOSE(CONTROL!$C$9, $C$13, 100%, $E$13) + CHOOSE(CONTROL!$C$28, 0.0003, 0)</f>
        <v>44.180200000000006</v>
      </c>
      <c r="C710" s="4">
        <f>43.8166 * CHOOSE(CONTROL!$C$9, $C$13, 100%, $E$13) + CHOOSE(CONTROL!$C$28, 0.0003, 0)</f>
        <v>43.816900000000004</v>
      </c>
      <c r="D710" s="4">
        <f>64.2531 * CHOOSE(CONTROL!$C$9, $C$13, 100%, $E$13) + CHOOSE(CONTROL!$C$28, 0, 0)</f>
        <v>64.253100000000003</v>
      </c>
      <c r="E710" s="4">
        <f>301.849872344794 * CHOOSE(CONTROL!$C$9, $C$13, 100%, $E$13) + CHOOSE(CONTROL!$C$28, 0, 0)</f>
        <v>301.84987234479399</v>
      </c>
    </row>
    <row r="711" spans="1:5" ht="15">
      <c r="A711" s="13">
        <v>63158</v>
      </c>
      <c r="B711" s="4">
        <f>43.2191 * CHOOSE(CONTROL!$C$9, $C$13, 100%, $E$13) + CHOOSE(CONTROL!$C$28, 0.0003, 0)</f>
        <v>43.2194</v>
      </c>
      <c r="C711" s="4">
        <f>42.8558 * CHOOSE(CONTROL!$C$9, $C$13, 100%, $E$13) + CHOOSE(CONTROL!$C$28, 0.0003, 0)</f>
        <v>42.856100000000005</v>
      </c>
      <c r="D711" s="4">
        <f>63.9534 * CHOOSE(CONTROL!$C$9, $C$13, 100%, $E$13) + CHOOSE(CONTROL!$C$28, 0, 0)</f>
        <v>63.953400000000002</v>
      </c>
      <c r="E711" s="4">
        <f>295.168387360818 * CHOOSE(CONTROL!$C$9, $C$13, 100%, $E$13) + CHOOSE(CONTROL!$C$28, 0, 0)</f>
        <v>295.16838736081797</v>
      </c>
    </row>
    <row r="712" spans="1:5" ht="15">
      <c r="A712" s="13">
        <v>63189</v>
      </c>
      <c r="B712" s="4">
        <f>42.5544 * CHOOSE(CONTROL!$C$9, $C$13, 100%, $E$13) + CHOOSE(CONTROL!$C$28, 0.0003, 0)</f>
        <v>42.554700000000004</v>
      </c>
      <c r="C712" s="4">
        <f>42.1911 * CHOOSE(CONTROL!$C$9, $C$13, 100%, $E$13) + CHOOSE(CONTROL!$C$28, 0.0003, 0)</f>
        <v>42.191400000000002</v>
      </c>
      <c r="D712" s="4">
        <f>61.7467 * CHOOSE(CONTROL!$C$9, $C$13, 100%, $E$13) + CHOOSE(CONTROL!$C$28, 0, 0)</f>
        <v>61.746699999999997</v>
      </c>
      <c r="E712" s="4">
        <f>290.545658619541 * CHOOSE(CONTROL!$C$9, $C$13, 100%, $E$13) + CHOOSE(CONTROL!$C$28, 0, 0)</f>
        <v>290.54565861954097</v>
      </c>
    </row>
    <row r="713" spans="1:5" ht="15">
      <c r="A713" s="13">
        <v>63220</v>
      </c>
      <c r="B713" s="4">
        <f>40.7356 * CHOOSE(CONTROL!$C$9, $C$13, 100%, $E$13) + CHOOSE(CONTROL!$C$28, 0.0003, 0)</f>
        <v>40.735900000000001</v>
      </c>
      <c r="C713" s="4">
        <f>40.3723 * CHOOSE(CONTROL!$C$9, $C$13, 100%, $E$13) + CHOOSE(CONTROL!$C$28, 0.0003, 0)</f>
        <v>40.372600000000006</v>
      </c>
      <c r="D713" s="4">
        <f>59.3159 * CHOOSE(CONTROL!$C$9, $C$13, 100%, $E$13) + CHOOSE(CONTROL!$C$28, 0, 0)</f>
        <v>59.315899999999999</v>
      </c>
      <c r="E713" s="4">
        <f>278.443251331867 * CHOOSE(CONTROL!$C$9, $C$13, 100%, $E$13) + CHOOSE(CONTROL!$C$28, 0, 0)</f>
        <v>278.44325133186697</v>
      </c>
    </row>
    <row r="714" spans="1:5" ht="15">
      <c r="A714" s="13">
        <v>63248</v>
      </c>
      <c r="B714" s="4">
        <f>41.6845 * CHOOSE(CONTROL!$C$9, $C$13, 100%, $E$13) + CHOOSE(CONTROL!$C$28, 0.0003, 0)</f>
        <v>41.684800000000003</v>
      </c>
      <c r="C714" s="4">
        <f>41.3212 * CHOOSE(CONTROL!$C$9, $C$13, 100%, $E$13) + CHOOSE(CONTROL!$C$28, 0.0003, 0)</f>
        <v>41.3215</v>
      </c>
      <c r="D714" s="4">
        <f>61.344 * CHOOSE(CONTROL!$C$9, $C$13, 100%, $E$13) + CHOOSE(CONTROL!$C$28, 0, 0)</f>
        <v>61.344000000000001</v>
      </c>
      <c r="E714" s="4">
        <f>285.054591438124 * CHOOSE(CONTROL!$C$9, $C$13, 100%, $E$13) + CHOOSE(CONTROL!$C$28, 0, 0)</f>
        <v>285.05459143812402</v>
      </c>
    </row>
    <row r="715" spans="1:5" ht="15">
      <c r="A715" s="13">
        <v>63279</v>
      </c>
      <c r="B715" s="4">
        <f>44.1762 * CHOOSE(CONTROL!$C$9, $C$13, 100%, $E$13) + CHOOSE(CONTROL!$C$28, 0.0003, 0)</f>
        <v>44.176500000000004</v>
      </c>
      <c r="C715" s="4">
        <f>43.8129 * CHOOSE(CONTROL!$C$9, $C$13, 100%, $E$13) + CHOOSE(CONTROL!$C$28, 0.0003, 0)</f>
        <v>43.813200000000002</v>
      </c>
      <c r="D715" s="4">
        <f>64.5189 * CHOOSE(CONTROL!$C$9, $C$13, 100%, $E$13) + CHOOSE(CONTROL!$C$28, 0, 0)</f>
        <v>64.518900000000002</v>
      </c>
      <c r="E715" s="4">
        <f>302.416321905104 * CHOOSE(CONTROL!$C$9, $C$13, 100%, $E$13) + CHOOSE(CONTROL!$C$28, 0, 0)</f>
        <v>302.41632190510398</v>
      </c>
    </row>
    <row r="716" spans="1:5" ht="15">
      <c r="A716" s="13">
        <v>63309</v>
      </c>
      <c r="B716" s="4">
        <f>45.9466 * CHOOSE(CONTROL!$C$9, $C$13, 100%, $E$13) + CHOOSE(CONTROL!$C$28, 0.0003, 0)</f>
        <v>45.946899999999999</v>
      </c>
      <c r="C716" s="4">
        <f>45.5834 * CHOOSE(CONTROL!$C$9, $C$13, 100%, $E$13) + CHOOSE(CONTROL!$C$28, 0.0003, 0)</f>
        <v>45.5837</v>
      </c>
      <c r="D716" s="4">
        <f>66.3477 * CHOOSE(CONTROL!$C$9, $C$13, 100%, $E$13) + CHOOSE(CONTROL!$C$28, 0, 0)</f>
        <v>66.347700000000003</v>
      </c>
      <c r="E716" s="4">
        <f>314.752062777374 * CHOOSE(CONTROL!$C$9, $C$13, 100%, $E$13) + CHOOSE(CONTROL!$C$28, 0, 0)</f>
        <v>314.75206277737402</v>
      </c>
    </row>
    <row r="717" spans="1:5" ht="15">
      <c r="A717" s="13">
        <v>63340</v>
      </c>
      <c r="B717" s="4">
        <f>47.0283 * CHOOSE(CONTROL!$C$9, $C$13, 100%, $E$13) + CHOOSE(CONTROL!$C$28, 0.0192, 0)</f>
        <v>47.047499999999999</v>
      </c>
      <c r="C717" s="4">
        <f>46.665 * CHOOSE(CONTROL!$C$9, $C$13, 100%, $E$13) + CHOOSE(CONTROL!$C$28, 0.0192, 0)</f>
        <v>46.684199999999997</v>
      </c>
      <c r="D717" s="4">
        <f>65.625 * CHOOSE(CONTROL!$C$9, $C$13, 100%, $E$13) + CHOOSE(CONTROL!$C$28, 0, 0)</f>
        <v>65.625</v>
      </c>
      <c r="E717" s="4">
        <f>322.288904803884 * CHOOSE(CONTROL!$C$9, $C$13, 100%, $E$13) + CHOOSE(CONTROL!$C$28, 0, 0)</f>
        <v>322.28890480388401</v>
      </c>
    </row>
    <row r="718" spans="1:5" ht="15">
      <c r="A718" s="13">
        <v>63370</v>
      </c>
      <c r="B718" s="4">
        <f>47.1747 * CHOOSE(CONTROL!$C$9, $C$13, 100%, $E$13) + CHOOSE(CONTROL!$C$28, 0.0192, 0)</f>
        <v>47.193899999999999</v>
      </c>
      <c r="C718" s="4">
        <f>46.8114 * CHOOSE(CONTROL!$C$9, $C$13, 100%, $E$13) + CHOOSE(CONTROL!$C$28, 0.0192, 0)</f>
        <v>46.830599999999997</v>
      </c>
      <c r="D718" s="4">
        <f>66.2136 * CHOOSE(CONTROL!$C$9, $C$13, 100%, $E$13) + CHOOSE(CONTROL!$C$28, 0, 0)</f>
        <v>66.2136</v>
      </c>
      <c r="E718" s="4">
        <f>323.308670808608 * CHOOSE(CONTROL!$C$9, $C$13, 100%, $E$13) + CHOOSE(CONTROL!$C$28, 0, 0)</f>
        <v>323.30867080860799</v>
      </c>
    </row>
    <row r="719" spans="1:5" ht="15">
      <c r="A719" s="13">
        <v>63401</v>
      </c>
      <c r="B719" s="4">
        <f>47.1599 * CHOOSE(CONTROL!$C$9, $C$13, 100%, $E$13) + CHOOSE(CONTROL!$C$28, 0.0192, 0)</f>
        <v>47.179099999999998</v>
      </c>
      <c r="C719" s="4">
        <f>46.7966 * CHOOSE(CONTROL!$C$9, $C$13, 100%, $E$13) + CHOOSE(CONTROL!$C$28, 0.0192, 0)</f>
        <v>46.815799999999996</v>
      </c>
      <c r="D719" s="4">
        <f>67.2756 * CHOOSE(CONTROL!$C$9, $C$13, 100%, $E$13) + CHOOSE(CONTROL!$C$28, 0, 0)</f>
        <v>67.275599999999997</v>
      </c>
      <c r="E719" s="4">
        <f>323.205837261913 * CHOOSE(CONTROL!$C$9, $C$13, 100%, $E$13) + CHOOSE(CONTROL!$C$28, 0, 0)</f>
        <v>323.20583726191302</v>
      </c>
    </row>
    <row r="720" spans="1:5" ht="15">
      <c r="A720" s="13">
        <v>63432</v>
      </c>
      <c r="B720" s="4">
        <f>48.2705 * CHOOSE(CONTROL!$C$9, $C$13, 100%, $E$13) + CHOOSE(CONTROL!$C$28, 0.0192, 0)</f>
        <v>48.289699999999996</v>
      </c>
      <c r="C720" s="4">
        <f>47.9072 * CHOOSE(CONTROL!$C$9, $C$13, 100%, $E$13) + CHOOSE(CONTROL!$C$28, 0.0192, 0)</f>
        <v>47.926400000000001</v>
      </c>
      <c r="D720" s="4">
        <f>66.5742 * CHOOSE(CONTROL!$C$9, $C$13, 100%, $E$13) + CHOOSE(CONTROL!$C$28, 0, 0)</f>
        <v>66.574200000000005</v>
      </c>
      <c r="E720" s="4">
        <f>330.9440616507 * CHOOSE(CONTROL!$C$9, $C$13, 100%, $E$13) + CHOOSE(CONTROL!$C$28, 0, 0)</f>
        <v>330.94406165070001</v>
      </c>
    </row>
    <row r="721" spans="1:5" ht="15">
      <c r="A721" s="13">
        <v>63462</v>
      </c>
      <c r="B721" s="4">
        <f>46.3777 * CHOOSE(CONTROL!$C$9, $C$13, 100%, $E$13) + CHOOSE(CONTROL!$C$28, 0.0192, 0)</f>
        <v>46.396899999999995</v>
      </c>
      <c r="C721" s="4">
        <f>46.0144 * CHOOSE(CONTROL!$C$9, $C$13, 100%, $E$13) + CHOOSE(CONTROL!$C$28, 0.0192, 0)</f>
        <v>46.0336</v>
      </c>
      <c r="D721" s="4">
        <f>66.2429 * CHOOSE(CONTROL!$C$9, $C$13, 100%, $E$13) + CHOOSE(CONTROL!$C$28, 0, 0)</f>
        <v>66.242900000000006</v>
      </c>
      <c r="E721" s="4">
        <f>317.755659287086 * CHOOSE(CONTROL!$C$9, $C$13, 100%, $E$13) + CHOOSE(CONTROL!$C$28, 0, 0)</f>
        <v>317.75565928708602</v>
      </c>
    </row>
    <row r="722" spans="1:5" ht="15">
      <c r="A722" s="13">
        <v>63493</v>
      </c>
      <c r="B722" s="4">
        <f>44.8625 * CHOOSE(CONTROL!$C$9, $C$13, 100%, $E$13) + CHOOSE(CONTROL!$C$28, 0.0003, 0)</f>
        <v>44.8628</v>
      </c>
      <c r="C722" s="4">
        <f>44.4992 * CHOOSE(CONTROL!$C$9, $C$13, 100%, $E$13) + CHOOSE(CONTROL!$C$28, 0.0003, 0)</f>
        <v>44.499500000000005</v>
      </c>
      <c r="D722" s="4">
        <f>65.3556 * CHOOSE(CONTROL!$C$9, $C$13, 100%, $E$13) + CHOOSE(CONTROL!$C$28, 0, 0)</f>
        <v>65.355599999999995</v>
      </c>
      <c r="E722" s="4">
        <f>307.198081826414 * CHOOSE(CONTROL!$C$9, $C$13, 100%, $E$13) + CHOOSE(CONTROL!$C$28, 0, 0)</f>
        <v>307.19808182641401</v>
      </c>
    </row>
    <row r="723" spans="1:5" ht="15">
      <c r="A723" s="13">
        <v>63523</v>
      </c>
      <c r="B723" s="4">
        <f>43.8866 * CHOOSE(CONTROL!$C$9, $C$13, 100%, $E$13) + CHOOSE(CONTROL!$C$28, 0.0003, 0)</f>
        <v>43.886900000000004</v>
      </c>
      <c r="C723" s="4">
        <f>43.5233 * CHOOSE(CONTROL!$C$9, $C$13, 100%, $E$13) + CHOOSE(CONTROL!$C$28, 0.0003, 0)</f>
        <v>43.523600000000002</v>
      </c>
      <c r="D723" s="4">
        <f>65.0506 * CHOOSE(CONTROL!$C$9, $C$13, 100%, $E$13) + CHOOSE(CONTROL!$C$28, 0, 0)</f>
        <v>65.050600000000003</v>
      </c>
      <c r="E723" s="4">
        <f>300.398213551217 * CHOOSE(CONTROL!$C$9, $C$13, 100%, $E$13) + CHOOSE(CONTROL!$C$28, 0, 0)</f>
        <v>300.398213551217</v>
      </c>
    </row>
    <row r="724" spans="1:5" ht="15">
      <c r="A724" s="13">
        <v>63554</v>
      </c>
      <c r="B724" s="4">
        <f>43.2114 * CHOOSE(CONTROL!$C$9, $C$13, 100%, $E$13) + CHOOSE(CONTROL!$C$28, 0.0003, 0)</f>
        <v>43.2117</v>
      </c>
      <c r="C724" s="4">
        <f>42.8481 * CHOOSE(CONTROL!$C$9, $C$13, 100%, $E$13) + CHOOSE(CONTROL!$C$28, 0.0003, 0)</f>
        <v>42.848400000000005</v>
      </c>
      <c r="D724" s="4">
        <f>62.8049 * CHOOSE(CONTROL!$C$9, $C$13, 100%, $E$13) + CHOOSE(CONTROL!$C$28, 0, 0)</f>
        <v>62.804900000000004</v>
      </c>
      <c r="E724" s="4">
        <f>295.693578789928 * CHOOSE(CONTROL!$C$9, $C$13, 100%, $E$13) + CHOOSE(CONTROL!$C$28, 0, 0)</f>
        <v>295.69357878992798</v>
      </c>
    </row>
    <row r="725" spans="1:5" ht="15">
      <c r="A725" s="13">
        <v>63585</v>
      </c>
      <c r="B725" s="4">
        <f>41.364 * CHOOSE(CONTROL!$C$9, $C$13, 100%, $E$13) + CHOOSE(CONTROL!$C$28, 0.0003, 0)</f>
        <v>41.3643</v>
      </c>
      <c r="C725" s="4">
        <f>41.0007 * CHOOSE(CONTROL!$C$9, $C$13, 100%, $E$13) + CHOOSE(CONTROL!$C$28, 0.0003, 0)</f>
        <v>41.001000000000005</v>
      </c>
      <c r="D725" s="4">
        <f>60.3311 * CHOOSE(CONTROL!$C$9, $C$13, 100%, $E$13) + CHOOSE(CONTROL!$C$28, 0, 0)</f>
        <v>60.331099999999999</v>
      </c>
      <c r="E725" s="4">
        <f>283.376739709047 * CHOOSE(CONTROL!$C$9, $C$13, 100%, $E$13) + CHOOSE(CONTROL!$C$28, 0, 0)</f>
        <v>283.376739709047</v>
      </c>
    </row>
    <row r="726" spans="1:5" ht="15">
      <c r="A726" s="13">
        <v>63613</v>
      </c>
      <c r="B726" s="4">
        <f>42.3278 * CHOOSE(CONTROL!$C$9, $C$13, 100%, $E$13) + CHOOSE(CONTROL!$C$28, 0.0003, 0)</f>
        <v>42.328100000000006</v>
      </c>
      <c r="C726" s="4">
        <f>41.9645 * CHOOSE(CONTROL!$C$9, $C$13, 100%, $E$13) + CHOOSE(CONTROL!$C$28, 0.0003, 0)</f>
        <v>41.964800000000004</v>
      </c>
      <c r="D726" s="4">
        <f>62.3951 * CHOOSE(CONTROL!$C$9, $C$13, 100%, $E$13) + CHOOSE(CONTROL!$C$28, 0, 0)</f>
        <v>62.395099999999999</v>
      </c>
      <c r="E726" s="4">
        <f>290.105220271809 * CHOOSE(CONTROL!$C$9, $C$13, 100%, $E$13) + CHOOSE(CONTROL!$C$28, 0, 0)</f>
        <v>290.105220271809</v>
      </c>
    </row>
    <row r="727" spans="1:5" ht="15">
      <c r="A727" s="13">
        <v>63644</v>
      </c>
      <c r="B727" s="4">
        <f>44.8587 * CHOOSE(CONTROL!$C$9, $C$13, 100%, $E$13) + CHOOSE(CONTROL!$C$28, 0.0003, 0)</f>
        <v>44.859000000000002</v>
      </c>
      <c r="C727" s="4">
        <f>44.4954 * CHOOSE(CONTROL!$C$9, $C$13, 100%, $E$13) + CHOOSE(CONTROL!$C$28, 0.0003, 0)</f>
        <v>44.495699999999999</v>
      </c>
      <c r="D727" s="4">
        <f>65.6261 * CHOOSE(CONTROL!$C$9, $C$13, 100%, $E$13) + CHOOSE(CONTROL!$C$28, 0, 0)</f>
        <v>65.626099999999994</v>
      </c>
      <c r="E727" s="4">
        <f>307.774567802793 * CHOOSE(CONTROL!$C$9, $C$13, 100%, $E$13) + CHOOSE(CONTROL!$C$28, 0, 0)</f>
        <v>307.774567802793</v>
      </c>
    </row>
    <row r="728" spans="1:5" ht="15">
      <c r="A728" s="13">
        <v>63674</v>
      </c>
      <c r="B728" s="4">
        <f>46.657 * CHOOSE(CONTROL!$C$9, $C$13, 100%, $E$13) + CHOOSE(CONTROL!$C$28, 0.0003, 0)</f>
        <v>46.657299999999999</v>
      </c>
      <c r="C728" s="4">
        <f>46.2937 * CHOOSE(CONTROL!$C$9, $C$13, 100%, $E$13) + CHOOSE(CONTROL!$C$28, 0.0003, 0)</f>
        <v>46.294000000000004</v>
      </c>
      <c r="D728" s="4">
        <f>67.4872 * CHOOSE(CONTROL!$C$9, $C$13, 100%, $E$13) + CHOOSE(CONTROL!$C$28, 0, 0)</f>
        <v>67.487200000000001</v>
      </c>
      <c r="E728" s="4">
        <f>320.328874698575 * CHOOSE(CONTROL!$C$9, $C$13, 100%, $E$13) + CHOOSE(CONTROL!$C$28, 0, 0)</f>
        <v>320.32887469857502</v>
      </c>
    </row>
    <row r="729" spans="1:5" ht="15">
      <c r="A729" s="13">
        <v>63705</v>
      </c>
      <c r="B729" s="4">
        <f>47.7557 * CHOOSE(CONTROL!$C$9, $C$13, 100%, $E$13) + CHOOSE(CONTROL!$C$28, 0.0192, 0)</f>
        <v>47.774899999999995</v>
      </c>
      <c r="C729" s="4">
        <f>47.3924 * CHOOSE(CONTROL!$C$9, $C$13, 100%, $E$13) + CHOOSE(CONTROL!$C$28, 0.0192, 0)</f>
        <v>47.4116</v>
      </c>
      <c r="D729" s="4">
        <f>66.7518 * CHOOSE(CONTROL!$C$9, $C$13, 100%, $E$13) + CHOOSE(CONTROL!$C$28, 0, 0)</f>
        <v>66.751800000000003</v>
      </c>
      <c r="E729" s="4">
        <f>327.999255327154 * CHOOSE(CONTROL!$C$9, $C$13, 100%, $E$13) + CHOOSE(CONTROL!$C$28, 0, 0)</f>
        <v>327.999255327154</v>
      </c>
    </row>
    <row r="730" spans="1:5" ht="15">
      <c r="A730" s="13">
        <v>63735</v>
      </c>
      <c r="B730" s="4">
        <f>47.9043 * CHOOSE(CONTROL!$C$9, $C$13, 100%, $E$13) + CHOOSE(CONTROL!$C$28, 0.0192, 0)</f>
        <v>47.923499999999997</v>
      </c>
      <c r="C730" s="4">
        <f>47.5411 * CHOOSE(CONTROL!$C$9, $C$13, 100%, $E$13) + CHOOSE(CONTROL!$C$28, 0.0192, 0)</f>
        <v>47.560299999999998</v>
      </c>
      <c r="D730" s="4">
        <f>67.3508 * CHOOSE(CONTROL!$C$9, $C$13, 100%, $E$13) + CHOOSE(CONTROL!$C$28, 0, 0)</f>
        <v>67.350800000000007</v>
      </c>
      <c r="E730" s="4">
        <f>329.037089658934 * CHOOSE(CONTROL!$C$9, $C$13, 100%, $E$13) + CHOOSE(CONTROL!$C$28, 0, 0)</f>
        <v>329.03708965893401</v>
      </c>
    </row>
    <row r="731" spans="1:5" ht="15">
      <c r="A731" s="13">
        <v>63766</v>
      </c>
      <c r="B731" s="4">
        <f>47.8893 * CHOOSE(CONTROL!$C$9, $C$13, 100%, $E$13) + CHOOSE(CONTROL!$C$28, 0.0192, 0)</f>
        <v>47.908499999999997</v>
      </c>
      <c r="C731" s="4">
        <f>47.5261 * CHOOSE(CONTROL!$C$9, $C$13, 100%, $E$13) + CHOOSE(CONTROL!$C$28, 0.0192, 0)</f>
        <v>47.545299999999997</v>
      </c>
      <c r="D731" s="4">
        <f>68.4315 * CHOOSE(CONTROL!$C$9, $C$13, 100%, $E$13) + CHOOSE(CONTROL!$C$28, 0, 0)</f>
        <v>68.4315</v>
      </c>
      <c r="E731" s="4">
        <f>328.932434096066 * CHOOSE(CONTROL!$C$9, $C$13, 100%, $E$13) + CHOOSE(CONTROL!$C$28, 0, 0)</f>
        <v>328.932434096066</v>
      </c>
    </row>
    <row r="732" spans="1:5" ht="15">
      <c r="A732" s="13">
        <v>63797</v>
      </c>
      <c r="B732" s="4">
        <f>49.0174 * CHOOSE(CONTROL!$C$9, $C$13, 100%, $E$13) + CHOOSE(CONTROL!$C$28, 0.0192, 0)</f>
        <v>49.0366</v>
      </c>
      <c r="C732" s="4">
        <f>48.6541 * CHOOSE(CONTROL!$C$9, $C$13, 100%, $E$13) + CHOOSE(CONTROL!$C$28, 0.0192, 0)</f>
        <v>48.673299999999998</v>
      </c>
      <c r="D732" s="4">
        <f>67.7178 * CHOOSE(CONTROL!$C$9, $C$13, 100%, $E$13) + CHOOSE(CONTROL!$C$28, 0, 0)</f>
        <v>67.717799999999997</v>
      </c>
      <c r="E732" s="4">
        <f>336.807765201929 * CHOOSE(CONTROL!$C$9, $C$13, 100%, $E$13) + CHOOSE(CONTROL!$C$28, 0, 0)</f>
        <v>336.80776520192899</v>
      </c>
    </row>
    <row r="733" spans="1:5" ht="15">
      <c r="A733" s="13">
        <v>63827</v>
      </c>
      <c r="B733" s="4">
        <f>47.0948 * CHOOSE(CONTROL!$C$9, $C$13, 100%, $E$13) + CHOOSE(CONTROL!$C$28, 0.0192, 0)</f>
        <v>47.113999999999997</v>
      </c>
      <c r="C733" s="4">
        <f>46.7316 * CHOOSE(CONTROL!$C$9, $C$13, 100%, $E$13) + CHOOSE(CONTROL!$C$28, 0.0192, 0)</f>
        <v>46.750799999999998</v>
      </c>
      <c r="D733" s="4">
        <f>67.3806 * CHOOSE(CONTROL!$C$9, $C$13, 100%, $E$13) + CHOOSE(CONTROL!$C$28, 0, 0)</f>
        <v>67.380600000000001</v>
      </c>
      <c r="E733" s="4">
        <f>323.385689264029 * CHOOSE(CONTROL!$C$9, $C$13, 100%, $E$13) + CHOOSE(CONTROL!$C$28, 0, 0)</f>
        <v>323.385689264029</v>
      </c>
    </row>
    <row r="734" spans="1:5" ht="15">
      <c r="A734" s="13">
        <v>63858</v>
      </c>
      <c r="B734" s="4">
        <f>45.5558 * CHOOSE(CONTROL!$C$9, $C$13, 100%, $E$13) + CHOOSE(CONTROL!$C$28, 0.0003, 0)</f>
        <v>45.556100000000001</v>
      </c>
      <c r="C734" s="4">
        <f>45.1925 * CHOOSE(CONTROL!$C$9, $C$13, 100%, $E$13) + CHOOSE(CONTROL!$C$28, 0.0003, 0)</f>
        <v>45.192800000000005</v>
      </c>
      <c r="D734" s="4">
        <f>66.4776 * CHOOSE(CONTROL!$C$9, $C$13, 100%, $E$13) + CHOOSE(CONTROL!$C$28, 0, 0)</f>
        <v>66.477599999999995</v>
      </c>
      <c r="E734" s="4">
        <f>312.641051476184 * CHOOSE(CONTROL!$C$9, $C$13, 100%, $E$13) + CHOOSE(CONTROL!$C$28, 0, 0)</f>
        <v>312.64105147618397</v>
      </c>
    </row>
    <row r="735" spans="1:5" ht="15">
      <c r="A735" s="13">
        <v>63888</v>
      </c>
      <c r="B735" s="4">
        <f>44.5645 * CHOOSE(CONTROL!$C$9, $C$13, 100%, $E$13) + CHOOSE(CONTROL!$C$28, 0.0003, 0)</f>
        <v>44.564800000000005</v>
      </c>
      <c r="C735" s="4">
        <f>44.2012 * CHOOSE(CONTROL!$C$9, $C$13, 100%, $E$13) + CHOOSE(CONTROL!$C$28, 0.0003, 0)</f>
        <v>44.201500000000003</v>
      </c>
      <c r="D735" s="4">
        <f>66.1672 * CHOOSE(CONTROL!$C$9, $C$13, 100%, $E$13) + CHOOSE(CONTROL!$C$28, 0, 0)</f>
        <v>66.167199999999994</v>
      </c>
      <c r="E735" s="4">
        <f>305.720702381497 * CHOOSE(CONTROL!$C$9, $C$13, 100%, $E$13) + CHOOSE(CONTROL!$C$28, 0, 0)</f>
        <v>305.72070238149701</v>
      </c>
    </row>
    <row r="736" spans="1:5" ht="15">
      <c r="A736" s="13">
        <v>63919</v>
      </c>
      <c r="B736" s="4">
        <f>43.8787 * CHOOSE(CONTROL!$C$9, $C$13, 100%, $E$13) + CHOOSE(CONTROL!$C$28, 0.0003, 0)</f>
        <v>43.879000000000005</v>
      </c>
      <c r="C736" s="4">
        <f>43.5154 * CHOOSE(CONTROL!$C$9, $C$13, 100%, $E$13) + CHOOSE(CONTROL!$C$28, 0.0003, 0)</f>
        <v>43.515700000000002</v>
      </c>
      <c r="D736" s="4">
        <f>63.8819 * CHOOSE(CONTROL!$C$9, $C$13, 100%, $E$13) + CHOOSE(CONTROL!$C$28, 0, 0)</f>
        <v>63.881900000000002</v>
      </c>
      <c r="E736" s="4">
        <f>300.932710380258 * CHOOSE(CONTROL!$C$9, $C$13, 100%, $E$13) + CHOOSE(CONTROL!$C$28, 0, 0)</f>
        <v>300.93271038025802</v>
      </c>
    </row>
    <row r="737" spans="1:5" ht="15">
      <c r="A737" s="13">
        <v>63950</v>
      </c>
      <c r="B737" s="4">
        <f>42.0023 * CHOOSE(CONTROL!$C$9, $C$13, 100%, $E$13) + CHOOSE(CONTROL!$C$28, 0.0003, 0)</f>
        <v>42.002600000000001</v>
      </c>
      <c r="C737" s="4">
        <f>41.639 * CHOOSE(CONTROL!$C$9, $C$13, 100%, $E$13) + CHOOSE(CONTROL!$C$28, 0.0003, 0)</f>
        <v>41.639300000000006</v>
      </c>
      <c r="D737" s="4">
        <f>61.3644 * CHOOSE(CONTROL!$C$9, $C$13, 100%, $E$13) + CHOOSE(CONTROL!$C$28, 0, 0)</f>
        <v>61.364400000000003</v>
      </c>
      <c r="E737" s="4">
        <f>288.397640179899 * CHOOSE(CONTROL!$C$9, $C$13, 100%, $E$13) + CHOOSE(CONTROL!$C$28, 0, 0)</f>
        <v>288.39764017989899</v>
      </c>
    </row>
    <row r="738" spans="1:5" ht="15">
      <c r="A738" s="13">
        <v>63978</v>
      </c>
      <c r="B738" s="4">
        <f>42.9812 * CHOOSE(CONTROL!$C$9, $C$13, 100%, $E$13) + CHOOSE(CONTROL!$C$28, 0.0003, 0)</f>
        <v>42.981500000000004</v>
      </c>
      <c r="C738" s="4">
        <f>42.6179 * CHOOSE(CONTROL!$C$9, $C$13, 100%, $E$13) + CHOOSE(CONTROL!$C$28, 0.0003, 0)</f>
        <v>42.618200000000002</v>
      </c>
      <c r="D738" s="4">
        <f>63.4648 * CHOOSE(CONTROL!$C$9, $C$13, 100%, $E$13) + CHOOSE(CONTROL!$C$28, 0, 0)</f>
        <v>63.464799999999997</v>
      </c>
      <c r="E738" s="4">
        <f>295.245336706753 * CHOOSE(CONTROL!$C$9, $C$13, 100%, $E$13) + CHOOSE(CONTROL!$C$28, 0, 0)</f>
        <v>295.24533670675299</v>
      </c>
    </row>
    <row r="739" spans="1:5" ht="15">
      <c r="A739" s="13">
        <v>64009</v>
      </c>
      <c r="B739" s="4">
        <f>45.552 * CHOOSE(CONTROL!$C$9, $C$13, 100%, $E$13) + CHOOSE(CONTROL!$C$28, 0.0003, 0)</f>
        <v>45.552300000000002</v>
      </c>
      <c r="C739" s="4">
        <f>45.1887 * CHOOSE(CONTROL!$C$9, $C$13, 100%, $E$13) + CHOOSE(CONTROL!$C$28, 0.0003, 0)</f>
        <v>45.189</v>
      </c>
      <c r="D739" s="4">
        <f>66.7529 * CHOOSE(CONTROL!$C$9, $C$13, 100%, $E$13) + CHOOSE(CONTROL!$C$28, 0, 0)</f>
        <v>66.752899999999997</v>
      </c>
      <c r="E739" s="4">
        <f>313.227751694964 * CHOOSE(CONTROL!$C$9, $C$13, 100%, $E$13) + CHOOSE(CONTROL!$C$28, 0, 0)</f>
        <v>313.22775169496401</v>
      </c>
    </row>
    <row r="740" spans="1:5" ht="15">
      <c r="A740" s="13">
        <v>64039</v>
      </c>
      <c r="B740" s="4">
        <f>47.3785 * CHOOSE(CONTROL!$C$9, $C$13, 100%, $E$13) + CHOOSE(CONTROL!$C$28, 0.0003, 0)</f>
        <v>47.378800000000005</v>
      </c>
      <c r="C740" s="4">
        <f>47.0152 * CHOOSE(CONTROL!$C$9, $C$13, 100%, $E$13) + CHOOSE(CONTROL!$C$28, 0.0003, 0)</f>
        <v>47.015500000000003</v>
      </c>
      <c r="D740" s="4">
        <f>68.6469 * CHOOSE(CONTROL!$C$9, $C$13, 100%, $E$13) + CHOOSE(CONTROL!$C$28, 0, 0)</f>
        <v>68.646900000000002</v>
      </c>
      <c r="E740" s="4">
        <f>326.004497191278 * CHOOSE(CONTROL!$C$9, $C$13, 100%, $E$13) + CHOOSE(CONTROL!$C$28, 0, 0)</f>
        <v>326.00449719127801</v>
      </c>
    </row>
    <row r="741" spans="1:5" ht="15">
      <c r="A741" s="13">
        <v>64070</v>
      </c>
      <c r="B741" s="4">
        <f>48.4945 * CHOOSE(CONTROL!$C$9, $C$13, 100%, $E$13) + CHOOSE(CONTROL!$C$28, 0.0192, 0)</f>
        <v>48.5137</v>
      </c>
      <c r="C741" s="4">
        <f>48.1312 * CHOOSE(CONTROL!$C$9, $C$13, 100%, $E$13) + CHOOSE(CONTROL!$C$28, 0.0192, 0)</f>
        <v>48.150399999999998</v>
      </c>
      <c r="D741" s="4">
        <f>67.8985 * CHOOSE(CONTROL!$C$9, $C$13, 100%, $E$13) + CHOOSE(CONTROL!$C$28, 0, 0)</f>
        <v>67.898499999999999</v>
      </c>
      <c r="E741" s="4">
        <f>333.810782473673 * CHOOSE(CONTROL!$C$9, $C$13, 100%, $E$13) + CHOOSE(CONTROL!$C$28, 0, 0)</f>
        <v>333.81078247367299</v>
      </c>
    </row>
    <row r="742" spans="1:5" ht="15">
      <c r="A742" s="13">
        <v>64100</v>
      </c>
      <c r="B742" s="4">
        <f>48.6455 * CHOOSE(CONTROL!$C$9, $C$13, 100%, $E$13) + CHOOSE(CONTROL!$C$28, 0.0192, 0)</f>
        <v>48.664699999999996</v>
      </c>
      <c r="C742" s="4">
        <f>48.2822 * CHOOSE(CONTROL!$C$9, $C$13, 100%, $E$13) + CHOOSE(CONTROL!$C$28, 0.0192, 0)</f>
        <v>48.301400000000001</v>
      </c>
      <c r="D742" s="4">
        <f>68.508 * CHOOSE(CONTROL!$C$9, $C$13, 100%, $E$13) + CHOOSE(CONTROL!$C$28, 0, 0)</f>
        <v>68.507999999999996</v>
      </c>
      <c r="E742" s="4">
        <f>334.867005269131 * CHOOSE(CONTROL!$C$9, $C$13, 100%, $E$13) + CHOOSE(CONTROL!$C$28, 0, 0)</f>
        <v>334.86700526913103</v>
      </c>
    </row>
    <row r="743" spans="1:5" ht="15">
      <c r="A743" s="13">
        <v>64131</v>
      </c>
      <c r="B743" s="4">
        <f>48.6302 * CHOOSE(CONTROL!$C$9, $C$13, 100%, $E$13) + CHOOSE(CONTROL!$C$28, 0.0192, 0)</f>
        <v>48.6494</v>
      </c>
      <c r="C743" s="4">
        <f>48.267 * CHOOSE(CONTROL!$C$9, $C$13, 100%, $E$13) + CHOOSE(CONTROL!$C$28, 0.0192, 0)</f>
        <v>48.286200000000001</v>
      </c>
      <c r="D743" s="4">
        <f>69.6078 * CHOOSE(CONTROL!$C$9, $C$13, 100%, $E$13) + CHOOSE(CONTROL!$C$28, 0, 0)</f>
        <v>69.607799999999997</v>
      </c>
      <c r="E743" s="4">
        <f>334.760495407404 * CHOOSE(CONTROL!$C$9, $C$13, 100%, $E$13) + CHOOSE(CONTROL!$C$28, 0, 0)</f>
        <v>334.76049540740399</v>
      </c>
    </row>
    <row r="744" spans="1:5" ht="15">
      <c r="A744" s="13">
        <v>64162</v>
      </c>
      <c r="B744" s="4">
        <f>49.776 * CHOOSE(CONTROL!$C$9, $C$13, 100%, $E$13) + CHOOSE(CONTROL!$C$28, 0.0192, 0)</f>
        <v>49.795200000000001</v>
      </c>
      <c r="C744" s="4">
        <f>49.4127 * CHOOSE(CONTROL!$C$9, $C$13, 100%, $E$13) + CHOOSE(CONTROL!$C$28, 0.0192, 0)</f>
        <v>49.431899999999999</v>
      </c>
      <c r="D744" s="4">
        <f>68.8815 * CHOOSE(CONTROL!$C$9, $C$13, 100%, $E$13) + CHOOSE(CONTROL!$C$28, 0, 0)</f>
        <v>68.881500000000003</v>
      </c>
      <c r="E744" s="4">
        <f>342.775362502347 * CHOOSE(CONTROL!$C$9, $C$13, 100%, $E$13) + CHOOSE(CONTROL!$C$28, 0, 0)</f>
        <v>342.77536250234698</v>
      </c>
    </row>
    <row r="745" spans="1:5" ht="15">
      <c r="A745" s="13">
        <v>64192</v>
      </c>
      <c r="B745" s="4">
        <f>47.8232 * CHOOSE(CONTROL!$C$9, $C$13, 100%, $E$13) + CHOOSE(CONTROL!$C$28, 0.0192, 0)</f>
        <v>47.842399999999998</v>
      </c>
      <c r="C745" s="4">
        <f>47.46 * CHOOSE(CONTROL!$C$9, $C$13, 100%, $E$13) + CHOOSE(CONTROL!$C$28, 0.0192, 0)</f>
        <v>47.479199999999999</v>
      </c>
      <c r="D745" s="4">
        <f>68.5383 * CHOOSE(CONTROL!$C$9, $C$13, 100%, $E$13) + CHOOSE(CONTROL!$C$28, 0, 0)</f>
        <v>68.538300000000007</v>
      </c>
      <c r="E745" s="4">
        <f>329.115472735882 * CHOOSE(CONTROL!$C$9, $C$13, 100%, $E$13) + CHOOSE(CONTROL!$C$28, 0, 0)</f>
        <v>329.11547273588201</v>
      </c>
    </row>
    <row r="746" spans="1:5" ht="15">
      <c r="A746" s="13">
        <v>64223</v>
      </c>
      <c r="B746" s="4">
        <f>46.26 * CHOOSE(CONTROL!$C$9, $C$13, 100%, $E$13) + CHOOSE(CONTROL!$C$28, 0.0003, 0)</f>
        <v>46.260300000000001</v>
      </c>
      <c r="C746" s="4">
        <f>45.8967 * CHOOSE(CONTROL!$C$9, $C$13, 100%, $E$13) + CHOOSE(CONTROL!$C$28, 0.0003, 0)</f>
        <v>45.897000000000006</v>
      </c>
      <c r="D746" s="4">
        <f>67.6195 * CHOOSE(CONTROL!$C$9, $C$13, 100%, $E$13) + CHOOSE(CONTROL!$C$28, 0, 0)</f>
        <v>67.619500000000002</v>
      </c>
      <c r="E746" s="4">
        <f>318.180460265262 * CHOOSE(CONTROL!$C$9, $C$13, 100%, $E$13) + CHOOSE(CONTROL!$C$28, 0, 0)</f>
        <v>318.18046026526201</v>
      </c>
    </row>
    <row r="747" spans="1:5" ht="15">
      <c r="A747" s="13">
        <v>64253</v>
      </c>
      <c r="B747" s="4">
        <f>45.2531 * CHOOSE(CONTROL!$C$9, $C$13, 100%, $E$13) + CHOOSE(CONTROL!$C$28, 0.0003, 0)</f>
        <v>45.253400000000006</v>
      </c>
      <c r="C747" s="4">
        <f>44.8898 * CHOOSE(CONTROL!$C$9, $C$13, 100%, $E$13) + CHOOSE(CONTROL!$C$28, 0.0003, 0)</f>
        <v>44.890100000000004</v>
      </c>
      <c r="D747" s="4">
        <f>67.3036 * CHOOSE(CONTROL!$C$9, $C$13, 100%, $E$13) + CHOOSE(CONTROL!$C$28, 0, 0)</f>
        <v>67.303600000000003</v>
      </c>
      <c r="E747" s="4">
        <f>311.137495658576 * CHOOSE(CONTROL!$C$9, $C$13, 100%, $E$13) + CHOOSE(CONTROL!$C$28, 0, 0)</f>
        <v>311.13749565857597</v>
      </c>
    </row>
    <row r="748" spans="1:5" ht="15">
      <c r="A748" s="13">
        <v>64284</v>
      </c>
      <c r="B748" s="4">
        <f>44.5565 * CHOOSE(CONTROL!$C$9, $C$13, 100%, $E$13) + CHOOSE(CONTROL!$C$28, 0.0003, 0)</f>
        <v>44.556800000000003</v>
      </c>
      <c r="C748" s="4">
        <f>44.1932 * CHOOSE(CONTROL!$C$9, $C$13, 100%, $E$13) + CHOOSE(CONTROL!$C$28, 0.0003, 0)</f>
        <v>44.1935</v>
      </c>
      <c r="D748" s="4">
        <f>64.9778 * CHOOSE(CONTROL!$C$9, $C$13, 100%, $E$13) + CHOOSE(CONTROL!$C$28, 0, 0)</f>
        <v>64.977800000000002</v>
      </c>
      <c r="E748" s="4">
        <f>306.264669484573 * CHOOSE(CONTROL!$C$9, $C$13, 100%, $E$13) + CHOOSE(CONTROL!$C$28, 0, 0)</f>
        <v>306.26466948457301</v>
      </c>
    </row>
    <row r="749" spans="1:5" ht="15">
      <c r="A749" s="13">
        <v>64315</v>
      </c>
      <c r="B749" s="4">
        <f>42.6506 * CHOOSE(CONTROL!$C$9, $C$13, 100%, $E$13) + CHOOSE(CONTROL!$C$28, 0.0003, 0)</f>
        <v>42.6509</v>
      </c>
      <c r="C749" s="4">
        <f>42.2873 * CHOOSE(CONTROL!$C$9, $C$13, 100%, $E$13) + CHOOSE(CONTROL!$C$28, 0.0003, 0)</f>
        <v>42.287600000000005</v>
      </c>
      <c r="D749" s="4">
        <f>62.4159 * CHOOSE(CONTROL!$C$9, $C$13, 100%, $E$13) + CHOOSE(CONTROL!$C$28, 0, 0)</f>
        <v>62.415900000000001</v>
      </c>
      <c r="E749" s="4">
        <f>293.507501521583 * CHOOSE(CONTROL!$C$9, $C$13, 100%, $E$13) + CHOOSE(CONTROL!$C$28, 0, 0)</f>
        <v>293.50750152158298</v>
      </c>
    </row>
    <row r="750" spans="1:5" ht="15">
      <c r="A750" s="13">
        <v>64344</v>
      </c>
      <c r="B750" s="4">
        <f>43.6449 * CHOOSE(CONTROL!$C$9, $C$13, 100%, $E$13) + CHOOSE(CONTROL!$C$28, 0.0003, 0)</f>
        <v>43.645200000000003</v>
      </c>
      <c r="C750" s="4">
        <f>43.2816 * CHOOSE(CONTROL!$C$9, $C$13, 100%, $E$13) + CHOOSE(CONTROL!$C$28, 0.0003, 0)</f>
        <v>43.2819</v>
      </c>
      <c r="D750" s="4">
        <f>64.5534 * CHOOSE(CONTROL!$C$9, $C$13, 100%, $E$13) + CHOOSE(CONTROL!$C$28, 0, 0)</f>
        <v>64.553399999999996</v>
      </c>
      <c r="E750" s="4">
        <f>300.476526294189 * CHOOSE(CONTROL!$C$9, $C$13, 100%, $E$13) + CHOOSE(CONTROL!$C$28, 0, 0)</f>
        <v>300.476526294189</v>
      </c>
    </row>
    <row r="751" spans="1:5" ht="15">
      <c r="A751" s="13">
        <v>64375</v>
      </c>
      <c r="B751" s="4">
        <f>46.2561 * CHOOSE(CONTROL!$C$9, $C$13, 100%, $E$13) + CHOOSE(CONTROL!$C$28, 0.0003, 0)</f>
        <v>46.256400000000006</v>
      </c>
      <c r="C751" s="4">
        <f>45.8928 * CHOOSE(CONTROL!$C$9, $C$13, 100%, $E$13) + CHOOSE(CONTROL!$C$28, 0.0003, 0)</f>
        <v>45.893100000000004</v>
      </c>
      <c r="D751" s="4">
        <f>67.8996 * CHOOSE(CONTROL!$C$9, $C$13, 100%, $E$13) + CHOOSE(CONTROL!$C$28, 0, 0)</f>
        <v>67.899600000000007</v>
      </c>
      <c r="E751" s="4">
        <f>318.777555703522 * CHOOSE(CONTROL!$C$9, $C$13, 100%, $E$13) + CHOOSE(CONTROL!$C$28, 0, 0)</f>
        <v>318.77755570352201</v>
      </c>
    </row>
    <row r="752" spans="1:5" ht="15">
      <c r="A752" s="13">
        <v>64405</v>
      </c>
      <c r="B752" s="4">
        <f>48.1114 * CHOOSE(CONTROL!$C$9, $C$13, 100%, $E$13) + CHOOSE(CONTROL!$C$28, 0.0003, 0)</f>
        <v>48.111700000000006</v>
      </c>
      <c r="C752" s="4">
        <f>47.7481 * CHOOSE(CONTROL!$C$9, $C$13, 100%, $E$13) + CHOOSE(CONTROL!$C$28, 0.0003, 0)</f>
        <v>47.748400000000004</v>
      </c>
      <c r="D752" s="4">
        <f>69.8271 * CHOOSE(CONTROL!$C$9, $C$13, 100%, $E$13) + CHOOSE(CONTROL!$C$28, 0, 0)</f>
        <v>69.827100000000002</v>
      </c>
      <c r="E752" s="4">
        <f>331.780680992137 * CHOOSE(CONTROL!$C$9, $C$13, 100%, $E$13) + CHOOSE(CONTROL!$C$28, 0, 0)</f>
        <v>331.78068099213698</v>
      </c>
    </row>
    <row r="753" spans="1:5" ht="15">
      <c r="A753" s="13">
        <v>64436</v>
      </c>
      <c r="B753" s="4">
        <f>49.2449 * CHOOSE(CONTROL!$C$9, $C$13, 100%, $E$13) + CHOOSE(CONTROL!$C$28, 0.0192, 0)</f>
        <v>49.264099999999999</v>
      </c>
      <c r="C753" s="4">
        <f>48.8816 * CHOOSE(CONTROL!$C$9, $C$13, 100%, $E$13) + CHOOSE(CONTROL!$C$28, 0.0192, 0)</f>
        <v>48.900799999999997</v>
      </c>
      <c r="D753" s="4">
        <f>69.0654 * CHOOSE(CONTROL!$C$9, $C$13, 100%, $E$13) + CHOOSE(CONTROL!$C$28, 0, 0)</f>
        <v>69.065399999999997</v>
      </c>
      <c r="E753" s="4">
        <f>339.725278902061 * CHOOSE(CONTROL!$C$9, $C$13, 100%, $E$13) + CHOOSE(CONTROL!$C$28, 0, 0)</f>
        <v>339.72527890206101</v>
      </c>
    </row>
    <row r="754" spans="1:5" ht="15">
      <c r="A754" s="13">
        <v>64466</v>
      </c>
      <c r="B754" s="4">
        <f>49.3982 * CHOOSE(CONTROL!$C$9, $C$13, 100%, $E$13) + CHOOSE(CONTROL!$C$28, 0.0192, 0)</f>
        <v>49.417400000000001</v>
      </c>
      <c r="C754" s="4">
        <f>49.035 * CHOOSE(CONTROL!$C$9, $C$13, 100%, $E$13) + CHOOSE(CONTROL!$C$28, 0.0192, 0)</f>
        <v>49.054199999999994</v>
      </c>
      <c r="D754" s="4">
        <f>69.6857 * CHOOSE(CONTROL!$C$9, $C$13, 100%, $E$13) + CHOOSE(CONTROL!$C$28, 0, 0)</f>
        <v>69.685699999999997</v>
      </c>
      <c r="E754" s="4">
        <f>340.800215970033 * CHOOSE(CONTROL!$C$9, $C$13, 100%, $E$13) + CHOOSE(CONTROL!$C$28, 0, 0)</f>
        <v>340.80021597003298</v>
      </c>
    </row>
    <row r="755" spans="1:5" ht="15">
      <c r="A755" s="13">
        <v>64497</v>
      </c>
      <c r="B755" s="4">
        <f>49.3828 * CHOOSE(CONTROL!$C$9, $C$13, 100%, $E$13) + CHOOSE(CONTROL!$C$28, 0.0192, 0)</f>
        <v>49.402000000000001</v>
      </c>
      <c r="C755" s="4">
        <f>49.0195 * CHOOSE(CONTROL!$C$9, $C$13, 100%, $E$13) + CHOOSE(CONTROL!$C$28, 0.0192, 0)</f>
        <v>49.038699999999999</v>
      </c>
      <c r="D755" s="4">
        <f>70.805 * CHOOSE(CONTROL!$C$9, $C$13, 100%, $E$13) + CHOOSE(CONTROL!$C$28, 0, 0)</f>
        <v>70.805000000000007</v>
      </c>
      <c r="E755" s="4">
        <f>340.691818954775 * CHOOSE(CONTROL!$C$9, $C$13, 100%, $E$13) + CHOOSE(CONTROL!$C$28, 0, 0)</f>
        <v>340.69181895477499</v>
      </c>
    </row>
    <row r="756" spans="1:5" ht="15">
      <c r="A756" s="13">
        <v>64528</v>
      </c>
      <c r="B756" s="4">
        <f>50.5466 * CHOOSE(CONTROL!$C$9, $C$13, 100%, $E$13) + CHOOSE(CONTROL!$C$28, 0.0192, 0)</f>
        <v>50.565799999999996</v>
      </c>
      <c r="C756" s="4">
        <f>50.1833 * CHOOSE(CONTROL!$C$9, $C$13, 100%, $E$13) + CHOOSE(CONTROL!$C$28, 0.0192, 0)</f>
        <v>50.202500000000001</v>
      </c>
      <c r="D756" s="4">
        <f>70.0658 * CHOOSE(CONTROL!$C$9, $C$13, 100%, $E$13) + CHOOSE(CONTROL!$C$28, 0, 0)</f>
        <v>70.065799999999996</v>
      </c>
      <c r="E756" s="4">
        <f>348.848694352913 * CHOOSE(CONTROL!$C$9, $C$13, 100%, $E$13) + CHOOSE(CONTROL!$C$28, 0, 0)</f>
        <v>348.84869435291301</v>
      </c>
    </row>
    <row r="757" spans="1:5" ht="15">
      <c r="A757" s="13">
        <v>64558</v>
      </c>
      <c r="B757" s="4">
        <f>48.5631 * CHOOSE(CONTROL!$C$9, $C$13, 100%, $E$13) + CHOOSE(CONTROL!$C$28, 0.0192, 0)</f>
        <v>48.582299999999996</v>
      </c>
      <c r="C757" s="4">
        <f>48.1998 * CHOOSE(CONTROL!$C$9, $C$13, 100%, $E$13) + CHOOSE(CONTROL!$C$28, 0.0192, 0)</f>
        <v>48.219000000000001</v>
      </c>
      <c r="D757" s="4">
        <f>69.7166 * CHOOSE(CONTROL!$C$9, $C$13, 100%, $E$13) + CHOOSE(CONTROL!$C$28, 0, 0)</f>
        <v>69.7166</v>
      </c>
      <c r="E757" s="4">
        <f>334.94677714612 * CHOOSE(CONTROL!$C$9, $C$13, 100%, $E$13) + CHOOSE(CONTROL!$C$28, 0, 0)</f>
        <v>334.94677714611998</v>
      </c>
    </row>
    <row r="758" spans="1:5" ht="15">
      <c r="A758" s="13">
        <v>64589</v>
      </c>
      <c r="B758" s="4">
        <f>46.9753 * CHOOSE(CONTROL!$C$9, $C$13, 100%, $E$13) + CHOOSE(CONTROL!$C$28, 0.0003, 0)</f>
        <v>46.9756</v>
      </c>
      <c r="C758" s="4">
        <f>46.612 * CHOOSE(CONTROL!$C$9, $C$13, 100%, $E$13) + CHOOSE(CONTROL!$C$28, 0.0003, 0)</f>
        <v>46.612300000000005</v>
      </c>
      <c r="D758" s="4">
        <f>68.7815 * CHOOSE(CONTROL!$C$9, $C$13, 100%, $E$13) + CHOOSE(CONTROL!$C$28, 0, 0)</f>
        <v>68.781499999999994</v>
      </c>
      <c r="E758" s="4">
        <f>323.818016913002 * CHOOSE(CONTROL!$C$9, $C$13, 100%, $E$13) + CHOOSE(CONTROL!$C$28, 0, 0)</f>
        <v>323.818016913002</v>
      </c>
    </row>
    <row r="759" spans="1:5" ht="15">
      <c r="A759" s="13">
        <v>64619</v>
      </c>
      <c r="B759" s="4">
        <f>45.9526 * CHOOSE(CONTROL!$C$9, $C$13, 100%, $E$13) + CHOOSE(CONTROL!$C$28, 0.0003, 0)</f>
        <v>45.9529</v>
      </c>
      <c r="C759" s="4">
        <f>45.5893 * CHOOSE(CONTROL!$C$9, $C$13, 100%, $E$13) + CHOOSE(CONTROL!$C$28, 0.0003, 0)</f>
        <v>45.589600000000004</v>
      </c>
      <c r="D759" s="4">
        <f>68.46 * CHOOSE(CONTROL!$C$9, $C$13, 100%, $E$13) + CHOOSE(CONTROL!$C$28, 0, 0)</f>
        <v>68.459999999999994</v>
      </c>
      <c r="E759" s="4">
        <f>316.65026427909 * CHOOSE(CONTROL!$C$9, $C$13, 100%, $E$13) + CHOOSE(CONTROL!$C$28, 0, 0)</f>
        <v>316.65026427908998</v>
      </c>
    </row>
    <row r="760" spans="1:5" ht="15">
      <c r="A760" s="13">
        <v>64650</v>
      </c>
      <c r="B760" s="4">
        <f>45.245 * CHOOSE(CONTROL!$C$9, $C$13, 100%, $E$13) + CHOOSE(CONTROL!$C$28, 0.0003, 0)</f>
        <v>45.2453</v>
      </c>
      <c r="C760" s="4">
        <f>44.8817 * CHOOSE(CONTROL!$C$9, $C$13, 100%, $E$13) + CHOOSE(CONTROL!$C$28, 0.0003, 0)</f>
        <v>44.882000000000005</v>
      </c>
      <c r="D760" s="4">
        <f>66.0932 * CHOOSE(CONTROL!$C$9, $C$13, 100%, $E$13) + CHOOSE(CONTROL!$C$28, 0, 0)</f>
        <v>66.093199999999996</v>
      </c>
      <c r="E760" s="4">
        <f>311.691100831053 * CHOOSE(CONTROL!$C$9, $C$13, 100%, $E$13) + CHOOSE(CONTROL!$C$28, 0, 0)</f>
        <v>311.69110083105301</v>
      </c>
    </row>
    <row r="761" spans="1:5" ht="15">
      <c r="A761" s="13">
        <v>64681</v>
      </c>
      <c r="B761" s="4">
        <f>43.3091 * CHOOSE(CONTROL!$C$9, $C$13, 100%, $E$13) + CHOOSE(CONTROL!$C$28, 0.0003, 0)</f>
        <v>43.309400000000004</v>
      </c>
      <c r="C761" s="4">
        <f>42.9458 * CHOOSE(CONTROL!$C$9, $C$13, 100%, $E$13) + CHOOSE(CONTROL!$C$28, 0.0003, 0)</f>
        <v>42.946100000000001</v>
      </c>
      <c r="D761" s="4">
        <f>63.4859 * CHOOSE(CONTROL!$C$9, $C$13, 100%, $E$13) + CHOOSE(CONTROL!$C$28, 0, 0)</f>
        <v>63.485900000000001</v>
      </c>
      <c r="E761" s="4">
        <f>298.707899952666 * CHOOSE(CONTROL!$C$9, $C$13, 100%, $E$13) + CHOOSE(CONTROL!$C$28, 0, 0)</f>
        <v>298.70789995266603</v>
      </c>
    </row>
    <row r="762" spans="1:5" ht="15">
      <c r="A762" s="13">
        <v>64709</v>
      </c>
      <c r="B762" s="4">
        <f>44.3191 * CHOOSE(CONTROL!$C$9, $C$13, 100%, $E$13) + CHOOSE(CONTROL!$C$28, 0.0003, 0)</f>
        <v>44.319400000000002</v>
      </c>
      <c r="C762" s="4">
        <f>43.9558 * CHOOSE(CONTROL!$C$9, $C$13, 100%, $E$13) + CHOOSE(CONTROL!$C$28, 0.0003, 0)</f>
        <v>43.956100000000006</v>
      </c>
      <c r="D762" s="4">
        <f>65.6612 * CHOOSE(CONTROL!$C$9, $C$13, 100%, $E$13) + CHOOSE(CONTROL!$C$28, 0, 0)</f>
        <v>65.661199999999994</v>
      </c>
      <c r="E762" s="4">
        <f>305.800402678325 * CHOOSE(CONTROL!$C$9, $C$13, 100%, $E$13) + CHOOSE(CONTROL!$C$28, 0, 0)</f>
        <v>305.80040267832499</v>
      </c>
    </row>
    <row r="763" spans="1:5" ht="15">
      <c r="A763" s="13">
        <v>64740</v>
      </c>
      <c r="B763" s="4">
        <f>46.9713 * CHOOSE(CONTROL!$C$9, $C$13, 100%, $E$13) + CHOOSE(CONTROL!$C$28, 0.0003, 0)</f>
        <v>46.971600000000002</v>
      </c>
      <c r="C763" s="4">
        <f>46.608 * CHOOSE(CONTROL!$C$9, $C$13, 100%, $E$13) + CHOOSE(CONTROL!$C$28, 0.0003, 0)</f>
        <v>46.6083</v>
      </c>
      <c r="D763" s="4">
        <f>69.0665 * CHOOSE(CONTROL!$C$9, $C$13, 100%, $E$13) + CHOOSE(CONTROL!$C$28, 0, 0)</f>
        <v>69.066500000000005</v>
      </c>
      <c r="E763" s="4">
        <f>324.425691754392 * CHOOSE(CONTROL!$C$9, $C$13, 100%, $E$13) + CHOOSE(CONTROL!$C$28, 0, 0)</f>
        <v>324.42569175439201</v>
      </c>
    </row>
    <row r="764" spans="1:5" ht="15">
      <c r="A764" s="13">
        <v>64770</v>
      </c>
      <c r="B764" s="4">
        <f>48.8557 * CHOOSE(CONTROL!$C$9, $C$13, 100%, $E$13) + CHOOSE(CONTROL!$C$28, 0.0003, 0)</f>
        <v>48.856000000000002</v>
      </c>
      <c r="C764" s="4">
        <f>48.4925 * CHOOSE(CONTROL!$C$9, $C$13, 100%, $E$13) + CHOOSE(CONTROL!$C$28, 0.0003, 0)</f>
        <v>48.492800000000003</v>
      </c>
      <c r="D764" s="4">
        <f>71.0281 * CHOOSE(CONTROL!$C$9, $C$13, 100%, $E$13) + CHOOSE(CONTROL!$C$28, 0, 0)</f>
        <v>71.028099999999995</v>
      </c>
      <c r="E764" s="4">
        <f>337.65920785755 * CHOOSE(CONTROL!$C$9, $C$13, 100%, $E$13) + CHOOSE(CONTROL!$C$28, 0, 0)</f>
        <v>337.65920785754997</v>
      </c>
    </row>
    <row r="765" spans="1:5" ht="15">
      <c r="A765" s="13">
        <v>64801</v>
      </c>
      <c r="B765" s="4">
        <f>50.0071 * CHOOSE(CONTROL!$C$9, $C$13, 100%, $E$13) + CHOOSE(CONTROL!$C$28, 0.0192, 0)</f>
        <v>50.026299999999999</v>
      </c>
      <c r="C765" s="4">
        <f>49.6438 * CHOOSE(CONTROL!$C$9, $C$13, 100%, $E$13) + CHOOSE(CONTROL!$C$28, 0.0192, 0)</f>
        <v>49.662999999999997</v>
      </c>
      <c r="D765" s="4">
        <f>70.253 * CHOOSE(CONTROL!$C$9, $C$13, 100%, $E$13) + CHOOSE(CONTROL!$C$28, 0, 0)</f>
        <v>70.253</v>
      </c>
      <c r="E765" s="4">
        <f>345.744569033464 * CHOOSE(CONTROL!$C$9, $C$13, 100%, $E$13) + CHOOSE(CONTROL!$C$28, 0, 0)</f>
        <v>345.74456903346402</v>
      </c>
    </row>
    <row r="766" spans="1:5" ht="15">
      <c r="A766" s="13">
        <v>64831</v>
      </c>
      <c r="B766" s="4">
        <f>50.1629 * CHOOSE(CONTROL!$C$9, $C$13, 100%, $E$13) + CHOOSE(CONTROL!$C$28, 0.0192, 0)</f>
        <v>50.182099999999998</v>
      </c>
      <c r="C766" s="4">
        <f>49.7996 * CHOOSE(CONTROL!$C$9, $C$13, 100%, $E$13) + CHOOSE(CONTROL!$C$28, 0.0192, 0)</f>
        <v>49.818799999999996</v>
      </c>
      <c r="D766" s="4">
        <f>70.8842 * CHOOSE(CONTROL!$C$9, $C$13, 100%, $E$13) + CHOOSE(CONTROL!$C$28, 0, 0)</f>
        <v>70.884200000000007</v>
      </c>
      <c r="E766" s="4">
        <f>346.838551955503 * CHOOSE(CONTROL!$C$9, $C$13, 100%, $E$13) + CHOOSE(CONTROL!$C$28, 0, 0)</f>
        <v>346.83855195550302</v>
      </c>
    </row>
    <row r="767" spans="1:5" ht="15">
      <c r="A767" s="13">
        <v>64862</v>
      </c>
      <c r="B767" s="4">
        <f>50.1472 * CHOOSE(CONTROL!$C$9, $C$13, 100%, $E$13) + CHOOSE(CONTROL!$C$28, 0.0192, 0)</f>
        <v>50.166399999999996</v>
      </c>
      <c r="C767" s="4">
        <f>49.7839 * CHOOSE(CONTROL!$C$9, $C$13, 100%, $E$13) + CHOOSE(CONTROL!$C$28, 0.0192, 0)</f>
        <v>49.803100000000001</v>
      </c>
      <c r="D767" s="4">
        <f>72.0233 * CHOOSE(CONTROL!$C$9, $C$13, 100%, $E$13) + CHOOSE(CONTROL!$C$28, 0, 0)</f>
        <v>72.023300000000006</v>
      </c>
      <c r="E767" s="4">
        <f>346.728234349919 * CHOOSE(CONTROL!$C$9, $C$13, 100%, $E$13) + CHOOSE(CONTROL!$C$28, 0, 0)</f>
        <v>346.72823434991898</v>
      </c>
    </row>
    <row r="768" spans="1:5" ht="15">
      <c r="A768" s="13">
        <v>64893</v>
      </c>
      <c r="B768" s="4">
        <f>51.3293 * CHOOSE(CONTROL!$C$9, $C$13, 100%, $E$13) + CHOOSE(CONTROL!$C$28, 0.0192, 0)</f>
        <v>51.348500000000001</v>
      </c>
      <c r="C768" s="4">
        <f>50.966 * CHOOSE(CONTROL!$C$9, $C$13, 100%, $E$13) + CHOOSE(CONTROL!$C$28, 0.0192, 0)</f>
        <v>50.985199999999999</v>
      </c>
      <c r="D768" s="4">
        <f>71.271 * CHOOSE(CONTROL!$C$9, $C$13, 100%, $E$13) + CHOOSE(CONTROL!$C$28, 0, 0)</f>
        <v>71.271000000000001</v>
      </c>
      <c r="E768" s="4">
        <f>355.029634170101 * CHOOSE(CONTROL!$C$9, $C$13, 100%, $E$13) + CHOOSE(CONTROL!$C$28, 0, 0)</f>
        <v>355.02963417010102</v>
      </c>
    </row>
    <row r="769" spans="1:5" ht="15">
      <c r="A769" s="13">
        <v>64923</v>
      </c>
      <c r="B769" s="4">
        <f>49.3146 * CHOOSE(CONTROL!$C$9, $C$13, 100%, $E$13) + CHOOSE(CONTROL!$C$28, 0.0192, 0)</f>
        <v>49.333799999999997</v>
      </c>
      <c r="C769" s="4">
        <f>48.9513 * CHOOSE(CONTROL!$C$9, $C$13, 100%, $E$13) + CHOOSE(CONTROL!$C$28, 0.0192, 0)</f>
        <v>48.970500000000001</v>
      </c>
      <c r="D769" s="4">
        <f>70.9156 * CHOOSE(CONTROL!$C$9, $C$13, 100%, $E$13) + CHOOSE(CONTROL!$C$28, 0, 0)</f>
        <v>70.915599999999998</v>
      </c>
      <c r="E769" s="4">
        <f>340.881401253978 * CHOOSE(CONTROL!$C$9, $C$13, 100%, $E$13) + CHOOSE(CONTROL!$C$28, 0, 0)</f>
        <v>340.88140125397803</v>
      </c>
    </row>
    <row r="770" spans="1:5" ht="15">
      <c r="A770" s="13">
        <v>64954</v>
      </c>
      <c r="B770" s="4">
        <f>47.7018 * CHOOSE(CONTROL!$C$9, $C$13, 100%, $E$13) + CHOOSE(CONTROL!$C$28, 0.0003, 0)</f>
        <v>47.702100000000002</v>
      </c>
      <c r="C770" s="4">
        <f>47.3385 * CHOOSE(CONTROL!$C$9, $C$13, 100%, $E$13) + CHOOSE(CONTROL!$C$28, 0.0003, 0)</f>
        <v>47.338800000000006</v>
      </c>
      <c r="D770" s="4">
        <f>69.964 * CHOOSE(CONTROL!$C$9, $C$13, 100%, $E$13) + CHOOSE(CONTROL!$C$28, 0, 0)</f>
        <v>69.963999999999999</v>
      </c>
      <c r="E770" s="4">
        <f>329.555460414039 * CHOOSE(CONTROL!$C$9, $C$13, 100%, $E$13) + CHOOSE(CONTROL!$C$28, 0, 0)</f>
        <v>329.55546041403898</v>
      </c>
    </row>
    <row r="771" spans="1:5" ht="15">
      <c r="A771" s="13">
        <v>64984</v>
      </c>
      <c r="B771" s="4">
        <f>46.663 * CHOOSE(CONTROL!$C$9, $C$13, 100%, $E$13) + CHOOSE(CONTROL!$C$28, 0.0003, 0)</f>
        <v>46.6633</v>
      </c>
      <c r="C771" s="4">
        <f>46.2997 * CHOOSE(CONTROL!$C$9, $C$13, 100%, $E$13) + CHOOSE(CONTROL!$C$28, 0.0003, 0)</f>
        <v>46.300000000000004</v>
      </c>
      <c r="D771" s="4">
        <f>69.6368 * CHOOSE(CONTROL!$C$9, $C$13, 100%, $E$13) + CHOOSE(CONTROL!$C$28, 0, 0)</f>
        <v>69.636799999999994</v>
      </c>
      <c r="E771" s="4">
        <f>322.26070874481 * CHOOSE(CONTROL!$C$9, $C$13, 100%, $E$13) + CHOOSE(CONTROL!$C$28, 0, 0)</f>
        <v>322.26070874481002</v>
      </c>
    </row>
    <row r="772" spans="1:5" ht="15">
      <c r="A772" s="13">
        <v>65015</v>
      </c>
      <c r="B772" s="4">
        <f>45.9443 * CHOOSE(CONTROL!$C$9, $C$13, 100%, $E$13) + CHOOSE(CONTROL!$C$28, 0.0003, 0)</f>
        <v>45.944600000000001</v>
      </c>
      <c r="C772" s="4">
        <f>45.581 * CHOOSE(CONTROL!$C$9, $C$13, 100%, $E$13) + CHOOSE(CONTROL!$C$28, 0.0003, 0)</f>
        <v>45.581300000000006</v>
      </c>
      <c r="D772" s="4">
        <f>67.2282 * CHOOSE(CONTROL!$C$9, $C$13, 100%, $E$13) + CHOOSE(CONTROL!$C$28, 0, 0)</f>
        <v>67.228200000000001</v>
      </c>
      <c r="E772" s="4">
        <f>317.213678289351 * CHOOSE(CONTROL!$C$9, $C$13, 100%, $E$13) + CHOOSE(CONTROL!$C$28, 0, 0)</f>
        <v>317.21367828935098</v>
      </c>
    </row>
    <row r="773" spans="1:5" ht="15">
      <c r="A773" s="13">
        <v>65046</v>
      </c>
      <c r="B773" s="4">
        <f>43.978 * CHOOSE(CONTROL!$C$9, $C$13, 100%, $E$13) + CHOOSE(CONTROL!$C$28, 0.0003, 0)</f>
        <v>43.978300000000004</v>
      </c>
      <c r="C773" s="4">
        <f>43.6147 * CHOOSE(CONTROL!$C$9, $C$13, 100%, $E$13) + CHOOSE(CONTROL!$C$28, 0.0003, 0)</f>
        <v>43.615000000000002</v>
      </c>
      <c r="D773" s="4">
        <f>64.5749 * CHOOSE(CONTROL!$C$9, $C$13, 100%, $E$13) + CHOOSE(CONTROL!$C$28, 0, 0)</f>
        <v>64.5749</v>
      </c>
      <c r="E773" s="4">
        <f>304.000439619328 * CHOOSE(CONTROL!$C$9, $C$13, 100%, $E$13) + CHOOSE(CONTROL!$C$28, 0, 0)</f>
        <v>304.00043961932801</v>
      </c>
    </row>
    <row r="774" spans="1:5" ht="15">
      <c r="A774" s="13">
        <v>65074</v>
      </c>
      <c r="B774" s="4">
        <f>45.0038 * CHOOSE(CONTROL!$C$9, $C$13, 100%, $E$13) + CHOOSE(CONTROL!$C$28, 0.0003, 0)</f>
        <v>45.004100000000001</v>
      </c>
      <c r="C774" s="4">
        <f>44.6406 * CHOOSE(CONTROL!$C$9, $C$13, 100%, $E$13) + CHOOSE(CONTROL!$C$28, 0.0003, 0)</f>
        <v>44.640900000000002</v>
      </c>
      <c r="D774" s="4">
        <f>66.7886 * CHOOSE(CONTROL!$C$9, $C$13, 100%, $E$13) + CHOOSE(CONTROL!$C$28, 0, 0)</f>
        <v>66.788600000000002</v>
      </c>
      <c r="E774" s="4">
        <f>311.218608094094 * CHOOSE(CONTROL!$C$9, $C$13, 100%, $E$13) + CHOOSE(CONTROL!$C$28, 0, 0)</f>
        <v>311.21860809409401</v>
      </c>
    </row>
    <row r="775" spans="1:5" ht="15">
      <c r="A775" s="13">
        <v>65105</v>
      </c>
      <c r="B775" s="4">
        <f>47.6978 * CHOOSE(CONTROL!$C$9, $C$13, 100%, $E$13) + CHOOSE(CONTROL!$C$28, 0.0003, 0)</f>
        <v>47.698100000000004</v>
      </c>
      <c r="C775" s="4">
        <f>47.3345 * CHOOSE(CONTROL!$C$9, $C$13, 100%, $E$13) + CHOOSE(CONTROL!$C$28, 0.0003, 0)</f>
        <v>47.334800000000001</v>
      </c>
      <c r="D775" s="4">
        <f>70.2541 * CHOOSE(CONTROL!$C$9, $C$13, 100%, $E$13) + CHOOSE(CONTROL!$C$28, 0, 0)</f>
        <v>70.254099999999994</v>
      </c>
      <c r="E775" s="4">
        <f>330.173902105597 * CHOOSE(CONTROL!$C$9, $C$13, 100%, $E$13) + CHOOSE(CONTROL!$C$28, 0, 0)</f>
        <v>330.17390210559699</v>
      </c>
    </row>
    <row r="776" spans="1:5" ht="15">
      <c r="A776" s="13">
        <v>65135</v>
      </c>
      <c r="B776" s="4">
        <f>49.6118 * CHOOSE(CONTROL!$C$9, $C$13, 100%, $E$13) + CHOOSE(CONTROL!$C$28, 0.0003, 0)</f>
        <v>49.612100000000005</v>
      </c>
      <c r="C776" s="4">
        <f>49.2485 * CHOOSE(CONTROL!$C$9, $C$13, 100%, $E$13) + CHOOSE(CONTROL!$C$28, 0.0003, 0)</f>
        <v>49.248800000000003</v>
      </c>
      <c r="D776" s="4">
        <f>72.2503 * CHOOSE(CONTROL!$C$9, $C$13, 100%, $E$13) + CHOOSE(CONTROL!$C$28, 0, 0)</f>
        <v>72.250299999999996</v>
      </c>
      <c r="E776" s="4">
        <f>343.641891113276 * CHOOSE(CONTROL!$C$9, $C$13, 100%, $E$13) + CHOOSE(CONTROL!$C$28, 0, 0)</f>
        <v>343.64189111327602</v>
      </c>
    </row>
    <row r="777" spans="1:5" ht="15">
      <c r="A777" s="13">
        <v>65166</v>
      </c>
      <c r="B777" s="4">
        <f>50.7813 * CHOOSE(CONTROL!$C$9, $C$13, 100%, $E$13) + CHOOSE(CONTROL!$C$28, 0.0192, 0)</f>
        <v>50.8005</v>
      </c>
      <c r="C777" s="4">
        <f>50.418 * CHOOSE(CONTROL!$C$9, $C$13, 100%, $E$13) + CHOOSE(CONTROL!$C$28, 0.0192, 0)</f>
        <v>50.437199999999997</v>
      </c>
      <c r="D777" s="4">
        <f>71.4615 * CHOOSE(CONTROL!$C$9, $C$13, 100%, $E$13) + CHOOSE(CONTROL!$C$28, 0, 0)</f>
        <v>71.461500000000001</v>
      </c>
      <c r="E777" s="4">
        <f>351.870509614321 * CHOOSE(CONTROL!$C$9, $C$13, 100%, $E$13) + CHOOSE(CONTROL!$C$28, 0, 0)</f>
        <v>351.87050961432101</v>
      </c>
    </row>
    <row r="778" spans="1:5" ht="15">
      <c r="A778" s="13">
        <v>65196</v>
      </c>
      <c r="B778" s="4">
        <f>50.9395 * CHOOSE(CONTROL!$C$9, $C$13, 100%, $E$13) + CHOOSE(CONTROL!$C$28, 0.0192, 0)</f>
        <v>50.9587</v>
      </c>
      <c r="C778" s="4">
        <f>50.5762 * CHOOSE(CONTROL!$C$9, $C$13, 100%, $E$13) + CHOOSE(CONTROL!$C$28, 0.0192, 0)</f>
        <v>50.595399999999998</v>
      </c>
      <c r="D778" s="4">
        <f>72.1039 * CHOOSE(CONTROL!$C$9, $C$13, 100%, $E$13) + CHOOSE(CONTROL!$C$28, 0, 0)</f>
        <v>72.103899999999996</v>
      </c>
      <c r="E778" s="4">
        <f>352.983875846981 * CHOOSE(CONTROL!$C$9, $C$13, 100%, $E$13) + CHOOSE(CONTROL!$C$28, 0, 0)</f>
        <v>352.98387584698099</v>
      </c>
    </row>
    <row r="779" spans="1:5" ht="15">
      <c r="A779" s="13">
        <v>65227</v>
      </c>
      <c r="B779" s="4">
        <f>50.9236 * CHOOSE(CONTROL!$C$9, $C$13, 100%, $E$13) + CHOOSE(CONTROL!$C$28, 0.0192, 0)</f>
        <v>50.942799999999998</v>
      </c>
      <c r="C779" s="4">
        <f>50.5603 * CHOOSE(CONTROL!$C$9, $C$13, 100%, $E$13) + CHOOSE(CONTROL!$C$28, 0.0192, 0)</f>
        <v>50.579499999999996</v>
      </c>
      <c r="D779" s="4">
        <f>73.2631 * CHOOSE(CONTROL!$C$9, $C$13, 100%, $E$13) + CHOOSE(CONTROL!$C$28, 0, 0)</f>
        <v>73.263099999999994</v>
      </c>
      <c r="E779" s="4">
        <f>352.871603621839 * CHOOSE(CONTROL!$C$9, $C$13, 100%, $E$13) + CHOOSE(CONTROL!$C$28, 0, 0)</f>
        <v>352.87160362183897</v>
      </c>
    </row>
    <row r="780" spans="1:5" ht="15">
      <c r="A780" s="13">
        <v>65258</v>
      </c>
      <c r="B780" s="4">
        <f>52.1243 * CHOOSE(CONTROL!$C$9, $C$13, 100%, $E$13) + CHOOSE(CONTROL!$C$28, 0.0192, 0)</f>
        <v>52.143499999999996</v>
      </c>
      <c r="C780" s="4">
        <f>51.761 * CHOOSE(CONTROL!$C$9, $C$13, 100%, $E$13) + CHOOSE(CONTROL!$C$28, 0.0192, 0)</f>
        <v>51.780200000000001</v>
      </c>
      <c r="D780" s="4">
        <f>72.4976 * CHOOSE(CONTROL!$C$9, $C$13, 100%, $E$13) + CHOOSE(CONTROL!$C$28, 0, 0)</f>
        <v>72.497600000000006</v>
      </c>
      <c r="E780" s="4">
        <f>361.320088563787 * CHOOSE(CONTROL!$C$9, $C$13, 100%, $E$13) + CHOOSE(CONTROL!$C$28, 0, 0)</f>
        <v>361.32008856378701</v>
      </c>
    </row>
    <row r="781" spans="1:5" ht="15">
      <c r="A781" s="13">
        <v>65288</v>
      </c>
      <c r="B781" s="4">
        <f>50.0779 * CHOOSE(CONTROL!$C$9, $C$13, 100%, $E$13) + CHOOSE(CONTROL!$C$28, 0.0192, 0)</f>
        <v>50.097099999999998</v>
      </c>
      <c r="C781" s="4">
        <f>49.7146 * CHOOSE(CONTROL!$C$9, $C$13, 100%, $E$13) + CHOOSE(CONTROL!$C$28, 0.0192, 0)</f>
        <v>49.733799999999995</v>
      </c>
      <c r="D781" s="4">
        <f>72.1359 * CHOOSE(CONTROL!$C$9, $C$13, 100%, $E$13) + CHOOSE(CONTROL!$C$28, 0, 0)</f>
        <v>72.135900000000007</v>
      </c>
      <c r="E781" s="4">
        <f>346.921175689304 * CHOOSE(CONTROL!$C$9, $C$13, 100%, $E$13) + CHOOSE(CONTROL!$C$28, 0, 0)</f>
        <v>346.92117568930399</v>
      </c>
    </row>
    <row r="782" spans="1:5" ht="15">
      <c r="A782" s="13">
        <v>65319</v>
      </c>
      <c r="B782" s="4">
        <f>48.4397 * CHOOSE(CONTROL!$C$9, $C$13, 100%, $E$13) + CHOOSE(CONTROL!$C$28, 0.0003, 0)</f>
        <v>48.440000000000005</v>
      </c>
      <c r="C782" s="4">
        <f>48.0764 * CHOOSE(CONTROL!$C$9, $C$13, 100%, $E$13) + CHOOSE(CONTROL!$C$28, 0.0003, 0)</f>
        <v>48.076700000000002</v>
      </c>
      <c r="D782" s="4">
        <f>71.1674 * CHOOSE(CONTROL!$C$9, $C$13, 100%, $E$13) + CHOOSE(CONTROL!$C$28, 0, 0)</f>
        <v>71.167400000000001</v>
      </c>
      <c r="E782" s="4">
        <f>335.394560574707 * CHOOSE(CONTROL!$C$9, $C$13, 100%, $E$13) + CHOOSE(CONTROL!$C$28, 0, 0)</f>
        <v>335.39456057470699</v>
      </c>
    </row>
    <row r="783" spans="1:5" ht="15">
      <c r="A783" s="13">
        <v>65349</v>
      </c>
      <c r="B783" s="4">
        <f>47.3846 * CHOOSE(CONTROL!$C$9, $C$13, 100%, $E$13) + CHOOSE(CONTROL!$C$28, 0.0003, 0)</f>
        <v>47.384900000000002</v>
      </c>
      <c r="C783" s="4">
        <f>47.0213 * CHOOSE(CONTROL!$C$9, $C$13, 100%, $E$13) + CHOOSE(CONTROL!$C$28, 0.0003, 0)</f>
        <v>47.021599999999999</v>
      </c>
      <c r="D783" s="4">
        <f>70.8345 * CHOOSE(CONTROL!$C$9, $C$13, 100%, $E$13) + CHOOSE(CONTROL!$C$28, 0, 0)</f>
        <v>70.834500000000006</v>
      </c>
      <c r="E783" s="4">
        <f>327.970559687181 * CHOOSE(CONTROL!$C$9, $C$13, 100%, $E$13) + CHOOSE(CONTROL!$C$28, 0, 0)</f>
        <v>327.97055968718098</v>
      </c>
    </row>
    <row r="784" spans="1:5" ht="15">
      <c r="A784" s="13">
        <v>65380</v>
      </c>
      <c r="B784" s="4">
        <f>46.6546 * CHOOSE(CONTROL!$C$9, $C$13, 100%, $E$13) + CHOOSE(CONTROL!$C$28, 0.0003, 0)</f>
        <v>46.654900000000005</v>
      </c>
      <c r="C784" s="4">
        <f>46.2913 * CHOOSE(CONTROL!$C$9, $C$13, 100%, $E$13) + CHOOSE(CONTROL!$C$28, 0.0003, 0)</f>
        <v>46.291600000000003</v>
      </c>
      <c r="D784" s="4">
        <f>68.3833 * CHOOSE(CONTROL!$C$9, $C$13, 100%, $E$13) + CHOOSE(CONTROL!$C$28, 0, 0)</f>
        <v>68.383300000000006</v>
      </c>
      <c r="E784" s="4">
        <f>322.834105386927 * CHOOSE(CONTROL!$C$9, $C$13, 100%, $E$13) + CHOOSE(CONTROL!$C$28, 0, 0)</f>
        <v>322.83410538692698</v>
      </c>
    </row>
    <row r="785" spans="1:5" ht="15">
      <c r="A785" s="13">
        <v>65411</v>
      </c>
      <c r="B785" s="4">
        <f>44.6574 * CHOOSE(CONTROL!$C$9, $C$13, 100%, $E$13) + CHOOSE(CONTROL!$C$28, 0.0003, 0)</f>
        <v>44.657700000000006</v>
      </c>
      <c r="C785" s="4">
        <f>44.2941 * CHOOSE(CONTROL!$C$9, $C$13, 100%, $E$13) + CHOOSE(CONTROL!$C$28, 0.0003, 0)</f>
        <v>44.294400000000003</v>
      </c>
      <c r="D785" s="4">
        <f>65.6831 * CHOOSE(CONTROL!$C$9, $C$13, 100%, $E$13) + CHOOSE(CONTROL!$C$28, 0, 0)</f>
        <v>65.683099999999996</v>
      </c>
      <c r="E785" s="4">
        <f>309.386753090191 * CHOOSE(CONTROL!$C$9, $C$13, 100%, $E$13) + CHOOSE(CONTROL!$C$28, 0, 0)</f>
        <v>309.38675309019101</v>
      </c>
    </row>
    <row r="786" spans="1:5" ht="15">
      <c r="A786" s="13">
        <v>65439</v>
      </c>
      <c r="B786" s="4">
        <f>45.6994 * CHOOSE(CONTROL!$C$9, $C$13, 100%, $E$13) + CHOOSE(CONTROL!$C$28, 0.0003, 0)</f>
        <v>45.6997</v>
      </c>
      <c r="C786" s="4">
        <f>45.3361 * CHOOSE(CONTROL!$C$9, $C$13, 100%, $E$13) + CHOOSE(CONTROL!$C$28, 0.0003, 0)</f>
        <v>45.336400000000005</v>
      </c>
      <c r="D786" s="4">
        <f>67.936 * CHOOSE(CONTROL!$C$9, $C$13, 100%, $E$13) + CHOOSE(CONTROL!$C$28, 0, 0)</f>
        <v>67.936000000000007</v>
      </c>
      <c r="E786" s="4">
        <f>316.732813873728 * CHOOSE(CONTROL!$C$9, $C$13, 100%, $E$13) + CHOOSE(CONTROL!$C$28, 0, 0)</f>
        <v>316.73281387372799</v>
      </c>
    </row>
    <row r="787" spans="1:5" ht="15">
      <c r="A787" s="13">
        <v>65470</v>
      </c>
      <c r="B787" s="4">
        <f>48.4356 * CHOOSE(CONTROL!$C$9, $C$13, 100%, $E$13) + CHOOSE(CONTROL!$C$28, 0.0003, 0)</f>
        <v>48.435900000000004</v>
      </c>
      <c r="C787" s="4">
        <f>48.0724 * CHOOSE(CONTROL!$C$9, $C$13, 100%, $E$13) + CHOOSE(CONTROL!$C$28, 0.0003, 0)</f>
        <v>48.072700000000005</v>
      </c>
      <c r="D787" s="4">
        <f>71.4626 * CHOOSE(CONTROL!$C$9, $C$13, 100%, $E$13) + CHOOSE(CONTROL!$C$28, 0, 0)</f>
        <v>71.462599999999995</v>
      </c>
      <c r="E787" s="4">
        <f>336.023959884676 * CHOOSE(CONTROL!$C$9, $C$13, 100%, $E$13) + CHOOSE(CONTROL!$C$28, 0, 0)</f>
        <v>336.023959884676</v>
      </c>
    </row>
    <row r="788" spans="1:5" ht="15">
      <c r="A788" s="13">
        <v>65500</v>
      </c>
      <c r="B788" s="4">
        <f>50.3798 * CHOOSE(CONTROL!$C$9, $C$13, 100%, $E$13) + CHOOSE(CONTROL!$C$28, 0.0003, 0)</f>
        <v>50.380100000000006</v>
      </c>
      <c r="C788" s="4">
        <f>50.0165 * CHOOSE(CONTROL!$C$9, $C$13, 100%, $E$13) + CHOOSE(CONTROL!$C$28, 0.0003, 0)</f>
        <v>50.016800000000003</v>
      </c>
      <c r="D788" s="4">
        <f>73.4941 * CHOOSE(CONTROL!$C$9, $C$13, 100%, $E$13) + CHOOSE(CONTROL!$C$28, 0, 0)</f>
        <v>73.494100000000003</v>
      </c>
      <c r="E788" s="4">
        <f>349.730576213777 * CHOOSE(CONTROL!$C$9, $C$13, 100%, $E$13) + CHOOSE(CONTROL!$C$28, 0, 0)</f>
        <v>349.730576213777</v>
      </c>
    </row>
    <row r="789" spans="1:5" ht="15">
      <c r="A789" s="13">
        <v>65531</v>
      </c>
      <c r="B789" s="4">
        <f>51.5676 * CHOOSE(CONTROL!$C$9, $C$13, 100%, $E$13) + CHOOSE(CONTROL!$C$28, 0.0192, 0)</f>
        <v>51.586799999999997</v>
      </c>
      <c r="C789" s="4">
        <f>51.2044 * CHOOSE(CONTROL!$C$9, $C$13, 100%, $E$13) + CHOOSE(CONTROL!$C$28, 0.0192, 0)</f>
        <v>51.223599999999998</v>
      </c>
      <c r="D789" s="4">
        <f>72.6914 * CHOOSE(CONTROL!$C$9, $C$13, 100%, $E$13) + CHOOSE(CONTROL!$C$28, 0, 0)</f>
        <v>72.691400000000002</v>
      </c>
      <c r="E789" s="4">
        <f>358.104990289112 * CHOOSE(CONTROL!$C$9, $C$13, 100%, $E$13) + CHOOSE(CONTROL!$C$28, 0, 0)</f>
        <v>358.10499028911198</v>
      </c>
    </row>
    <row r="790" spans="1:5" ht="15">
      <c r="A790" s="13">
        <v>65561</v>
      </c>
      <c r="B790" s="4">
        <f>51.7284 * CHOOSE(CONTROL!$C$9, $C$13, 100%, $E$13) + CHOOSE(CONTROL!$C$28, 0.0192, 0)</f>
        <v>51.747599999999998</v>
      </c>
      <c r="C790" s="4">
        <f>51.3651 * CHOOSE(CONTROL!$C$9, $C$13, 100%, $E$13) + CHOOSE(CONTROL!$C$28, 0.0192, 0)</f>
        <v>51.384299999999996</v>
      </c>
      <c r="D790" s="4">
        <f>73.3451 * CHOOSE(CONTROL!$C$9, $C$13, 100%, $E$13) + CHOOSE(CONTROL!$C$28, 0, 0)</f>
        <v>73.345100000000002</v>
      </c>
      <c r="E790" s="4">
        <f>359.238083268038 * CHOOSE(CONTROL!$C$9, $C$13, 100%, $E$13) + CHOOSE(CONTROL!$C$28, 0, 0)</f>
        <v>359.238083268038</v>
      </c>
    </row>
    <row r="791" spans="1:5" ht="15">
      <c r="A791" s="13">
        <v>65592</v>
      </c>
      <c r="B791" s="4">
        <f>51.7122 * CHOOSE(CONTROL!$C$9, $C$13, 100%, $E$13) + CHOOSE(CONTROL!$C$28, 0.0192, 0)</f>
        <v>51.731400000000001</v>
      </c>
      <c r="C791" s="4">
        <f>51.3489 * CHOOSE(CONTROL!$C$9, $C$13, 100%, $E$13) + CHOOSE(CONTROL!$C$28, 0.0192, 0)</f>
        <v>51.368099999999998</v>
      </c>
      <c r="D791" s="4">
        <f>74.5248 * CHOOSE(CONTROL!$C$9, $C$13, 100%, $E$13) + CHOOSE(CONTROL!$C$28, 0, 0)</f>
        <v>74.524799999999999</v>
      </c>
      <c r="E791" s="4">
        <f>359.123821791171 * CHOOSE(CONTROL!$C$9, $C$13, 100%, $E$13) + CHOOSE(CONTROL!$C$28, 0, 0)</f>
        <v>359.123821791171</v>
      </c>
    </row>
    <row r="792" spans="1:5" ht="15">
      <c r="A792" s="13">
        <v>65623</v>
      </c>
      <c r="B792" s="4">
        <f>52.9317 * CHOOSE(CONTROL!$C$9, $C$13, 100%, $E$13) + CHOOSE(CONTROL!$C$28, 0.0192, 0)</f>
        <v>52.950899999999997</v>
      </c>
      <c r="C792" s="4">
        <f>52.5685 * CHOOSE(CONTROL!$C$9, $C$13, 100%, $E$13) + CHOOSE(CONTROL!$C$28, 0.0192, 0)</f>
        <v>52.587699999999998</v>
      </c>
      <c r="D792" s="4">
        <f>73.7457 * CHOOSE(CONTROL!$C$9, $C$13, 100%, $E$13) + CHOOSE(CONTROL!$C$28, 0, 0)</f>
        <v>73.745699999999999</v>
      </c>
      <c r="E792" s="4">
        <f>367.72199792537 * CHOOSE(CONTROL!$C$9, $C$13, 100%, $E$13) + CHOOSE(CONTROL!$C$28, 0, 0)</f>
        <v>367.72199792536998</v>
      </c>
    </row>
    <row r="793" spans="1:5" ht="15">
      <c r="A793" s="13">
        <v>65653</v>
      </c>
      <c r="B793" s="4">
        <f>50.8532 * CHOOSE(CONTROL!$C$9, $C$13, 100%, $E$13) + CHOOSE(CONTROL!$C$28, 0.0192, 0)</f>
        <v>50.872399999999999</v>
      </c>
      <c r="C793" s="4">
        <f>50.4899 * CHOOSE(CONTROL!$C$9, $C$13, 100%, $E$13) + CHOOSE(CONTROL!$C$28, 0.0192, 0)</f>
        <v>50.509099999999997</v>
      </c>
      <c r="D793" s="4">
        <f>73.3777 * CHOOSE(CONTROL!$C$9, $C$13, 100%, $E$13) + CHOOSE(CONTROL!$C$28, 0, 0)</f>
        <v>73.377700000000004</v>
      </c>
      <c r="E793" s="4">
        <f>353.067963517251 * CHOOSE(CONTROL!$C$9, $C$13, 100%, $E$13) + CHOOSE(CONTROL!$C$28, 0, 0)</f>
        <v>353.06796351725097</v>
      </c>
    </row>
    <row r="794" spans="1:5" ht="15">
      <c r="A794" s="13">
        <v>65684</v>
      </c>
      <c r="B794" s="4">
        <f>49.1893 * CHOOSE(CONTROL!$C$9, $C$13, 100%, $E$13) + CHOOSE(CONTROL!$C$28, 0.0003, 0)</f>
        <v>49.189600000000006</v>
      </c>
      <c r="C794" s="4">
        <f>48.826 * CHOOSE(CONTROL!$C$9, $C$13, 100%, $E$13) + CHOOSE(CONTROL!$C$28, 0.0003, 0)</f>
        <v>48.826300000000003</v>
      </c>
      <c r="D794" s="4">
        <f>72.3921 * CHOOSE(CONTROL!$C$9, $C$13, 100%, $E$13) + CHOOSE(CONTROL!$C$28, 0, 0)</f>
        <v>72.392099999999999</v>
      </c>
      <c r="E794" s="4">
        <f>341.337118558965 * CHOOSE(CONTROL!$C$9, $C$13, 100%, $E$13) + CHOOSE(CONTROL!$C$28, 0, 0)</f>
        <v>341.33711855896502</v>
      </c>
    </row>
    <row r="795" spans="1:5" ht="15">
      <c r="A795" s="13">
        <v>65714</v>
      </c>
      <c r="B795" s="4">
        <f>48.1176 * CHOOSE(CONTROL!$C$9, $C$13, 100%, $E$13) + CHOOSE(CONTROL!$C$28, 0.0003, 0)</f>
        <v>48.117900000000006</v>
      </c>
      <c r="C795" s="4">
        <f>47.7543 * CHOOSE(CONTROL!$C$9, $C$13, 100%, $E$13) + CHOOSE(CONTROL!$C$28, 0.0003, 0)</f>
        <v>47.754600000000003</v>
      </c>
      <c r="D795" s="4">
        <f>72.0533 * CHOOSE(CONTROL!$C$9, $C$13, 100%, $E$13) + CHOOSE(CONTROL!$C$28, 0, 0)</f>
        <v>72.053299999999993</v>
      </c>
      <c r="E795" s="4">
        <f>333.781578401172 * CHOOSE(CONTROL!$C$9, $C$13, 100%, $E$13) + CHOOSE(CONTROL!$C$28, 0, 0)</f>
        <v>333.781578401172</v>
      </c>
    </row>
    <row r="796" spans="1:5" ht="15">
      <c r="A796" s="13">
        <v>65745</v>
      </c>
      <c r="B796" s="4">
        <f>47.3761 * CHOOSE(CONTROL!$C$9, $C$13, 100%, $E$13) + CHOOSE(CONTROL!$C$28, 0.0003, 0)</f>
        <v>47.376400000000004</v>
      </c>
      <c r="C796" s="4">
        <f>47.0128 * CHOOSE(CONTROL!$C$9, $C$13, 100%, $E$13) + CHOOSE(CONTROL!$C$28, 0.0003, 0)</f>
        <v>47.013100000000001</v>
      </c>
      <c r="D796" s="4">
        <f>69.5588 * CHOOSE(CONTROL!$C$9, $C$13, 100%, $E$13) + CHOOSE(CONTROL!$C$28, 0, 0)</f>
        <v>69.558800000000005</v>
      </c>
      <c r="E796" s="4">
        <f>328.554115834533 * CHOOSE(CONTROL!$C$9, $C$13, 100%, $E$13) + CHOOSE(CONTROL!$C$28, 0, 0)</f>
        <v>328.55411583453298</v>
      </c>
    </row>
    <row r="797" spans="1:5" ht="15">
      <c r="A797" s="13">
        <v>65776</v>
      </c>
      <c r="B797" s="4">
        <f>45.3474 * CHOOSE(CONTROL!$C$9, $C$13, 100%, $E$13) + CHOOSE(CONTROL!$C$28, 0.0003, 0)</f>
        <v>45.347700000000003</v>
      </c>
      <c r="C797" s="4">
        <f>44.9842 * CHOOSE(CONTROL!$C$9, $C$13, 100%, $E$13) + CHOOSE(CONTROL!$C$28, 0.0003, 0)</f>
        <v>44.984500000000004</v>
      </c>
      <c r="D797" s="4">
        <f>66.8109 * CHOOSE(CONTROL!$C$9, $C$13, 100%, $E$13) + CHOOSE(CONTROL!$C$28, 0, 0)</f>
        <v>66.810900000000004</v>
      </c>
      <c r="E797" s="4">
        <f>314.868501859906 * CHOOSE(CONTROL!$C$9, $C$13, 100%, $E$13) + CHOOSE(CONTROL!$C$28, 0, 0)</f>
        <v>314.86850185990602</v>
      </c>
    </row>
    <row r="798" spans="1:5" ht="15">
      <c r="A798" s="13">
        <v>65805</v>
      </c>
      <c r="B798" s="4">
        <f>46.4058 * CHOOSE(CONTROL!$C$9, $C$13, 100%, $E$13) + CHOOSE(CONTROL!$C$28, 0.0003, 0)</f>
        <v>46.406100000000002</v>
      </c>
      <c r="C798" s="4">
        <f>46.0425 * CHOOSE(CONTROL!$C$9, $C$13, 100%, $E$13) + CHOOSE(CONTROL!$C$28, 0.0003, 0)</f>
        <v>46.0428</v>
      </c>
      <c r="D798" s="4">
        <f>69.1036 * CHOOSE(CONTROL!$C$9, $C$13, 100%, $E$13) + CHOOSE(CONTROL!$C$28, 0, 0)</f>
        <v>69.1036</v>
      </c>
      <c r="E798" s="4">
        <f>322.344720962311 * CHOOSE(CONTROL!$C$9, $C$13, 100%, $E$13) + CHOOSE(CONTROL!$C$28, 0, 0)</f>
        <v>322.34472096231099</v>
      </c>
    </row>
    <row r="799" spans="1:5" ht="15">
      <c r="A799" s="13">
        <v>65836</v>
      </c>
      <c r="B799" s="4">
        <f>49.1851 * CHOOSE(CONTROL!$C$9, $C$13, 100%, $E$13) + CHOOSE(CONTROL!$C$28, 0.0003, 0)</f>
        <v>49.185400000000001</v>
      </c>
      <c r="C799" s="4">
        <f>48.8218 * CHOOSE(CONTROL!$C$9, $C$13, 100%, $E$13) + CHOOSE(CONTROL!$C$28, 0.0003, 0)</f>
        <v>48.822100000000006</v>
      </c>
      <c r="D799" s="4">
        <f>72.6925 * CHOOSE(CONTROL!$C$9, $C$13, 100%, $E$13) + CHOOSE(CONTROL!$C$28, 0, 0)</f>
        <v>72.692499999999995</v>
      </c>
      <c r="E799" s="4">
        <f>341.977669635641 * CHOOSE(CONTROL!$C$9, $C$13, 100%, $E$13) + CHOOSE(CONTROL!$C$28, 0, 0)</f>
        <v>341.97766963564101</v>
      </c>
    </row>
    <row r="800" spans="1:5" ht="15">
      <c r="A800" s="13">
        <v>65866</v>
      </c>
      <c r="B800" s="4">
        <f>51.1599 * CHOOSE(CONTROL!$C$9, $C$13, 100%, $E$13) + CHOOSE(CONTROL!$C$28, 0.0003, 0)</f>
        <v>51.160200000000003</v>
      </c>
      <c r="C800" s="4">
        <f>50.7966 * CHOOSE(CONTROL!$C$9, $C$13, 100%, $E$13) + CHOOSE(CONTROL!$C$28, 0.0003, 0)</f>
        <v>50.796900000000001</v>
      </c>
      <c r="D800" s="4">
        <f>74.7599 * CHOOSE(CONTROL!$C$9, $C$13, 100%, $E$13) + CHOOSE(CONTROL!$C$28, 0, 0)</f>
        <v>74.759900000000002</v>
      </c>
      <c r="E800" s="4">
        <f>355.927141311484 * CHOOSE(CONTROL!$C$9, $C$13, 100%, $E$13) + CHOOSE(CONTROL!$C$28, 0, 0)</f>
        <v>355.92714131148398</v>
      </c>
    </row>
    <row r="801" spans="1:5" ht="15">
      <c r="A801" s="13">
        <v>65897</v>
      </c>
      <c r="B801" s="4">
        <f>52.3664 * CHOOSE(CONTROL!$C$9, $C$13, 100%, $E$13) + CHOOSE(CONTROL!$C$28, 0.0192, 0)</f>
        <v>52.385599999999997</v>
      </c>
      <c r="C801" s="4">
        <f>52.0031 * CHOOSE(CONTROL!$C$9, $C$13, 100%, $E$13) + CHOOSE(CONTROL!$C$28, 0.0192, 0)</f>
        <v>52.022300000000001</v>
      </c>
      <c r="D801" s="4">
        <f>73.943 * CHOOSE(CONTROL!$C$9, $C$13, 100%, $E$13) + CHOOSE(CONTROL!$C$28, 0, 0)</f>
        <v>73.942999999999998</v>
      </c>
      <c r="E801" s="4">
        <f>364.449934183248 * CHOOSE(CONTROL!$C$9, $C$13, 100%, $E$13) + CHOOSE(CONTROL!$C$28, 0, 0)</f>
        <v>364.44993418324799</v>
      </c>
    </row>
    <row r="802" spans="1:5" ht="15">
      <c r="A802" s="13">
        <v>65927</v>
      </c>
      <c r="B802" s="4">
        <f>52.5296 * CHOOSE(CONTROL!$C$9, $C$13, 100%, $E$13) + CHOOSE(CONTROL!$C$28, 0.0192, 0)</f>
        <v>52.5488</v>
      </c>
      <c r="C802" s="4">
        <f>52.1664 * CHOOSE(CONTROL!$C$9, $C$13, 100%, $E$13) + CHOOSE(CONTROL!$C$28, 0.0192, 0)</f>
        <v>52.185600000000001</v>
      </c>
      <c r="D802" s="4">
        <f>74.6083 * CHOOSE(CONTROL!$C$9, $C$13, 100%, $E$13) + CHOOSE(CONTROL!$C$28, 0, 0)</f>
        <v>74.6083</v>
      </c>
      <c r="E802" s="4">
        <f>365.603103429115 * CHOOSE(CONTROL!$C$9, $C$13, 100%, $E$13) + CHOOSE(CONTROL!$C$28, 0, 0)</f>
        <v>365.60310342911498</v>
      </c>
    </row>
    <row r="803" spans="1:5" ht="15">
      <c r="A803" s="13">
        <v>65958</v>
      </c>
      <c r="B803" s="4">
        <f>52.5132 * CHOOSE(CONTROL!$C$9, $C$13, 100%, $E$13) + CHOOSE(CONTROL!$C$28, 0.0192, 0)</f>
        <v>52.532399999999996</v>
      </c>
      <c r="C803" s="4">
        <f>52.1499 * CHOOSE(CONTROL!$C$9, $C$13, 100%, $E$13) + CHOOSE(CONTROL!$C$28, 0.0192, 0)</f>
        <v>52.1691</v>
      </c>
      <c r="D803" s="4">
        <f>75.8088 * CHOOSE(CONTROL!$C$9, $C$13, 100%, $E$13) + CHOOSE(CONTROL!$C$28, 0, 0)</f>
        <v>75.808800000000005</v>
      </c>
      <c r="E803" s="4">
        <f>365.486817454742 * CHOOSE(CONTROL!$C$9, $C$13, 100%, $E$13) + CHOOSE(CONTROL!$C$28, 0, 0)</f>
        <v>365.48681745474198</v>
      </c>
    </row>
    <row r="804" spans="1:5" ht="15">
      <c r="A804" s="13">
        <v>65989</v>
      </c>
      <c r="B804" s="4">
        <f>53.7519 * CHOOSE(CONTROL!$C$9, $C$13, 100%, $E$13) + CHOOSE(CONTROL!$C$28, 0.0192, 0)</f>
        <v>53.771099999999997</v>
      </c>
      <c r="C804" s="4">
        <f>53.3886 * CHOOSE(CONTROL!$C$9, $C$13, 100%, $E$13) + CHOOSE(CONTROL!$C$28, 0.0192, 0)</f>
        <v>53.407799999999995</v>
      </c>
      <c r="D804" s="4">
        <f>75.016 * CHOOSE(CONTROL!$C$9, $C$13, 100%, $E$13) + CHOOSE(CONTROL!$C$28, 0, 0)</f>
        <v>75.016000000000005</v>
      </c>
      <c r="E804" s="4">
        <f>374.23733702632 * CHOOSE(CONTROL!$C$9, $C$13, 100%, $E$13) + CHOOSE(CONTROL!$C$28, 0, 0)</f>
        <v>374.23733702632001</v>
      </c>
    </row>
    <row r="805" spans="1:5" ht="15">
      <c r="A805" s="13">
        <v>66019</v>
      </c>
      <c r="B805" s="4">
        <f>51.6407 * CHOOSE(CONTROL!$C$9, $C$13, 100%, $E$13) + CHOOSE(CONTROL!$C$28, 0.0192, 0)</f>
        <v>51.6599</v>
      </c>
      <c r="C805" s="4">
        <f>51.2774 * CHOOSE(CONTROL!$C$9, $C$13, 100%, $E$13) + CHOOSE(CONTROL!$C$28, 0.0192, 0)</f>
        <v>51.296599999999998</v>
      </c>
      <c r="D805" s="4">
        <f>74.6414 * CHOOSE(CONTROL!$C$9, $C$13, 100%, $E$13) + CHOOSE(CONTROL!$C$28, 0, 0)</f>
        <v>74.641400000000004</v>
      </c>
      <c r="E805" s="4">
        <f>359.323660812966 * CHOOSE(CONTROL!$C$9, $C$13, 100%, $E$13) + CHOOSE(CONTROL!$C$28, 0, 0)</f>
        <v>359.32366081296601</v>
      </c>
    </row>
    <row r="806" spans="1:5" ht="15">
      <c r="A806" s="13">
        <v>66050</v>
      </c>
      <c r="B806" s="4">
        <f>49.9506 * CHOOSE(CONTROL!$C$9, $C$13, 100%, $E$13) + CHOOSE(CONTROL!$C$28, 0.0003, 0)</f>
        <v>49.950900000000004</v>
      </c>
      <c r="C806" s="4">
        <f>49.5873 * CHOOSE(CONTROL!$C$9, $C$13, 100%, $E$13) + CHOOSE(CONTROL!$C$28, 0.0003, 0)</f>
        <v>49.587600000000002</v>
      </c>
      <c r="D806" s="4">
        <f>73.6384 * CHOOSE(CONTROL!$C$9, $C$13, 100%, $E$13) + CHOOSE(CONTROL!$C$28, 0, 0)</f>
        <v>73.638400000000004</v>
      </c>
      <c r="E806" s="4">
        <f>347.384967443992 * CHOOSE(CONTROL!$C$9, $C$13, 100%, $E$13) + CHOOSE(CONTROL!$C$28, 0, 0)</f>
        <v>347.38496744399202</v>
      </c>
    </row>
    <row r="807" spans="1:5" ht="15">
      <c r="A807" s="13">
        <v>66080</v>
      </c>
      <c r="B807" s="4">
        <f>48.8621 * CHOOSE(CONTROL!$C$9, $C$13, 100%, $E$13) + CHOOSE(CONTROL!$C$28, 0.0003, 0)</f>
        <v>48.862400000000001</v>
      </c>
      <c r="C807" s="4">
        <f>48.4988 * CHOOSE(CONTROL!$C$9, $C$13, 100%, $E$13) + CHOOSE(CONTROL!$C$28, 0.0003, 0)</f>
        <v>48.499100000000006</v>
      </c>
      <c r="D807" s="4">
        <f>73.2936 * CHOOSE(CONTROL!$C$9, $C$13, 100%, $E$13) + CHOOSE(CONTROL!$C$28, 0, 0)</f>
        <v>73.293599999999998</v>
      </c>
      <c r="E807" s="4">
        <f>339.695557388568 * CHOOSE(CONTROL!$C$9, $C$13, 100%, $E$13) + CHOOSE(CONTROL!$C$28, 0, 0)</f>
        <v>339.69555738856798</v>
      </c>
    </row>
    <row r="808" spans="1:5" ht="15">
      <c r="A808" s="13">
        <v>66111</v>
      </c>
      <c r="B808" s="4">
        <f>48.1089 * CHOOSE(CONTROL!$C$9, $C$13, 100%, $E$13) + CHOOSE(CONTROL!$C$28, 0.0003, 0)</f>
        <v>48.109200000000001</v>
      </c>
      <c r="C808" s="4">
        <f>47.7456 * CHOOSE(CONTROL!$C$9, $C$13, 100%, $E$13) + CHOOSE(CONTROL!$C$28, 0.0003, 0)</f>
        <v>47.745900000000006</v>
      </c>
      <c r="D808" s="4">
        <f>70.7551 * CHOOSE(CONTROL!$C$9, $C$13, 100%, $E$13) + CHOOSE(CONTROL!$C$28, 0, 0)</f>
        <v>70.755099999999999</v>
      </c>
      <c r="E808" s="4">
        <f>334.375474060998 * CHOOSE(CONTROL!$C$9, $C$13, 100%, $E$13) + CHOOSE(CONTROL!$C$28, 0, 0)</f>
        <v>334.37547406099799</v>
      </c>
    </row>
    <row r="809" spans="1:5" ht="15">
      <c r="A809" s="13">
        <v>66142</v>
      </c>
      <c r="B809" s="4">
        <f>46.0484 * CHOOSE(CONTROL!$C$9, $C$13, 100%, $E$13) + CHOOSE(CONTROL!$C$28, 0.0003, 0)</f>
        <v>46.048700000000004</v>
      </c>
      <c r="C809" s="4">
        <f>45.6851 * CHOOSE(CONTROL!$C$9, $C$13, 100%, $E$13) + CHOOSE(CONTROL!$C$28, 0.0003, 0)</f>
        <v>45.685400000000001</v>
      </c>
      <c r="D809" s="4">
        <f>67.9586 * CHOOSE(CONTROL!$C$9, $C$13, 100%, $E$13) + CHOOSE(CONTROL!$C$28, 0, 0)</f>
        <v>67.958600000000004</v>
      </c>
      <c r="E809" s="4">
        <f>320.447376861672 * CHOOSE(CONTROL!$C$9, $C$13, 100%, $E$13) + CHOOSE(CONTROL!$C$28, 0, 0)</f>
        <v>320.44737686167201</v>
      </c>
    </row>
    <row r="810" spans="1:5" ht="15">
      <c r="A810" s="13">
        <v>66170</v>
      </c>
      <c r="B810" s="4">
        <f>47.1234 * CHOOSE(CONTROL!$C$9, $C$13, 100%, $E$13) + CHOOSE(CONTROL!$C$28, 0.0003, 0)</f>
        <v>47.123699999999999</v>
      </c>
      <c r="C810" s="4">
        <f>46.7601 * CHOOSE(CONTROL!$C$9, $C$13, 100%, $E$13) + CHOOSE(CONTROL!$C$28, 0.0003, 0)</f>
        <v>46.760400000000004</v>
      </c>
      <c r="D810" s="4">
        <f>70.2918 * CHOOSE(CONTROL!$C$9, $C$13, 100%, $E$13) + CHOOSE(CONTROL!$C$28, 0, 0)</f>
        <v>70.291799999999995</v>
      </c>
      <c r="E810" s="4">
        <f>328.056060442461 * CHOOSE(CONTROL!$C$9, $C$13, 100%, $E$13) + CHOOSE(CONTROL!$C$28, 0, 0)</f>
        <v>328.05606044246099</v>
      </c>
    </row>
    <row r="811" spans="1:5" ht="15">
      <c r="A811" s="13">
        <v>66201</v>
      </c>
      <c r="B811" s="4">
        <f>49.9464 * CHOOSE(CONTROL!$C$9, $C$13, 100%, $E$13) + CHOOSE(CONTROL!$C$28, 0.0003, 0)</f>
        <v>49.9467</v>
      </c>
      <c r="C811" s="4">
        <f>49.5831 * CHOOSE(CONTROL!$C$9, $C$13, 100%, $E$13) + CHOOSE(CONTROL!$C$28, 0.0003, 0)</f>
        <v>49.583400000000005</v>
      </c>
      <c r="D811" s="4">
        <f>73.9442 * CHOOSE(CONTROL!$C$9, $C$13, 100%, $E$13) + CHOOSE(CONTROL!$C$28, 0, 0)</f>
        <v>73.944199999999995</v>
      </c>
      <c r="E811" s="4">
        <f>348.036867875614 * CHOOSE(CONTROL!$C$9, $C$13, 100%, $E$13) + CHOOSE(CONTROL!$C$28, 0, 0)</f>
        <v>348.03686787561401</v>
      </c>
    </row>
    <row r="812" spans="1:5" ht="15">
      <c r="A812" s="13">
        <v>66231</v>
      </c>
      <c r="B812" s="4">
        <f>51.9522 * CHOOSE(CONTROL!$C$9, $C$13, 100%, $E$13) + CHOOSE(CONTROL!$C$28, 0.0003, 0)</f>
        <v>51.952500000000001</v>
      </c>
      <c r="C812" s="4">
        <f>51.5889 * CHOOSE(CONTROL!$C$9, $C$13, 100%, $E$13) + CHOOSE(CONTROL!$C$28, 0.0003, 0)</f>
        <v>51.589200000000005</v>
      </c>
      <c r="D812" s="4">
        <f>76.0481 * CHOOSE(CONTROL!$C$9, $C$13, 100%, $E$13) + CHOOSE(CONTROL!$C$28, 0, 0)</f>
        <v>76.048100000000005</v>
      </c>
      <c r="E812" s="4">
        <f>362.23349783614 * CHOOSE(CONTROL!$C$9, $C$13, 100%, $E$13) + CHOOSE(CONTROL!$C$28, 0, 0)</f>
        <v>362.23349783613997</v>
      </c>
    </row>
    <row r="813" spans="1:5" ht="15">
      <c r="A813" s="13">
        <v>66262</v>
      </c>
      <c r="B813" s="4">
        <f>53.1777 * CHOOSE(CONTROL!$C$9, $C$13, 100%, $E$13) + CHOOSE(CONTROL!$C$28, 0.0192, 0)</f>
        <v>53.196899999999999</v>
      </c>
      <c r="C813" s="4">
        <f>52.8144 * CHOOSE(CONTROL!$C$9, $C$13, 100%, $E$13) + CHOOSE(CONTROL!$C$28, 0.0192, 0)</f>
        <v>52.833599999999997</v>
      </c>
      <c r="D813" s="4">
        <f>75.2167 * CHOOSE(CONTROL!$C$9, $C$13, 100%, $E$13) + CHOOSE(CONTROL!$C$28, 0, 0)</f>
        <v>75.216700000000003</v>
      </c>
      <c r="E813" s="4">
        <f>370.907298496287 * CHOOSE(CONTROL!$C$9, $C$13, 100%, $E$13) + CHOOSE(CONTROL!$C$28, 0, 0)</f>
        <v>370.90729849628701</v>
      </c>
    </row>
    <row r="814" spans="1:5" ht="15">
      <c r="A814" s="13">
        <v>66292</v>
      </c>
      <c r="B814" s="4">
        <f>53.3435 * CHOOSE(CONTROL!$C$9, $C$13, 100%, $E$13) + CHOOSE(CONTROL!$C$28, 0.0192, 0)</f>
        <v>53.362699999999997</v>
      </c>
      <c r="C814" s="4">
        <f>52.9802 * CHOOSE(CONTROL!$C$9, $C$13, 100%, $E$13) + CHOOSE(CONTROL!$C$28, 0.0192, 0)</f>
        <v>52.999400000000001</v>
      </c>
      <c r="D814" s="4">
        <f>75.8938 * CHOOSE(CONTROL!$C$9, $C$13, 100%, $E$13) + CHOOSE(CONTROL!$C$28, 0, 0)</f>
        <v>75.893799999999999</v>
      </c>
      <c r="E814" s="4">
        <f>372.080899722618 * CHOOSE(CONTROL!$C$9, $C$13, 100%, $E$13) + CHOOSE(CONTROL!$C$28, 0, 0)</f>
        <v>372.08089972261803</v>
      </c>
    </row>
    <row r="815" spans="1:5" ht="15">
      <c r="A815" s="13">
        <v>66323</v>
      </c>
      <c r="B815" s="4">
        <f>53.3268 * CHOOSE(CONTROL!$C$9, $C$13, 100%, $E$13) + CHOOSE(CONTROL!$C$28, 0.0192, 0)</f>
        <v>53.345999999999997</v>
      </c>
      <c r="C815" s="4">
        <f>52.9635 * CHOOSE(CONTROL!$C$9, $C$13, 100%, $E$13) + CHOOSE(CONTROL!$C$28, 0.0192, 0)</f>
        <v>52.982700000000001</v>
      </c>
      <c r="D815" s="4">
        <f>77.1155 * CHOOSE(CONTROL!$C$9, $C$13, 100%, $E$13) + CHOOSE(CONTROL!$C$28, 0, 0)</f>
        <v>77.115499999999997</v>
      </c>
      <c r="E815" s="4">
        <f>371.962553380467 * CHOOSE(CONTROL!$C$9, $C$13, 100%, $E$13) + CHOOSE(CONTROL!$C$28, 0, 0)</f>
        <v>371.962553380467</v>
      </c>
    </row>
    <row r="816" spans="1:5" ht="15">
      <c r="A816" s="13">
        <v>66354</v>
      </c>
      <c r="B816" s="4">
        <f>54.585 * CHOOSE(CONTROL!$C$9, $C$13, 100%, $E$13) + CHOOSE(CONTROL!$C$28, 0.0192, 0)</f>
        <v>54.604199999999999</v>
      </c>
      <c r="C816" s="4">
        <f>54.2217 * CHOOSE(CONTROL!$C$9, $C$13, 100%, $E$13) + CHOOSE(CONTROL!$C$28, 0.0192, 0)</f>
        <v>54.240899999999996</v>
      </c>
      <c r="D816" s="4">
        <f>76.3087 * CHOOSE(CONTROL!$C$9, $C$13, 100%, $E$13) + CHOOSE(CONTROL!$C$28, 0, 0)</f>
        <v>76.308700000000002</v>
      </c>
      <c r="E816" s="4">
        <f>380.868115627327 * CHOOSE(CONTROL!$C$9, $C$13, 100%, $E$13) + CHOOSE(CONTROL!$C$28, 0, 0)</f>
        <v>380.86811562732697</v>
      </c>
    </row>
    <row r="817" spans="1:5" ht="15">
      <c r="A817" s="13">
        <v>66384</v>
      </c>
      <c r="B817" s="4">
        <f>52.4406 * CHOOSE(CONTROL!$C$9, $C$13, 100%, $E$13) + CHOOSE(CONTROL!$C$28, 0.0192, 0)</f>
        <v>52.459800000000001</v>
      </c>
      <c r="C817" s="4">
        <f>52.0773 * CHOOSE(CONTROL!$C$9, $C$13, 100%, $E$13) + CHOOSE(CONTROL!$C$28, 0.0192, 0)</f>
        <v>52.096499999999999</v>
      </c>
      <c r="D817" s="4">
        <f>75.9275 * CHOOSE(CONTROL!$C$9, $C$13, 100%, $E$13) + CHOOSE(CONTROL!$C$28, 0, 0)</f>
        <v>75.927499999999995</v>
      </c>
      <c r="E817" s="4">
        <f>365.690197246466 * CHOOSE(CONTROL!$C$9, $C$13, 100%, $E$13) + CHOOSE(CONTROL!$C$28, 0, 0)</f>
        <v>365.69019724646603</v>
      </c>
    </row>
    <row r="818" spans="1:5" ht="15">
      <c r="A818" s="13">
        <v>66415</v>
      </c>
      <c r="B818" s="4">
        <f>50.7239 * CHOOSE(CONTROL!$C$9, $C$13, 100%, $E$13) + CHOOSE(CONTROL!$C$28, 0.0003, 0)</f>
        <v>50.724200000000003</v>
      </c>
      <c r="C818" s="4">
        <f>50.3606 * CHOOSE(CONTROL!$C$9, $C$13, 100%, $E$13) + CHOOSE(CONTROL!$C$28, 0.0003, 0)</f>
        <v>50.360900000000001</v>
      </c>
      <c r="D818" s="4">
        <f>74.9068 * CHOOSE(CONTROL!$C$9, $C$13, 100%, $E$13) + CHOOSE(CONTROL!$C$28, 0, 0)</f>
        <v>74.906800000000004</v>
      </c>
      <c r="E818" s="4">
        <f>353.539972785634 * CHOOSE(CONTROL!$C$9, $C$13, 100%, $E$13) + CHOOSE(CONTROL!$C$28, 0, 0)</f>
        <v>353.53997278563401</v>
      </c>
    </row>
    <row r="819" spans="1:5" ht="15">
      <c r="A819" s="13">
        <v>66445</v>
      </c>
      <c r="B819" s="4">
        <f>49.6182 * CHOOSE(CONTROL!$C$9, $C$13, 100%, $E$13) + CHOOSE(CONTROL!$C$28, 0.0003, 0)</f>
        <v>49.618500000000004</v>
      </c>
      <c r="C819" s="4">
        <f>49.255 * CHOOSE(CONTROL!$C$9, $C$13, 100%, $E$13) + CHOOSE(CONTROL!$C$28, 0.0003, 0)</f>
        <v>49.255300000000005</v>
      </c>
      <c r="D819" s="4">
        <f>74.5559 * CHOOSE(CONTROL!$C$9, $C$13, 100%, $E$13) + CHOOSE(CONTROL!$C$28, 0, 0)</f>
        <v>74.555899999999994</v>
      </c>
      <c r="E819" s="4">
        <f>345.714320910902 * CHOOSE(CONTROL!$C$9, $C$13, 100%, $E$13) + CHOOSE(CONTROL!$C$28, 0, 0)</f>
        <v>345.71432091090202</v>
      </c>
    </row>
    <row r="820" spans="1:5" ht="15">
      <c r="A820" s="13">
        <v>66476</v>
      </c>
      <c r="B820" s="4">
        <f>48.8533 * CHOOSE(CONTROL!$C$9, $C$13, 100%, $E$13) + CHOOSE(CONTROL!$C$28, 0.0003, 0)</f>
        <v>48.8536</v>
      </c>
      <c r="C820" s="4">
        <f>48.49 * CHOOSE(CONTROL!$C$9, $C$13, 100%, $E$13) + CHOOSE(CONTROL!$C$28, 0.0003, 0)</f>
        <v>48.490300000000005</v>
      </c>
      <c r="D820" s="4">
        <f>71.9725 * CHOOSE(CONTROL!$C$9, $C$13, 100%, $E$13) + CHOOSE(CONTROL!$C$28, 0, 0)</f>
        <v>71.972499999999997</v>
      </c>
      <c r="E820" s="4">
        <f>340.299975757495 * CHOOSE(CONTROL!$C$9, $C$13, 100%, $E$13) + CHOOSE(CONTROL!$C$28, 0, 0)</f>
        <v>340.29997575749502</v>
      </c>
    </row>
    <row r="821" spans="1:5" ht="15">
      <c r="A821" s="13">
        <v>66507</v>
      </c>
      <c r="B821" s="4">
        <f>46.7603 * CHOOSE(CONTROL!$C$9, $C$13, 100%, $E$13) + CHOOSE(CONTROL!$C$28, 0.0003, 0)</f>
        <v>46.760600000000004</v>
      </c>
      <c r="C821" s="4">
        <f>46.397 * CHOOSE(CONTROL!$C$9, $C$13, 100%, $E$13) + CHOOSE(CONTROL!$C$28, 0.0003, 0)</f>
        <v>46.397300000000001</v>
      </c>
      <c r="D821" s="4">
        <f>69.1266 * CHOOSE(CONTROL!$C$9, $C$13, 100%, $E$13) + CHOOSE(CONTROL!$C$28, 0, 0)</f>
        <v>69.126599999999996</v>
      </c>
      <c r="E821" s="4">
        <f>326.12509898883 * CHOOSE(CONTROL!$C$9, $C$13, 100%, $E$13) + CHOOSE(CONTROL!$C$28, 0, 0)</f>
        <v>326.12509898883002</v>
      </c>
    </row>
    <row r="822" spans="1:5" ht="15">
      <c r="A822" s="13">
        <v>66535</v>
      </c>
      <c r="B822" s="4">
        <f>47.8522 * CHOOSE(CONTROL!$C$9, $C$13, 100%, $E$13) + CHOOSE(CONTROL!$C$28, 0.0003, 0)</f>
        <v>47.852500000000006</v>
      </c>
      <c r="C822" s="4">
        <f>47.4889 * CHOOSE(CONTROL!$C$9, $C$13, 100%, $E$13) + CHOOSE(CONTROL!$C$28, 0.0003, 0)</f>
        <v>47.489200000000004</v>
      </c>
      <c r="D822" s="4">
        <f>71.501 * CHOOSE(CONTROL!$C$9, $C$13, 100%, $E$13) + CHOOSE(CONTROL!$C$28, 0, 0)</f>
        <v>71.501000000000005</v>
      </c>
      <c r="E822" s="4">
        <f>333.868594068307 * CHOOSE(CONTROL!$C$9, $C$13, 100%, $E$13) + CHOOSE(CONTROL!$C$28, 0, 0)</f>
        <v>333.868594068307</v>
      </c>
    </row>
    <row r="823" spans="1:5" ht="15">
      <c r="A823" s="13">
        <v>66566</v>
      </c>
      <c r="B823" s="4">
        <f>50.7196 * CHOOSE(CONTROL!$C$9, $C$13, 100%, $E$13) + CHOOSE(CONTROL!$C$28, 0.0003, 0)</f>
        <v>50.719900000000003</v>
      </c>
      <c r="C823" s="4">
        <f>50.3564 * CHOOSE(CONTROL!$C$9, $C$13, 100%, $E$13) + CHOOSE(CONTROL!$C$28, 0.0003, 0)</f>
        <v>50.356700000000004</v>
      </c>
      <c r="D823" s="4">
        <f>75.2179 * CHOOSE(CONTROL!$C$9, $C$13, 100%, $E$13) + CHOOSE(CONTROL!$C$28, 0, 0)</f>
        <v>75.2179</v>
      </c>
      <c r="E823" s="4">
        <f>354.203423661332 * CHOOSE(CONTROL!$C$9, $C$13, 100%, $E$13) + CHOOSE(CONTROL!$C$28, 0, 0)</f>
        <v>354.20342366133201</v>
      </c>
    </row>
    <row r="824" spans="1:5" ht="15">
      <c r="A824" s="13">
        <v>66596</v>
      </c>
      <c r="B824" s="4">
        <f>52.757 * CHOOSE(CONTROL!$C$9, $C$13, 100%, $E$13) + CHOOSE(CONTROL!$C$28, 0.0003, 0)</f>
        <v>52.757300000000001</v>
      </c>
      <c r="C824" s="4">
        <f>52.3937 * CHOOSE(CONTROL!$C$9, $C$13, 100%, $E$13) + CHOOSE(CONTROL!$C$28, 0.0003, 0)</f>
        <v>52.394000000000005</v>
      </c>
      <c r="D824" s="4">
        <f>77.359 * CHOOSE(CONTROL!$C$9, $C$13, 100%, $E$13) + CHOOSE(CONTROL!$C$28, 0, 0)</f>
        <v>77.358999999999995</v>
      </c>
      <c r="E824" s="4">
        <f>368.651591084412 * CHOOSE(CONTROL!$C$9, $C$13, 100%, $E$13) + CHOOSE(CONTROL!$C$28, 0, 0)</f>
        <v>368.65159108441202</v>
      </c>
    </row>
    <row r="825" spans="1:5" ht="15">
      <c r="A825" s="13">
        <v>66627</v>
      </c>
      <c r="B825" s="4">
        <f>54.0017 * CHOOSE(CONTROL!$C$9, $C$13, 100%, $E$13) + CHOOSE(CONTROL!$C$28, 0.0192, 0)</f>
        <v>54.020899999999997</v>
      </c>
      <c r="C825" s="4">
        <f>53.6385 * CHOOSE(CONTROL!$C$9, $C$13, 100%, $E$13) + CHOOSE(CONTROL!$C$28, 0.0192, 0)</f>
        <v>53.657699999999998</v>
      </c>
      <c r="D825" s="4">
        <f>76.513 * CHOOSE(CONTROL!$C$9, $C$13, 100%, $E$13) + CHOOSE(CONTROL!$C$28, 0, 0)</f>
        <v>76.513000000000005</v>
      </c>
      <c r="E825" s="4">
        <f>377.479075105668 * CHOOSE(CONTROL!$C$9, $C$13, 100%, $E$13) + CHOOSE(CONTROL!$C$28, 0, 0)</f>
        <v>377.47907510566802</v>
      </c>
    </row>
    <row r="826" spans="1:5" ht="15">
      <c r="A826" s="13">
        <v>66657</v>
      </c>
      <c r="B826" s="4">
        <f>54.1702 * CHOOSE(CONTROL!$C$9, $C$13, 100%, $E$13) + CHOOSE(CONTROL!$C$28, 0.0192, 0)</f>
        <v>54.189399999999999</v>
      </c>
      <c r="C826" s="4">
        <f>53.8069 * CHOOSE(CONTROL!$C$9, $C$13, 100%, $E$13) + CHOOSE(CONTROL!$C$28, 0.0192, 0)</f>
        <v>53.826099999999997</v>
      </c>
      <c r="D826" s="4">
        <f>77.202 * CHOOSE(CONTROL!$C$9, $C$13, 100%, $E$13) + CHOOSE(CONTROL!$C$28, 0, 0)</f>
        <v>77.201999999999998</v>
      </c>
      <c r="E826" s="4">
        <f>378.673470328555 * CHOOSE(CONTROL!$C$9, $C$13, 100%, $E$13) + CHOOSE(CONTROL!$C$28, 0, 0)</f>
        <v>378.67347032855503</v>
      </c>
    </row>
    <row r="827" spans="1:5" ht="15">
      <c r="A827" s="13">
        <v>66688</v>
      </c>
      <c r="B827" s="4">
        <f>54.1532 * CHOOSE(CONTROL!$C$9, $C$13, 100%, $E$13) + CHOOSE(CONTROL!$C$28, 0.0192, 0)</f>
        <v>54.172399999999996</v>
      </c>
      <c r="C827" s="4">
        <f>53.7899 * CHOOSE(CONTROL!$C$9, $C$13, 100%, $E$13) + CHOOSE(CONTROL!$C$28, 0.0192, 0)</f>
        <v>53.809100000000001</v>
      </c>
      <c r="D827" s="4">
        <f>78.4453 * CHOOSE(CONTROL!$C$9, $C$13, 100%, $E$13) + CHOOSE(CONTROL!$C$28, 0, 0)</f>
        <v>78.445300000000003</v>
      </c>
      <c r="E827" s="4">
        <f>378.553027112802 * CHOOSE(CONTROL!$C$9, $C$13, 100%, $E$13) + CHOOSE(CONTROL!$C$28, 0, 0)</f>
        <v>378.553027112802</v>
      </c>
    </row>
    <row r="828" spans="1:5" ht="15">
      <c r="A828" s="13">
        <v>66719</v>
      </c>
      <c r="B828" s="4">
        <f>55.4312 * CHOOSE(CONTROL!$C$9, $C$13, 100%, $E$13) + CHOOSE(CONTROL!$C$28, 0.0192, 0)</f>
        <v>55.450399999999995</v>
      </c>
      <c r="C828" s="4">
        <f>55.0679 * CHOOSE(CONTROL!$C$9, $C$13, 100%, $E$13) + CHOOSE(CONTROL!$C$28, 0.0192, 0)</f>
        <v>55.0871</v>
      </c>
      <c r="D828" s="4">
        <f>77.6242 * CHOOSE(CONTROL!$C$9, $C$13, 100%, $E$13) + CHOOSE(CONTROL!$C$28, 0, 0)</f>
        <v>77.624200000000002</v>
      </c>
      <c r="E828" s="4">
        <f>387.616379098242 * CHOOSE(CONTROL!$C$9, $C$13, 100%, $E$13) + CHOOSE(CONTROL!$C$28, 0, 0)</f>
        <v>387.61637909824202</v>
      </c>
    </row>
    <row r="829" spans="1:5" ht="15">
      <c r="A829" s="13">
        <v>66749</v>
      </c>
      <c r="B829" s="4">
        <f>53.253 * CHOOSE(CONTROL!$C$9, $C$13, 100%, $E$13) + CHOOSE(CONTROL!$C$28, 0.0192, 0)</f>
        <v>53.272199999999998</v>
      </c>
      <c r="C829" s="4">
        <f>52.8898 * CHOOSE(CONTROL!$C$9, $C$13, 100%, $E$13) + CHOOSE(CONTROL!$C$28, 0.0192, 0)</f>
        <v>52.908999999999999</v>
      </c>
      <c r="D829" s="4">
        <f>77.2363 * CHOOSE(CONTROL!$C$9, $C$13, 100%, $E$13) + CHOOSE(CONTROL!$C$28, 0, 0)</f>
        <v>77.2363</v>
      </c>
      <c r="E829" s="4">
        <f>372.169536677874 * CHOOSE(CONTROL!$C$9, $C$13, 100%, $E$13) + CHOOSE(CONTROL!$C$28, 0, 0)</f>
        <v>372.16953667787402</v>
      </c>
    </row>
    <row r="830" spans="1:5" ht="15">
      <c r="A830" s="13">
        <v>66780</v>
      </c>
      <c r="B830" s="4">
        <f>51.5094 * CHOOSE(CONTROL!$C$9, $C$13, 100%, $E$13) + CHOOSE(CONTROL!$C$28, 0.0003, 0)</f>
        <v>51.509700000000002</v>
      </c>
      <c r="C830" s="4">
        <f>51.1461 * CHOOSE(CONTROL!$C$9, $C$13, 100%, $E$13) + CHOOSE(CONTROL!$C$28, 0.0003, 0)</f>
        <v>51.1464</v>
      </c>
      <c r="D830" s="4">
        <f>76.1976 * CHOOSE(CONTROL!$C$9, $C$13, 100%, $E$13) + CHOOSE(CONTROL!$C$28, 0, 0)</f>
        <v>76.197599999999994</v>
      </c>
      <c r="E830" s="4">
        <f>359.804033193863 * CHOOSE(CONTROL!$C$9, $C$13, 100%, $E$13) + CHOOSE(CONTROL!$C$28, 0, 0)</f>
        <v>359.80403319386301</v>
      </c>
    </row>
    <row r="831" spans="1:5" ht="15">
      <c r="A831" s="13">
        <v>66810</v>
      </c>
      <c r="B831" s="4">
        <f>50.3863 * CHOOSE(CONTROL!$C$9, $C$13, 100%, $E$13) + CHOOSE(CONTROL!$C$28, 0.0003, 0)</f>
        <v>50.386600000000001</v>
      </c>
      <c r="C831" s="4">
        <f>50.023 * CHOOSE(CONTROL!$C$9, $C$13, 100%, $E$13) + CHOOSE(CONTROL!$C$28, 0.0003, 0)</f>
        <v>50.023300000000006</v>
      </c>
      <c r="D831" s="4">
        <f>75.8404 * CHOOSE(CONTROL!$C$9, $C$13, 100%, $E$13) + CHOOSE(CONTROL!$C$28, 0, 0)</f>
        <v>75.840400000000002</v>
      </c>
      <c r="E831" s="4">
        <f>351.839725552172 * CHOOSE(CONTROL!$C$9, $C$13, 100%, $E$13) + CHOOSE(CONTROL!$C$28, 0, 0)</f>
        <v>351.83972555217201</v>
      </c>
    </row>
    <row r="832" spans="1:5" ht="15">
      <c r="A832" s="13">
        <v>66841</v>
      </c>
      <c r="B832" s="4">
        <f>49.6093 * CHOOSE(CONTROL!$C$9, $C$13, 100%, $E$13) + CHOOSE(CONTROL!$C$28, 0.0003, 0)</f>
        <v>49.6096</v>
      </c>
      <c r="C832" s="4">
        <f>49.246 * CHOOSE(CONTROL!$C$9, $C$13, 100%, $E$13) + CHOOSE(CONTROL!$C$28, 0.0003, 0)</f>
        <v>49.246300000000005</v>
      </c>
      <c r="D832" s="4">
        <f>73.2114 * CHOOSE(CONTROL!$C$9, $C$13, 100%, $E$13) + CHOOSE(CONTROL!$C$28, 0, 0)</f>
        <v>73.211399999999998</v>
      </c>
      <c r="E832" s="4">
        <f>346.329448431456 * CHOOSE(CONTROL!$C$9, $C$13, 100%, $E$13) + CHOOSE(CONTROL!$C$28, 0, 0)</f>
        <v>346.329448431456</v>
      </c>
    </row>
    <row r="833" spans="1:5" ht="15">
      <c r="A833" s="13">
        <v>66872</v>
      </c>
      <c r="B833" s="4">
        <f>47.4835 * CHOOSE(CONTROL!$C$9, $C$13, 100%, $E$13) + CHOOSE(CONTROL!$C$28, 0.0003, 0)</f>
        <v>47.483800000000002</v>
      </c>
      <c r="C833" s="4">
        <f>47.1202 * CHOOSE(CONTROL!$C$9, $C$13, 100%, $E$13) + CHOOSE(CONTROL!$C$28, 0.0003, 0)</f>
        <v>47.1205</v>
      </c>
      <c r="D833" s="4">
        <f>70.3152 * CHOOSE(CONTROL!$C$9, $C$13, 100%, $E$13) + CHOOSE(CONTROL!$C$28, 0, 0)</f>
        <v>70.315200000000004</v>
      </c>
      <c r="E833" s="4">
        <f>331.9034196257 * CHOOSE(CONTROL!$C$9, $C$13, 100%, $E$13) + CHOOSE(CONTROL!$C$28, 0, 0)</f>
        <v>331.9034196257</v>
      </c>
    </row>
    <row r="834" spans="1:5" ht="15">
      <c r="A834" s="13">
        <v>66900</v>
      </c>
      <c r="B834" s="4">
        <f>48.5925 * CHOOSE(CONTROL!$C$9, $C$13, 100%, $E$13) + CHOOSE(CONTROL!$C$28, 0.0003, 0)</f>
        <v>48.592800000000004</v>
      </c>
      <c r="C834" s="4">
        <f>48.2293 * CHOOSE(CONTROL!$C$9, $C$13, 100%, $E$13) + CHOOSE(CONTROL!$C$28, 0.0003, 0)</f>
        <v>48.229600000000005</v>
      </c>
      <c r="D834" s="4">
        <f>72.7316 * CHOOSE(CONTROL!$C$9, $C$13, 100%, $E$13) + CHOOSE(CONTROL!$C$28, 0, 0)</f>
        <v>72.7316</v>
      </c>
      <c r="E834" s="4">
        <f>339.784114808934 * CHOOSE(CONTROL!$C$9, $C$13, 100%, $E$13) + CHOOSE(CONTROL!$C$28, 0, 0)</f>
        <v>339.78411480893402</v>
      </c>
    </row>
    <row r="835" spans="1:5" ht="15">
      <c r="A835" s="13">
        <v>66931</v>
      </c>
      <c r="B835" s="4">
        <f>51.505 * CHOOSE(CONTROL!$C$9, $C$13, 100%, $E$13) + CHOOSE(CONTROL!$C$28, 0.0003, 0)</f>
        <v>51.505300000000005</v>
      </c>
      <c r="C835" s="4">
        <f>51.1418 * CHOOSE(CONTROL!$C$9, $C$13, 100%, $E$13) + CHOOSE(CONTROL!$C$28, 0.0003, 0)</f>
        <v>51.142100000000006</v>
      </c>
      <c r="D835" s="4">
        <f>76.5142 * CHOOSE(CONTROL!$C$9, $C$13, 100%, $E$13) + CHOOSE(CONTROL!$C$28, 0, 0)</f>
        <v>76.514200000000002</v>
      </c>
      <c r="E835" s="4">
        <f>360.479239165683 * CHOOSE(CONTROL!$C$9, $C$13, 100%, $E$13) + CHOOSE(CONTROL!$C$28, 0, 0)</f>
        <v>360.479239165683</v>
      </c>
    </row>
    <row r="836" spans="1:5" ht="15">
      <c r="A836" s="13">
        <v>66961</v>
      </c>
      <c r="B836" s="4">
        <f>53.5744 * CHOOSE(CONTROL!$C$9, $C$13, 100%, $E$13) + CHOOSE(CONTROL!$C$28, 0.0003, 0)</f>
        <v>53.5747</v>
      </c>
      <c r="C836" s="4">
        <f>53.2111 * CHOOSE(CONTROL!$C$9, $C$13, 100%, $E$13) + CHOOSE(CONTROL!$C$28, 0.0003, 0)</f>
        <v>53.211400000000005</v>
      </c>
      <c r="D836" s="4">
        <f>78.6931 * CHOOSE(CONTROL!$C$9, $C$13, 100%, $E$13) + CHOOSE(CONTROL!$C$28, 0, 0)</f>
        <v>78.693100000000001</v>
      </c>
      <c r="E836" s="4">
        <f>375.183400819948 * CHOOSE(CONTROL!$C$9, $C$13, 100%, $E$13) + CHOOSE(CONTROL!$C$28, 0, 0)</f>
        <v>375.18340081994802</v>
      </c>
    </row>
    <row r="837" spans="1:5" ht="15">
      <c r="A837" s="13">
        <v>66992</v>
      </c>
      <c r="B837" s="4">
        <f>54.8387 * CHOOSE(CONTROL!$C$9, $C$13, 100%, $E$13) + CHOOSE(CONTROL!$C$28, 0.0192, 0)</f>
        <v>54.857900000000001</v>
      </c>
      <c r="C837" s="4">
        <f>54.4755 * CHOOSE(CONTROL!$C$9, $C$13, 100%, $E$13) + CHOOSE(CONTROL!$C$28, 0.0192, 0)</f>
        <v>54.494699999999995</v>
      </c>
      <c r="D837" s="4">
        <f>77.8321 * CHOOSE(CONTROL!$C$9, $C$13, 100%, $E$13) + CHOOSE(CONTROL!$C$28, 0, 0)</f>
        <v>77.832099999999997</v>
      </c>
      <c r="E837" s="4">
        <f>384.167291181133 * CHOOSE(CONTROL!$C$9, $C$13, 100%, $E$13) + CHOOSE(CONTROL!$C$28, 0, 0)</f>
        <v>384.16729118113301</v>
      </c>
    </row>
    <row r="838" spans="1:5" ht="15">
      <c r="A838" s="13">
        <v>67022</v>
      </c>
      <c r="B838" s="4">
        <f>55.0098 * CHOOSE(CONTROL!$C$9, $C$13, 100%, $E$13) + CHOOSE(CONTROL!$C$28, 0.0192, 0)</f>
        <v>55.028999999999996</v>
      </c>
      <c r="C838" s="4">
        <f>54.6465 * CHOOSE(CONTROL!$C$9, $C$13, 100%, $E$13) + CHOOSE(CONTROL!$C$28, 0.0192, 0)</f>
        <v>54.665700000000001</v>
      </c>
      <c r="D838" s="4">
        <f>78.5333 * CHOOSE(CONTROL!$C$9, $C$13, 100%, $E$13) + CHOOSE(CONTROL!$C$28, 0, 0)</f>
        <v>78.533299999999997</v>
      </c>
      <c r="E838" s="4">
        <f>385.382848830912 * CHOOSE(CONTROL!$C$9, $C$13, 100%, $E$13) + CHOOSE(CONTROL!$C$28, 0, 0)</f>
        <v>385.382848830912</v>
      </c>
    </row>
    <row r="839" spans="1:5" ht="15">
      <c r="A839" s="13">
        <v>67053</v>
      </c>
      <c r="B839" s="4">
        <f>54.9926 * CHOOSE(CONTROL!$C$9, $C$13, 100%, $E$13) + CHOOSE(CONTROL!$C$28, 0.0192, 0)</f>
        <v>55.011800000000001</v>
      </c>
      <c r="C839" s="4">
        <f>54.6293 * CHOOSE(CONTROL!$C$9, $C$13, 100%, $E$13) + CHOOSE(CONTROL!$C$28, 0.0192, 0)</f>
        <v>54.648499999999999</v>
      </c>
      <c r="D839" s="4">
        <f>79.7985 * CHOOSE(CONTROL!$C$9, $C$13, 100%, $E$13) + CHOOSE(CONTROL!$C$28, 0, 0)</f>
        <v>79.798500000000004</v>
      </c>
      <c r="E839" s="4">
        <f>385.260271588917 * CHOOSE(CONTROL!$C$9, $C$13, 100%, $E$13) + CHOOSE(CONTROL!$C$28, 0, 0)</f>
        <v>385.26027158891702</v>
      </c>
    </row>
    <row r="840" spans="1:5" ht="15">
      <c r="A840" s="13">
        <v>67084</v>
      </c>
      <c r="B840" s="4">
        <f>56.2907 * CHOOSE(CONTROL!$C$9, $C$13, 100%, $E$13) + CHOOSE(CONTROL!$C$28, 0.0192, 0)</f>
        <v>56.309899999999999</v>
      </c>
      <c r="C840" s="4">
        <f>55.9274 * CHOOSE(CONTROL!$C$9, $C$13, 100%, $E$13) + CHOOSE(CONTROL!$C$28, 0.0192, 0)</f>
        <v>55.946599999999997</v>
      </c>
      <c r="D840" s="4">
        <f>78.963 * CHOOSE(CONTROL!$C$9, $C$13, 100%, $E$13) + CHOOSE(CONTROL!$C$28, 0, 0)</f>
        <v>78.962999999999994</v>
      </c>
      <c r="E840" s="4">
        <f>394.484209049008 * CHOOSE(CONTROL!$C$9, $C$13, 100%, $E$13) + CHOOSE(CONTROL!$C$28, 0, 0)</f>
        <v>394.48420904900797</v>
      </c>
    </row>
    <row r="841" spans="1:5" ht="15">
      <c r="A841" s="13">
        <v>67114</v>
      </c>
      <c r="B841" s="4">
        <f>54.0783 * CHOOSE(CONTROL!$C$9, $C$13, 100%, $E$13) + CHOOSE(CONTROL!$C$28, 0.0192, 0)</f>
        <v>54.097499999999997</v>
      </c>
      <c r="C841" s="4">
        <f>53.715 * CHOOSE(CONTROL!$C$9, $C$13, 100%, $E$13) + CHOOSE(CONTROL!$C$28, 0.0192, 0)</f>
        <v>53.734200000000001</v>
      </c>
      <c r="D841" s="4">
        <f>78.5682 * CHOOSE(CONTROL!$C$9, $C$13, 100%, $E$13) + CHOOSE(CONTROL!$C$28, 0, 0)</f>
        <v>78.568200000000004</v>
      </c>
      <c r="E841" s="4">
        <f>378.763677763206 * CHOOSE(CONTROL!$C$9, $C$13, 100%, $E$13) + CHOOSE(CONTROL!$C$28, 0, 0)</f>
        <v>378.76367776320598</v>
      </c>
    </row>
    <row r="842" spans="1:5" ht="15">
      <c r="A842" s="13">
        <v>67145</v>
      </c>
      <c r="B842" s="4">
        <f>52.3072 * CHOOSE(CONTROL!$C$9, $C$13, 100%, $E$13) + CHOOSE(CONTROL!$C$28, 0.0003, 0)</f>
        <v>52.307500000000005</v>
      </c>
      <c r="C842" s="4">
        <f>51.9439 * CHOOSE(CONTROL!$C$9, $C$13, 100%, $E$13) + CHOOSE(CONTROL!$C$28, 0.0003, 0)</f>
        <v>51.944200000000002</v>
      </c>
      <c r="D842" s="4">
        <f>77.5111 * CHOOSE(CONTROL!$C$9, $C$13, 100%, $E$13) + CHOOSE(CONTROL!$C$28, 0, 0)</f>
        <v>77.511099999999999</v>
      </c>
      <c r="E842" s="4">
        <f>366.17908091843 * CHOOSE(CONTROL!$C$9, $C$13, 100%, $E$13) + CHOOSE(CONTROL!$C$28, 0, 0)</f>
        <v>366.17908091842997</v>
      </c>
    </row>
    <row r="843" spans="1:5" ht="15">
      <c r="A843" s="13">
        <v>67175</v>
      </c>
      <c r="B843" s="4">
        <f>51.1665 * CHOOSE(CONTROL!$C$9, $C$13, 100%, $E$13) + CHOOSE(CONTROL!$C$28, 0.0003, 0)</f>
        <v>51.166800000000002</v>
      </c>
      <c r="C843" s="4">
        <f>50.8032 * CHOOSE(CONTROL!$C$9, $C$13, 100%, $E$13) + CHOOSE(CONTROL!$C$28, 0.0003, 0)</f>
        <v>50.8035</v>
      </c>
      <c r="D843" s="4">
        <f>77.1477 * CHOOSE(CONTROL!$C$9, $C$13, 100%, $E$13) + CHOOSE(CONTROL!$C$28, 0, 0)</f>
        <v>77.1477</v>
      </c>
      <c r="E843" s="4">
        <f>358.07366079154 * CHOOSE(CONTROL!$C$9, $C$13, 100%, $E$13) + CHOOSE(CONTROL!$C$28, 0, 0)</f>
        <v>358.07366079154002</v>
      </c>
    </row>
    <row r="844" spans="1:5" ht="15">
      <c r="A844" s="13">
        <v>67206</v>
      </c>
      <c r="B844" s="4">
        <f>50.3773 * CHOOSE(CONTROL!$C$9, $C$13, 100%, $E$13) + CHOOSE(CONTROL!$C$28, 0.0003, 0)</f>
        <v>50.377600000000001</v>
      </c>
      <c r="C844" s="4">
        <f>50.014 * CHOOSE(CONTROL!$C$9, $C$13, 100%, $E$13) + CHOOSE(CONTROL!$C$28, 0.0003, 0)</f>
        <v>50.014300000000006</v>
      </c>
      <c r="D844" s="4">
        <f>74.4722 * CHOOSE(CONTROL!$C$9, $C$13, 100%, $E$13) + CHOOSE(CONTROL!$C$28, 0, 0)</f>
        <v>74.472200000000001</v>
      </c>
      <c r="E844" s="4">
        <f>352.465751970288 * CHOOSE(CONTROL!$C$9, $C$13, 100%, $E$13) + CHOOSE(CONTROL!$C$28, 0, 0)</f>
        <v>352.46575197028801</v>
      </c>
    </row>
    <row r="845" spans="1:5" ht="15">
      <c r="A845" s="13">
        <v>67237</v>
      </c>
      <c r="B845" s="4">
        <f>48.218 * CHOOSE(CONTROL!$C$9, $C$13, 100%, $E$13) + CHOOSE(CONTROL!$C$28, 0.0003, 0)</f>
        <v>48.218300000000006</v>
      </c>
      <c r="C845" s="4">
        <f>47.8547 * CHOOSE(CONTROL!$C$9, $C$13, 100%, $E$13) + CHOOSE(CONTROL!$C$28, 0.0003, 0)</f>
        <v>47.855000000000004</v>
      </c>
      <c r="D845" s="4">
        <f>71.5249 * CHOOSE(CONTROL!$C$9, $C$13, 100%, $E$13) + CHOOSE(CONTROL!$C$28, 0, 0)</f>
        <v>71.524900000000002</v>
      </c>
      <c r="E845" s="4">
        <f>337.784121187822 * CHOOSE(CONTROL!$C$9, $C$13, 100%, $E$13) + CHOOSE(CONTROL!$C$28, 0, 0)</f>
        <v>337.784121187822</v>
      </c>
    </row>
    <row r="846" spans="1:5" ht="15">
      <c r="A846" s="13">
        <v>67266</v>
      </c>
      <c r="B846" s="4">
        <f>49.3445 * CHOOSE(CONTROL!$C$9, $C$13, 100%, $E$13) + CHOOSE(CONTROL!$C$28, 0.0003, 0)</f>
        <v>49.344799999999999</v>
      </c>
      <c r="C846" s="4">
        <f>48.9812 * CHOOSE(CONTROL!$C$9, $C$13, 100%, $E$13) + CHOOSE(CONTROL!$C$28, 0.0003, 0)</f>
        <v>48.981500000000004</v>
      </c>
      <c r="D846" s="4">
        <f>73.9839 * CHOOSE(CONTROL!$C$9, $C$13, 100%, $E$13) + CHOOSE(CONTROL!$C$28, 0, 0)</f>
        <v>73.983900000000006</v>
      </c>
      <c r="E846" s="4">
        <f>345.804447401453 * CHOOSE(CONTROL!$C$9, $C$13, 100%, $E$13) + CHOOSE(CONTROL!$C$28, 0, 0)</f>
        <v>345.80444740145299</v>
      </c>
    </row>
    <row r="847" spans="1:5" ht="15">
      <c r="A847" s="13">
        <v>67297</v>
      </c>
      <c r="B847" s="4">
        <f>52.3028 * CHOOSE(CONTROL!$C$9, $C$13, 100%, $E$13) + CHOOSE(CONTROL!$C$28, 0.0003, 0)</f>
        <v>52.303100000000001</v>
      </c>
      <c r="C847" s="4">
        <f>51.9395 * CHOOSE(CONTROL!$C$9, $C$13, 100%, $E$13) + CHOOSE(CONTROL!$C$28, 0.0003, 0)</f>
        <v>51.939800000000005</v>
      </c>
      <c r="D847" s="4">
        <f>77.8333 * CHOOSE(CONTROL!$C$9, $C$13, 100%, $E$13) + CHOOSE(CONTROL!$C$28, 0, 0)</f>
        <v>77.833299999999994</v>
      </c>
      <c r="E847" s="4">
        <f>366.866250264468 * CHOOSE(CONTROL!$C$9, $C$13, 100%, $E$13) + CHOOSE(CONTROL!$C$28, 0, 0)</f>
        <v>366.86625026446802</v>
      </c>
    </row>
    <row r="848" spans="1:5" ht="15">
      <c r="A848" s="13">
        <v>67327</v>
      </c>
      <c r="B848" s="4">
        <f>54.4047 * CHOOSE(CONTROL!$C$9, $C$13, 100%, $E$13) + CHOOSE(CONTROL!$C$28, 0.0003, 0)</f>
        <v>54.405000000000001</v>
      </c>
      <c r="C848" s="4">
        <f>54.0414 * CHOOSE(CONTROL!$C$9, $C$13, 100%, $E$13) + CHOOSE(CONTROL!$C$28, 0.0003, 0)</f>
        <v>54.041700000000006</v>
      </c>
      <c r="D848" s="4">
        <f>80.0507 * CHOOSE(CONTROL!$C$9, $C$13, 100%, $E$13) + CHOOSE(CONTROL!$C$28, 0, 0)</f>
        <v>80.050700000000006</v>
      </c>
      <c r="E848" s="4">
        <f>381.830941884069 * CHOOSE(CONTROL!$C$9, $C$13, 100%, $E$13) + CHOOSE(CONTROL!$C$28, 0, 0)</f>
        <v>381.83094188406898</v>
      </c>
    </row>
    <row r="849" spans="1:5" ht="15">
      <c r="A849" s="13">
        <v>67358</v>
      </c>
      <c r="B849" s="4">
        <f>55.6889 * CHOOSE(CONTROL!$C$9, $C$13, 100%, $E$13) + CHOOSE(CONTROL!$C$28, 0.0192, 0)</f>
        <v>55.708099999999995</v>
      </c>
      <c r="C849" s="4">
        <f>55.3256 * CHOOSE(CONTROL!$C$9, $C$13, 100%, $E$13) + CHOOSE(CONTROL!$C$28, 0.0192, 0)</f>
        <v>55.344799999999999</v>
      </c>
      <c r="D849" s="4">
        <f>79.1745 * CHOOSE(CONTROL!$C$9, $C$13, 100%, $E$13) + CHOOSE(CONTROL!$C$28, 0, 0)</f>
        <v>79.174499999999995</v>
      </c>
      <c r="E849" s="4">
        <f>390.974009810042 * CHOOSE(CONTROL!$C$9, $C$13, 100%, $E$13) + CHOOSE(CONTROL!$C$28, 0, 0)</f>
        <v>390.97400981004199</v>
      </c>
    </row>
    <row r="850" spans="1:5" ht="15">
      <c r="A850" s="13">
        <v>67388</v>
      </c>
      <c r="B850" s="4">
        <f>55.8627 * CHOOSE(CONTROL!$C$9, $C$13, 100%, $E$13) + CHOOSE(CONTROL!$C$28, 0.0192, 0)</f>
        <v>55.881899999999995</v>
      </c>
      <c r="C850" s="4">
        <f>55.4994 * CHOOSE(CONTROL!$C$9, $C$13, 100%, $E$13) + CHOOSE(CONTROL!$C$28, 0.0192, 0)</f>
        <v>55.518599999999999</v>
      </c>
      <c r="D850" s="4">
        <f>79.8881 * CHOOSE(CONTROL!$C$9, $C$13, 100%, $E$13) + CHOOSE(CONTROL!$C$28, 0, 0)</f>
        <v>79.888099999999994</v>
      </c>
      <c r="E850" s="4">
        <f>392.211104844938 * CHOOSE(CONTROL!$C$9, $C$13, 100%, $E$13) + CHOOSE(CONTROL!$C$28, 0, 0)</f>
        <v>392.21110484493801</v>
      </c>
    </row>
    <row r="851" spans="1:5" ht="15">
      <c r="A851" s="13">
        <v>67419</v>
      </c>
      <c r="B851" s="4">
        <f>55.8452 * CHOOSE(CONTROL!$C$9, $C$13, 100%, $E$13) + CHOOSE(CONTROL!$C$28, 0.0192, 0)</f>
        <v>55.864399999999996</v>
      </c>
      <c r="C851" s="4">
        <f>55.4819 * CHOOSE(CONTROL!$C$9, $C$13, 100%, $E$13) + CHOOSE(CONTROL!$C$28, 0.0192, 0)</f>
        <v>55.501100000000001</v>
      </c>
      <c r="D851" s="4">
        <f>81.1757 * CHOOSE(CONTROL!$C$9, $C$13, 100%, $E$13) + CHOOSE(CONTROL!$C$28, 0, 0)</f>
        <v>81.175700000000006</v>
      </c>
      <c r="E851" s="4">
        <f>392.086355765789 * CHOOSE(CONTROL!$C$9, $C$13, 100%, $E$13) + CHOOSE(CONTROL!$C$28, 0, 0)</f>
        <v>392.08635576578899</v>
      </c>
    </row>
    <row r="852" spans="1:5" ht="15">
      <c r="A852" s="13">
        <v>67450</v>
      </c>
      <c r="B852" s="4">
        <f>57.1637 * CHOOSE(CONTROL!$C$9, $C$13, 100%, $E$13) + CHOOSE(CONTROL!$C$28, 0.0192, 0)</f>
        <v>57.182899999999997</v>
      </c>
      <c r="C852" s="4">
        <f>56.8004 * CHOOSE(CONTROL!$C$9, $C$13, 100%, $E$13) + CHOOSE(CONTROL!$C$28, 0.0192, 0)</f>
        <v>56.819600000000001</v>
      </c>
      <c r="D852" s="4">
        <f>80.3254 * CHOOSE(CONTROL!$C$9, $C$13, 100%, $E$13) + CHOOSE(CONTROL!$C$28, 0, 0)</f>
        <v>80.325400000000002</v>
      </c>
      <c r="E852" s="4">
        <f>401.473723971763 * CHOOSE(CONTROL!$C$9, $C$13, 100%, $E$13) + CHOOSE(CONTROL!$C$28, 0, 0)</f>
        <v>401.47372397176298</v>
      </c>
    </row>
    <row r="853" spans="1:5" ht="15">
      <c r="A853" s="13">
        <v>67480</v>
      </c>
      <c r="B853" s="4">
        <f>54.9165 * CHOOSE(CONTROL!$C$9, $C$13, 100%, $E$13) + CHOOSE(CONTROL!$C$28, 0.0192, 0)</f>
        <v>54.935699999999997</v>
      </c>
      <c r="C853" s="4">
        <f>54.5532 * CHOOSE(CONTROL!$C$9, $C$13, 100%, $E$13) + CHOOSE(CONTROL!$C$28, 0.0192, 0)</f>
        <v>54.572399999999995</v>
      </c>
      <c r="D853" s="4">
        <f>79.9236 * CHOOSE(CONTROL!$C$9, $C$13, 100%, $E$13) + CHOOSE(CONTROL!$C$28, 0, 0)</f>
        <v>79.923599999999993</v>
      </c>
      <c r="E853" s="4">
        <f>385.474654570884 * CHOOSE(CONTROL!$C$9, $C$13, 100%, $E$13) + CHOOSE(CONTROL!$C$28, 0, 0)</f>
        <v>385.47465457088401</v>
      </c>
    </row>
    <row r="854" spans="1:5" ht="15">
      <c r="A854" s="13">
        <v>67511</v>
      </c>
      <c r="B854" s="4">
        <f>53.1176 * CHOOSE(CONTROL!$C$9, $C$13, 100%, $E$13) + CHOOSE(CONTROL!$C$28, 0.0003, 0)</f>
        <v>53.117900000000006</v>
      </c>
      <c r="C854" s="4">
        <f>52.7543 * CHOOSE(CONTROL!$C$9, $C$13, 100%, $E$13) + CHOOSE(CONTROL!$C$28, 0.0003, 0)</f>
        <v>52.754600000000003</v>
      </c>
      <c r="D854" s="4">
        <f>78.8479 * CHOOSE(CONTROL!$C$9, $C$13, 100%, $E$13) + CHOOSE(CONTROL!$C$28, 0, 0)</f>
        <v>78.847899999999996</v>
      </c>
      <c r="E854" s="4">
        <f>372.667082444904 * CHOOSE(CONTROL!$C$9, $C$13, 100%, $E$13) + CHOOSE(CONTROL!$C$28, 0, 0)</f>
        <v>372.667082444904</v>
      </c>
    </row>
    <row r="855" spans="1:5" ht="15">
      <c r="A855" s="13">
        <v>67541</v>
      </c>
      <c r="B855" s="4">
        <f>51.9589 * CHOOSE(CONTROL!$C$9, $C$13, 100%, $E$13) + CHOOSE(CONTROL!$C$28, 0.0003, 0)</f>
        <v>51.959200000000003</v>
      </c>
      <c r="C855" s="4">
        <f>51.5956 * CHOOSE(CONTROL!$C$9, $C$13, 100%, $E$13) + CHOOSE(CONTROL!$C$28, 0.0003, 0)</f>
        <v>51.5959</v>
      </c>
      <c r="D855" s="4">
        <f>78.478 * CHOOSE(CONTROL!$C$9, $C$13, 100%, $E$13) + CHOOSE(CONTROL!$C$28, 0, 0)</f>
        <v>78.477999999999994</v>
      </c>
      <c r="E855" s="4">
        <f>364.418049586166 * CHOOSE(CONTROL!$C$9, $C$13, 100%, $E$13) + CHOOSE(CONTROL!$C$28, 0, 0)</f>
        <v>364.41804958616598</v>
      </c>
    </row>
    <row r="856" spans="1:5" ht="15">
      <c r="A856" s="13">
        <v>67572</v>
      </c>
      <c r="B856" s="4">
        <f>51.1573 * CHOOSE(CONTROL!$C$9, $C$13, 100%, $E$13) + CHOOSE(CONTROL!$C$28, 0.0003, 0)</f>
        <v>51.157600000000002</v>
      </c>
      <c r="C856" s="4">
        <f>50.794 * CHOOSE(CONTROL!$C$9, $C$13, 100%, $E$13) + CHOOSE(CONTROL!$C$28, 0.0003, 0)</f>
        <v>50.7943</v>
      </c>
      <c r="D856" s="4">
        <f>75.7552 * CHOOSE(CONTROL!$C$9, $C$13, 100%, $E$13) + CHOOSE(CONTROL!$C$28, 0, 0)</f>
        <v>75.755200000000002</v>
      </c>
      <c r="E856" s="4">
        <f>358.710779215092 * CHOOSE(CONTROL!$C$9, $C$13, 100%, $E$13) + CHOOSE(CONTROL!$C$28, 0, 0)</f>
        <v>358.71077921509197</v>
      </c>
    </row>
    <row r="857" spans="1:5" ht="15">
      <c r="A857" s="13">
        <v>67603</v>
      </c>
      <c r="B857" s="4">
        <f>48.964 * CHOOSE(CONTROL!$C$9, $C$13, 100%, $E$13) + CHOOSE(CONTROL!$C$28, 0.0003, 0)</f>
        <v>48.964300000000001</v>
      </c>
      <c r="C857" s="4">
        <f>48.6007 * CHOOSE(CONTROL!$C$9, $C$13, 100%, $E$13) + CHOOSE(CONTROL!$C$28, 0.0003, 0)</f>
        <v>48.601000000000006</v>
      </c>
      <c r="D857" s="4">
        <f>72.7559 * CHOOSE(CONTROL!$C$9, $C$13, 100%, $E$13) + CHOOSE(CONTROL!$C$28, 0, 0)</f>
        <v>72.755899999999997</v>
      </c>
      <c r="E857" s="4">
        <f>343.769017671773 * CHOOSE(CONTROL!$C$9, $C$13, 100%, $E$13) + CHOOSE(CONTROL!$C$28, 0, 0)</f>
        <v>343.76901767177299</v>
      </c>
    </row>
    <row r="858" spans="1:5" ht="15">
      <c r="A858" s="13">
        <v>67631</v>
      </c>
      <c r="B858" s="4">
        <f>50.1083 * CHOOSE(CONTROL!$C$9, $C$13, 100%, $E$13) + CHOOSE(CONTROL!$C$28, 0.0003, 0)</f>
        <v>50.108600000000003</v>
      </c>
      <c r="C858" s="4">
        <f>49.745 * CHOOSE(CONTROL!$C$9, $C$13, 100%, $E$13) + CHOOSE(CONTROL!$C$28, 0.0003, 0)</f>
        <v>49.7453</v>
      </c>
      <c r="D858" s="4">
        <f>75.2584 * CHOOSE(CONTROL!$C$9, $C$13, 100%, $E$13) + CHOOSE(CONTROL!$C$28, 0, 0)</f>
        <v>75.258399999999995</v>
      </c>
      <c r="E858" s="4">
        <f>351.931448913868 * CHOOSE(CONTROL!$C$9, $C$13, 100%, $E$13) + CHOOSE(CONTROL!$C$28, 0, 0)</f>
        <v>351.931448913868</v>
      </c>
    </row>
    <row r="859" spans="1:5" ht="15">
      <c r="A859" s="13">
        <v>67662</v>
      </c>
      <c r="B859" s="4">
        <f>53.1131 * CHOOSE(CONTROL!$C$9, $C$13, 100%, $E$13) + CHOOSE(CONTROL!$C$28, 0.0003, 0)</f>
        <v>53.113400000000006</v>
      </c>
      <c r="C859" s="4">
        <f>52.7498 * CHOOSE(CONTROL!$C$9, $C$13, 100%, $E$13) + CHOOSE(CONTROL!$C$28, 0.0003, 0)</f>
        <v>52.750100000000003</v>
      </c>
      <c r="D859" s="4">
        <f>79.1758 * CHOOSE(CONTROL!$C$9, $C$13, 100%, $E$13) + CHOOSE(CONTROL!$C$28, 0, 0)</f>
        <v>79.175799999999995</v>
      </c>
      <c r="E859" s="4">
        <f>373.36642713355 * CHOOSE(CONTROL!$C$9, $C$13, 100%, $E$13) + CHOOSE(CONTROL!$C$28, 0, 0)</f>
        <v>373.36642713355002</v>
      </c>
    </row>
    <row r="860" spans="1:5" ht="15">
      <c r="A860" s="13">
        <v>67692</v>
      </c>
      <c r="B860" s="4">
        <f>55.248 * CHOOSE(CONTROL!$C$9, $C$13, 100%, $E$13) + CHOOSE(CONTROL!$C$28, 0.0003, 0)</f>
        <v>55.2483</v>
      </c>
      <c r="C860" s="4">
        <f>54.8848 * CHOOSE(CONTROL!$C$9, $C$13, 100%, $E$13) + CHOOSE(CONTROL!$C$28, 0.0003, 0)</f>
        <v>54.885100000000001</v>
      </c>
      <c r="D860" s="4">
        <f>81.4324 * CHOOSE(CONTROL!$C$9, $C$13, 100%, $E$13) + CHOOSE(CONTROL!$C$28, 0, 0)</f>
        <v>81.432400000000001</v>
      </c>
      <c r="E860" s="4">
        <f>388.596264817278 * CHOOSE(CONTROL!$C$9, $C$13, 100%, $E$13) + CHOOSE(CONTROL!$C$28, 0, 0)</f>
        <v>388.59626481727798</v>
      </c>
    </row>
    <row r="861" spans="1:5" ht="15">
      <c r="A861" s="13">
        <v>67723</v>
      </c>
      <c r="B861" s="4">
        <f>56.5525 * CHOOSE(CONTROL!$C$9, $C$13, 100%, $E$13) + CHOOSE(CONTROL!$C$28, 0.0192, 0)</f>
        <v>56.5717</v>
      </c>
      <c r="C861" s="4">
        <f>56.1892 * CHOOSE(CONTROL!$C$9, $C$13, 100%, $E$13) + CHOOSE(CONTROL!$C$28, 0.0192, 0)</f>
        <v>56.208399999999997</v>
      </c>
      <c r="D861" s="4">
        <f>80.5407 * CHOOSE(CONTROL!$C$9, $C$13, 100%, $E$13) + CHOOSE(CONTROL!$C$28, 0, 0)</f>
        <v>80.540700000000001</v>
      </c>
      <c r="E861" s="4">
        <f>397.901330633768 * CHOOSE(CONTROL!$C$9, $C$13, 100%, $E$13) + CHOOSE(CONTROL!$C$28, 0, 0)</f>
        <v>397.901330633768</v>
      </c>
    </row>
    <row r="862" spans="1:5" ht="15">
      <c r="A862" s="13">
        <v>67753</v>
      </c>
      <c r="B862" s="4">
        <f>56.729 * CHOOSE(CONTROL!$C$9, $C$13, 100%, $E$13) + CHOOSE(CONTROL!$C$28, 0.0192, 0)</f>
        <v>56.748199999999997</v>
      </c>
      <c r="C862" s="4">
        <f>56.3657 * CHOOSE(CONTROL!$C$9, $C$13, 100%, $E$13) + CHOOSE(CONTROL!$C$28, 0.0192, 0)</f>
        <v>56.384899999999995</v>
      </c>
      <c r="D862" s="4">
        <f>81.2669 * CHOOSE(CONTROL!$C$9, $C$13, 100%, $E$13) + CHOOSE(CONTROL!$C$28, 0, 0)</f>
        <v>81.266900000000007</v>
      </c>
      <c r="E862" s="4">
        <f>399.160344655556 * CHOOSE(CONTROL!$C$9, $C$13, 100%, $E$13) + CHOOSE(CONTROL!$C$28, 0, 0)</f>
        <v>399.160344655556</v>
      </c>
    </row>
    <row r="863" spans="1:5" ht="15">
      <c r="A863" s="13">
        <v>67784</v>
      </c>
      <c r="B863" s="4">
        <f>56.7112 * CHOOSE(CONTROL!$C$9, $C$13, 100%, $E$13) + CHOOSE(CONTROL!$C$28, 0.0192, 0)</f>
        <v>56.730399999999996</v>
      </c>
      <c r="C863" s="4">
        <f>56.3479 * CHOOSE(CONTROL!$C$9, $C$13, 100%, $E$13) + CHOOSE(CONTROL!$C$28, 0.0192, 0)</f>
        <v>56.367100000000001</v>
      </c>
      <c r="D863" s="4">
        <f>82.5773 * CHOOSE(CONTROL!$C$9, $C$13, 100%, $E$13) + CHOOSE(CONTROL!$C$28, 0, 0)</f>
        <v>82.577299999999994</v>
      </c>
      <c r="E863" s="4">
        <f>399.033385258401 * CHOOSE(CONTROL!$C$9, $C$13, 100%, $E$13) + CHOOSE(CONTROL!$C$28, 0, 0)</f>
        <v>399.03338525840098</v>
      </c>
    </row>
    <row r="864" spans="1:5" ht="15">
      <c r="A864" s="13">
        <v>67815</v>
      </c>
      <c r="B864" s="4">
        <f>58.0504 * CHOOSE(CONTROL!$C$9, $C$13, 100%, $E$13) + CHOOSE(CONTROL!$C$28, 0.0192, 0)</f>
        <v>58.069600000000001</v>
      </c>
      <c r="C864" s="4">
        <f>57.6871 * CHOOSE(CONTROL!$C$9, $C$13, 100%, $E$13) + CHOOSE(CONTROL!$C$28, 0.0192, 0)</f>
        <v>57.706299999999999</v>
      </c>
      <c r="D864" s="4">
        <f>81.7119 * CHOOSE(CONTROL!$C$9, $C$13, 100%, $E$13) + CHOOSE(CONTROL!$C$28, 0, 0)</f>
        <v>81.7119</v>
      </c>
      <c r="E864" s="4">
        <f>408.587079894321 * CHOOSE(CONTROL!$C$9, $C$13, 100%, $E$13) + CHOOSE(CONTROL!$C$28, 0, 0)</f>
        <v>408.58707989432099</v>
      </c>
    </row>
    <row r="865" spans="1:5" ht="15">
      <c r="A865" s="13">
        <v>67845</v>
      </c>
      <c r="B865" s="4">
        <f>55.7679 * CHOOSE(CONTROL!$C$9, $C$13, 100%, $E$13) + CHOOSE(CONTROL!$C$28, 0.0192, 0)</f>
        <v>55.787099999999995</v>
      </c>
      <c r="C865" s="4">
        <f>55.4046 * CHOOSE(CONTROL!$C$9, $C$13, 100%, $E$13) + CHOOSE(CONTROL!$C$28, 0.0192, 0)</f>
        <v>55.4238</v>
      </c>
      <c r="D865" s="4">
        <f>81.303 * CHOOSE(CONTROL!$C$9, $C$13, 100%, $E$13) + CHOOSE(CONTROL!$C$28, 0, 0)</f>
        <v>81.302999999999997</v>
      </c>
      <c r="E865" s="4">
        <f>392.304537209182 * CHOOSE(CONTROL!$C$9, $C$13, 100%, $E$13) + CHOOSE(CONTROL!$C$28, 0, 0)</f>
        <v>392.304537209182</v>
      </c>
    </row>
    <row r="866" spans="1:5" ht="15">
      <c r="A866" s="13">
        <v>67876</v>
      </c>
      <c r="B866" s="4">
        <f>53.9407 * CHOOSE(CONTROL!$C$9, $C$13, 100%, $E$13) + CHOOSE(CONTROL!$C$28, 0.0003, 0)</f>
        <v>53.941000000000003</v>
      </c>
      <c r="C866" s="4">
        <f>53.5774 * CHOOSE(CONTROL!$C$9, $C$13, 100%, $E$13) + CHOOSE(CONTROL!$C$28, 0.0003, 0)</f>
        <v>53.5777</v>
      </c>
      <c r="D866" s="4">
        <f>80.2083 * CHOOSE(CONTROL!$C$9, $C$13, 100%, $E$13) + CHOOSE(CONTROL!$C$28, 0, 0)</f>
        <v>80.208299999999994</v>
      </c>
      <c r="E866" s="4">
        <f>379.270039101261 * CHOOSE(CONTROL!$C$9, $C$13, 100%, $E$13) + CHOOSE(CONTROL!$C$28, 0, 0)</f>
        <v>379.27003910126098</v>
      </c>
    </row>
    <row r="867" spans="1:5" ht="15">
      <c r="A867" s="13">
        <v>67906</v>
      </c>
      <c r="B867" s="4">
        <f>52.7638 * CHOOSE(CONTROL!$C$9, $C$13, 100%, $E$13) + CHOOSE(CONTROL!$C$28, 0.0003, 0)</f>
        <v>52.764100000000006</v>
      </c>
      <c r="C867" s="4">
        <f>52.4005 * CHOOSE(CONTROL!$C$9, $C$13, 100%, $E$13) + CHOOSE(CONTROL!$C$28, 0.0003, 0)</f>
        <v>52.400800000000004</v>
      </c>
      <c r="D867" s="4">
        <f>79.8319 * CHOOSE(CONTROL!$C$9, $C$13, 100%, $E$13) + CHOOSE(CONTROL!$C$28, 0, 0)</f>
        <v>79.831900000000005</v>
      </c>
      <c r="E867" s="4">
        <f>370.874848964382 * CHOOSE(CONTROL!$C$9, $C$13, 100%, $E$13) + CHOOSE(CONTROL!$C$28, 0, 0)</f>
        <v>370.87484896438201</v>
      </c>
    </row>
    <row r="868" spans="1:5" ht="15">
      <c r="A868" s="13">
        <v>67937</v>
      </c>
      <c r="B868" s="4">
        <f>51.9496 * CHOOSE(CONTROL!$C$9, $C$13, 100%, $E$13) + CHOOSE(CONTROL!$C$28, 0.0003, 0)</f>
        <v>51.9499</v>
      </c>
      <c r="C868" s="4">
        <f>51.5863 * CHOOSE(CONTROL!$C$9, $C$13, 100%, $E$13) + CHOOSE(CONTROL!$C$28, 0.0003, 0)</f>
        <v>51.586600000000004</v>
      </c>
      <c r="D868" s="4">
        <f>77.061 * CHOOSE(CONTROL!$C$9, $C$13, 100%, $E$13) + CHOOSE(CONTROL!$C$28, 0, 0)</f>
        <v>77.061000000000007</v>
      </c>
      <c r="E868" s="4">
        <f>365.066456544537 * CHOOSE(CONTROL!$C$9, $C$13, 100%, $E$13) + CHOOSE(CONTROL!$C$28, 0, 0)</f>
        <v>365.066456544537</v>
      </c>
    </row>
    <row r="869" spans="1:5" ht="15">
      <c r="A869" s="13">
        <v>67968</v>
      </c>
      <c r="B869" s="4">
        <f>49.7218 * CHOOSE(CONTROL!$C$9, $C$13, 100%, $E$13) + CHOOSE(CONTROL!$C$28, 0.0003, 0)</f>
        <v>49.722100000000005</v>
      </c>
      <c r="C869" s="4">
        <f>49.3585 * CHOOSE(CONTROL!$C$9, $C$13, 100%, $E$13) + CHOOSE(CONTROL!$C$28, 0.0003, 0)</f>
        <v>49.358800000000002</v>
      </c>
      <c r="D869" s="4">
        <f>74.0086 * CHOOSE(CONTROL!$C$9, $C$13, 100%, $E$13) + CHOOSE(CONTROL!$C$28, 0, 0)</f>
        <v>74.008600000000001</v>
      </c>
      <c r="E869" s="4">
        <f>349.859955214723 * CHOOSE(CONTROL!$C$9, $C$13, 100%, $E$13) + CHOOSE(CONTROL!$C$28, 0, 0)</f>
        <v>349.85995521472302</v>
      </c>
    </row>
    <row r="870" spans="1:5" ht="15">
      <c r="A870" s="13">
        <v>67996</v>
      </c>
      <c r="B870" s="4">
        <f>50.884 * CHOOSE(CONTROL!$C$9, $C$13, 100%, $E$13) + CHOOSE(CONTROL!$C$28, 0.0003, 0)</f>
        <v>50.884300000000003</v>
      </c>
      <c r="C870" s="4">
        <f>50.5208 * CHOOSE(CONTROL!$C$9, $C$13, 100%, $E$13) + CHOOSE(CONTROL!$C$28, 0.0003, 0)</f>
        <v>50.521100000000004</v>
      </c>
      <c r="D870" s="4">
        <f>76.5553 * CHOOSE(CONTROL!$C$9, $C$13, 100%, $E$13) + CHOOSE(CONTROL!$C$28, 0, 0)</f>
        <v>76.555300000000003</v>
      </c>
      <c r="E870" s="4">
        <f>358.167009317921 * CHOOSE(CONTROL!$C$9, $C$13, 100%, $E$13) + CHOOSE(CONTROL!$C$28, 0, 0)</f>
        <v>358.16700931792099</v>
      </c>
    </row>
    <row r="871" spans="1:5" ht="15">
      <c r="A871" s="13">
        <v>68027</v>
      </c>
      <c r="B871" s="4">
        <f>53.9361 * CHOOSE(CONTROL!$C$9, $C$13, 100%, $E$13) + CHOOSE(CONTROL!$C$28, 0.0003, 0)</f>
        <v>53.936400000000006</v>
      </c>
      <c r="C871" s="4">
        <f>53.5728 * CHOOSE(CONTROL!$C$9, $C$13, 100%, $E$13) + CHOOSE(CONTROL!$C$28, 0.0003, 0)</f>
        <v>53.573100000000004</v>
      </c>
      <c r="D871" s="4">
        <f>80.542 * CHOOSE(CONTROL!$C$9, $C$13, 100%, $E$13) + CHOOSE(CONTROL!$C$28, 0, 0)</f>
        <v>80.542000000000002</v>
      </c>
      <c r="E871" s="4">
        <f>379.981774856584 * CHOOSE(CONTROL!$C$9, $C$13, 100%, $E$13) + CHOOSE(CONTROL!$C$28, 0, 0)</f>
        <v>379.98177485658402</v>
      </c>
    </row>
    <row r="872" spans="1:5" ht="15">
      <c r="A872" s="13">
        <v>68057</v>
      </c>
      <c r="B872" s="4">
        <f>56.1047 * CHOOSE(CONTROL!$C$9, $C$13, 100%, $E$13) + CHOOSE(CONTROL!$C$28, 0.0003, 0)</f>
        <v>56.105000000000004</v>
      </c>
      <c r="C872" s="4">
        <f>55.7414 * CHOOSE(CONTROL!$C$9, $C$13, 100%, $E$13) + CHOOSE(CONTROL!$C$28, 0.0003, 0)</f>
        <v>55.741700000000002</v>
      </c>
      <c r="D872" s="4">
        <f>82.8384 * CHOOSE(CONTROL!$C$9, $C$13, 100%, $E$13) + CHOOSE(CONTROL!$C$28, 0, 0)</f>
        <v>82.838399999999993</v>
      </c>
      <c r="E872" s="4">
        <f>395.48145649178 * CHOOSE(CONTROL!$C$9, $C$13, 100%, $E$13) + CHOOSE(CONTROL!$C$28, 0, 0)</f>
        <v>395.48145649178002</v>
      </c>
    </row>
    <row r="873" spans="1:5" ht="15">
      <c r="A873" s="13">
        <v>68088</v>
      </c>
      <c r="B873" s="4">
        <f>57.4296 * CHOOSE(CONTROL!$C$9, $C$13, 100%, $E$13) + CHOOSE(CONTROL!$C$28, 0.0192, 0)</f>
        <v>57.448799999999999</v>
      </c>
      <c r="C873" s="4">
        <f>57.0663 * CHOOSE(CONTROL!$C$9, $C$13, 100%, $E$13) + CHOOSE(CONTROL!$C$28, 0.0192, 0)</f>
        <v>57.085499999999996</v>
      </c>
      <c r="D873" s="4">
        <f>81.931 * CHOOSE(CONTROL!$C$9, $C$13, 100%, $E$13) + CHOOSE(CONTROL!$C$28, 0, 0)</f>
        <v>81.930999999999997</v>
      </c>
      <c r="E873" s="4">
        <f>404.951390495361 * CHOOSE(CONTROL!$C$9, $C$13, 100%, $E$13) + CHOOSE(CONTROL!$C$28, 0, 0)</f>
        <v>404.95139049536101</v>
      </c>
    </row>
    <row r="874" spans="1:5" ht="15">
      <c r="A874" s="13">
        <v>68118</v>
      </c>
      <c r="B874" s="4">
        <f>57.6088 * CHOOSE(CONTROL!$C$9, $C$13, 100%, $E$13) + CHOOSE(CONTROL!$C$28, 0.0192, 0)</f>
        <v>57.628</v>
      </c>
      <c r="C874" s="4">
        <f>57.2456 * CHOOSE(CONTROL!$C$9, $C$13, 100%, $E$13) + CHOOSE(CONTROL!$C$28, 0.0192, 0)</f>
        <v>57.264800000000001</v>
      </c>
      <c r="D874" s="4">
        <f>82.67 * CHOOSE(CONTROL!$C$9, $C$13, 100%, $E$13) + CHOOSE(CONTROL!$C$28, 0, 0)</f>
        <v>82.67</v>
      </c>
      <c r="E874" s="4">
        <f>406.232711867079 * CHOOSE(CONTROL!$C$9, $C$13, 100%, $E$13) + CHOOSE(CONTROL!$C$28, 0, 0)</f>
        <v>406.23271186707899</v>
      </c>
    </row>
    <row r="875" spans="1:5" ht="15">
      <c r="A875" s="13">
        <v>68149</v>
      </c>
      <c r="B875" s="4">
        <f>57.5908 * CHOOSE(CONTROL!$C$9, $C$13, 100%, $E$13) + CHOOSE(CONTROL!$C$28, 0.0192, 0)</f>
        <v>57.61</v>
      </c>
      <c r="C875" s="4">
        <f>57.2275 * CHOOSE(CONTROL!$C$9, $C$13, 100%, $E$13) + CHOOSE(CONTROL!$C$28, 0.0192, 0)</f>
        <v>57.246699999999997</v>
      </c>
      <c r="D875" s="4">
        <f>84.0035 * CHOOSE(CONTROL!$C$9, $C$13, 100%, $E$13) + CHOOSE(CONTROL!$C$28, 0, 0)</f>
        <v>84.003500000000003</v>
      </c>
      <c r="E875" s="4">
        <f>406.103502989259 * CHOOSE(CONTROL!$C$9, $C$13, 100%, $E$13) + CHOOSE(CONTROL!$C$28, 0, 0)</f>
        <v>406.10350298925903</v>
      </c>
    </row>
    <row r="876" spans="1:5" ht="15">
      <c r="A876" s="13">
        <v>68180</v>
      </c>
      <c r="B876" s="4">
        <f>58.9511 * CHOOSE(CONTROL!$C$9, $C$13, 100%, $E$13) + CHOOSE(CONTROL!$C$28, 0.0192, 0)</f>
        <v>58.970299999999995</v>
      </c>
      <c r="C876" s="4">
        <f>58.5878 * CHOOSE(CONTROL!$C$9, $C$13, 100%, $E$13) + CHOOSE(CONTROL!$C$28, 0.0192, 0)</f>
        <v>58.606999999999999</v>
      </c>
      <c r="D876" s="4">
        <f>83.1229 * CHOOSE(CONTROL!$C$9, $C$13, 100%, $E$13) + CHOOSE(CONTROL!$C$28, 0, 0)</f>
        <v>83.122900000000001</v>
      </c>
      <c r="E876" s="4">
        <f>415.826471045238 * CHOOSE(CONTROL!$C$9, $C$13, 100%, $E$13) + CHOOSE(CONTROL!$C$28, 0, 0)</f>
        <v>415.82647104523801</v>
      </c>
    </row>
    <row r="877" spans="1:5" ht="15">
      <c r="A877" s="13">
        <v>68210</v>
      </c>
      <c r="B877" s="4">
        <f>56.6327 * CHOOSE(CONTROL!$C$9, $C$13, 100%, $E$13) + CHOOSE(CONTROL!$C$28, 0.0192, 0)</f>
        <v>56.651899999999998</v>
      </c>
      <c r="C877" s="4">
        <f>56.2694 * CHOOSE(CONTROL!$C$9, $C$13, 100%, $E$13) + CHOOSE(CONTROL!$C$28, 0.0192, 0)</f>
        <v>56.288599999999995</v>
      </c>
      <c r="D877" s="4">
        <f>82.7068 * CHOOSE(CONTROL!$C$9, $C$13, 100%, $E$13) + CHOOSE(CONTROL!$C$28, 0, 0)</f>
        <v>82.706800000000001</v>
      </c>
      <c r="E877" s="4">
        <f>399.255432464782 * CHOOSE(CONTROL!$C$9, $C$13, 100%, $E$13) + CHOOSE(CONTROL!$C$28, 0, 0)</f>
        <v>399.25543246478202</v>
      </c>
    </row>
    <row r="878" spans="1:5" ht="15">
      <c r="A878" s="13">
        <v>68241</v>
      </c>
      <c r="B878" s="4">
        <f>54.7767 * CHOOSE(CONTROL!$C$9, $C$13, 100%, $E$13) + CHOOSE(CONTROL!$C$28, 0.0003, 0)</f>
        <v>54.777000000000001</v>
      </c>
      <c r="C878" s="4">
        <f>54.4134 * CHOOSE(CONTROL!$C$9, $C$13, 100%, $E$13) + CHOOSE(CONTROL!$C$28, 0.0003, 0)</f>
        <v>54.413700000000006</v>
      </c>
      <c r="D878" s="4">
        <f>81.5927 * CHOOSE(CONTROL!$C$9, $C$13, 100%, $E$13) + CHOOSE(CONTROL!$C$28, 0, 0)</f>
        <v>81.592699999999994</v>
      </c>
      <c r="E878" s="4">
        <f>385.989987675229 * CHOOSE(CONTROL!$C$9, $C$13, 100%, $E$13) + CHOOSE(CONTROL!$C$28, 0, 0)</f>
        <v>385.98998767522897</v>
      </c>
    </row>
    <row r="879" spans="1:5" ht="15">
      <c r="A879" s="13">
        <v>68271</v>
      </c>
      <c r="B879" s="4">
        <f>53.5813 * CHOOSE(CONTROL!$C$9, $C$13, 100%, $E$13) + CHOOSE(CONTROL!$C$28, 0.0003, 0)</f>
        <v>53.581600000000002</v>
      </c>
      <c r="C879" s="4">
        <f>53.2181 * CHOOSE(CONTROL!$C$9, $C$13, 100%, $E$13) + CHOOSE(CONTROL!$C$28, 0.0003, 0)</f>
        <v>53.218400000000003</v>
      </c>
      <c r="D879" s="4">
        <f>81.2097 * CHOOSE(CONTROL!$C$9, $C$13, 100%, $E$13) + CHOOSE(CONTROL!$C$28, 0, 0)</f>
        <v>81.209699999999998</v>
      </c>
      <c r="E879" s="4">
        <f>377.446050629361 * CHOOSE(CONTROL!$C$9, $C$13, 100%, $E$13) + CHOOSE(CONTROL!$C$28, 0, 0)</f>
        <v>377.44605062936103</v>
      </c>
    </row>
    <row r="880" spans="1:5" ht="15">
      <c r="A880" s="13">
        <v>68302</v>
      </c>
      <c r="B880" s="4">
        <f>52.7543 * CHOOSE(CONTROL!$C$9, $C$13, 100%, $E$13) + CHOOSE(CONTROL!$C$28, 0.0003, 0)</f>
        <v>52.754600000000003</v>
      </c>
      <c r="C880" s="4">
        <f>52.391 * CHOOSE(CONTROL!$C$9, $C$13, 100%, $E$13) + CHOOSE(CONTROL!$C$28, 0.0003, 0)</f>
        <v>52.391300000000001</v>
      </c>
      <c r="D880" s="4">
        <f>78.3898 * CHOOSE(CONTROL!$C$9, $C$13, 100%, $E$13) + CHOOSE(CONTROL!$C$28, 0, 0)</f>
        <v>78.389799999999994</v>
      </c>
      <c r="E880" s="4">
        <f>371.534744469081 * CHOOSE(CONTROL!$C$9, $C$13, 100%, $E$13) + CHOOSE(CONTROL!$C$28, 0, 0)</f>
        <v>371.53474446908098</v>
      </c>
    </row>
    <row r="881" spans="1:5" ht="15">
      <c r="A881" s="13">
        <v>68333</v>
      </c>
      <c r="B881" s="4">
        <f>50.4915 * CHOOSE(CONTROL!$C$9, $C$13, 100%, $E$13) + CHOOSE(CONTROL!$C$28, 0.0003, 0)</f>
        <v>50.491800000000005</v>
      </c>
      <c r="C881" s="4">
        <f>50.1282 * CHOOSE(CONTROL!$C$9, $C$13, 100%, $E$13) + CHOOSE(CONTROL!$C$28, 0.0003, 0)</f>
        <v>50.128500000000003</v>
      </c>
      <c r="D881" s="4">
        <f>75.2835 * CHOOSE(CONTROL!$C$9, $C$13, 100%, $E$13) + CHOOSE(CONTROL!$C$28, 0, 0)</f>
        <v>75.283500000000004</v>
      </c>
      <c r="E881" s="4">
        <f>356.058812663903 * CHOOSE(CONTROL!$C$9, $C$13, 100%, $E$13) + CHOOSE(CONTROL!$C$28, 0, 0)</f>
        <v>356.05881266390298</v>
      </c>
    </row>
    <row r="882" spans="1:5" ht="15">
      <c r="A882" s="13">
        <v>68361</v>
      </c>
      <c r="B882" s="4">
        <f>51.672 * CHOOSE(CONTROL!$C$9, $C$13, 100%, $E$13) + CHOOSE(CONTROL!$C$28, 0.0003, 0)</f>
        <v>51.6723</v>
      </c>
      <c r="C882" s="4">
        <f>51.3088 * CHOOSE(CONTROL!$C$9, $C$13, 100%, $E$13) + CHOOSE(CONTROL!$C$28, 0.0003, 0)</f>
        <v>51.309100000000001</v>
      </c>
      <c r="D882" s="4">
        <f>77.8752 * CHOOSE(CONTROL!$C$9, $C$13, 100%, $E$13) + CHOOSE(CONTROL!$C$28, 0, 0)</f>
        <v>77.875200000000007</v>
      </c>
      <c r="E882" s="4">
        <f>364.513052072081 * CHOOSE(CONTROL!$C$9, $C$13, 100%, $E$13) + CHOOSE(CONTROL!$C$28, 0, 0)</f>
        <v>364.513052072081</v>
      </c>
    </row>
    <row r="883" spans="1:5" ht="15">
      <c r="A883" s="13">
        <v>68392</v>
      </c>
      <c r="B883" s="4">
        <f>54.7721 * CHOOSE(CONTROL!$C$9, $C$13, 100%, $E$13) + CHOOSE(CONTROL!$C$28, 0.0003, 0)</f>
        <v>54.772400000000005</v>
      </c>
      <c r="C883" s="4">
        <f>54.4088 * CHOOSE(CONTROL!$C$9, $C$13, 100%, $E$13) + CHOOSE(CONTROL!$C$28, 0.0003, 0)</f>
        <v>54.409100000000002</v>
      </c>
      <c r="D883" s="4">
        <f>81.9323 * CHOOSE(CONTROL!$C$9, $C$13, 100%, $E$13) + CHOOSE(CONTROL!$C$28, 0, 0)</f>
        <v>81.932299999999998</v>
      </c>
      <c r="E883" s="4">
        <f>386.714334043522 * CHOOSE(CONTROL!$C$9, $C$13, 100%, $E$13) + CHOOSE(CONTROL!$C$28, 0, 0)</f>
        <v>386.714334043522</v>
      </c>
    </row>
    <row r="884" spans="1:5" ht="15">
      <c r="A884" s="13">
        <v>68422</v>
      </c>
      <c r="B884" s="4">
        <f>56.9747 * CHOOSE(CONTROL!$C$9, $C$13, 100%, $E$13) + CHOOSE(CONTROL!$C$28, 0.0003, 0)</f>
        <v>56.975000000000001</v>
      </c>
      <c r="C884" s="4">
        <f>56.6115 * CHOOSE(CONTROL!$C$9, $C$13, 100%, $E$13) + CHOOSE(CONTROL!$C$28, 0.0003, 0)</f>
        <v>56.611800000000002</v>
      </c>
      <c r="D884" s="4">
        <f>84.2693 * CHOOSE(CONTROL!$C$9, $C$13, 100%, $E$13) + CHOOSE(CONTROL!$C$28, 0, 0)</f>
        <v>84.269300000000001</v>
      </c>
      <c r="E884" s="4">
        <f>402.488640755215 * CHOOSE(CONTROL!$C$9, $C$13, 100%, $E$13) + CHOOSE(CONTROL!$C$28, 0, 0)</f>
        <v>402.48864075521499</v>
      </c>
    </row>
    <row r="885" spans="1:5" ht="15">
      <c r="A885" s="13">
        <v>68453</v>
      </c>
      <c r="B885" s="4">
        <f>58.3205 * CHOOSE(CONTROL!$C$9, $C$13, 100%, $E$13) + CHOOSE(CONTROL!$C$28, 0.0192, 0)</f>
        <v>58.339700000000001</v>
      </c>
      <c r="C885" s="4">
        <f>57.9572 * CHOOSE(CONTROL!$C$9, $C$13, 100%, $E$13) + CHOOSE(CONTROL!$C$28, 0.0192, 0)</f>
        <v>57.976399999999998</v>
      </c>
      <c r="D885" s="4">
        <f>83.3458 * CHOOSE(CONTROL!$C$9, $C$13, 100%, $E$13) + CHOOSE(CONTROL!$C$28, 0, 0)</f>
        <v>83.345799999999997</v>
      </c>
      <c r="E885" s="4">
        <f>412.126364098692 * CHOOSE(CONTROL!$C$9, $C$13, 100%, $E$13) + CHOOSE(CONTROL!$C$28, 0, 0)</f>
        <v>412.12636409869202</v>
      </c>
    </row>
    <row r="886" spans="1:5" ht="15">
      <c r="A886" s="13">
        <v>68483</v>
      </c>
      <c r="B886" s="4">
        <f>58.5026 * CHOOSE(CONTROL!$C$9, $C$13, 100%, $E$13) + CHOOSE(CONTROL!$C$28, 0.0192, 0)</f>
        <v>58.521799999999999</v>
      </c>
      <c r="C886" s="4">
        <f>58.1393 * CHOOSE(CONTROL!$C$9, $C$13, 100%, $E$13) + CHOOSE(CONTROL!$C$28, 0.0192, 0)</f>
        <v>58.158499999999997</v>
      </c>
      <c r="D886" s="4">
        <f>84.0979 * CHOOSE(CONTROL!$C$9, $C$13, 100%, $E$13) + CHOOSE(CONTROL!$C$28, 0, 0)</f>
        <v>84.097899999999996</v>
      </c>
      <c r="E886" s="4">
        <f>413.430388064438 * CHOOSE(CONTROL!$C$9, $C$13, 100%, $E$13) + CHOOSE(CONTROL!$C$28, 0, 0)</f>
        <v>413.43038806443798</v>
      </c>
    </row>
    <row r="887" spans="1:5" ht="15">
      <c r="A887" s="13">
        <v>68514</v>
      </c>
      <c r="B887" s="4">
        <f>58.4842 * CHOOSE(CONTROL!$C$9, $C$13, 100%, $E$13) + CHOOSE(CONTROL!$C$28, 0.0192, 0)</f>
        <v>58.503399999999999</v>
      </c>
      <c r="C887" s="4">
        <f>58.1209 * CHOOSE(CONTROL!$C$9, $C$13, 100%, $E$13) + CHOOSE(CONTROL!$C$28, 0.0192, 0)</f>
        <v>58.140099999999997</v>
      </c>
      <c r="D887" s="4">
        <f>85.455 * CHOOSE(CONTROL!$C$9, $C$13, 100%, $E$13) + CHOOSE(CONTROL!$C$28, 0, 0)</f>
        <v>85.454999999999998</v>
      </c>
      <c r="E887" s="4">
        <f>413.298889849404 * CHOOSE(CONTROL!$C$9, $C$13, 100%, $E$13) + CHOOSE(CONTROL!$C$28, 0, 0)</f>
        <v>413.29888984940402</v>
      </c>
    </row>
    <row r="888" spans="1:5" ht="15">
      <c r="A888" s="13">
        <v>68545</v>
      </c>
      <c r="B888" s="4">
        <f>59.8659 * CHOOSE(CONTROL!$C$9, $C$13, 100%, $E$13) + CHOOSE(CONTROL!$C$28, 0.0192, 0)</f>
        <v>59.885100000000001</v>
      </c>
      <c r="C888" s="4">
        <f>59.5027 * CHOOSE(CONTROL!$C$9, $C$13, 100%, $E$13) + CHOOSE(CONTROL!$C$28, 0.0192, 0)</f>
        <v>59.521899999999995</v>
      </c>
      <c r="D888" s="4">
        <f>84.5588 * CHOOSE(CONTROL!$C$9, $C$13, 100%, $E$13) + CHOOSE(CONTROL!$C$28, 0, 0)</f>
        <v>84.558800000000005</v>
      </c>
      <c r="E888" s="4">
        <f>423.194130530654 * CHOOSE(CONTROL!$C$9, $C$13, 100%, $E$13) + CHOOSE(CONTROL!$C$28, 0, 0)</f>
        <v>423.19413053065398</v>
      </c>
    </row>
    <row r="889" spans="1:5" ht="15">
      <c r="A889" s="13">
        <v>68575</v>
      </c>
      <c r="B889" s="4">
        <f>57.511 * CHOOSE(CONTROL!$C$9, $C$13, 100%, $E$13) + CHOOSE(CONTROL!$C$28, 0.0192, 0)</f>
        <v>57.530200000000001</v>
      </c>
      <c r="C889" s="4">
        <f>57.1478 * CHOOSE(CONTROL!$C$9, $C$13, 100%, $E$13) + CHOOSE(CONTROL!$C$28, 0.0192, 0)</f>
        <v>57.166999999999994</v>
      </c>
      <c r="D889" s="4">
        <f>84.1354 * CHOOSE(CONTROL!$C$9, $C$13, 100%, $E$13) + CHOOSE(CONTROL!$C$28, 0, 0)</f>
        <v>84.135400000000004</v>
      </c>
      <c r="E889" s="4">
        <f>406.329484452644 * CHOOSE(CONTROL!$C$9, $C$13, 100%, $E$13) + CHOOSE(CONTROL!$C$28, 0, 0)</f>
        <v>406.32948445264401</v>
      </c>
    </row>
    <row r="890" spans="1:5" ht="15">
      <c r="A890" s="13">
        <v>68606</v>
      </c>
      <c r="B890" s="4">
        <f>55.6259 * CHOOSE(CONTROL!$C$9, $C$13, 100%, $E$13) + CHOOSE(CONTROL!$C$28, 0.0003, 0)</f>
        <v>55.626200000000004</v>
      </c>
      <c r="C890" s="4">
        <f>55.2626 * CHOOSE(CONTROL!$C$9, $C$13, 100%, $E$13) + CHOOSE(CONTROL!$C$28, 0.0003, 0)</f>
        <v>55.262900000000002</v>
      </c>
      <c r="D890" s="4">
        <f>83.0016 * CHOOSE(CONTROL!$C$9, $C$13, 100%, $E$13) + CHOOSE(CONTROL!$C$28, 0, 0)</f>
        <v>83.001599999999996</v>
      </c>
      <c r="E890" s="4">
        <f>392.829001042567 * CHOOSE(CONTROL!$C$9, $C$13, 100%, $E$13) + CHOOSE(CONTROL!$C$28, 0, 0)</f>
        <v>392.82900104256697</v>
      </c>
    </row>
    <row r="891" spans="1:5" ht="15">
      <c r="A891" s="13">
        <v>68636</v>
      </c>
      <c r="B891" s="4">
        <f>54.4117 * CHOOSE(CONTROL!$C$9, $C$13, 100%, $E$13) + CHOOSE(CONTROL!$C$28, 0.0003, 0)</f>
        <v>54.412000000000006</v>
      </c>
      <c r="C891" s="4">
        <f>54.0485 * CHOOSE(CONTROL!$C$9, $C$13, 100%, $E$13) + CHOOSE(CONTROL!$C$28, 0.0003, 0)</f>
        <v>54.0488</v>
      </c>
      <c r="D891" s="4">
        <f>82.6118 * CHOOSE(CONTROL!$C$9, $C$13, 100%, $E$13) + CHOOSE(CONTROL!$C$28, 0, 0)</f>
        <v>82.611800000000002</v>
      </c>
      <c r="E891" s="4">
        <f>384.133681573495 * CHOOSE(CONTROL!$C$9, $C$13, 100%, $E$13) + CHOOSE(CONTROL!$C$28, 0, 0)</f>
        <v>384.13368157349498</v>
      </c>
    </row>
    <row r="892" spans="1:5" ht="15">
      <c r="A892" s="13">
        <v>68667</v>
      </c>
      <c r="B892" s="4">
        <f>53.5717 * CHOOSE(CONTROL!$C$9, $C$13, 100%, $E$13) + CHOOSE(CONTROL!$C$28, 0.0003, 0)</f>
        <v>53.572000000000003</v>
      </c>
      <c r="C892" s="4">
        <f>53.2084 * CHOOSE(CONTROL!$C$9, $C$13, 100%, $E$13) + CHOOSE(CONTROL!$C$28, 0.0003, 0)</f>
        <v>53.2087</v>
      </c>
      <c r="D892" s="4">
        <f>79.7421 * CHOOSE(CONTROL!$C$9, $C$13, 100%, $E$13) + CHOOSE(CONTROL!$C$28, 0, 0)</f>
        <v>79.742099999999994</v>
      </c>
      <c r="E892" s="4">
        <f>378.117638235726 * CHOOSE(CONTROL!$C$9, $C$13, 100%, $E$13) + CHOOSE(CONTROL!$C$28, 0, 0)</f>
        <v>378.11763823572602</v>
      </c>
    </row>
    <row r="893" spans="1:5" ht="15">
      <c r="A893" s="13">
        <v>68698</v>
      </c>
      <c r="B893" s="4">
        <f>51.2733 * CHOOSE(CONTROL!$C$9, $C$13, 100%, $E$13) + CHOOSE(CONTROL!$C$28, 0.0003, 0)</f>
        <v>51.273600000000002</v>
      </c>
      <c r="C893" s="4">
        <f>50.9101 * CHOOSE(CONTROL!$C$9, $C$13, 100%, $E$13) + CHOOSE(CONTROL!$C$28, 0.0003, 0)</f>
        <v>50.910400000000003</v>
      </c>
      <c r="D893" s="4">
        <f>76.5809 * CHOOSE(CONTROL!$C$9, $C$13, 100%, $E$13) + CHOOSE(CONTROL!$C$28, 0, 0)</f>
        <v>76.5809</v>
      </c>
      <c r="E893" s="4">
        <f>362.36750215617 * CHOOSE(CONTROL!$C$9, $C$13, 100%, $E$13) + CHOOSE(CONTROL!$C$28, 0, 0)</f>
        <v>362.36750215617002</v>
      </c>
    </row>
    <row r="894" spans="1:5" ht="15">
      <c r="A894" s="13">
        <v>68727</v>
      </c>
      <c r="B894" s="4">
        <f>52.4724 * CHOOSE(CONTROL!$C$9, $C$13, 100%, $E$13) + CHOOSE(CONTROL!$C$28, 0.0003, 0)</f>
        <v>52.472700000000003</v>
      </c>
      <c r="C894" s="4">
        <f>52.1091 * CHOOSE(CONTROL!$C$9, $C$13, 100%, $E$13) + CHOOSE(CONTROL!$C$28, 0.0003, 0)</f>
        <v>52.109400000000001</v>
      </c>
      <c r="D894" s="4">
        <f>79.2184 * CHOOSE(CONTROL!$C$9, $C$13, 100%, $E$13) + CHOOSE(CONTROL!$C$28, 0, 0)</f>
        <v>79.218400000000003</v>
      </c>
      <c r="E894" s="4">
        <f>370.971534714867 * CHOOSE(CONTROL!$C$9, $C$13, 100%, $E$13) + CHOOSE(CONTROL!$C$28, 0, 0)</f>
        <v>370.971534714867</v>
      </c>
    </row>
    <row r="895" spans="1:5" ht="15">
      <c r="A895" s="13">
        <v>68758</v>
      </c>
      <c r="B895" s="4">
        <f>55.6212 * CHOOSE(CONTROL!$C$9, $C$13, 100%, $E$13) + CHOOSE(CONTROL!$C$28, 0.0003, 0)</f>
        <v>55.621500000000005</v>
      </c>
      <c r="C895" s="4">
        <f>55.2579 * CHOOSE(CONTROL!$C$9, $C$13, 100%, $E$13) + CHOOSE(CONTROL!$C$28, 0.0003, 0)</f>
        <v>55.258200000000002</v>
      </c>
      <c r="D895" s="4">
        <f>83.3472 * CHOOSE(CONTROL!$C$9, $C$13, 100%, $E$13) + CHOOSE(CONTROL!$C$28, 0, 0)</f>
        <v>83.347200000000001</v>
      </c>
      <c r="E895" s="4">
        <f>393.566181460067 * CHOOSE(CONTROL!$C$9, $C$13, 100%, $E$13) + CHOOSE(CONTROL!$C$28, 0, 0)</f>
        <v>393.56618146006701</v>
      </c>
    </row>
    <row r="896" spans="1:5" ht="15">
      <c r="A896" s="13">
        <v>68788</v>
      </c>
      <c r="B896" s="4">
        <f>57.8585 * CHOOSE(CONTROL!$C$9, $C$13, 100%, $E$13) + CHOOSE(CONTROL!$C$28, 0.0003, 0)</f>
        <v>57.858800000000002</v>
      </c>
      <c r="C896" s="4">
        <f>57.4952 * CHOOSE(CONTROL!$C$9, $C$13, 100%, $E$13) + CHOOSE(CONTROL!$C$28, 0.0003, 0)</f>
        <v>57.4955</v>
      </c>
      <c r="D896" s="4">
        <f>85.7255 * CHOOSE(CONTROL!$C$9, $C$13, 100%, $E$13) + CHOOSE(CONTROL!$C$28, 0, 0)</f>
        <v>85.725499999999997</v>
      </c>
      <c r="E896" s="4">
        <f>409.61997908579 * CHOOSE(CONTROL!$C$9, $C$13, 100%, $E$13) + CHOOSE(CONTROL!$C$28, 0, 0)</f>
        <v>409.61997908579002</v>
      </c>
    </row>
    <row r="897" spans="1:5" ht="15">
      <c r="A897" s="13">
        <v>68819</v>
      </c>
      <c r="B897" s="4">
        <f>59.2254 * CHOOSE(CONTROL!$C$9, $C$13, 100%, $E$13) + CHOOSE(CONTROL!$C$28, 0.0192, 0)</f>
        <v>59.244599999999998</v>
      </c>
      <c r="C897" s="4">
        <f>58.8621 * CHOOSE(CONTROL!$C$9, $C$13, 100%, $E$13) + CHOOSE(CONTROL!$C$28, 0.0192, 0)</f>
        <v>58.881299999999996</v>
      </c>
      <c r="D897" s="4">
        <f>84.7857 * CHOOSE(CONTROL!$C$9, $C$13, 100%, $E$13) + CHOOSE(CONTROL!$C$28, 0, 0)</f>
        <v>84.785700000000006</v>
      </c>
      <c r="E897" s="4">
        <f>419.428464679276 * CHOOSE(CONTROL!$C$9, $C$13, 100%, $E$13) + CHOOSE(CONTROL!$C$28, 0, 0)</f>
        <v>419.42846467927598</v>
      </c>
    </row>
    <row r="898" spans="1:5" ht="15">
      <c r="A898" s="13">
        <v>68849</v>
      </c>
      <c r="B898" s="4">
        <f>59.4104 * CHOOSE(CONTROL!$C$9, $C$13, 100%, $E$13) + CHOOSE(CONTROL!$C$28, 0.0192, 0)</f>
        <v>59.429600000000001</v>
      </c>
      <c r="C898" s="4">
        <f>59.0471 * CHOOSE(CONTROL!$C$9, $C$13, 100%, $E$13) + CHOOSE(CONTROL!$C$28, 0.0192, 0)</f>
        <v>59.066299999999998</v>
      </c>
      <c r="D898" s="4">
        <f>85.5511 * CHOOSE(CONTROL!$C$9, $C$13, 100%, $E$13) + CHOOSE(CONTROL!$C$28, 0, 0)</f>
        <v>85.551100000000005</v>
      </c>
      <c r="E898" s="4">
        <f>420.755593486126 * CHOOSE(CONTROL!$C$9, $C$13, 100%, $E$13) + CHOOSE(CONTROL!$C$28, 0, 0)</f>
        <v>420.75559348612597</v>
      </c>
    </row>
    <row r="899" spans="1:5" ht="15">
      <c r="A899" s="13">
        <v>68880</v>
      </c>
      <c r="B899" s="4">
        <f>59.3917 * CHOOSE(CONTROL!$C$9, $C$13, 100%, $E$13) + CHOOSE(CONTROL!$C$28, 0.0192, 0)</f>
        <v>59.410899999999998</v>
      </c>
      <c r="C899" s="4">
        <f>59.0284 * CHOOSE(CONTROL!$C$9, $C$13, 100%, $E$13) + CHOOSE(CONTROL!$C$28, 0.0192, 0)</f>
        <v>59.047599999999996</v>
      </c>
      <c r="D899" s="4">
        <f>86.9321 * CHOOSE(CONTROL!$C$9, $C$13, 100%, $E$13) + CHOOSE(CONTROL!$C$28, 0, 0)</f>
        <v>86.932100000000005</v>
      </c>
      <c r="E899" s="4">
        <f>420.62176537115 * CHOOSE(CONTROL!$C$9, $C$13, 100%, $E$13) + CHOOSE(CONTROL!$C$28, 0, 0)</f>
        <v>420.62176537114999</v>
      </c>
    </row>
    <row r="900" spans="1:5" ht="15">
      <c r="A900" s="13">
        <v>68911</v>
      </c>
      <c r="B900" s="4">
        <f>60.7952 * CHOOSE(CONTROL!$C$9, $C$13, 100%, $E$13) + CHOOSE(CONTROL!$C$28, 0.0192, 0)</f>
        <v>60.814399999999999</v>
      </c>
      <c r="C900" s="4">
        <f>60.4319 * CHOOSE(CONTROL!$C$9, $C$13, 100%, $E$13) + CHOOSE(CONTROL!$C$28, 0.0192, 0)</f>
        <v>60.451099999999997</v>
      </c>
      <c r="D900" s="4">
        <f>86.0201 * CHOOSE(CONTROL!$C$9, $C$13, 100%, $E$13) + CHOOSE(CONTROL!$C$28, 0, 0)</f>
        <v>86.020099999999999</v>
      </c>
      <c r="E900" s="4">
        <f>430.692331023132 * CHOOSE(CONTROL!$C$9, $C$13, 100%, $E$13) + CHOOSE(CONTROL!$C$28, 0, 0)</f>
        <v>430.692331023132</v>
      </c>
    </row>
    <row r="901" spans="1:5" ht="15">
      <c r="A901" s="13">
        <v>68941</v>
      </c>
      <c r="B901" s="4">
        <f>58.4032 * CHOOSE(CONTROL!$C$9, $C$13, 100%, $E$13) + CHOOSE(CONTROL!$C$28, 0.0192, 0)</f>
        <v>58.422399999999996</v>
      </c>
      <c r="C901" s="4">
        <f>58.04 * CHOOSE(CONTROL!$C$9, $C$13, 100%, $E$13) + CHOOSE(CONTROL!$C$28, 0.0192, 0)</f>
        <v>58.059199999999997</v>
      </c>
      <c r="D901" s="4">
        <f>85.5892 * CHOOSE(CONTROL!$C$9, $C$13, 100%, $E$13) + CHOOSE(CONTROL!$C$28, 0, 0)</f>
        <v>85.589200000000005</v>
      </c>
      <c r="E901" s="4">
        <f>413.528875277395 * CHOOSE(CONTROL!$C$9, $C$13, 100%, $E$13) + CHOOSE(CONTROL!$C$28, 0, 0)</f>
        <v>413.528875277395</v>
      </c>
    </row>
    <row r="902" spans="1:5" ht="15">
      <c r="A902" s="13">
        <v>68972</v>
      </c>
      <c r="B902" s="4">
        <f>56.4885 * CHOOSE(CONTROL!$C$9, $C$13, 100%, $E$13) + CHOOSE(CONTROL!$C$28, 0.0003, 0)</f>
        <v>56.488800000000005</v>
      </c>
      <c r="C902" s="4">
        <f>56.1252 * CHOOSE(CONTROL!$C$9, $C$13, 100%, $E$13) + CHOOSE(CONTROL!$C$28, 0.0003, 0)</f>
        <v>56.125500000000002</v>
      </c>
      <c r="D902" s="4">
        <f>84.4354 * CHOOSE(CONTROL!$C$9, $C$13, 100%, $E$13) + CHOOSE(CONTROL!$C$28, 0, 0)</f>
        <v>84.435400000000001</v>
      </c>
      <c r="E902" s="4">
        <f>399.789188806474 * CHOOSE(CONTROL!$C$9, $C$13, 100%, $E$13) + CHOOSE(CONTROL!$C$28, 0, 0)</f>
        <v>399.78918880647399</v>
      </c>
    </row>
    <row r="903" spans="1:5" ht="15">
      <c r="A903" s="13">
        <v>69002</v>
      </c>
      <c r="B903" s="4">
        <f>55.2552 * CHOOSE(CONTROL!$C$9, $C$13, 100%, $E$13) + CHOOSE(CONTROL!$C$28, 0.0003, 0)</f>
        <v>55.255500000000005</v>
      </c>
      <c r="C903" s="4">
        <f>54.8919 * CHOOSE(CONTROL!$C$9, $C$13, 100%, $E$13) + CHOOSE(CONTROL!$C$28, 0.0003, 0)</f>
        <v>54.892200000000003</v>
      </c>
      <c r="D903" s="4">
        <f>84.0387 * CHOOSE(CONTROL!$C$9, $C$13, 100%, $E$13) + CHOOSE(CONTROL!$C$28, 0, 0)</f>
        <v>84.038700000000006</v>
      </c>
      <c r="E903" s="4">
        <f>390.939804703653 * CHOOSE(CONTROL!$C$9, $C$13, 100%, $E$13) + CHOOSE(CONTROL!$C$28, 0, 0)</f>
        <v>390.93980470365301</v>
      </c>
    </row>
    <row r="904" spans="1:5" ht="15">
      <c r="A904" s="13">
        <v>69033</v>
      </c>
      <c r="B904" s="4">
        <f>54.402 * CHOOSE(CONTROL!$C$9, $C$13, 100%, $E$13) + CHOOSE(CONTROL!$C$28, 0.0003, 0)</f>
        <v>54.402300000000004</v>
      </c>
      <c r="C904" s="4">
        <f>54.0387 * CHOOSE(CONTROL!$C$9, $C$13, 100%, $E$13) + CHOOSE(CONTROL!$C$28, 0.0003, 0)</f>
        <v>54.039000000000001</v>
      </c>
      <c r="D904" s="4">
        <f>81.1183 * CHOOSE(CONTROL!$C$9, $C$13, 100%, $E$13) + CHOOSE(CONTROL!$C$28, 0, 0)</f>
        <v>81.118300000000005</v>
      </c>
      <c r="E904" s="4">
        <f>384.817168443478 * CHOOSE(CONTROL!$C$9, $C$13, 100%, $E$13) + CHOOSE(CONTROL!$C$28, 0, 0)</f>
        <v>384.81716844347801</v>
      </c>
    </row>
    <row r="905" spans="1:5" ht="15">
      <c r="A905" s="13">
        <v>69064</v>
      </c>
      <c r="B905" s="4">
        <f>52.0674 * CHOOSE(CONTROL!$C$9, $C$13, 100%, $E$13) + CHOOSE(CONTROL!$C$28, 0.0003, 0)</f>
        <v>52.067700000000002</v>
      </c>
      <c r="C905" s="4">
        <f>51.7042 * CHOOSE(CONTROL!$C$9, $C$13, 100%, $E$13) + CHOOSE(CONTROL!$C$28, 0.0003, 0)</f>
        <v>51.704500000000003</v>
      </c>
      <c r="D905" s="4">
        <f>77.9013 * CHOOSE(CONTROL!$C$9, $C$13, 100%, $E$13) + CHOOSE(CONTROL!$C$28, 0, 0)</f>
        <v>77.901300000000006</v>
      </c>
      <c r="E905" s="4">
        <f>368.78796970783 * CHOOSE(CONTROL!$C$9, $C$13, 100%, $E$13) + CHOOSE(CONTROL!$C$28, 0, 0)</f>
        <v>368.78796970782997</v>
      </c>
    </row>
    <row r="906" spans="1:5" ht="15">
      <c r="A906" s="13">
        <v>69092</v>
      </c>
      <c r="B906" s="4">
        <f>53.2854 * CHOOSE(CONTROL!$C$9, $C$13, 100%, $E$13) + CHOOSE(CONTROL!$C$28, 0.0003, 0)</f>
        <v>53.285700000000006</v>
      </c>
      <c r="C906" s="4">
        <f>52.9221 * CHOOSE(CONTROL!$C$9, $C$13, 100%, $E$13) + CHOOSE(CONTROL!$C$28, 0.0003, 0)</f>
        <v>52.922400000000003</v>
      </c>
      <c r="D906" s="4">
        <f>80.5853 * CHOOSE(CONTROL!$C$9, $C$13, 100%, $E$13) + CHOOSE(CONTROL!$C$28, 0, 0)</f>
        <v>80.585300000000004</v>
      </c>
      <c r="E906" s="4">
        <f>377.544449468686 * CHOOSE(CONTROL!$C$9, $C$13, 100%, $E$13) + CHOOSE(CONTROL!$C$28, 0, 0)</f>
        <v>377.54444946868603</v>
      </c>
    </row>
    <row r="907" spans="1:5" ht="15">
      <c r="A907" s="13">
        <v>69123</v>
      </c>
      <c r="B907" s="4">
        <f>56.4837 * CHOOSE(CONTROL!$C$9, $C$13, 100%, $E$13) + CHOOSE(CONTROL!$C$28, 0.0003, 0)</f>
        <v>56.484000000000002</v>
      </c>
      <c r="C907" s="4">
        <f>56.1204 * CHOOSE(CONTROL!$C$9, $C$13, 100%, $E$13) + CHOOSE(CONTROL!$C$28, 0.0003, 0)</f>
        <v>56.120699999999999</v>
      </c>
      <c r="D907" s="4">
        <f>84.7871 * CHOOSE(CONTROL!$C$9, $C$13, 100%, $E$13) + CHOOSE(CONTROL!$C$28, 0, 0)</f>
        <v>84.787099999999995</v>
      </c>
      <c r="E907" s="4">
        <f>400.539430668287 * CHOOSE(CONTROL!$C$9, $C$13, 100%, $E$13) + CHOOSE(CONTROL!$C$28, 0, 0)</f>
        <v>400.53943066828703</v>
      </c>
    </row>
    <row r="908" spans="1:5" ht="15">
      <c r="A908" s="13">
        <v>69153</v>
      </c>
      <c r="B908" s="4">
        <f>58.7562 * CHOOSE(CONTROL!$C$9, $C$13, 100%, $E$13) + CHOOSE(CONTROL!$C$28, 0.0003, 0)</f>
        <v>58.756500000000003</v>
      </c>
      <c r="C908" s="4">
        <f>58.3929 * CHOOSE(CONTROL!$C$9, $C$13, 100%, $E$13) + CHOOSE(CONTROL!$C$28, 0.0003, 0)</f>
        <v>58.3932</v>
      </c>
      <c r="D908" s="4">
        <f>87.2074 * CHOOSE(CONTROL!$C$9, $C$13, 100%, $E$13) + CHOOSE(CONTROL!$C$28, 0, 0)</f>
        <v>87.207400000000007</v>
      </c>
      <c r="E908" s="4">
        <f>416.877671259022 * CHOOSE(CONTROL!$C$9, $C$13, 100%, $E$13) + CHOOSE(CONTROL!$C$28, 0, 0)</f>
        <v>416.87767125902201</v>
      </c>
    </row>
    <row r="909" spans="1:5" ht="15">
      <c r="A909" s="13">
        <v>69184</v>
      </c>
      <c r="B909" s="4">
        <f>60.1446 * CHOOSE(CONTROL!$C$9, $C$13, 100%, $E$13) + CHOOSE(CONTROL!$C$28, 0.0192, 0)</f>
        <v>60.163799999999995</v>
      </c>
      <c r="C909" s="4">
        <f>59.7813 * CHOOSE(CONTROL!$C$9, $C$13, 100%, $E$13) + CHOOSE(CONTROL!$C$28, 0.0192, 0)</f>
        <v>59.8005</v>
      </c>
      <c r="D909" s="4">
        <f>86.251 * CHOOSE(CONTROL!$C$9, $C$13, 100%, $E$13) + CHOOSE(CONTROL!$C$28, 0, 0)</f>
        <v>86.251000000000005</v>
      </c>
      <c r="E909" s="4">
        <f>426.859944686983 * CHOOSE(CONTROL!$C$9, $C$13, 100%, $E$13) + CHOOSE(CONTROL!$C$28, 0, 0)</f>
        <v>426.859944686983</v>
      </c>
    </row>
    <row r="910" spans="1:5" ht="15">
      <c r="A910" s="13">
        <v>69214</v>
      </c>
      <c r="B910" s="4">
        <f>60.3324 * CHOOSE(CONTROL!$C$9, $C$13, 100%, $E$13) + CHOOSE(CONTROL!$C$28, 0.0192, 0)</f>
        <v>60.351599999999998</v>
      </c>
      <c r="C910" s="4">
        <f>59.9691 * CHOOSE(CONTROL!$C$9, $C$13, 100%, $E$13) + CHOOSE(CONTROL!$C$28, 0.0192, 0)</f>
        <v>59.988299999999995</v>
      </c>
      <c r="D910" s="4">
        <f>87.0299 * CHOOSE(CONTROL!$C$9, $C$13, 100%, $E$13) + CHOOSE(CONTROL!$C$28, 0, 0)</f>
        <v>87.029899999999998</v>
      </c>
      <c r="E910" s="4">
        <f>428.210587709072 * CHOOSE(CONTROL!$C$9, $C$13, 100%, $E$13) + CHOOSE(CONTROL!$C$28, 0, 0)</f>
        <v>428.210587709072</v>
      </c>
    </row>
    <row r="911" spans="1:5" ht="15">
      <c r="A911" s="13">
        <v>69245</v>
      </c>
      <c r="B911" s="4">
        <f>60.3135 * CHOOSE(CONTROL!$C$9, $C$13, 100%, $E$13) + CHOOSE(CONTROL!$C$28, 0.0192, 0)</f>
        <v>60.332699999999996</v>
      </c>
      <c r="C911" s="4">
        <f>59.9502 * CHOOSE(CONTROL!$C$9, $C$13, 100%, $E$13) + CHOOSE(CONTROL!$C$28, 0.0192, 0)</f>
        <v>59.9694</v>
      </c>
      <c r="D911" s="4">
        <f>88.4354 * CHOOSE(CONTROL!$C$9, $C$13, 100%, $E$13) + CHOOSE(CONTROL!$C$28, 0, 0)</f>
        <v>88.435400000000001</v>
      </c>
      <c r="E911" s="4">
        <f>428.074388412727 * CHOOSE(CONTROL!$C$9, $C$13, 100%, $E$13) + CHOOSE(CONTROL!$C$28, 0, 0)</f>
        <v>428.07438841272699</v>
      </c>
    </row>
    <row r="912" spans="1:5" ht="15">
      <c r="A912" s="13">
        <v>69276</v>
      </c>
      <c r="B912" s="4">
        <f>61.739 * CHOOSE(CONTROL!$C$9, $C$13, 100%, $E$13) + CHOOSE(CONTROL!$C$28, 0.0192, 0)</f>
        <v>61.758199999999995</v>
      </c>
      <c r="C912" s="4">
        <f>61.3757 * CHOOSE(CONTROL!$C$9, $C$13, 100%, $E$13) + CHOOSE(CONTROL!$C$28, 0.0192, 0)</f>
        <v>61.3949</v>
      </c>
      <c r="D912" s="4">
        <f>87.5072 * CHOOSE(CONTROL!$C$9, $C$13, 100%, $E$13) + CHOOSE(CONTROL!$C$28, 0, 0)</f>
        <v>87.507199999999997</v>
      </c>
      <c r="E912" s="4">
        <f>438.323385462697 * CHOOSE(CONTROL!$C$9, $C$13, 100%, $E$13) + CHOOSE(CONTROL!$C$28, 0, 0)</f>
        <v>438.32338546269699</v>
      </c>
    </row>
    <row r="913" spans="1:5" ht="15">
      <c r="A913" s="13">
        <v>69306</v>
      </c>
      <c r="B913" s="4">
        <f>59.3095 * CHOOSE(CONTROL!$C$9, $C$13, 100%, $E$13) + CHOOSE(CONTROL!$C$28, 0.0192, 0)</f>
        <v>59.328699999999998</v>
      </c>
      <c r="C913" s="4">
        <f>58.9462 * CHOOSE(CONTROL!$C$9, $C$13, 100%, $E$13) + CHOOSE(CONTROL!$C$28, 0.0192, 0)</f>
        <v>58.965399999999995</v>
      </c>
      <c r="D913" s="4">
        <f>87.0687 * CHOOSE(CONTROL!$C$9, $C$13, 100%, $E$13) + CHOOSE(CONTROL!$C$28, 0, 0)</f>
        <v>87.068700000000007</v>
      </c>
      <c r="E913" s="4">
        <f>420.855825706435 * CHOOSE(CONTROL!$C$9, $C$13, 100%, $E$13) + CHOOSE(CONTROL!$C$28, 0, 0)</f>
        <v>420.85582570643498</v>
      </c>
    </row>
    <row r="914" spans="1:5" ht="15">
      <c r="A914" s="13">
        <v>69337</v>
      </c>
      <c r="B914" s="4">
        <f>57.3646 * CHOOSE(CONTROL!$C$9, $C$13, 100%, $E$13) + CHOOSE(CONTROL!$C$28, 0.0003, 0)</f>
        <v>57.364900000000006</v>
      </c>
      <c r="C914" s="4">
        <f>57.0013 * CHOOSE(CONTROL!$C$9, $C$13, 100%, $E$13) + CHOOSE(CONTROL!$C$28, 0.0003, 0)</f>
        <v>57.001600000000003</v>
      </c>
      <c r="D914" s="4">
        <f>85.8945 * CHOOSE(CONTROL!$C$9, $C$13, 100%, $E$13) + CHOOSE(CONTROL!$C$28, 0, 0)</f>
        <v>85.894499999999994</v>
      </c>
      <c r="E914" s="4">
        <f>406.872697948336 * CHOOSE(CONTROL!$C$9, $C$13, 100%, $E$13) + CHOOSE(CONTROL!$C$28, 0, 0)</f>
        <v>406.872697948336</v>
      </c>
    </row>
    <row r="915" spans="1:5" ht="15">
      <c r="A915" s="13">
        <v>69367</v>
      </c>
      <c r="B915" s="4">
        <f>56.1119 * CHOOSE(CONTROL!$C$9, $C$13, 100%, $E$13) + CHOOSE(CONTROL!$C$28, 0.0003, 0)</f>
        <v>56.112200000000001</v>
      </c>
      <c r="C915" s="4">
        <f>55.7486 * CHOOSE(CONTROL!$C$9, $C$13, 100%, $E$13) + CHOOSE(CONTROL!$C$28, 0.0003, 0)</f>
        <v>55.748900000000006</v>
      </c>
      <c r="D915" s="4">
        <f>85.4908 * CHOOSE(CONTROL!$C$9, $C$13, 100%, $E$13) + CHOOSE(CONTROL!$C$28, 0, 0)</f>
        <v>85.490799999999993</v>
      </c>
      <c r="E915" s="4">
        <f>397.866519477514 * CHOOSE(CONTROL!$C$9, $C$13, 100%, $E$13) + CHOOSE(CONTROL!$C$28, 0, 0)</f>
        <v>397.86651947751398</v>
      </c>
    </row>
    <row r="916" spans="1:5" ht="15">
      <c r="A916" s="13">
        <v>69398</v>
      </c>
      <c r="B916" s="4">
        <f>55.2453 * CHOOSE(CONTROL!$C$9, $C$13, 100%, $E$13) + CHOOSE(CONTROL!$C$28, 0.0003, 0)</f>
        <v>55.245600000000003</v>
      </c>
      <c r="C916" s="4">
        <f>54.882 * CHOOSE(CONTROL!$C$9, $C$13, 100%, $E$13) + CHOOSE(CONTROL!$C$28, 0.0003, 0)</f>
        <v>54.882300000000001</v>
      </c>
      <c r="D916" s="4">
        <f>82.5188 * CHOOSE(CONTROL!$C$9, $C$13, 100%, $E$13) + CHOOSE(CONTROL!$C$28, 0, 0)</f>
        <v>82.518799999999999</v>
      </c>
      <c r="E916" s="4">
        <f>391.635401669725 * CHOOSE(CONTROL!$C$9, $C$13, 100%, $E$13) + CHOOSE(CONTROL!$C$28, 0, 0)</f>
        <v>391.63540166972501</v>
      </c>
    </row>
    <row r="917" spans="1:5" ht="15">
      <c r="A917" s="13">
        <v>69429</v>
      </c>
      <c r="B917" s="4">
        <f>52.874 * CHOOSE(CONTROL!$C$9, $C$13, 100%, $E$13) + CHOOSE(CONTROL!$C$28, 0.0003, 0)</f>
        <v>52.874300000000005</v>
      </c>
      <c r="C917" s="4">
        <f>52.5108 * CHOOSE(CONTROL!$C$9, $C$13, 100%, $E$13) + CHOOSE(CONTROL!$C$28, 0.0003, 0)</f>
        <v>52.511100000000006</v>
      </c>
      <c r="D917" s="4">
        <f>79.2449 * CHOOSE(CONTROL!$C$9, $C$13, 100%, $E$13) + CHOOSE(CONTROL!$C$28, 0, 0)</f>
        <v>79.244900000000001</v>
      </c>
      <c r="E917" s="4">
        <f>375.322195814926 * CHOOSE(CONTROL!$C$9, $C$13, 100%, $E$13) + CHOOSE(CONTROL!$C$28, 0, 0)</f>
        <v>375.32219581492598</v>
      </c>
    </row>
    <row r="918" spans="1:5" ht="15">
      <c r="A918" s="13">
        <v>69457</v>
      </c>
      <c r="B918" s="4">
        <f>54.1111 * CHOOSE(CONTROL!$C$9, $C$13, 100%, $E$13) + CHOOSE(CONTROL!$C$28, 0.0003, 0)</f>
        <v>54.111400000000003</v>
      </c>
      <c r="C918" s="4">
        <f>53.7478 * CHOOSE(CONTROL!$C$9, $C$13, 100%, $E$13) + CHOOSE(CONTROL!$C$28, 0.0003, 0)</f>
        <v>53.748100000000001</v>
      </c>
      <c r="D918" s="4">
        <f>81.9764 * CHOOSE(CONTROL!$C$9, $C$13, 100%, $E$13) + CHOOSE(CONTROL!$C$28, 0, 0)</f>
        <v>81.976399999999998</v>
      </c>
      <c r="E918" s="4">
        <f>384.233823854357 * CHOOSE(CONTROL!$C$9, $C$13, 100%, $E$13) + CHOOSE(CONTROL!$C$28, 0, 0)</f>
        <v>384.23382385435701</v>
      </c>
    </row>
    <row r="919" spans="1:5" ht="15">
      <c r="A919" s="13">
        <v>69488</v>
      </c>
      <c r="B919" s="4">
        <f>57.3597 * CHOOSE(CONTROL!$C$9, $C$13, 100%, $E$13) + CHOOSE(CONTROL!$C$28, 0.0003, 0)</f>
        <v>57.36</v>
      </c>
      <c r="C919" s="4">
        <f>56.9965 * CHOOSE(CONTROL!$C$9, $C$13, 100%, $E$13) + CHOOSE(CONTROL!$C$28, 0.0003, 0)</f>
        <v>56.9968</v>
      </c>
      <c r="D919" s="4">
        <f>86.2524 * CHOOSE(CONTROL!$C$9, $C$13, 100%, $E$13) + CHOOSE(CONTROL!$C$28, 0, 0)</f>
        <v>86.252399999999994</v>
      </c>
      <c r="E919" s="4">
        <f>407.63623267858 * CHOOSE(CONTROL!$C$9, $C$13, 100%, $E$13) + CHOOSE(CONTROL!$C$28, 0, 0)</f>
        <v>407.63623267857997</v>
      </c>
    </row>
    <row r="920" spans="1:5" ht="15">
      <c r="A920" s="13">
        <v>69518</v>
      </c>
      <c r="B920" s="4">
        <f>59.6679 * CHOOSE(CONTROL!$C$9, $C$13, 100%, $E$13) + CHOOSE(CONTROL!$C$28, 0.0003, 0)</f>
        <v>59.668200000000006</v>
      </c>
      <c r="C920" s="4">
        <f>59.3046 * CHOOSE(CONTROL!$C$9, $C$13, 100%, $E$13) + CHOOSE(CONTROL!$C$28, 0.0003, 0)</f>
        <v>59.304900000000004</v>
      </c>
      <c r="D920" s="4">
        <f>88.7155 * CHOOSE(CONTROL!$C$9, $C$13, 100%, $E$13) + CHOOSE(CONTROL!$C$28, 0, 0)</f>
        <v>88.715500000000006</v>
      </c>
      <c r="E920" s="4">
        <f>424.263956026293 * CHOOSE(CONTROL!$C$9, $C$13, 100%, $E$13) + CHOOSE(CONTROL!$C$28, 0, 0)</f>
        <v>424.26395602629299</v>
      </c>
    </row>
    <row r="921" spans="1:5" ht="15">
      <c r="A921" s="13">
        <v>69549</v>
      </c>
      <c r="B921" s="4">
        <f>61.0782 * CHOOSE(CONTROL!$C$9, $C$13, 100%, $E$13) + CHOOSE(CONTROL!$C$28, 0.0192, 0)</f>
        <v>61.0974</v>
      </c>
      <c r="C921" s="4">
        <f>60.7149 * CHOOSE(CONTROL!$C$9, $C$13, 100%, $E$13) + CHOOSE(CONTROL!$C$28, 0.0192, 0)</f>
        <v>60.734099999999998</v>
      </c>
      <c r="D921" s="4">
        <f>87.7422 * CHOOSE(CONTROL!$C$9, $C$13, 100%, $E$13) + CHOOSE(CONTROL!$C$28, 0, 0)</f>
        <v>87.742199999999997</v>
      </c>
      <c r="E921" s="4">
        <f>434.423096480836 * CHOOSE(CONTROL!$C$9, $C$13, 100%, $E$13) + CHOOSE(CONTROL!$C$28, 0, 0)</f>
        <v>434.42309648083602</v>
      </c>
    </row>
    <row r="922" spans="1:5" ht="15">
      <c r="A922" s="13">
        <v>69579</v>
      </c>
      <c r="B922" s="4">
        <f>61.269 * CHOOSE(CONTROL!$C$9, $C$13, 100%, $E$13) + CHOOSE(CONTROL!$C$28, 0.0192, 0)</f>
        <v>61.288199999999996</v>
      </c>
      <c r="C922" s="4">
        <f>60.9057 * CHOOSE(CONTROL!$C$9, $C$13, 100%, $E$13) + CHOOSE(CONTROL!$C$28, 0.0192, 0)</f>
        <v>60.924900000000001</v>
      </c>
      <c r="D922" s="4">
        <f>88.5349 * CHOOSE(CONTROL!$C$9, $C$13, 100%, $E$13) + CHOOSE(CONTROL!$C$28, 0, 0)</f>
        <v>88.534899999999993</v>
      </c>
      <c r="E922" s="4">
        <f>435.797670345635 * CHOOSE(CONTROL!$C$9, $C$13, 100%, $E$13) + CHOOSE(CONTROL!$C$28, 0, 0)</f>
        <v>435.79767034563503</v>
      </c>
    </row>
    <row r="923" spans="1:5" ht="15">
      <c r="A923" s="13">
        <v>69610</v>
      </c>
      <c r="B923" s="4">
        <f>61.2497 * CHOOSE(CONTROL!$C$9, $C$13, 100%, $E$13) + CHOOSE(CONTROL!$C$28, 0.0192, 0)</f>
        <v>61.268899999999995</v>
      </c>
      <c r="C923" s="4">
        <f>60.8865 * CHOOSE(CONTROL!$C$9, $C$13, 100%, $E$13) + CHOOSE(CONTROL!$C$28, 0.0192, 0)</f>
        <v>60.905699999999996</v>
      </c>
      <c r="D923" s="4">
        <f>89.9651 * CHOOSE(CONTROL!$C$9, $C$13, 100%, $E$13) + CHOOSE(CONTROL!$C$28, 0, 0)</f>
        <v>89.965100000000007</v>
      </c>
      <c r="E923" s="4">
        <f>435.659057855067 * CHOOSE(CONTROL!$C$9, $C$13, 100%, $E$13) + CHOOSE(CONTROL!$C$28, 0, 0)</f>
        <v>435.65905785506698</v>
      </c>
    </row>
    <row r="924" spans="1:5" ht="15">
      <c r="A924" s="13">
        <v>69641</v>
      </c>
      <c r="B924" s="4">
        <f>62.6977 * CHOOSE(CONTROL!$C$9, $C$13, 100%, $E$13) + CHOOSE(CONTROL!$C$28, 0.0192, 0)</f>
        <v>62.716899999999995</v>
      </c>
      <c r="C924" s="4">
        <f>62.3344 * CHOOSE(CONTROL!$C$9, $C$13, 100%, $E$13) + CHOOSE(CONTROL!$C$28, 0.0192, 0)</f>
        <v>62.3536</v>
      </c>
      <c r="D924" s="4">
        <f>89.0206 * CHOOSE(CONTROL!$C$9, $C$13, 100%, $E$13) + CHOOSE(CONTROL!$C$28, 0, 0)</f>
        <v>89.020600000000002</v>
      </c>
      <c r="E924" s="4">
        <f>446.089647770305 * CHOOSE(CONTROL!$C$9, $C$13, 100%, $E$13) + CHOOSE(CONTROL!$C$28, 0, 0)</f>
        <v>446.08964777030502</v>
      </c>
    </row>
    <row r="925" spans="1:5" ht="15">
      <c r="A925" s="13">
        <v>69671</v>
      </c>
      <c r="B925" s="4">
        <f>60.2299 * CHOOSE(CONTROL!$C$9, $C$13, 100%, $E$13) + CHOOSE(CONTROL!$C$28, 0.0192, 0)</f>
        <v>60.249099999999999</v>
      </c>
      <c r="C925" s="4">
        <f>59.8667 * CHOOSE(CONTROL!$C$9, $C$13, 100%, $E$13) + CHOOSE(CONTROL!$C$28, 0.0192, 0)</f>
        <v>59.885899999999999</v>
      </c>
      <c r="D925" s="4">
        <f>88.5743 * CHOOSE(CONTROL!$C$9, $C$13, 100%, $E$13) + CHOOSE(CONTROL!$C$28, 0, 0)</f>
        <v>88.574299999999994</v>
      </c>
      <c r="E925" s="4">
        <f>428.312595854966 * CHOOSE(CONTROL!$C$9, $C$13, 100%, $E$13) + CHOOSE(CONTROL!$C$28, 0, 0)</f>
        <v>428.31259585496599</v>
      </c>
    </row>
    <row r="926" spans="1:5" ht="15">
      <c r="A926" s="13">
        <v>69702</v>
      </c>
      <c r="B926" s="4">
        <f>58.2545 * CHOOSE(CONTROL!$C$9, $C$13, 100%, $E$13) + CHOOSE(CONTROL!$C$28, 0.0003, 0)</f>
        <v>58.254800000000003</v>
      </c>
      <c r="C926" s="4">
        <f>57.8912 * CHOOSE(CONTROL!$C$9, $C$13, 100%, $E$13) + CHOOSE(CONTROL!$C$28, 0.0003, 0)</f>
        <v>57.891500000000001</v>
      </c>
      <c r="D926" s="4">
        <f>87.3794 * CHOOSE(CONTROL!$C$9, $C$13, 100%, $E$13) + CHOOSE(CONTROL!$C$28, 0, 0)</f>
        <v>87.379400000000004</v>
      </c>
      <c r="E926" s="4">
        <f>414.081713489989 * CHOOSE(CONTROL!$C$9, $C$13, 100%, $E$13) + CHOOSE(CONTROL!$C$28, 0, 0)</f>
        <v>414.081713489989</v>
      </c>
    </row>
    <row r="927" spans="1:5" ht="15">
      <c r="A927" s="13">
        <v>69732</v>
      </c>
      <c r="B927" s="4">
        <f>56.9821 * CHOOSE(CONTROL!$C$9, $C$13, 100%, $E$13) + CHOOSE(CONTROL!$C$28, 0.0003, 0)</f>
        <v>56.982400000000005</v>
      </c>
      <c r="C927" s="4">
        <f>56.6188 * CHOOSE(CONTROL!$C$9, $C$13, 100%, $E$13) + CHOOSE(CONTROL!$C$28, 0.0003, 0)</f>
        <v>56.619100000000003</v>
      </c>
      <c r="D927" s="4">
        <f>86.9685 * CHOOSE(CONTROL!$C$9, $C$13, 100%, $E$13) + CHOOSE(CONTROL!$C$28, 0, 0)</f>
        <v>86.968500000000006</v>
      </c>
      <c r="E927" s="4">
        <f>404.915962551184 * CHOOSE(CONTROL!$C$9, $C$13, 100%, $E$13) + CHOOSE(CONTROL!$C$28, 0, 0)</f>
        <v>404.91596255118401</v>
      </c>
    </row>
    <row r="928" spans="1:5" ht="15">
      <c r="A928" s="13">
        <v>69763</v>
      </c>
      <c r="B928" s="4">
        <f>56.1018 * CHOOSE(CONTROL!$C$9, $C$13, 100%, $E$13) + CHOOSE(CONTROL!$C$28, 0.0003, 0)</f>
        <v>56.1021</v>
      </c>
      <c r="C928" s="4">
        <f>55.7385 * CHOOSE(CONTROL!$C$9, $C$13, 100%, $E$13) + CHOOSE(CONTROL!$C$28, 0.0003, 0)</f>
        <v>55.738800000000005</v>
      </c>
      <c r="D928" s="4">
        <f>83.944 * CHOOSE(CONTROL!$C$9, $C$13, 100%, $E$13) + CHOOSE(CONTROL!$C$28, 0, 0)</f>
        <v>83.944000000000003</v>
      </c>
      <c r="E928" s="4">
        <f>398.5744411077 * CHOOSE(CONTROL!$C$9, $C$13, 100%, $E$13) + CHOOSE(CONTROL!$C$28, 0, 0)</f>
        <v>398.57444110770001</v>
      </c>
    </row>
    <row r="929" spans="1:5" ht="15">
      <c r="A929" s="13">
        <v>69794</v>
      </c>
      <c r="B929" s="4">
        <f>53.6933 * CHOOSE(CONTROL!$C$9, $C$13, 100%, $E$13) + CHOOSE(CONTROL!$C$28, 0.0003, 0)</f>
        <v>53.693600000000004</v>
      </c>
      <c r="C929" s="4">
        <f>53.33 * CHOOSE(CONTROL!$C$9, $C$13, 100%, $E$13) + CHOOSE(CONTROL!$C$28, 0.0003, 0)</f>
        <v>53.330300000000001</v>
      </c>
      <c r="D929" s="4">
        <f>80.6123 * CHOOSE(CONTROL!$C$9, $C$13, 100%, $E$13) + CHOOSE(CONTROL!$C$28, 0, 0)</f>
        <v>80.612300000000005</v>
      </c>
      <c r="E929" s="4">
        <f>381.972196064146 * CHOOSE(CONTROL!$C$9, $C$13, 100%, $E$13) + CHOOSE(CONTROL!$C$28, 0, 0)</f>
        <v>381.97219606414598</v>
      </c>
    </row>
    <row r="930" spans="1:5" ht="15">
      <c r="A930" s="13">
        <v>69822</v>
      </c>
      <c r="B930" s="4">
        <f>54.9498 * CHOOSE(CONTROL!$C$9, $C$13, 100%, $E$13) + CHOOSE(CONTROL!$C$28, 0.0003, 0)</f>
        <v>54.950100000000006</v>
      </c>
      <c r="C930" s="4">
        <f>54.5866 * CHOOSE(CONTROL!$C$9, $C$13, 100%, $E$13) + CHOOSE(CONTROL!$C$28, 0.0003, 0)</f>
        <v>54.5869</v>
      </c>
      <c r="D930" s="4">
        <f>83.3921 * CHOOSE(CONTROL!$C$9, $C$13, 100%, $E$13) + CHOOSE(CONTROL!$C$28, 0, 0)</f>
        <v>83.392099999999999</v>
      </c>
      <c r="E930" s="4">
        <f>391.041721316543 * CHOOSE(CONTROL!$C$9, $C$13, 100%, $E$13) + CHOOSE(CONTROL!$C$28, 0, 0)</f>
        <v>391.04172131654298</v>
      </c>
    </row>
    <row r="931" spans="1:5" ht="15">
      <c r="A931" s="13">
        <v>69853</v>
      </c>
      <c r="B931" s="4">
        <f>58.2496 * CHOOSE(CONTROL!$C$9, $C$13, 100%, $E$13) + CHOOSE(CONTROL!$C$28, 0.0003, 0)</f>
        <v>58.249900000000004</v>
      </c>
      <c r="C931" s="4">
        <f>57.8863 * CHOOSE(CONTROL!$C$9, $C$13, 100%, $E$13) + CHOOSE(CONTROL!$C$28, 0.0003, 0)</f>
        <v>57.886600000000001</v>
      </c>
      <c r="D931" s="4">
        <f>87.7436 * CHOOSE(CONTROL!$C$9, $C$13, 100%, $E$13) + CHOOSE(CONTROL!$C$28, 0, 0)</f>
        <v>87.743600000000001</v>
      </c>
      <c r="E931" s="4">
        <f>414.858776613179 * CHOOSE(CONTROL!$C$9, $C$13, 100%, $E$13) + CHOOSE(CONTROL!$C$28, 0, 0)</f>
        <v>414.85877661317897</v>
      </c>
    </row>
    <row r="932" spans="1:5" ht="15">
      <c r="A932" s="13">
        <v>69883</v>
      </c>
      <c r="B932" s="4">
        <f>60.594 * CHOOSE(CONTROL!$C$9, $C$13, 100%, $E$13) + CHOOSE(CONTROL!$C$28, 0.0003, 0)</f>
        <v>60.594300000000004</v>
      </c>
      <c r="C932" s="4">
        <f>60.2308 * CHOOSE(CONTROL!$C$9, $C$13, 100%, $E$13) + CHOOSE(CONTROL!$C$28, 0.0003, 0)</f>
        <v>60.231100000000005</v>
      </c>
      <c r="D932" s="4">
        <f>90.2502 * CHOOSE(CONTROL!$C$9, $C$13, 100%, $E$13) + CHOOSE(CONTROL!$C$28, 0, 0)</f>
        <v>90.250200000000007</v>
      </c>
      <c r="E932" s="4">
        <f>431.781111805434 * CHOOSE(CONTROL!$C$9, $C$13, 100%, $E$13) + CHOOSE(CONTROL!$C$28, 0, 0)</f>
        <v>431.78111180543402</v>
      </c>
    </row>
    <row r="933" spans="1:5" ht="15">
      <c r="A933" s="13">
        <v>69914</v>
      </c>
      <c r="B933" s="4">
        <f>62.0265 * CHOOSE(CONTROL!$C$9, $C$13, 100%, $E$13) + CHOOSE(CONTROL!$C$28, 0.0192, 0)</f>
        <v>62.045699999999997</v>
      </c>
      <c r="C933" s="4">
        <f>61.6632 * CHOOSE(CONTROL!$C$9, $C$13, 100%, $E$13) + CHOOSE(CONTROL!$C$28, 0.0192, 0)</f>
        <v>61.682400000000001</v>
      </c>
      <c r="D933" s="4">
        <f>89.2597 * CHOOSE(CONTROL!$C$9, $C$13, 100%, $E$13) + CHOOSE(CONTROL!$C$28, 0, 0)</f>
        <v>89.259699999999995</v>
      </c>
      <c r="E933" s="4">
        <f>442.120253036131 * CHOOSE(CONTROL!$C$9, $C$13, 100%, $E$13) + CHOOSE(CONTROL!$C$28, 0, 0)</f>
        <v>442.12025303613098</v>
      </c>
    </row>
    <row r="934" spans="1:5" ht="15">
      <c r="A934" s="13">
        <v>69944</v>
      </c>
      <c r="B934" s="4">
        <f>62.2203 * CHOOSE(CONTROL!$C$9, $C$13, 100%, $E$13) + CHOOSE(CONTROL!$C$28, 0.0192, 0)</f>
        <v>62.2395</v>
      </c>
      <c r="C934" s="4">
        <f>61.857 * CHOOSE(CONTROL!$C$9, $C$13, 100%, $E$13) + CHOOSE(CONTROL!$C$28, 0.0192, 0)</f>
        <v>61.876199999999997</v>
      </c>
      <c r="D934" s="4">
        <f>90.0664 * CHOOSE(CONTROL!$C$9, $C$13, 100%, $E$13) + CHOOSE(CONTROL!$C$28, 0, 0)</f>
        <v>90.066400000000002</v>
      </c>
      <c r="E934" s="4">
        <f>443.519181752962 * CHOOSE(CONTROL!$C$9, $C$13, 100%, $E$13) + CHOOSE(CONTROL!$C$28, 0, 0)</f>
        <v>443.51918175296203</v>
      </c>
    </row>
    <row r="935" spans="1:5" ht="15">
      <c r="A935" s="13">
        <v>69975</v>
      </c>
      <c r="B935" s="4">
        <f>62.2007 * CHOOSE(CONTROL!$C$9, $C$13, 100%, $E$13) + CHOOSE(CONTROL!$C$28, 0.0192, 0)</f>
        <v>62.219899999999996</v>
      </c>
      <c r="C935" s="4">
        <f>61.8374 * CHOOSE(CONTROL!$C$9, $C$13, 100%, $E$13) + CHOOSE(CONTROL!$C$28, 0.0192, 0)</f>
        <v>61.8566</v>
      </c>
      <c r="D935" s="4">
        <f>91.522 * CHOOSE(CONTROL!$C$9, $C$13, 100%, $E$13) + CHOOSE(CONTROL!$C$28, 0, 0)</f>
        <v>91.522000000000006</v>
      </c>
      <c r="E935" s="4">
        <f>443.378113310928 * CHOOSE(CONTROL!$C$9, $C$13, 100%, $E$13) + CHOOSE(CONTROL!$C$28, 0, 0)</f>
        <v>443.37811331092797</v>
      </c>
    </row>
    <row r="936" spans="1:5" ht="15">
      <c r="A936" s="13">
        <v>70006</v>
      </c>
      <c r="B936" s="4">
        <f>63.6714 * CHOOSE(CONTROL!$C$9, $C$13, 100%, $E$13) + CHOOSE(CONTROL!$C$28, 0.0192, 0)</f>
        <v>63.690599999999996</v>
      </c>
      <c r="C936" s="4">
        <f>63.3081 * CHOOSE(CONTROL!$C$9, $C$13, 100%, $E$13) + CHOOSE(CONTROL!$C$28, 0.0192, 0)</f>
        <v>63.327300000000001</v>
      </c>
      <c r="D936" s="4">
        <f>90.5607 * CHOOSE(CONTROL!$C$9, $C$13, 100%, $E$13) + CHOOSE(CONTROL!$C$28, 0, 0)</f>
        <v>90.560699999999997</v>
      </c>
      <c r="E936" s="4">
        <f>453.993513573941 * CHOOSE(CONTROL!$C$9, $C$13, 100%, $E$13) + CHOOSE(CONTROL!$C$28, 0, 0)</f>
        <v>453.99351357394102</v>
      </c>
    </row>
    <row r="937" spans="1:5" ht="15">
      <c r="A937" s="13">
        <v>70036</v>
      </c>
      <c r="B937" s="4">
        <f>61.1649 * CHOOSE(CONTROL!$C$9, $C$13, 100%, $E$13) + CHOOSE(CONTROL!$C$28, 0.0192, 0)</f>
        <v>61.184100000000001</v>
      </c>
      <c r="C937" s="4">
        <f>60.8016 * CHOOSE(CONTROL!$C$9, $C$13, 100%, $E$13) + CHOOSE(CONTROL!$C$28, 0.0192, 0)</f>
        <v>60.820799999999998</v>
      </c>
      <c r="D937" s="4">
        <f>90.1065 * CHOOSE(CONTROL!$C$9, $C$13, 100%, $E$13) + CHOOSE(CONTROL!$C$28, 0, 0)</f>
        <v>90.106499999999997</v>
      </c>
      <c r="E937" s="4">
        <f>435.901485883159 * CHOOSE(CONTROL!$C$9, $C$13, 100%, $E$13) + CHOOSE(CONTROL!$C$28, 0, 0)</f>
        <v>435.90148588315901</v>
      </c>
    </row>
    <row r="938" spans="1:5" ht="15">
      <c r="A938" s="13">
        <v>70067</v>
      </c>
      <c r="B938" s="4">
        <f>59.1584 * CHOOSE(CONTROL!$C$9, $C$13, 100%, $E$13) + CHOOSE(CONTROL!$C$28, 0.0003, 0)</f>
        <v>59.158700000000003</v>
      </c>
      <c r="C938" s="4">
        <f>58.7951 * CHOOSE(CONTROL!$C$9, $C$13, 100%, $E$13) + CHOOSE(CONTROL!$C$28, 0.0003, 0)</f>
        <v>58.795400000000001</v>
      </c>
      <c r="D938" s="4">
        <f>88.8905 * CHOOSE(CONTROL!$C$9, $C$13, 100%, $E$13) + CHOOSE(CONTROL!$C$28, 0, 0)</f>
        <v>88.890500000000003</v>
      </c>
      <c r="E938" s="4">
        <f>421.418459167732 * CHOOSE(CONTROL!$C$9, $C$13, 100%, $E$13) + CHOOSE(CONTROL!$C$28, 0, 0)</f>
        <v>421.41845916773201</v>
      </c>
    </row>
    <row r="939" spans="1:5" ht="15">
      <c r="A939" s="13">
        <v>70097</v>
      </c>
      <c r="B939" s="4">
        <f>57.866 * CHOOSE(CONTROL!$C$9, $C$13, 100%, $E$13) + CHOOSE(CONTROL!$C$28, 0.0003, 0)</f>
        <v>57.866300000000003</v>
      </c>
      <c r="C939" s="4">
        <f>57.5027 * CHOOSE(CONTROL!$C$9, $C$13, 100%, $E$13) + CHOOSE(CONTROL!$C$28, 0.0003, 0)</f>
        <v>57.503</v>
      </c>
      <c r="D939" s="4">
        <f>88.4724 * CHOOSE(CONTROL!$C$9, $C$13, 100%, $E$13) + CHOOSE(CONTROL!$C$28, 0, 0)</f>
        <v>88.472399999999993</v>
      </c>
      <c r="E939" s="4">
        <f>412.090308438274 * CHOOSE(CONTROL!$C$9, $C$13, 100%, $E$13) + CHOOSE(CONTROL!$C$28, 0, 0)</f>
        <v>412.09030843827401</v>
      </c>
    </row>
    <row r="940" spans="1:5" ht="15">
      <c r="A940" s="13">
        <v>70128</v>
      </c>
      <c r="B940" s="4">
        <f>56.9719 * CHOOSE(CONTROL!$C$9, $C$13, 100%, $E$13) + CHOOSE(CONTROL!$C$28, 0.0003, 0)</f>
        <v>56.972200000000001</v>
      </c>
      <c r="C940" s="4">
        <f>56.6086 * CHOOSE(CONTROL!$C$9, $C$13, 100%, $E$13) + CHOOSE(CONTROL!$C$28, 0.0003, 0)</f>
        <v>56.608900000000006</v>
      </c>
      <c r="D940" s="4">
        <f>85.3945 * CHOOSE(CONTROL!$C$9, $C$13, 100%, $E$13) + CHOOSE(CONTROL!$C$28, 0, 0)</f>
        <v>85.394499999999994</v>
      </c>
      <c r="E940" s="4">
        <f>405.636427215247 * CHOOSE(CONTROL!$C$9, $C$13, 100%, $E$13) + CHOOSE(CONTROL!$C$28, 0, 0)</f>
        <v>405.63642721524701</v>
      </c>
    </row>
    <row r="941" spans="1:5" ht="15">
      <c r="A941" s="13">
        <v>70159</v>
      </c>
      <c r="B941" s="4">
        <f>54.5255 * CHOOSE(CONTROL!$C$9, $C$13, 100%, $E$13) + CHOOSE(CONTROL!$C$28, 0.0003, 0)</f>
        <v>54.525800000000004</v>
      </c>
      <c r="C941" s="4">
        <f>54.1622 * CHOOSE(CONTROL!$C$9, $C$13, 100%, $E$13) + CHOOSE(CONTROL!$C$28, 0.0003, 0)</f>
        <v>54.162500000000001</v>
      </c>
      <c r="D941" s="4">
        <f>82.0039 * CHOOSE(CONTROL!$C$9, $C$13, 100%, $E$13) + CHOOSE(CONTROL!$C$28, 0, 0)</f>
        <v>82.003900000000002</v>
      </c>
      <c r="E941" s="4">
        <f>388.740021754568 * CHOOSE(CONTROL!$C$9, $C$13, 100%, $E$13) + CHOOSE(CONTROL!$C$28, 0, 0)</f>
        <v>388.74002175456798</v>
      </c>
    </row>
    <row r="942" spans="1:5" ht="15">
      <c r="A942" s="13">
        <v>70188</v>
      </c>
      <c r="B942" s="4">
        <f>55.8018 * CHOOSE(CONTROL!$C$9, $C$13, 100%, $E$13) + CHOOSE(CONTROL!$C$28, 0.0003, 0)</f>
        <v>55.802100000000003</v>
      </c>
      <c r="C942" s="4">
        <f>55.4385 * CHOOSE(CONTROL!$C$9, $C$13, 100%, $E$13) + CHOOSE(CONTROL!$C$28, 0.0003, 0)</f>
        <v>55.438800000000001</v>
      </c>
      <c r="D942" s="4">
        <f>84.8328 * CHOOSE(CONTROL!$C$9, $C$13, 100%, $E$13) + CHOOSE(CONTROL!$C$28, 0, 0)</f>
        <v>84.832800000000006</v>
      </c>
      <c r="E942" s="4">
        <f>397.970241860243 * CHOOSE(CONTROL!$C$9, $C$13, 100%, $E$13) + CHOOSE(CONTROL!$C$28, 0, 0)</f>
        <v>397.97024186024299</v>
      </c>
    </row>
    <row r="943" spans="1:5" ht="15">
      <c r="A943" s="13">
        <v>70219</v>
      </c>
      <c r="B943" s="4">
        <f>59.1534 * CHOOSE(CONTROL!$C$9, $C$13, 100%, $E$13) + CHOOSE(CONTROL!$C$28, 0.0003, 0)</f>
        <v>59.153700000000001</v>
      </c>
      <c r="C943" s="4">
        <f>58.7901 * CHOOSE(CONTROL!$C$9, $C$13, 100%, $E$13) + CHOOSE(CONTROL!$C$28, 0.0003, 0)</f>
        <v>58.790400000000005</v>
      </c>
      <c r="D943" s="4">
        <f>89.2612 * CHOOSE(CONTROL!$C$9, $C$13, 100%, $E$13) + CHOOSE(CONTROL!$C$28, 0, 0)</f>
        <v>89.261200000000002</v>
      </c>
      <c r="E943" s="4">
        <f>422.209290381433 * CHOOSE(CONTROL!$C$9, $C$13, 100%, $E$13) + CHOOSE(CONTROL!$C$28, 0, 0)</f>
        <v>422.20929038143299</v>
      </c>
    </row>
    <row r="944" spans="1:5" ht="15">
      <c r="A944" s="13">
        <v>70249</v>
      </c>
      <c r="B944" s="4">
        <f>61.5347 * CHOOSE(CONTROL!$C$9, $C$13, 100%, $E$13) + CHOOSE(CONTROL!$C$28, 0.0003, 0)</f>
        <v>61.535000000000004</v>
      </c>
      <c r="C944" s="4">
        <f>61.1714 * CHOOSE(CONTROL!$C$9, $C$13, 100%, $E$13) + CHOOSE(CONTROL!$C$28, 0.0003, 0)</f>
        <v>61.171700000000001</v>
      </c>
      <c r="D944" s="4">
        <f>91.8121 * CHOOSE(CONTROL!$C$9, $C$13, 100%, $E$13) + CHOOSE(CONTROL!$C$28, 0, 0)</f>
        <v>91.812100000000001</v>
      </c>
      <c r="E944" s="4">
        <f>439.431457383532 * CHOOSE(CONTROL!$C$9, $C$13, 100%, $E$13) + CHOOSE(CONTROL!$C$28, 0, 0)</f>
        <v>439.43145738353201</v>
      </c>
    </row>
    <row r="945" spans="1:5" ht="15">
      <c r="A945" s="13">
        <v>70280</v>
      </c>
      <c r="B945" s="4">
        <f>62.9897 * CHOOSE(CONTROL!$C$9, $C$13, 100%, $E$13) + CHOOSE(CONTROL!$C$28, 0.0192, 0)</f>
        <v>63.008899999999997</v>
      </c>
      <c r="C945" s="4">
        <f>62.6264 * CHOOSE(CONTROL!$C$9, $C$13, 100%, $E$13) + CHOOSE(CONTROL!$C$28, 0.0192, 0)</f>
        <v>62.645599999999995</v>
      </c>
      <c r="D945" s="4">
        <f>90.8041 * CHOOSE(CONTROL!$C$9, $C$13, 100%, $E$13) + CHOOSE(CONTROL!$C$28, 0, 0)</f>
        <v>90.804100000000005</v>
      </c>
      <c r="E945" s="4">
        <f>449.953788664078 * CHOOSE(CONTROL!$C$9, $C$13, 100%, $E$13) + CHOOSE(CONTROL!$C$28, 0, 0)</f>
        <v>449.95378866407799</v>
      </c>
    </row>
    <row r="946" spans="1:5" ht="15">
      <c r="A946" s="13">
        <v>70310</v>
      </c>
      <c r="B946" s="4">
        <f>63.1865 * CHOOSE(CONTROL!$C$9, $C$13, 100%, $E$13) + CHOOSE(CONTROL!$C$28, 0.0192, 0)</f>
        <v>63.2057</v>
      </c>
      <c r="C946" s="4">
        <f>62.8232 * CHOOSE(CONTROL!$C$9, $C$13, 100%, $E$13) + CHOOSE(CONTROL!$C$28, 0.0192, 0)</f>
        <v>62.842399999999998</v>
      </c>
      <c r="D946" s="4">
        <f>91.625 * CHOOSE(CONTROL!$C$9, $C$13, 100%, $E$13) + CHOOSE(CONTROL!$C$28, 0, 0)</f>
        <v>91.625</v>
      </c>
      <c r="E946" s="4">
        <f>451.377503754908 * CHOOSE(CONTROL!$C$9, $C$13, 100%, $E$13) + CHOOSE(CONTROL!$C$28, 0, 0)</f>
        <v>451.37750375490799</v>
      </c>
    </row>
    <row r="947" spans="1:5" ht="15">
      <c r="A947" s="13">
        <v>70341</v>
      </c>
      <c r="B947" s="4">
        <f>63.1667 * CHOOSE(CONTROL!$C$9, $C$13, 100%, $E$13) + CHOOSE(CONTROL!$C$28, 0.0192, 0)</f>
        <v>63.185899999999997</v>
      </c>
      <c r="C947" s="4">
        <f>62.8034 * CHOOSE(CONTROL!$C$9, $C$13, 100%, $E$13) + CHOOSE(CONTROL!$C$28, 0.0192, 0)</f>
        <v>62.822600000000001</v>
      </c>
      <c r="D947" s="4">
        <f>93.1063 * CHOOSE(CONTROL!$C$9, $C$13, 100%, $E$13) + CHOOSE(CONTROL!$C$28, 0, 0)</f>
        <v>93.106300000000005</v>
      </c>
      <c r="E947" s="4">
        <f>451.233935846589 * CHOOSE(CONTROL!$C$9, $C$13, 100%, $E$13) + CHOOSE(CONTROL!$C$28, 0, 0)</f>
        <v>451.23393584658902</v>
      </c>
    </row>
    <row r="948" spans="1:5" ht="15">
      <c r="A948" s="13">
        <v>70372</v>
      </c>
      <c r="B948" s="4">
        <f>64.6605 * CHOOSE(CONTROL!$C$9, $C$13, 100%, $E$13) + CHOOSE(CONTROL!$C$28, 0.0192, 0)</f>
        <v>64.679699999999997</v>
      </c>
      <c r="C948" s="4">
        <f>64.2972 * CHOOSE(CONTROL!$C$9, $C$13, 100%, $E$13) + CHOOSE(CONTROL!$C$28, 0.0192, 0)</f>
        <v>64.316400000000002</v>
      </c>
      <c r="D948" s="4">
        <f>92.128 * CHOOSE(CONTROL!$C$9, $C$13, 100%, $E$13) + CHOOSE(CONTROL!$C$28, 0, 0)</f>
        <v>92.128</v>
      </c>
      <c r="E948" s="4">
        <f>462.037420947593 * CHOOSE(CONTROL!$C$9, $C$13, 100%, $E$13) + CHOOSE(CONTROL!$C$28, 0, 0)</f>
        <v>462.03742094759298</v>
      </c>
    </row>
    <row r="949" spans="1:5" ht="15">
      <c r="A949" s="13">
        <v>70402</v>
      </c>
      <c r="B949" s="4">
        <f>62.1145 * CHOOSE(CONTROL!$C$9, $C$13, 100%, $E$13) + CHOOSE(CONTROL!$C$28, 0.0192, 0)</f>
        <v>62.133699999999997</v>
      </c>
      <c r="C949" s="4">
        <f>61.7513 * CHOOSE(CONTROL!$C$9, $C$13, 100%, $E$13) + CHOOSE(CONTROL!$C$28, 0.0192, 0)</f>
        <v>61.770499999999998</v>
      </c>
      <c r="D949" s="4">
        <f>91.6658 * CHOOSE(CONTROL!$C$9, $C$13, 100%, $E$13) + CHOOSE(CONTROL!$C$28, 0, 0)</f>
        <v>91.665800000000004</v>
      </c>
      <c r="E949" s="4">
        <f>443.624836705682 * CHOOSE(CONTROL!$C$9, $C$13, 100%, $E$13) + CHOOSE(CONTROL!$C$28, 0, 0)</f>
        <v>443.62483670568201</v>
      </c>
    </row>
    <row r="950" spans="1:5" ht="15">
      <c r="A950" s="13">
        <v>70433</v>
      </c>
      <c r="B950" s="4">
        <f>60.0765 * CHOOSE(CONTROL!$C$9, $C$13, 100%, $E$13) + CHOOSE(CONTROL!$C$28, 0.0003, 0)</f>
        <v>60.076800000000006</v>
      </c>
      <c r="C950" s="4">
        <f>59.7132 * CHOOSE(CONTROL!$C$9, $C$13, 100%, $E$13) + CHOOSE(CONTROL!$C$28, 0.0003, 0)</f>
        <v>59.713500000000003</v>
      </c>
      <c r="D950" s="4">
        <f>90.4283 * CHOOSE(CONTROL!$C$9, $C$13, 100%, $E$13) + CHOOSE(CONTROL!$C$28, 0, 0)</f>
        <v>90.428299999999993</v>
      </c>
      <c r="E950" s="4">
        <f>428.885198118266 * CHOOSE(CONTROL!$C$9, $C$13, 100%, $E$13) + CHOOSE(CONTROL!$C$28, 0, 0)</f>
        <v>428.88519811826598</v>
      </c>
    </row>
    <row r="951" spans="1:5" ht="15">
      <c r="A951" s="13">
        <v>70463</v>
      </c>
      <c r="B951" s="4">
        <f>58.7638 * CHOOSE(CONTROL!$C$9, $C$13, 100%, $E$13) + CHOOSE(CONTROL!$C$28, 0.0003, 0)</f>
        <v>58.764100000000006</v>
      </c>
      <c r="C951" s="4">
        <f>58.4005 * CHOOSE(CONTROL!$C$9, $C$13, 100%, $E$13) + CHOOSE(CONTROL!$C$28, 0.0003, 0)</f>
        <v>58.400800000000004</v>
      </c>
      <c r="D951" s="4">
        <f>90.0028 * CHOOSE(CONTROL!$C$9, $C$13, 100%, $E$13) + CHOOSE(CONTROL!$C$28, 0, 0)</f>
        <v>90.002799999999993</v>
      </c>
      <c r="E951" s="4">
        <f>419.391770180673 * CHOOSE(CONTROL!$C$9, $C$13, 100%, $E$13) + CHOOSE(CONTROL!$C$28, 0, 0)</f>
        <v>419.39177018067301</v>
      </c>
    </row>
    <row r="952" spans="1:5" ht="15">
      <c r="A952" s="13">
        <v>70494</v>
      </c>
      <c r="B952" s="4">
        <f>57.8556 * CHOOSE(CONTROL!$C$9, $C$13, 100%, $E$13) + CHOOSE(CONTROL!$C$28, 0.0003, 0)</f>
        <v>57.855900000000005</v>
      </c>
      <c r="C952" s="4">
        <f>57.4923 * CHOOSE(CONTROL!$C$9, $C$13, 100%, $E$13) + CHOOSE(CONTROL!$C$28, 0.0003, 0)</f>
        <v>57.492600000000003</v>
      </c>
      <c r="D952" s="4">
        <f>86.8705 * CHOOSE(CONTROL!$C$9, $C$13, 100%, $E$13) + CHOOSE(CONTROL!$C$28, 0, 0)</f>
        <v>86.870500000000007</v>
      </c>
      <c r="E952" s="4">
        <f>412.823538375079 * CHOOSE(CONTROL!$C$9, $C$13, 100%, $E$13) + CHOOSE(CONTROL!$C$28, 0, 0)</f>
        <v>412.82353837507901</v>
      </c>
    </row>
    <row r="953" spans="1:5" ht="15">
      <c r="A953" s="13">
        <v>70525</v>
      </c>
      <c r="B953" s="4">
        <f>55.3707 * CHOOSE(CONTROL!$C$9, $C$13, 100%, $E$13) + CHOOSE(CONTROL!$C$28, 0.0003, 0)</f>
        <v>55.371000000000002</v>
      </c>
      <c r="C953" s="4">
        <f>55.0074 * CHOOSE(CONTROL!$C$9, $C$13, 100%, $E$13) + CHOOSE(CONTROL!$C$28, 0.0003, 0)</f>
        <v>55.0077</v>
      </c>
      <c r="D953" s="4">
        <f>83.42 * CHOOSE(CONTROL!$C$9, $C$13, 100%, $E$13) + CHOOSE(CONTROL!$C$28, 0, 0)</f>
        <v>83.42</v>
      </c>
      <c r="E953" s="4">
        <f>395.627760530413 * CHOOSE(CONTROL!$C$9, $C$13, 100%, $E$13) + CHOOSE(CONTROL!$C$28, 0, 0)</f>
        <v>395.62776053041301</v>
      </c>
    </row>
    <row r="954" spans="1:5" ht="15">
      <c r="A954" s="13">
        <v>70553</v>
      </c>
      <c r="B954" s="4">
        <f>56.6671 * CHOOSE(CONTROL!$C$9, $C$13, 100%, $E$13) + CHOOSE(CONTROL!$C$28, 0.0003, 0)</f>
        <v>56.667400000000001</v>
      </c>
      <c r="C954" s="4">
        <f>56.3038 * CHOOSE(CONTROL!$C$9, $C$13, 100%, $E$13) + CHOOSE(CONTROL!$C$28, 0.0003, 0)</f>
        <v>56.304100000000005</v>
      </c>
      <c r="D954" s="4">
        <f>86.2989 * CHOOSE(CONTROL!$C$9, $C$13, 100%, $E$13) + CHOOSE(CONTROL!$C$28, 0, 0)</f>
        <v>86.298900000000003</v>
      </c>
      <c r="E954" s="4">
        <f>405.021522698581 * CHOOSE(CONTROL!$C$9, $C$13, 100%, $E$13) + CHOOSE(CONTROL!$C$28, 0, 0)</f>
        <v>405.02152269858101</v>
      </c>
    </row>
    <row r="955" spans="1:5" ht="15">
      <c r="A955" s="13">
        <v>70584</v>
      </c>
      <c r="B955" s="4">
        <f>60.0714 * CHOOSE(CONTROL!$C$9, $C$13, 100%, $E$13) + CHOOSE(CONTROL!$C$28, 0.0003, 0)</f>
        <v>60.0717</v>
      </c>
      <c r="C955" s="4">
        <f>59.7081 * CHOOSE(CONTROL!$C$9, $C$13, 100%, $E$13) + CHOOSE(CONTROL!$C$28, 0.0003, 0)</f>
        <v>59.708400000000005</v>
      </c>
      <c r="D955" s="4">
        <f>90.8055 * CHOOSE(CONTROL!$C$9, $C$13, 100%, $E$13) + CHOOSE(CONTROL!$C$28, 0, 0)</f>
        <v>90.805499999999995</v>
      </c>
      <c r="E955" s="4">
        <f>429.690041367031 * CHOOSE(CONTROL!$C$9, $C$13, 100%, $E$13) + CHOOSE(CONTROL!$C$28, 0, 0)</f>
        <v>429.69004136703097</v>
      </c>
    </row>
    <row r="956" spans="1:5" ht="15">
      <c r="A956" s="13">
        <v>70614</v>
      </c>
      <c r="B956" s="4">
        <f>62.4902 * CHOOSE(CONTROL!$C$9, $C$13, 100%, $E$13) + CHOOSE(CONTROL!$C$28, 0.0003, 0)</f>
        <v>62.490500000000004</v>
      </c>
      <c r="C956" s="4">
        <f>62.1269 * CHOOSE(CONTROL!$C$9, $C$13, 100%, $E$13) + CHOOSE(CONTROL!$C$28, 0.0003, 0)</f>
        <v>62.127200000000002</v>
      </c>
      <c r="D956" s="4">
        <f>93.4015 * CHOOSE(CONTROL!$C$9, $C$13, 100%, $E$13) + CHOOSE(CONTROL!$C$28, 0, 0)</f>
        <v>93.401499999999999</v>
      </c>
      <c r="E956" s="4">
        <f>447.217352632201 * CHOOSE(CONTROL!$C$9, $C$13, 100%, $E$13) + CHOOSE(CONTROL!$C$28, 0, 0)</f>
        <v>447.21735263220103</v>
      </c>
    </row>
    <row r="957" spans="1:5" ht="15">
      <c r="A957" s="13">
        <v>70645</v>
      </c>
      <c r="B957" s="4">
        <f>63.968 * CHOOSE(CONTROL!$C$9, $C$13, 100%, $E$13) + CHOOSE(CONTROL!$C$28, 0.0192, 0)</f>
        <v>63.987200000000001</v>
      </c>
      <c r="C957" s="4">
        <f>63.6047 * CHOOSE(CONTROL!$C$9, $C$13, 100%, $E$13) + CHOOSE(CONTROL!$C$28, 0.0192, 0)</f>
        <v>63.623899999999999</v>
      </c>
      <c r="D957" s="4">
        <f>92.3757 * CHOOSE(CONTROL!$C$9, $C$13, 100%, $E$13) + CHOOSE(CONTROL!$C$28, 0, 0)</f>
        <v>92.375699999999995</v>
      </c>
      <c r="E957" s="4">
        <f>457.926119744196 * CHOOSE(CONTROL!$C$9, $C$13, 100%, $E$13) + CHOOSE(CONTROL!$C$28, 0, 0)</f>
        <v>457.926119744196</v>
      </c>
    </row>
    <row r="958" spans="1:5" ht="15">
      <c r="A958" s="13">
        <v>70675</v>
      </c>
      <c r="B958" s="4">
        <f>64.168 * CHOOSE(CONTROL!$C$9, $C$13, 100%, $E$13) + CHOOSE(CONTROL!$C$28, 0.0192, 0)</f>
        <v>64.187200000000004</v>
      </c>
      <c r="C958" s="4">
        <f>63.8047 * CHOOSE(CONTROL!$C$9, $C$13, 100%, $E$13) + CHOOSE(CONTROL!$C$28, 0.0192, 0)</f>
        <v>63.823899999999995</v>
      </c>
      <c r="D958" s="4">
        <f>93.2111 * CHOOSE(CONTROL!$C$9, $C$13, 100%, $E$13) + CHOOSE(CONTROL!$C$28, 0, 0)</f>
        <v>93.211100000000002</v>
      </c>
      <c r="E958" s="4">
        <f>459.375060376746 * CHOOSE(CONTROL!$C$9, $C$13, 100%, $E$13) + CHOOSE(CONTROL!$C$28, 0, 0)</f>
        <v>459.37506037674598</v>
      </c>
    </row>
    <row r="959" spans="1:5" ht="15">
      <c r="A959" s="13">
        <v>70706</v>
      </c>
      <c r="B959" s="4">
        <f>64.1478 * CHOOSE(CONTROL!$C$9, $C$13, 100%, $E$13) + CHOOSE(CONTROL!$C$28, 0.0192, 0)</f>
        <v>64.167000000000002</v>
      </c>
      <c r="C959" s="4">
        <f>63.7845 * CHOOSE(CONTROL!$C$9, $C$13, 100%, $E$13) + CHOOSE(CONTROL!$C$28, 0.0192, 0)</f>
        <v>63.803699999999999</v>
      </c>
      <c r="D959" s="4">
        <f>94.7186 * CHOOSE(CONTROL!$C$9, $C$13, 100%, $E$13) + CHOOSE(CONTROL!$C$28, 0, 0)</f>
        <v>94.718599999999995</v>
      </c>
      <c r="E959" s="4">
        <f>459.228948716321 * CHOOSE(CONTROL!$C$9, $C$13, 100%, $E$13) + CHOOSE(CONTROL!$C$28, 0, 0)</f>
        <v>459.22894871632099</v>
      </c>
    </row>
    <row r="960" spans="1:5" ht="15">
      <c r="A960" s="13">
        <v>70737</v>
      </c>
      <c r="B960" s="4">
        <f>65.6651 * CHOOSE(CONTROL!$C$9, $C$13, 100%, $E$13) + CHOOSE(CONTROL!$C$28, 0.0192, 0)</f>
        <v>65.684299999999993</v>
      </c>
      <c r="C960" s="4">
        <f>65.3018 * CHOOSE(CONTROL!$C$9, $C$13, 100%, $E$13) + CHOOSE(CONTROL!$C$28, 0.0192, 0)</f>
        <v>65.320999999999998</v>
      </c>
      <c r="D960" s="4">
        <f>93.7231 * CHOOSE(CONTROL!$C$9, $C$13, 100%, $E$13) + CHOOSE(CONTROL!$C$28, 0, 0)</f>
        <v>93.723100000000002</v>
      </c>
      <c r="E960" s="4">
        <f>470.223851163315 * CHOOSE(CONTROL!$C$9, $C$13, 100%, $E$13) + CHOOSE(CONTROL!$C$28, 0, 0)</f>
        <v>470.22385116331498</v>
      </c>
    </row>
    <row r="961" spans="1:5" ht="15">
      <c r="A961" s="13">
        <v>70767</v>
      </c>
      <c r="B961" s="4">
        <f>63.0791 * CHOOSE(CONTROL!$C$9, $C$13, 100%, $E$13) + CHOOSE(CONTROL!$C$28, 0.0192, 0)</f>
        <v>63.098299999999995</v>
      </c>
      <c r="C961" s="4">
        <f>62.7158 * CHOOSE(CONTROL!$C$9, $C$13, 100%, $E$13) + CHOOSE(CONTROL!$C$28, 0.0192, 0)</f>
        <v>62.734999999999999</v>
      </c>
      <c r="D961" s="4">
        <f>93.2527 * CHOOSE(CONTROL!$C$9, $C$13, 100%, $E$13) + CHOOSE(CONTROL!$C$28, 0, 0)</f>
        <v>93.252700000000004</v>
      </c>
      <c r="E961" s="4">
        <f>451.485030713787 * CHOOSE(CONTROL!$C$9, $C$13, 100%, $E$13) + CHOOSE(CONTROL!$C$28, 0, 0)</f>
        <v>451.48503071378701</v>
      </c>
    </row>
    <row r="962" spans="1:5" ht="15">
      <c r="A962" s="13">
        <v>70798</v>
      </c>
      <c r="B962" s="4">
        <f>61.009 * CHOOSE(CONTROL!$C$9, $C$13, 100%, $E$13) + CHOOSE(CONTROL!$C$28, 0.0003, 0)</f>
        <v>61.009300000000003</v>
      </c>
      <c r="C962" s="4">
        <f>60.6457 * CHOOSE(CONTROL!$C$9, $C$13, 100%, $E$13) + CHOOSE(CONTROL!$C$28, 0.0003, 0)</f>
        <v>60.646000000000001</v>
      </c>
      <c r="D962" s="4">
        <f>91.9933 * CHOOSE(CONTROL!$C$9, $C$13, 100%, $E$13) + CHOOSE(CONTROL!$C$28, 0, 0)</f>
        <v>91.993300000000005</v>
      </c>
      <c r="E962" s="4">
        <f>436.484233576802 * CHOOSE(CONTROL!$C$9, $C$13, 100%, $E$13) + CHOOSE(CONTROL!$C$28, 0, 0)</f>
        <v>436.48423357680201</v>
      </c>
    </row>
    <row r="963" spans="1:5" ht="15">
      <c r="A963" s="13">
        <v>70828</v>
      </c>
      <c r="B963" s="4">
        <f>59.6757 * CHOOSE(CONTROL!$C$9, $C$13, 100%, $E$13) + CHOOSE(CONTROL!$C$28, 0.0003, 0)</f>
        <v>59.676000000000002</v>
      </c>
      <c r="C963" s="4">
        <f>59.3124 * CHOOSE(CONTROL!$C$9, $C$13, 100%, $E$13) + CHOOSE(CONTROL!$C$28, 0.0003, 0)</f>
        <v>59.3127</v>
      </c>
      <c r="D963" s="4">
        <f>91.5603 * CHOOSE(CONTROL!$C$9, $C$13, 100%, $E$13) + CHOOSE(CONTROL!$C$28, 0, 0)</f>
        <v>91.560299999999998</v>
      </c>
      <c r="E963" s="4">
        <f>426.822600031187 * CHOOSE(CONTROL!$C$9, $C$13, 100%, $E$13) + CHOOSE(CONTROL!$C$28, 0, 0)</f>
        <v>426.82260003118699</v>
      </c>
    </row>
    <row r="964" spans="1:5" ht="15">
      <c r="A964" s="13">
        <v>70859</v>
      </c>
      <c r="B964" s="4">
        <f>58.7532 * CHOOSE(CONTROL!$C$9, $C$13, 100%, $E$13) + CHOOSE(CONTROL!$C$28, 0.0003, 0)</f>
        <v>58.753500000000003</v>
      </c>
      <c r="C964" s="4">
        <f>58.3899 * CHOOSE(CONTROL!$C$9, $C$13, 100%, $E$13) + CHOOSE(CONTROL!$C$28, 0.0003, 0)</f>
        <v>58.3902</v>
      </c>
      <c r="D964" s="4">
        <f>88.3727 * CHOOSE(CONTROL!$C$9, $C$13, 100%, $E$13) + CHOOSE(CONTROL!$C$28, 0, 0)</f>
        <v>88.372699999999995</v>
      </c>
      <c r="E964" s="4">
        <f>420.137991566736 * CHOOSE(CONTROL!$C$9, $C$13, 100%, $E$13) + CHOOSE(CONTROL!$C$28, 0, 0)</f>
        <v>420.13799156673599</v>
      </c>
    </row>
    <row r="965" spans="1:5" ht="15">
      <c r="A965" s="13">
        <v>70890</v>
      </c>
      <c r="B965" s="4">
        <f>56.2293 * CHOOSE(CONTROL!$C$9, $C$13, 100%, $E$13) + CHOOSE(CONTROL!$C$28, 0.0003, 0)</f>
        <v>56.229600000000005</v>
      </c>
      <c r="C965" s="4">
        <f>55.866 * CHOOSE(CONTROL!$C$9, $C$13, 100%, $E$13) + CHOOSE(CONTROL!$C$28, 0.0003, 0)</f>
        <v>55.866300000000003</v>
      </c>
      <c r="D965" s="4">
        <f>84.8612 * CHOOSE(CONTROL!$C$9, $C$13, 100%, $E$13) + CHOOSE(CONTROL!$C$28, 0, 0)</f>
        <v>84.861199999999997</v>
      </c>
      <c r="E965" s="4">
        <f>402.637537025014 * CHOOSE(CONTROL!$C$9, $C$13, 100%, $E$13) + CHOOSE(CONTROL!$C$28, 0, 0)</f>
        <v>402.63753702501401</v>
      </c>
    </row>
    <row r="966" spans="1:5" ht="15">
      <c r="A966" s="13">
        <v>70918</v>
      </c>
      <c r="B966" s="4">
        <f>57.546 * CHOOSE(CONTROL!$C$9, $C$13, 100%, $E$13) + CHOOSE(CONTROL!$C$28, 0.0003, 0)</f>
        <v>57.546300000000002</v>
      </c>
      <c r="C966" s="4">
        <f>57.1827 * CHOOSE(CONTROL!$C$9, $C$13, 100%, $E$13) + CHOOSE(CONTROL!$C$28, 0.0003, 0)</f>
        <v>57.183</v>
      </c>
      <c r="D966" s="4">
        <f>87.7909 * CHOOSE(CONTROL!$C$9, $C$13, 100%, $E$13) + CHOOSE(CONTROL!$C$28, 0, 0)</f>
        <v>87.790899999999993</v>
      </c>
      <c r="E966" s="4">
        <f>412.197738912059 * CHOOSE(CONTROL!$C$9, $C$13, 100%, $E$13) + CHOOSE(CONTROL!$C$28, 0, 0)</f>
        <v>412.19773891205898</v>
      </c>
    </row>
    <row r="967" spans="1:5" ht="15">
      <c r="A967" s="13">
        <v>70949</v>
      </c>
      <c r="B967" s="4">
        <f>61.0038 * CHOOSE(CONTROL!$C$9, $C$13, 100%, $E$13) + CHOOSE(CONTROL!$C$28, 0.0003, 0)</f>
        <v>61.004100000000001</v>
      </c>
      <c r="C967" s="4">
        <f>60.6406 * CHOOSE(CONTROL!$C$9, $C$13, 100%, $E$13) + CHOOSE(CONTROL!$C$28, 0.0003, 0)</f>
        <v>60.640900000000002</v>
      </c>
      <c r="D967" s="4">
        <f>92.3772 * CHOOSE(CONTROL!$C$9, $C$13, 100%, $E$13) + CHOOSE(CONTROL!$C$28, 0, 0)</f>
        <v>92.377200000000002</v>
      </c>
      <c r="E967" s="4">
        <f>437.303337127422 * CHOOSE(CONTROL!$C$9, $C$13, 100%, $E$13) + CHOOSE(CONTROL!$C$28, 0, 0)</f>
        <v>437.30333712742203</v>
      </c>
    </row>
    <row r="968" spans="1:5" ht="15">
      <c r="A968" s="13">
        <v>70979</v>
      </c>
      <c r="B968" s="4">
        <f>63.4607 * CHOOSE(CONTROL!$C$9, $C$13, 100%, $E$13) + CHOOSE(CONTROL!$C$28, 0.0003, 0)</f>
        <v>63.461000000000006</v>
      </c>
      <c r="C968" s="4">
        <f>63.0974 * CHOOSE(CONTROL!$C$9, $C$13, 100%, $E$13) + CHOOSE(CONTROL!$C$28, 0.0003, 0)</f>
        <v>63.097700000000003</v>
      </c>
      <c r="D968" s="4">
        <f>95.019 * CHOOSE(CONTROL!$C$9, $C$13, 100%, $E$13) + CHOOSE(CONTROL!$C$28, 0, 0)</f>
        <v>95.019000000000005</v>
      </c>
      <c r="E968" s="4">
        <f>455.141199235524 * CHOOSE(CONTROL!$C$9, $C$13, 100%, $E$13) + CHOOSE(CONTROL!$C$28, 0, 0)</f>
        <v>455.14119923552403</v>
      </c>
    </row>
    <row r="969" spans="1:5" ht="15">
      <c r="A969" s="13">
        <v>71010</v>
      </c>
      <c r="B969" s="4">
        <f>64.9617 * CHOOSE(CONTROL!$C$9, $C$13, 100%, $E$13) + CHOOSE(CONTROL!$C$28, 0.0192, 0)</f>
        <v>64.980899999999991</v>
      </c>
      <c r="C969" s="4">
        <f>64.5985 * CHOOSE(CONTROL!$C$9, $C$13, 100%, $E$13) + CHOOSE(CONTROL!$C$28, 0.0192, 0)</f>
        <v>64.617699999999999</v>
      </c>
      <c r="D969" s="4">
        <f>93.9751 * CHOOSE(CONTROL!$C$9, $C$13, 100%, $E$13) + CHOOSE(CONTROL!$C$28, 0, 0)</f>
        <v>93.975099999999998</v>
      </c>
      <c r="E969" s="4">
        <f>466.039705469686 * CHOOSE(CONTROL!$C$9, $C$13, 100%, $E$13) + CHOOSE(CONTROL!$C$28, 0, 0)</f>
        <v>466.039705469686</v>
      </c>
    </row>
    <row r="970" spans="1:5" ht="15">
      <c r="A970" s="13">
        <v>71040</v>
      </c>
      <c r="B970" s="4">
        <f>65.1648 * CHOOSE(CONTROL!$C$9, $C$13, 100%, $E$13) + CHOOSE(CONTROL!$C$28, 0.0192, 0)</f>
        <v>65.183999999999997</v>
      </c>
      <c r="C970" s="4">
        <f>64.8016 * CHOOSE(CONTROL!$C$9, $C$13, 100%, $E$13) + CHOOSE(CONTROL!$C$28, 0.0192, 0)</f>
        <v>64.820799999999991</v>
      </c>
      <c r="D970" s="4">
        <f>94.8253 * CHOOSE(CONTROL!$C$9, $C$13, 100%, $E$13) + CHOOSE(CONTROL!$C$28, 0, 0)</f>
        <v>94.825299999999999</v>
      </c>
      <c r="E970" s="4">
        <f>467.514318592898 * CHOOSE(CONTROL!$C$9, $C$13, 100%, $E$13) + CHOOSE(CONTROL!$C$28, 0, 0)</f>
        <v>467.51431859289801</v>
      </c>
    </row>
    <row r="971" spans="1:5" ht="15">
      <c r="A971" s="13">
        <v>71071</v>
      </c>
      <c r="B971" s="4">
        <f>65.1444 * CHOOSE(CONTROL!$C$9, $C$13, 100%, $E$13) + CHOOSE(CONTROL!$C$28, 0.0192, 0)</f>
        <v>65.163600000000002</v>
      </c>
      <c r="C971" s="4">
        <f>64.7811 * CHOOSE(CONTROL!$C$9, $C$13, 100%, $E$13) + CHOOSE(CONTROL!$C$28, 0.0192, 0)</f>
        <v>64.800299999999993</v>
      </c>
      <c r="D971" s="4">
        <f>96.3594 * CHOOSE(CONTROL!$C$9, $C$13, 100%, $E$13) + CHOOSE(CONTROL!$C$28, 0, 0)</f>
        <v>96.359399999999994</v>
      </c>
      <c r="E971" s="4">
        <f>467.365618109885 * CHOOSE(CONTROL!$C$9, $C$13, 100%, $E$13) + CHOOSE(CONTROL!$C$28, 0, 0)</f>
        <v>467.36561810988502</v>
      </c>
    </row>
    <row r="972" spans="1:5" ht="15">
      <c r="A972" s="13">
        <v>71102</v>
      </c>
      <c r="B972" s="4">
        <f>66.6855 * CHOOSE(CONTROL!$C$9, $C$13, 100%, $E$13) + CHOOSE(CONTROL!$C$28, 0.0192, 0)</f>
        <v>66.704700000000003</v>
      </c>
      <c r="C972" s="4">
        <f>66.3222 * CHOOSE(CONTROL!$C$9, $C$13, 100%, $E$13) + CHOOSE(CONTROL!$C$28, 0.0192, 0)</f>
        <v>66.341399999999993</v>
      </c>
      <c r="D972" s="4">
        <f>95.3463 * CHOOSE(CONTROL!$C$9, $C$13, 100%, $E$13) + CHOOSE(CONTROL!$C$28, 0, 0)</f>
        <v>95.346299999999999</v>
      </c>
      <c r="E972" s="4">
        <f>478.555329456614 * CHOOSE(CONTROL!$C$9, $C$13, 100%, $E$13) + CHOOSE(CONTROL!$C$28, 0, 0)</f>
        <v>478.555329456614</v>
      </c>
    </row>
    <row r="973" spans="1:5" ht="15">
      <c r="A973" s="13">
        <v>71132</v>
      </c>
      <c r="B973" s="4">
        <f>64.0589 * CHOOSE(CONTROL!$C$9, $C$13, 100%, $E$13) + CHOOSE(CONTROL!$C$28, 0.0192, 0)</f>
        <v>64.078099999999992</v>
      </c>
      <c r="C973" s="4">
        <f>63.6956 * CHOOSE(CONTROL!$C$9, $C$13, 100%, $E$13) + CHOOSE(CONTROL!$C$28, 0.0192, 0)</f>
        <v>63.714799999999997</v>
      </c>
      <c r="D973" s="4">
        <f>94.8676 * CHOOSE(CONTROL!$C$9, $C$13, 100%, $E$13) + CHOOSE(CONTROL!$C$28, 0, 0)</f>
        <v>94.867599999999996</v>
      </c>
      <c r="E973" s="4">
        <f>459.484492510196 * CHOOSE(CONTROL!$C$9, $C$13, 100%, $E$13) + CHOOSE(CONTROL!$C$28, 0, 0)</f>
        <v>459.48449251019599</v>
      </c>
    </row>
    <row r="974" spans="1:5" ht="15">
      <c r="A974" s="13">
        <v>71163</v>
      </c>
      <c r="B974" s="4">
        <f>61.9562 * CHOOSE(CONTROL!$C$9, $C$13, 100%, $E$13) + CHOOSE(CONTROL!$C$28, 0.0003, 0)</f>
        <v>61.956500000000005</v>
      </c>
      <c r="C974" s="4">
        <f>61.5929 * CHOOSE(CONTROL!$C$9, $C$13, 100%, $E$13) + CHOOSE(CONTROL!$C$28, 0.0003, 0)</f>
        <v>61.593200000000003</v>
      </c>
      <c r="D974" s="4">
        <f>93.586 * CHOOSE(CONTROL!$C$9, $C$13, 100%, $E$13) + CHOOSE(CONTROL!$C$28, 0, 0)</f>
        <v>93.585999999999999</v>
      </c>
      <c r="E974" s="4">
        <f>444.217909587527 * CHOOSE(CONTROL!$C$9, $C$13, 100%, $E$13) + CHOOSE(CONTROL!$C$28, 0, 0)</f>
        <v>444.217909587527</v>
      </c>
    </row>
    <row r="975" spans="1:5" ht="15">
      <c r="A975" s="13">
        <v>71193</v>
      </c>
      <c r="B975" s="4">
        <f>60.6019 * CHOOSE(CONTROL!$C$9, $C$13, 100%, $E$13) + CHOOSE(CONTROL!$C$28, 0.0003, 0)</f>
        <v>60.602200000000003</v>
      </c>
      <c r="C975" s="4">
        <f>60.2386 * CHOOSE(CONTROL!$C$9, $C$13, 100%, $E$13) + CHOOSE(CONTROL!$C$28, 0.0003, 0)</f>
        <v>60.238900000000001</v>
      </c>
      <c r="D975" s="4">
        <f>93.1453 * CHOOSE(CONTROL!$C$9, $C$13, 100%, $E$13) + CHOOSE(CONTROL!$C$28, 0, 0)</f>
        <v>93.145300000000006</v>
      </c>
      <c r="E975" s="4">
        <f>434.385090148292 * CHOOSE(CONTROL!$C$9, $C$13, 100%, $E$13) + CHOOSE(CONTROL!$C$28, 0, 0)</f>
        <v>434.38509014829202</v>
      </c>
    </row>
    <row r="976" spans="1:5" ht="15">
      <c r="A976" s="13">
        <v>71224</v>
      </c>
      <c r="B976" s="4">
        <f>59.6649 * CHOOSE(CONTROL!$C$9, $C$13, 100%, $E$13) + CHOOSE(CONTROL!$C$28, 0.0003, 0)</f>
        <v>59.665200000000006</v>
      </c>
      <c r="C976" s="4">
        <f>59.3016 * CHOOSE(CONTROL!$C$9, $C$13, 100%, $E$13) + CHOOSE(CONTROL!$C$28, 0.0003, 0)</f>
        <v>59.301900000000003</v>
      </c>
      <c r="D976" s="4">
        <f>89.9013 * CHOOSE(CONTROL!$C$9, $C$13, 100%, $E$13) + CHOOSE(CONTROL!$C$28, 0, 0)</f>
        <v>89.901300000000006</v>
      </c>
      <c r="E976" s="4">
        <f>427.582043050446 * CHOOSE(CONTROL!$C$9, $C$13, 100%, $E$13) + CHOOSE(CONTROL!$C$28, 0, 0)</f>
        <v>427.58204305044598</v>
      </c>
    </row>
    <row r="977" spans="1:5" ht="15">
      <c r="A977" s="13">
        <v>71255</v>
      </c>
      <c r="B977" s="4">
        <f>57.1013 * CHOOSE(CONTROL!$C$9, $C$13, 100%, $E$13) + CHOOSE(CONTROL!$C$28, 0.0003, 0)</f>
        <v>57.101600000000005</v>
      </c>
      <c r="C977" s="4">
        <f>56.738 * CHOOSE(CONTROL!$C$9, $C$13, 100%, $E$13) + CHOOSE(CONTROL!$C$28, 0.0003, 0)</f>
        <v>56.738300000000002</v>
      </c>
      <c r="D977" s="4">
        <f>86.3278 * CHOOSE(CONTROL!$C$9, $C$13, 100%, $E$13) + CHOOSE(CONTROL!$C$28, 0, 0)</f>
        <v>86.327799999999996</v>
      </c>
      <c r="E977" s="4">
        <f>409.771513516194 * CHOOSE(CONTROL!$C$9, $C$13, 100%, $E$13) + CHOOSE(CONTROL!$C$28, 0, 0)</f>
        <v>409.77151351619398</v>
      </c>
    </row>
    <row r="978" spans="1:5" ht="15">
      <c r="A978" s="13">
        <v>71283</v>
      </c>
      <c r="B978" s="4">
        <f>58.4388 * CHOOSE(CONTROL!$C$9, $C$13, 100%, $E$13) + CHOOSE(CONTROL!$C$28, 0.0003, 0)</f>
        <v>58.439100000000003</v>
      </c>
      <c r="C978" s="4">
        <f>58.0755 * CHOOSE(CONTROL!$C$9, $C$13, 100%, $E$13) + CHOOSE(CONTROL!$C$28, 0.0003, 0)</f>
        <v>58.075800000000001</v>
      </c>
      <c r="D978" s="4">
        <f>89.3093 * CHOOSE(CONTROL!$C$9, $C$13, 100%, $E$13) + CHOOSE(CONTROL!$C$28, 0, 0)</f>
        <v>89.309299999999993</v>
      </c>
      <c r="E978" s="4">
        <f>419.501104119495 * CHOOSE(CONTROL!$C$9, $C$13, 100%, $E$13) + CHOOSE(CONTROL!$C$28, 0, 0)</f>
        <v>419.50110411949498</v>
      </c>
    </row>
    <row r="979" spans="1:5" ht="15">
      <c r="A979" s="13">
        <v>71314</v>
      </c>
      <c r="B979" s="4">
        <f>61.951 * CHOOSE(CONTROL!$C$9, $C$13, 100%, $E$13) + CHOOSE(CONTROL!$C$28, 0.0003, 0)</f>
        <v>61.951300000000003</v>
      </c>
      <c r="C979" s="4">
        <f>61.5877 * CHOOSE(CONTROL!$C$9, $C$13, 100%, $E$13) + CHOOSE(CONTROL!$C$28, 0.0003, 0)</f>
        <v>61.588000000000001</v>
      </c>
      <c r="D979" s="4">
        <f>93.9766 * CHOOSE(CONTROL!$C$9, $C$13, 100%, $E$13) + CHOOSE(CONTROL!$C$28, 0, 0)</f>
        <v>93.976600000000005</v>
      </c>
      <c r="E979" s="4">
        <f>445.051526105609 * CHOOSE(CONTROL!$C$9, $C$13, 100%, $E$13) + CHOOSE(CONTROL!$C$28, 0, 0)</f>
        <v>445.05152610560901</v>
      </c>
    </row>
    <row r="980" spans="1:5" ht="15">
      <c r="A980" s="13">
        <v>71344</v>
      </c>
      <c r="B980" s="4">
        <f>64.4464 * CHOOSE(CONTROL!$C$9, $C$13, 100%, $E$13) + CHOOSE(CONTROL!$C$28, 0.0003, 0)</f>
        <v>64.446699999999993</v>
      </c>
      <c r="C980" s="4">
        <f>64.0831 * CHOOSE(CONTROL!$C$9, $C$13, 100%, $E$13) + CHOOSE(CONTROL!$C$28, 0.0003, 0)</f>
        <v>64.083399999999997</v>
      </c>
      <c r="D980" s="4">
        <f>96.6651 * CHOOSE(CONTROL!$C$9, $C$13, 100%, $E$13) + CHOOSE(CONTROL!$C$28, 0, 0)</f>
        <v>96.665099999999995</v>
      </c>
      <c r="E980" s="4">
        <f>463.205441430886 * CHOOSE(CONTROL!$C$9, $C$13, 100%, $E$13) + CHOOSE(CONTROL!$C$28, 0, 0)</f>
        <v>463.20544143088603</v>
      </c>
    </row>
    <row r="981" spans="1:5" ht="15">
      <c r="A981" s="13">
        <v>71375</v>
      </c>
      <c r="B981" s="4">
        <f>65.9711 * CHOOSE(CONTROL!$C$9, $C$13, 100%, $E$13) + CHOOSE(CONTROL!$C$28, 0.0192, 0)</f>
        <v>65.990300000000005</v>
      </c>
      <c r="C981" s="4">
        <f>65.6078 * CHOOSE(CONTROL!$C$9, $C$13, 100%, $E$13) + CHOOSE(CONTROL!$C$28, 0.0192, 0)</f>
        <v>65.626999999999995</v>
      </c>
      <c r="D981" s="4">
        <f>95.6028 * CHOOSE(CONTROL!$C$9, $C$13, 100%, $E$13) + CHOOSE(CONTROL!$C$28, 0, 0)</f>
        <v>95.602800000000002</v>
      </c>
      <c r="E981" s="4">
        <f>474.297048606003 * CHOOSE(CONTROL!$C$9, $C$13, 100%, $E$13) + CHOOSE(CONTROL!$C$28, 0, 0)</f>
        <v>474.29704860600299</v>
      </c>
    </row>
    <row r="982" spans="1:5" ht="15">
      <c r="A982" s="13">
        <v>71405</v>
      </c>
      <c r="B982" s="4">
        <f>66.1774 * CHOOSE(CONTROL!$C$9, $C$13, 100%, $E$13) + CHOOSE(CONTROL!$C$28, 0.0192, 0)</f>
        <v>66.196600000000004</v>
      </c>
      <c r="C982" s="4">
        <f>65.8141 * CHOOSE(CONTROL!$C$9, $C$13, 100%, $E$13) + CHOOSE(CONTROL!$C$28, 0.0192, 0)</f>
        <v>65.833299999999994</v>
      </c>
      <c r="D982" s="4">
        <f>96.468 * CHOOSE(CONTROL!$C$9, $C$13, 100%, $E$13) + CHOOSE(CONTROL!$C$28, 0, 0)</f>
        <v>96.468000000000004</v>
      </c>
      <c r="E982" s="4">
        <f>475.797789087912 * CHOOSE(CONTROL!$C$9, $C$13, 100%, $E$13) + CHOOSE(CONTROL!$C$28, 0, 0)</f>
        <v>475.79778908791201</v>
      </c>
    </row>
    <row r="983" spans="1:5" ht="15">
      <c r="A983" s="13">
        <v>71436</v>
      </c>
      <c r="B983" s="4">
        <f>66.1566 * CHOOSE(CONTROL!$C$9, $C$13, 100%, $E$13) + CHOOSE(CONTROL!$C$28, 0.0192, 0)</f>
        <v>66.175799999999995</v>
      </c>
      <c r="C983" s="4">
        <f>65.7933 * CHOOSE(CONTROL!$C$9, $C$13, 100%, $E$13) + CHOOSE(CONTROL!$C$28, 0.0192, 0)</f>
        <v>65.8125</v>
      </c>
      <c r="D983" s="4">
        <f>98.0292 * CHOOSE(CONTROL!$C$9, $C$13, 100%, $E$13) + CHOOSE(CONTROL!$C$28, 0, 0)</f>
        <v>98.029200000000003</v>
      </c>
      <c r="E983" s="4">
        <f>475.646453913266 * CHOOSE(CONTROL!$C$9, $C$13, 100%, $E$13) + CHOOSE(CONTROL!$C$28, 0, 0)</f>
        <v>475.64645391326599</v>
      </c>
    </row>
    <row r="984" spans="1:5" ht="15">
      <c r="A984" s="13">
        <v>71467</v>
      </c>
      <c r="B984" s="4">
        <f>67.722 * CHOOSE(CONTROL!$C$9, $C$13, 100%, $E$13) + CHOOSE(CONTROL!$C$28, 0.0192, 0)</f>
        <v>67.741199999999992</v>
      </c>
      <c r="C984" s="4">
        <f>67.3587 * CHOOSE(CONTROL!$C$9, $C$13, 100%, $E$13) + CHOOSE(CONTROL!$C$28, 0.0192, 0)</f>
        <v>67.377899999999997</v>
      </c>
      <c r="D984" s="4">
        <f>96.9982 * CHOOSE(CONTROL!$C$9, $C$13, 100%, $E$13) + CHOOSE(CONTROL!$C$28, 0, 0)</f>
        <v>96.998199999999997</v>
      </c>
      <c r="E984" s="4">
        <f>487.034425805398 * CHOOSE(CONTROL!$C$9, $C$13, 100%, $E$13) + CHOOSE(CONTROL!$C$28, 0, 0)</f>
        <v>487.03442580539797</v>
      </c>
    </row>
    <row r="985" spans="1:5" ht="15">
      <c r="A985" s="13">
        <v>71497</v>
      </c>
      <c r="B985" s="4">
        <f>65.054 * CHOOSE(CONTROL!$C$9, $C$13, 100%, $E$13) + CHOOSE(CONTROL!$C$28, 0.0192, 0)</f>
        <v>65.0732</v>
      </c>
      <c r="C985" s="4">
        <f>64.6908 * CHOOSE(CONTROL!$C$9, $C$13, 100%, $E$13) + CHOOSE(CONTROL!$C$28, 0.0192, 0)</f>
        <v>64.709999999999994</v>
      </c>
      <c r="D985" s="4">
        <f>96.511 * CHOOSE(CONTROL!$C$9, $C$13, 100%, $E$13) + CHOOSE(CONTROL!$C$28, 0, 0)</f>
        <v>96.510999999999996</v>
      </c>
      <c r="E985" s="4">
        <f>467.625689657013 * CHOOSE(CONTROL!$C$9, $C$13, 100%, $E$13) + CHOOSE(CONTROL!$C$28, 0, 0)</f>
        <v>467.62568965701303</v>
      </c>
    </row>
    <row r="986" spans="1:5" ht="15">
      <c r="A986" s="13">
        <v>71528</v>
      </c>
      <c r="B986" s="4">
        <f>62.9183 * CHOOSE(CONTROL!$C$9, $C$13, 100%, $E$13) + CHOOSE(CONTROL!$C$28, 0.0003, 0)</f>
        <v>62.918600000000005</v>
      </c>
      <c r="C986" s="4">
        <f>62.555 * CHOOSE(CONTROL!$C$9, $C$13, 100%, $E$13) + CHOOSE(CONTROL!$C$28, 0.0003, 0)</f>
        <v>62.555300000000003</v>
      </c>
      <c r="D986" s="4">
        <f>95.2067 * CHOOSE(CONTROL!$C$9, $C$13, 100%, $E$13) + CHOOSE(CONTROL!$C$28, 0, 0)</f>
        <v>95.206699999999998</v>
      </c>
      <c r="E986" s="4">
        <f>452.088611726661 * CHOOSE(CONTROL!$C$9, $C$13, 100%, $E$13) + CHOOSE(CONTROL!$C$28, 0, 0)</f>
        <v>452.08861172666099</v>
      </c>
    </row>
    <row r="987" spans="1:5" ht="15">
      <c r="A987" s="13">
        <v>71558</v>
      </c>
      <c r="B987" s="4">
        <f>61.5427 * CHOOSE(CONTROL!$C$9, $C$13, 100%, $E$13) + CHOOSE(CONTROL!$C$28, 0.0003, 0)</f>
        <v>61.543000000000006</v>
      </c>
      <c r="C987" s="4">
        <f>61.1794 * CHOOSE(CONTROL!$C$9, $C$13, 100%, $E$13) + CHOOSE(CONTROL!$C$28, 0.0003, 0)</f>
        <v>61.179700000000004</v>
      </c>
      <c r="D987" s="4">
        <f>94.7583 * CHOOSE(CONTROL!$C$9, $C$13, 100%, $E$13) + CHOOSE(CONTROL!$C$28, 0, 0)</f>
        <v>94.758300000000006</v>
      </c>
      <c r="E987" s="4">
        <f>442.081573303175 * CHOOSE(CONTROL!$C$9, $C$13, 100%, $E$13) + CHOOSE(CONTROL!$C$28, 0, 0)</f>
        <v>442.08157330317499</v>
      </c>
    </row>
    <row r="988" spans="1:5" ht="15">
      <c r="A988" s="13">
        <v>71589</v>
      </c>
      <c r="B988" s="4">
        <f>60.591 * CHOOSE(CONTROL!$C$9, $C$13, 100%, $E$13) + CHOOSE(CONTROL!$C$28, 0.0003, 0)</f>
        <v>60.591300000000004</v>
      </c>
      <c r="C988" s="4">
        <f>60.2277 * CHOOSE(CONTROL!$C$9, $C$13, 100%, $E$13) + CHOOSE(CONTROL!$C$28, 0.0003, 0)</f>
        <v>60.228000000000002</v>
      </c>
      <c r="D988" s="4">
        <f>91.457 * CHOOSE(CONTROL!$C$9, $C$13, 100%, $E$13) + CHOOSE(CONTROL!$C$28, 0, 0)</f>
        <v>91.456999999999994</v>
      </c>
      <c r="E988" s="4">
        <f>435.157989063108 * CHOOSE(CONTROL!$C$9, $C$13, 100%, $E$13) + CHOOSE(CONTROL!$C$28, 0, 0)</f>
        <v>435.157989063108</v>
      </c>
    </row>
    <row r="989" spans="1:5" ht="15">
      <c r="A989" s="13">
        <v>71620</v>
      </c>
      <c r="B989" s="4">
        <f>57.9871 * CHOOSE(CONTROL!$C$9, $C$13, 100%, $E$13) + CHOOSE(CONTROL!$C$28, 0.0003, 0)</f>
        <v>57.987400000000001</v>
      </c>
      <c r="C989" s="4">
        <f>57.6238 * CHOOSE(CONTROL!$C$9, $C$13, 100%, $E$13) + CHOOSE(CONTROL!$C$28, 0.0003, 0)</f>
        <v>57.624100000000006</v>
      </c>
      <c r="D989" s="4">
        <f>87.8204 * CHOOSE(CONTROL!$C$9, $C$13, 100%, $E$13) + CHOOSE(CONTROL!$C$28, 0, 0)</f>
        <v>87.820400000000006</v>
      </c>
      <c r="E989" s="4">
        <f>417.031890593253 * CHOOSE(CONTROL!$C$9, $C$13, 100%, $E$13) + CHOOSE(CONTROL!$C$28, 0, 0)</f>
        <v>417.03189059325302</v>
      </c>
    </row>
    <row r="990" spans="1:5" ht="15">
      <c r="A990" s="13">
        <v>71649</v>
      </c>
      <c r="B990" s="4">
        <f>59.3455 * CHOOSE(CONTROL!$C$9, $C$13, 100%, $E$13) + CHOOSE(CONTROL!$C$28, 0.0003, 0)</f>
        <v>59.345800000000004</v>
      </c>
      <c r="C990" s="4">
        <f>58.9823 * CHOOSE(CONTROL!$C$9, $C$13, 100%, $E$13) + CHOOSE(CONTROL!$C$28, 0.0003, 0)</f>
        <v>58.982600000000005</v>
      </c>
      <c r="D990" s="4">
        <f>90.8546 * CHOOSE(CONTROL!$C$9, $C$13, 100%, $E$13) + CHOOSE(CONTROL!$C$28, 0, 0)</f>
        <v>90.854600000000005</v>
      </c>
      <c r="E990" s="4">
        <f>426.933871160851 * CHOOSE(CONTROL!$C$9, $C$13, 100%, $E$13) + CHOOSE(CONTROL!$C$28, 0, 0)</f>
        <v>426.93387116085103</v>
      </c>
    </row>
    <row r="991" spans="1:5" ht="15">
      <c r="A991" s="13">
        <v>71680</v>
      </c>
      <c r="B991" s="4">
        <f>62.913 * CHOOSE(CONTROL!$C$9, $C$13, 100%, $E$13) + CHOOSE(CONTROL!$C$28, 0.0003, 0)</f>
        <v>62.9133</v>
      </c>
      <c r="C991" s="4">
        <f>62.5497 * CHOOSE(CONTROL!$C$9, $C$13, 100%, $E$13) + CHOOSE(CONTROL!$C$28, 0.0003, 0)</f>
        <v>62.550000000000004</v>
      </c>
      <c r="D991" s="4">
        <f>95.6043 * CHOOSE(CONTROL!$C$9, $C$13, 100%, $E$13) + CHOOSE(CONTROL!$C$28, 0, 0)</f>
        <v>95.604299999999995</v>
      </c>
      <c r="E991" s="4">
        <f>452.936998354571 * CHOOSE(CONTROL!$C$9, $C$13, 100%, $E$13) + CHOOSE(CONTROL!$C$28, 0, 0)</f>
        <v>452.93699835457102</v>
      </c>
    </row>
    <row r="992" spans="1:5" ht="15">
      <c r="A992" s="13">
        <v>71710</v>
      </c>
      <c r="B992" s="4">
        <f>65.4477 * CHOOSE(CONTROL!$C$9, $C$13, 100%, $E$13) + CHOOSE(CONTROL!$C$28, 0.0003, 0)</f>
        <v>65.447999999999993</v>
      </c>
      <c r="C992" s="4">
        <f>65.0844 * CHOOSE(CONTROL!$C$9, $C$13, 100%, $E$13) + CHOOSE(CONTROL!$C$28, 0.0003, 0)</f>
        <v>65.084699999999998</v>
      </c>
      <c r="D992" s="4">
        <f>98.3403 * CHOOSE(CONTROL!$C$9, $C$13, 100%, $E$13) + CHOOSE(CONTROL!$C$28, 0, 0)</f>
        <v>98.340299999999999</v>
      </c>
      <c r="E992" s="4">
        <f>471.412566762942 * CHOOSE(CONTROL!$C$9, $C$13, 100%, $E$13) + CHOOSE(CONTROL!$C$28, 0, 0)</f>
        <v>471.41256676294199</v>
      </c>
    </row>
    <row r="993" spans="1:5" ht="15">
      <c r="A993" s="13">
        <v>71741</v>
      </c>
      <c r="B993" s="4">
        <f>66.9963 * CHOOSE(CONTROL!$C$9, $C$13, 100%, $E$13) + CHOOSE(CONTROL!$C$28, 0.0192, 0)</f>
        <v>67.015500000000003</v>
      </c>
      <c r="C993" s="4">
        <f>66.633 * CHOOSE(CONTROL!$C$9, $C$13, 100%, $E$13) + CHOOSE(CONTROL!$C$28, 0.0192, 0)</f>
        <v>66.652199999999993</v>
      </c>
      <c r="D993" s="4">
        <f>97.2592 * CHOOSE(CONTROL!$C$9, $C$13, 100%, $E$13) + CHOOSE(CONTROL!$C$28, 0, 0)</f>
        <v>97.259200000000007</v>
      </c>
      <c r="E993" s="4">
        <f>482.700696262881 * CHOOSE(CONTROL!$C$9, $C$13, 100%, $E$13) + CHOOSE(CONTROL!$C$28, 0, 0)</f>
        <v>482.70069626288102</v>
      </c>
    </row>
    <row r="994" spans="1:5" ht="15">
      <c r="A994" s="13">
        <v>71771</v>
      </c>
      <c r="B994" s="4">
        <f>67.2059 * CHOOSE(CONTROL!$C$9, $C$13, 100%, $E$13) + CHOOSE(CONTROL!$C$28, 0.0192, 0)</f>
        <v>67.225099999999998</v>
      </c>
      <c r="C994" s="4">
        <f>66.8426 * CHOOSE(CONTROL!$C$9, $C$13, 100%, $E$13) + CHOOSE(CONTROL!$C$28, 0.0192, 0)</f>
        <v>66.861800000000002</v>
      </c>
      <c r="D994" s="4">
        <f>98.1397 * CHOOSE(CONTROL!$C$9, $C$13, 100%, $E$13) + CHOOSE(CONTROL!$C$28, 0, 0)</f>
        <v>98.139700000000005</v>
      </c>
      <c r="E994" s="4">
        <f>484.228027030922 * CHOOSE(CONTROL!$C$9, $C$13, 100%, $E$13) + CHOOSE(CONTROL!$C$28, 0, 0)</f>
        <v>484.22802703092202</v>
      </c>
    </row>
    <row r="995" spans="1:5" ht="15">
      <c r="A995" s="13">
        <v>71802</v>
      </c>
      <c r="B995" s="4">
        <f>67.1847 * CHOOSE(CONTROL!$C$9, $C$13, 100%, $E$13) + CHOOSE(CONTROL!$C$28, 0.0192, 0)</f>
        <v>67.203900000000004</v>
      </c>
      <c r="C995" s="4">
        <f>66.8214 * CHOOSE(CONTROL!$C$9, $C$13, 100%, $E$13) + CHOOSE(CONTROL!$C$28, 0.0192, 0)</f>
        <v>66.840599999999995</v>
      </c>
      <c r="D995" s="4">
        <f>99.7285 * CHOOSE(CONTROL!$C$9, $C$13, 100%, $E$13) + CHOOSE(CONTROL!$C$28, 0, 0)</f>
        <v>99.728499999999997</v>
      </c>
      <c r="E995" s="4">
        <f>484.074010482884 * CHOOSE(CONTROL!$C$9, $C$13, 100%, $E$13) + CHOOSE(CONTROL!$C$28, 0, 0)</f>
        <v>484.07401048288398</v>
      </c>
    </row>
    <row r="996" spans="1:5" ht="15">
      <c r="A996" s="13">
        <v>71833</v>
      </c>
      <c r="B996" s="4">
        <f>68.7748 * CHOOSE(CONTROL!$C$9, $C$13, 100%, $E$13) + CHOOSE(CONTROL!$C$28, 0.0192, 0)</f>
        <v>68.793999999999997</v>
      </c>
      <c r="C996" s="4">
        <f>68.4115 * CHOOSE(CONTROL!$C$9, $C$13, 100%, $E$13) + CHOOSE(CONTROL!$C$28, 0.0192, 0)</f>
        <v>68.430700000000002</v>
      </c>
      <c r="D996" s="4">
        <f>98.6792 * CHOOSE(CONTROL!$C$9, $C$13, 100%, $E$13) + CHOOSE(CONTROL!$C$28, 0, 0)</f>
        <v>98.679199999999994</v>
      </c>
      <c r="E996" s="4">
        <f>495.663755722731 * CHOOSE(CONTROL!$C$9, $C$13, 100%, $E$13) + CHOOSE(CONTROL!$C$28, 0, 0)</f>
        <v>495.66375572273103</v>
      </c>
    </row>
    <row r="997" spans="1:5" ht="15">
      <c r="A997" s="13">
        <v>71863</v>
      </c>
      <c r="B997" s="4">
        <f>66.0648 * CHOOSE(CONTROL!$C$9, $C$13, 100%, $E$13) + CHOOSE(CONTROL!$C$28, 0.0192, 0)</f>
        <v>66.084000000000003</v>
      </c>
      <c r="C997" s="4">
        <f>65.7016 * CHOOSE(CONTROL!$C$9, $C$13, 100%, $E$13) + CHOOSE(CONTROL!$C$28, 0.0192, 0)</f>
        <v>65.720799999999997</v>
      </c>
      <c r="D997" s="4">
        <f>98.1835 * CHOOSE(CONTROL!$C$9, $C$13, 100%, $E$13) + CHOOSE(CONTROL!$C$28, 0, 0)</f>
        <v>98.183499999999995</v>
      </c>
      <c r="E997" s="4">
        <f>475.91113343688 * CHOOSE(CONTROL!$C$9, $C$13, 100%, $E$13) + CHOOSE(CONTROL!$C$28, 0, 0)</f>
        <v>475.91113343687999</v>
      </c>
    </row>
    <row r="998" spans="1:5" ht="15">
      <c r="A998" s="13">
        <v>71894</v>
      </c>
      <c r="B998" s="4">
        <f>63.8955 * CHOOSE(CONTROL!$C$9, $C$13, 100%, $E$13) + CHOOSE(CONTROL!$C$28, 0.0003, 0)</f>
        <v>63.895800000000001</v>
      </c>
      <c r="C998" s="4">
        <f>63.5322 * CHOOSE(CONTROL!$C$9, $C$13, 100%, $E$13) + CHOOSE(CONTROL!$C$28, 0.0003, 0)</f>
        <v>63.532500000000006</v>
      </c>
      <c r="D998" s="4">
        <f>96.8562 * CHOOSE(CONTROL!$C$9, $C$13, 100%, $E$13) + CHOOSE(CONTROL!$C$28, 0, 0)</f>
        <v>96.856200000000001</v>
      </c>
      <c r="E998" s="4">
        <f>460.09876783833 * CHOOSE(CONTROL!$C$9, $C$13, 100%, $E$13) + CHOOSE(CONTROL!$C$28, 0, 0)</f>
        <v>460.09876783832999</v>
      </c>
    </row>
    <row r="999" spans="1:5" ht="15">
      <c r="A999" s="13">
        <v>71924</v>
      </c>
      <c r="B999" s="4">
        <f>62.4983 * CHOOSE(CONTROL!$C$9, $C$13, 100%, $E$13) + CHOOSE(CONTROL!$C$28, 0.0003, 0)</f>
        <v>62.498600000000003</v>
      </c>
      <c r="C999" s="4">
        <f>62.135 * CHOOSE(CONTROL!$C$9, $C$13, 100%, $E$13) + CHOOSE(CONTROL!$C$28, 0.0003, 0)</f>
        <v>62.135300000000001</v>
      </c>
      <c r="D999" s="4">
        <f>96.3998 * CHOOSE(CONTROL!$C$9, $C$13, 100%, $E$13) + CHOOSE(CONTROL!$C$28, 0, 0)</f>
        <v>96.399799999999999</v>
      </c>
      <c r="E999" s="4">
        <f>449.914423599328 * CHOOSE(CONTROL!$C$9, $C$13, 100%, $E$13) + CHOOSE(CONTROL!$C$28, 0, 0)</f>
        <v>449.91442359932802</v>
      </c>
    </row>
    <row r="1000" spans="1:5" ht="15">
      <c r="A1000" s="13">
        <v>71955</v>
      </c>
      <c r="B1000" s="4">
        <f>61.5316 * CHOOSE(CONTROL!$C$9, $C$13, 100%, $E$13) + CHOOSE(CONTROL!$C$28, 0.0003, 0)</f>
        <v>61.5319</v>
      </c>
      <c r="C1000" s="4">
        <f>61.1683 * CHOOSE(CONTROL!$C$9, $C$13, 100%, $E$13) + CHOOSE(CONTROL!$C$28, 0.0003, 0)</f>
        <v>61.168600000000005</v>
      </c>
      <c r="D1000" s="4">
        <f>93.0402 * CHOOSE(CONTROL!$C$9, $C$13, 100%, $E$13) + CHOOSE(CONTROL!$C$28, 0, 0)</f>
        <v>93.040199999999999</v>
      </c>
      <c r="E1000" s="4">
        <f>442.868166526598 * CHOOSE(CONTROL!$C$9, $C$13, 100%, $E$13) + CHOOSE(CONTROL!$C$28, 0, 0)</f>
        <v>442.86816652659797</v>
      </c>
    </row>
    <row r="1001" spans="1:5" ht="15">
      <c r="A1001" s="13">
        <v>71986</v>
      </c>
      <c r="B1001" s="4">
        <f>58.8867 * CHOOSE(CONTROL!$C$9, $C$13, 100%, $E$13) + CHOOSE(CONTROL!$C$28, 0.0003, 0)</f>
        <v>58.887</v>
      </c>
      <c r="C1001" s="4">
        <f>58.5235 * CHOOSE(CONTROL!$C$9, $C$13, 100%, $E$13) + CHOOSE(CONTROL!$C$28, 0.0003, 0)</f>
        <v>58.523800000000001</v>
      </c>
      <c r="D1001" s="4">
        <f>89.3393 * CHOOSE(CONTROL!$C$9, $C$13, 100%, $E$13) + CHOOSE(CONTROL!$C$28, 0, 0)</f>
        <v>89.339299999999994</v>
      </c>
      <c r="E1001" s="4">
        <f>424.420907835775 * CHOOSE(CONTROL!$C$9, $C$13, 100%, $E$13) + CHOOSE(CONTROL!$C$28, 0, 0)</f>
        <v>424.42090783577498</v>
      </c>
    </row>
    <row r="1002" spans="1:5" ht="15">
      <c r="A1002" s="13">
        <v>72014</v>
      </c>
      <c r="B1002" s="4">
        <f>60.2666 * CHOOSE(CONTROL!$C$9, $C$13, 100%, $E$13) + CHOOSE(CONTROL!$C$28, 0.0003, 0)</f>
        <v>60.2669</v>
      </c>
      <c r="C1002" s="4">
        <f>59.9033 * CHOOSE(CONTROL!$C$9, $C$13, 100%, $E$13) + CHOOSE(CONTROL!$C$28, 0.0003, 0)</f>
        <v>59.903600000000004</v>
      </c>
      <c r="D1002" s="4">
        <f>92.4271 * CHOOSE(CONTROL!$C$9, $C$13, 100%, $E$13) + CHOOSE(CONTROL!$C$28, 0, 0)</f>
        <v>92.427099999999996</v>
      </c>
      <c r="E1002" s="4">
        <f>434.498332792159 * CHOOSE(CONTROL!$C$9, $C$13, 100%, $E$13) + CHOOSE(CONTROL!$C$28, 0, 0)</f>
        <v>434.49833279215898</v>
      </c>
    </row>
    <row r="1003" spans="1:5" ht="15">
      <c r="A1003" s="13">
        <v>72045</v>
      </c>
      <c r="B1003" s="4">
        <f>63.8901 * CHOOSE(CONTROL!$C$9, $C$13, 100%, $E$13) + CHOOSE(CONTROL!$C$28, 0.0003, 0)</f>
        <v>63.8904</v>
      </c>
      <c r="C1003" s="4">
        <f>63.5268 * CHOOSE(CONTROL!$C$9, $C$13, 100%, $E$13) + CHOOSE(CONTROL!$C$28, 0.0003, 0)</f>
        <v>63.527100000000004</v>
      </c>
      <c r="D1003" s="4">
        <f>97.2608 * CHOOSE(CONTROL!$C$9, $C$13, 100%, $E$13) + CHOOSE(CONTROL!$C$28, 0, 0)</f>
        <v>97.260800000000003</v>
      </c>
      <c r="E1003" s="4">
        <f>460.96218627451 * CHOOSE(CONTROL!$C$9, $C$13, 100%, $E$13) + CHOOSE(CONTROL!$C$28, 0, 0)</f>
        <v>460.96218627450997</v>
      </c>
    </row>
    <row r="1004" spans="1:5" ht="15">
      <c r="A1004" s="13">
        <v>72075</v>
      </c>
      <c r="B1004" s="4">
        <f>66.4647 * CHOOSE(CONTROL!$C$9, $C$13, 100%, $E$13) + CHOOSE(CONTROL!$C$28, 0.0003, 0)</f>
        <v>66.464999999999989</v>
      </c>
      <c r="C1004" s="4">
        <f>66.1014 * CHOOSE(CONTROL!$C$9, $C$13, 100%, $E$13) + CHOOSE(CONTROL!$C$28, 0.0003, 0)</f>
        <v>66.101699999999994</v>
      </c>
      <c r="D1004" s="4">
        <f>100.0451 * CHOOSE(CONTROL!$C$9, $C$13, 100%, $E$13) + CHOOSE(CONTROL!$C$28, 0, 0)</f>
        <v>100.04510000000001</v>
      </c>
      <c r="E1004" s="4">
        <f>479.765106850938 * CHOOSE(CONTROL!$C$9, $C$13, 100%, $E$13) + CHOOSE(CONTROL!$C$28, 0, 0)</f>
        <v>479.76510685093803</v>
      </c>
    </row>
    <row r="1005" spans="1:5" ht="15">
      <c r="A1005" s="13">
        <v>72106</v>
      </c>
      <c r="B1005" s="4">
        <f>68.0377 * CHOOSE(CONTROL!$C$9, $C$13, 100%, $E$13) + CHOOSE(CONTROL!$C$28, 0.0192, 0)</f>
        <v>68.056899999999999</v>
      </c>
      <c r="C1005" s="4">
        <f>67.6744 * CHOOSE(CONTROL!$C$9, $C$13, 100%, $E$13) + CHOOSE(CONTROL!$C$28, 0.0192, 0)</f>
        <v>67.693600000000004</v>
      </c>
      <c r="D1005" s="4">
        <f>98.9449 * CHOOSE(CONTROL!$C$9, $C$13, 100%, $E$13) + CHOOSE(CONTROL!$C$28, 0, 0)</f>
        <v>98.944900000000004</v>
      </c>
      <c r="E1005" s="4">
        <f>491.253240680024 * CHOOSE(CONTROL!$C$9, $C$13, 100%, $E$13) + CHOOSE(CONTROL!$C$28, 0, 0)</f>
        <v>491.25324068002402</v>
      </c>
    </row>
    <row r="1006" spans="1:5" ht="15">
      <c r="A1006" s="13">
        <v>72136</v>
      </c>
      <c r="B1006" s="4">
        <f>68.2505 * CHOOSE(CONTROL!$C$9, $C$13, 100%, $E$13) + CHOOSE(CONTROL!$C$28, 0.0192, 0)</f>
        <v>68.2697</v>
      </c>
      <c r="C1006" s="4">
        <f>67.8872 * CHOOSE(CONTROL!$C$9, $C$13, 100%, $E$13) + CHOOSE(CONTROL!$C$28, 0.0192, 0)</f>
        <v>67.906400000000005</v>
      </c>
      <c r="D1006" s="4">
        <f>99.8409 * CHOOSE(CONTROL!$C$9, $C$13, 100%, $E$13) + CHOOSE(CONTROL!$C$28, 0, 0)</f>
        <v>99.840900000000005</v>
      </c>
      <c r="E1006" s="4">
        <f>492.807632863834 * CHOOSE(CONTROL!$C$9, $C$13, 100%, $E$13) + CHOOSE(CONTROL!$C$28, 0, 0)</f>
        <v>492.80763286383399</v>
      </c>
    </row>
    <row r="1007" spans="1:5" ht="15">
      <c r="A1007" s="13">
        <v>72167</v>
      </c>
      <c r="B1007" s="4">
        <f>68.229 * CHOOSE(CONTROL!$C$9, $C$13, 100%, $E$13) + CHOOSE(CONTROL!$C$28, 0.0192, 0)</f>
        <v>68.248199999999997</v>
      </c>
      <c r="C1007" s="4">
        <f>67.8658 * CHOOSE(CONTROL!$C$9, $C$13, 100%, $E$13) + CHOOSE(CONTROL!$C$28, 0.0192, 0)</f>
        <v>67.884999999999991</v>
      </c>
      <c r="D1007" s="4">
        <f>101.4578 * CHOOSE(CONTROL!$C$9, $C$13, 100%, $E$13) + CHOOSE(CONTROL!$C$28, 0, 0)</f>
        <v>101.45780000000001</v>
      </c>
      <c r="E1007" s="4">
        <f>492.650887433534 * CHOOSE(CONTROL!$C$9, $C$13, 100%, $E$13) + CHOOSE(CONTROL!$C$28, 0, 0)</f>
        <v>492.65088743353402</v>
      </c>
    </row>
    <row r="1008" spans="1:5" ht="15">
      <c r="A1008" s="13">
        <v>72198</v>
      </c>
      <c r="B1008" s="4">
        <f>69.8441 * CHOOSE(CONTROL!$C$9, $C$13, 100%, $E$13) + CHOOSE(CONTROL!$C$28, 0.0192, 0)</f>
        <v>69.863299999999995</v>
      </c>
      <c r="C1008" s="4">
        <f>69.4808 * CHOOSE(CONTROL!$C$9, $C$13, 100%, $E$13) + CHOOSE(CONTROL!$C$28, 0.0192, 0)</f>
        <v>69.5</v>
      </c>
      <c r="D1008" s="4">
        <f>100.39 * CHOOSE(CONTROL!$C$9, $C$13, 100%, $E$13) + CHOOSE(CONTROL!$C$28, 0, 0)</f>
        <v>100.39</v>
      </c>
      <c r="E1008" s="4">
        <f>504.445981063624 * CHOOSE(CONTROL!$C$9, $C$13, 100%, $E$13) + CHOOSE(CONTROL!$C$28, 0, 0)</f>
        <v>504.445981063624</v>
      </c>
    </row>
    <row r="1009" spans="1:5" ht="15">
      <c r="A1009" s="13">
        <v>72228</v>
      </c>
      <c r="B1009" s="4">
        <f>67.0915 * CHOOSE(CONTROL!$C$9, $C$13, 100%, $E$13) + CHOOSE(CONTROL!$C$28, 0.0192, 0)</f>
        <v>67.110699999999994</v>
      </c>
      <c r="C1009" s="4">
        <f>66.7283 * CHOOSE(CONTROL!$C$9, $C$13, 100%, $E$13) + CHOOSE(CONTROL!$C$28, 0.0192, 0)</f>
        <v>66.747500000000002</v>
      </c>
      <c r="D1009" s="4">
        <f>99.8855 * CHOOSE(CONTROL!$C$9, $C$13, 100%, $E$13) + CHOOSE(CONTROL!$C$28, 0, 0)</f>
        <v>99.885499999999993</v>
      </c>
      <c r="E1009" s="4">
        <f>484.343379627623 * CHOOSE(CONTROL!$C$9, $C$13, 100%, $E$13) + CHOOSE(CONTROL!$C$28, 0, 0)</f>
        <v>484.34337962762299</v>
      </c>
    </row>
    <row r="1010" spans="1:5" ht="15">
      <c r="A1010" s="13">
        <v>72259</v>
      </c>
      <c r="B1010" s="4">
        <f>64.8881 * CHOOSE(CONTROL!$C$9, $C$13, 100%, $E$13) + CHOOSE(CONTROL!$C$28, 0.0003, 0)</f>
        <v>64.88839999999999</v>
      </c>
      <c r="C1010" s="4">
        <f>64.5248 * CHOOSE(CONTROL!$C$9, $C$13, 100%, $E$13) + CHOOSE(CONTROL!$C$28, 0.0003, 0)</f>
        <v>64.525099999999995</v>
      </c>
      <c r="D1010" s="4">
        <f>98.5347 * CHOOSE(CONTROL!$C$9, $C$13, 100%, $E$13) + CHOOSE(CONTROL!$C$28, 0, 0)</f>
        <v>98.534700000000001</v>
      </c>
      <c r="E1010" s="4">
        <f>468.250848783469 * CHOOSE(CONTROL!$C$9, $C$13, 100%, $E$13) + CHOOSE(CONTROL!$C$28, 0, 0)</f>
        <v>468.250848783469</v>
      </c>
    </row>
    <row r="1011" spans="1:5" ht="15">
      <c r="A1011" s="13">
        <v>72289</v>
      </c>
      <c r="B1011" s="4">
        <f>63.4689 * CHOOSE(CONTROL!$C$9, $C$13, 100%, $E$13) + CHOOSE(CONTROL!$C$28, 0.0003, 0)</f>
        <v>63.469200000000001</v>
      </c>
      <c r="C1011" s="4">
        <f>63.1056 * CHOOSE(CONTROL!$C$9, $C$13, 100%, $E$13) + CHOOSE(CONTROL!$C$28, 0.0003, 0)</f>
        <v>63.105900000000005</v>
      </c>
      <c r="D1011" s="4">
        <f>98.0703 * CHOOSE(CONTROL!$C$9, $C$13, 100%, $E$13) + CHOOSE(CONTROL!$C$28, 0, 0)</f>
        <v>98.070300000000003</v>
      </c>
      <c r="E1011" s="4">
        <f>457.886057204868 * CHOOSE(CONTROL!$C$9, $C$13, 100%, $E$13) + CHOOSE(CONTROL!$C$28, 0, 0)</f>
        <v>457.886057204868</v>
      </c>
    </row>
    <row r="1012" spans="1:5" ht="15">
      <c r="A1012" s="13">
        <v>72320</v>
      </c>
      <c r="B1012" s="4">
        <f>62.487 * CHOOSE(CONTROL!$C$9, $C$13, 100%, $E$13) + CHOOSE(CONTROL!$C$28, 0.0003, 0)</f>
        <v>62.487300000000005</v>
      </c>
      <c r="C1012" s="4">
        <f>62.1237 * CHOOSE(CONTROL!$C$9, $C$13, 100%, $E$13) + CHOOSE(CONTROL!$C$28, 0.0003, 0)</f>
        <v>62.124000000000002</v>
      </c>
      <c r="D1012" s="4">
        <f>94.6513 * CHOOSE(CONTROL!$C$9, $C$13, 100%, $E$13) + CHOOSE(CONTROL!$C$28, 0, 0)</f>
        <v>94.651300000000006</v>
      </c>
      <c r="E1012" s="4">
        <f>450.714953768634 * CHOOSE(CONTROL!$C$9, $C$13, 100%, $E$13) + CHOOSE(CONTROL!$C$28, 0, 0)</f>
        <v>450.71495376863402</v>
      </c>
    </row>
    <row r="1013" spans="1:5" ht="15">
      <c r="A1013" s="13">
        <v>72351</v>
      </c>
      <c r="B1013" s="4">
        <f>59.8006 * CHOOSE(CONTROL!$C$9, $C$13, 100%, $E$13) + CHOOSE(CONTROL!$C$28, 0.0003, 0)</f>
        <v>59.800900000000006</v>
      </c>
      <c r="C1013" s="4">
        <f>59.4373 * CHOOSE(CONTROL!$C$9, $C$13, 100%, $E$13) + CHOOSE(CONTROL!$C$28, 0.0003, 0)</f>
        <v>59.437600000000003</v>
      </c>
      <c r="D1013" s="4">
        <f>90.8851 * CHOOSE(CONTROL!$C$9, $C$13, 100%, $E$13) + CHOOSE(CONTROL!$C$28, 0, 0)</f>
        <v>90.885099999999994</v>
      </c>
      <c r="E1013" s="4">
        <f>431.940844504466 * CHOOSE(CONTROL!$C$9, $C$13, 100%, $E$13) + CHOOSE(CONTROL!$C$28, 0, 0)</f>
        <v>431.94084450446599</v>
      </c>
    </row>
    <row r="1014" spans="1:5" ht="15">
      <c r="A1014" s="13">
        <v>72379</v>
      </c>
      <c r="B1014" s="4">
        <f>61.2021 * CHOOSE(CONTROL!$C$9, $C$13, 100%, $E$13) + CHOOSE(CONTROL!$C$28, 0.0003, 0)</f>
        <v>61.202400000000004</v>
      </c>
      <c r="C1014" s="4">
        <f>60.8388 * CHOOSE(CONTROL!$C$9, $C$13, 100%, $E$13) + CHOOSE(CONTROL!$C$28, 0.0003, 0)</f>
        <v>60.839100000000002</v>
      </c>
      <c r="D1014" s="4">
        <f>94.0274 * CHOOSE(CONTROL!$C$9, $C$13, 100%, $E$13) + CHOOSE(CONTROL!$C$28, 0, 0)</f>
        <v>94.0274</v>
      </c>
      <c r="E1014" s="4">
        <f>442.196822392754 * CHOOSE(CONTROL!$C$9, $C$13, 100%, $E$13) + CHOOSE(CONTROL!$C$28, 0, 0)</f>
        <v>442.19682239275397</v>
      </c>
    </row>
    <row r="1015" spans="1:5" ht="15">
      <c r="A1015" s="13">
        <v>72410</v>
      </c>
      <c r="B1015" s="4">
        <f>64.8826 * CHOOSE(CONTROL!$C$9, $C$13, 100%, $E$13) + CHOOSE(CONTROL!$C$28, 0.0003, 0)</f>
        <v>64.882899999999992</v>
      </c>
      <c r="C1015" s="4">
        <f>64.5193 * CHOOSE(CONTROL!$C$9, $C$13, 100%, $E$13) + CHOOSE(CONTROL!$C$28, 0.0003, 0)</f>
        <v>64.519599999999997</v>
      </c>
      <c r="D1015" s="4">
        <f>98.9465 * CHOOSE(CONTROL!$C$9, $C$13, 100%, $E$13) + CHOOSE(CONTROL!$C$28, 0, 0)</f>
        <v>98.9465</v>
      </c>
      <c r="E1015" s="4">
        <f>469.129565363164 * CHOOSE(CONTROL!$C$9, $C$13, 100%, $E$13) + CHOOSE(CONTROL!$C$28, 0, 0)</f>
        <v>469.12956536316398</v>
      </c>
    </row>
    <row r="1016" spans="1:5" ht="15">
      <c r="A1016" s="13">
        <v>72440</v>
      </c>
      <c r="B1016" s="4">
        <f>67.4977 * CHOOSE(CONTROL!$C$9, $C$13, 100%, $E$13) + CHOOSE(CONTROL!$C$28, 0.0003, 0)</f>
        <v>67.49799999999999</v>
      </c>
      <c r="C1016" s="4">
        <f>67.1344 * CHOOSE(CONTROL!$C$9, $C$13, 100%, $E$13) + CHOOSE(CONTROL!$C$28, 0.0003, 0)</f>
        <v>67.134699999999995</v>
      </c>
      <c r="D1016" s="4">
        <f>101.78 * CHOOSE(CONTROL!$C$9, $C$13, 100%, $E$13) + CHOOSE(CONTROL!$C$28, 0, 0)</f>
        <v>101.78</v>
      </c>
      <c r="E1016" s="4">
        <f>488.265638169632 * CHOOSE(CONTROL!$C$9, $C$13, 100%, $E$13) + CHOOSE(CONTROL!$C$28, 0, 0)</f>
        <v>488.26563816963198</v>
      </c>
    </row>
    <row r="1017" spans="1:5" ht="15">
      <c r="A1017" s="13">
        <v>72471</v>
      </c>
      <c r="B1017" s="4">
        <f>69.0954 * CHOOSE(CONTROL!$C$9, $C$13, 100%, $E$13) + CHOOSE(CONTROL!$C$28, 0.0192, 0)</f>
        <v>69.114599999999996</v>
      </c>
      <c r="C1017" s="4">
        <f>68.7321 * CHOOSE(CONTROL!$C$9, $C$13, 100%, $E$13) + CHOOSE(CONTROL!$C$28, 0.0192, 0)</f>
        <v>68.751300000000001</v>
      </c>
      <c r="D1017" s="4">
        <f>100.6604 * CHOOSE(CONTROL!$C$9, $C$13, 100%, $E$13) + CHOOSE(CONTROL!$C$28, 0, 0)</f>
        <v>100.6604</v>
      </c>
      <c r="E1017" s="4">
        <f>499.957320026728 * CHOOSE(CONTROL!$C$9, $C$13, 100%, $E$13) + CHOOSE(CONTROL!$C$28, 0, 0)</f>
        <v>499.95732002672798</v>
      </c>
    </row>
    <row r="1018" spans="1:5" ht="15">
      <c r="A1018" s="13">
        <v>72501</v>
      </c>
      <c r="B1018" s="4">
        <f>69.3116 * CHOOSE(CONTROL!$C$9, $C$13, 100%, $E$13) + CHOOSE(CONTROL!$C$28, 0.0192, 0)</f>
        <v>69.330799999999996</v>
      </c>
      <c r="C1018" s="4">
        <f>68.9483 * CHOOSE(CONTROL!$C$9, $C$13, 100%, $E$13) + CHOOSE(CONTROL!$C$28, 0.0192, 0)</f>
        <v>68.967500000000001</v>
      </c>
      <c r="D1018" s="4">
        <f>101.5722 * CHOOSE(CONTROL!$C$9, $C$13, 100%, $E$13) + CHOOSE(CONTROL!$C$28, 0, 0)</f>
        <v>101.5722</v>
      </c>
      <c r="E1018" s="4">
        <f>501.539253103469 * CHOOSE(CONTROL!$C$9, $C$13, 100%, $E$13) + CHOOSE(CONTROL!$C$28, 0, 0)</f>
        <v>501.53925310346898</v>
      </c>
    </row>
    <row r="1019" spans="1:5" ht="15">
      <c r="A1019" s="13">
        <v>72532</v>
      </c>
      <c r="B1019" s="4">
        <f>69.2898 * CHOOSE(CONTROL!$C$9, $C$13, 100%, $E$13) + CHOOSE(CONTROL!$C$28, 0.0192, 0)</f>
        <v>69.308999999999997</v>
      </c>
      <c r="C1019" s="4">
        <f>68.9265 * CHOOSE(CONTROL!$C$9, $C$13, 100%, $E$13) + CHOOSE(CONTROL!$C$28, 0.0192, 0)</f>
        <v>68.945700000000002</v>
      </c>
      <c r="D1019" s="4">
        <f>103.2176 * CHOOSE(CONTROL!$C$9, $C$13, 100%, $E$13) + CHOOSE(CONTROL!$C$28, 0, 0)</f>
        <v>103.2176</v>
      </c>
      <c r="E1019" s="4">
        <f>501.379730440269 * CHOOSE(CONTROL!$C$9, $C$13, 100%, $E$13) + CHOOSE(CONTROL!$C$28, 0, 0)</f>
        <v>501.37973044026899</v>
      </c>
    </row>
    <row r="1020" spans="1:5" ht="15">
      <c r="A1020" s="13">
        <v>72563</v>
      </c>
      <c r="B1020" s="4">
        <f>70.9302 * CHOOSE(CONTROL!$C$9, $C$13, 100%, $E$13) + CHOOSE(CONTROL!$C$28, 0.0192, 0)</f>
        <v>70.949399999999997</v>
      </c>
      <c r="C1020" s="4">
        <f>70.5669 * CHOOSE(CONTROL!$C$9, $C$13, 100%, $E$13) + CHOOSE(CONTROL!$C$28, 0.0192, 0)</f>
        <v>70.586100000000002</v>
      </c>
      <c r="D1020" s="4">
        <f>102.131 * CHOOSE(CONTROL!$C$9, $C$13, 100%, $E$13) + CHOOSE(CONTROL!$C$28, 0, 0)</f>
        <v>102.131</v>
      </c>
      <c r="E1020" s="4">
        <f>513.383810846133 * CHOOSE(CONTROL!$C$9, $C$13, 100%, $E$13) + CHOOSE(CONTROL!$C$28, 0, 0)</f>
        <v>513.38381084613297</v>
      </c>
    </row>
    <row r="1021" spans="1:5" ht="15">
      <c r="A1021" s="13">
        <v>72593</v>
      </c>
      <c r="B1021" s="4">
        <f>68.1344 * CHOOSE(CONTROL!$C$9, $C$13, 100%, $E$13) + CHOOSE(CONTROL!$C$28, 0.0192, 0)</f>
        <v>68.153599999999997</v>
      </c>
      <c r="C1021" s="4">
        <f>67.7711 * CHOOSE(CONTROL!$C$9, $C$13, 100%, $E$13) + CHOOSE(CONTROL!$C$28, 0.0192, 0)</f>
        <v>67.790300000000002</v>
      </c>
      <c r="D1021" s="4">
        <f>101.6176 * CHOOSE(CONTROL!$C$9, $C$13, 100%, $E$13) + CHOOSE(CONTROL!$C$28, 0, 0)</f>
        <v>101.6176</v>
      </c>
      <c r="E1021" s="4">
        <f>492.925029290624 * CHOOSE(CONTROL!$C$9, $C$13, 100%, $E$13) + CHOOSE(CONTROL!$C$28, 0, 0)</f>
        <v>492.92502929062402</v>
      </c>
    </row>
    <row r="1022" spans="1:5" ht="15">
      <c r="A1022" s="13">
        <v>72624</v>
      </c>
      <c r="B1022" s="4">
        <f>65.8963 * CHOOSE(CONTROL!$C$9, $C$13, 100%, $E$13) + CHOOSE(CONTROL!$C$28, 0.0003, 0)</f>
        <v>65.896599999999992</v>
      </c>
      <c r="C1022" s="4">
        <f>65.533 * CHOOSE(CONTROL!$C$9, $C$13, 100%, $E$13) + CHOOSE(CONTROL!$C$28, 0.0003, 0)</f>
        <v>65.533299999999997</v>
      </c>
      <c r="D1022" s="4">
        <f>100.2429 * CHOOSE(CONTROL!$C$9, $C$13, 100%, $E$13) + CHOOSE(CONTROL!$C$28, 0, 0)</f>
        <v>100.24290000000001</v>
      </c>
      <c r="E1022" s="4">
        <f>476.547369202003 * CHOOSE(CONTROL!$C$9, $C$13, 100%, $E$13) + CHOOSE(CONTROL!$C$28, 0, 0)</f>
        <v>476.54736920200298</v>
      </c>
    </row>
    <row r="1023" spans="1:5" ht="15">
      <c r="A1023" s="13">
        <v>72654</v>
      </c>
      <c r="B1023" s="4">
        <f>64.4548 * CHOOSE(CONTROL!$C$9, $C$13, 100%, $E$13) + CHOOSE(CONTROL!$C$28, 0.0003, 0)</f>
        <v>64.455100000000002</v>
      </c>
      <c r="C1023" s="4">
        <f>64.0915 * CHOOSE(CONTROL!$C$9, $C$13, 100%, $E$13) + CHOOSE(CONTROL!$C$28, 0.0003, 0)</f>
        <v>64.091799999999992</v>
      </c>
      <c r="D1023" s="4">
        <f>99.7703 * CHOOSE(CONTROL!$C$9, $C$13, 100%, $E$13) + CHOOSE(CONTROL!$C$28, 0, 0)</f>
        <v>99.770300000000006</v>
      </c>
      <c r="E1023" s="4">
        <f>465.998933097847 * CHOOSE(CONTROL!$C$9, $C$13, 100%, $E$13) + CHOOSE(CONTROL!$C$28, 0, 0)</f>
        <v>465.99893309784699</v>
      </c>
    </row>
    <row r="1024" spans="1:5" ht="15">
      <c r="A1024" s="13">
        <v>72685</v>
      </c>
      <c r="B1024" s="4">
        <f>63.4575 * CHOOSE(CONTROL!$C$9, $C$13, 100%, $E$13) + CHOOSE(CONTROL!$C$28, 0.0003, 0)</f>
        <v>63.457800000000006</v>
      </c>
      <c r="C1024" s="4">
        <f>63.0942 * CHOOSE(CONTROL!$C$9, $C$13, 100%, $E$13) + CHOOSE(CONTROL!$C$28, 0.0003, 0)</f>
        <v>63.094500000000004</v>
      </c>
      <c r="D1024" s="4">
        <f>96.2909 * CHOOSE(CONTROL!$C$9, $C$13, 100%, $E$13) + CHOOSE(CONTROL!$C$28, 0, 0)</f>
        <v>96.290899999999993</v>
      </c>
      <c r="E1024" s="4">
        <f>458.700771256408 * CHOOSE(CONTROL!$C$9, $C$13, 100%, $E$13) + CHOOSE(CONTROL!$C$28, 0, 0)</f>
        <v>458.70077125640802</v>
      </c>
    </row>
    <row r="1025" spans="1:5" ht="15">
      <c r="A1025" s="13">
        <v>72716</v>
      </c>
      <c r="B1025" s="4">
        <f>60.7288 * CHOOSE(CONTROL!$C$9, $C$13, 100%, $E$13) + CHOOSE(CONTROL!$C$28, 0.0003, 0)</f>
        <v>60.729100000000003</v>
      </c>
      <c r="C1025" s="4">
        <f>60.3655 * CHOOSE(CONTROL!$C$9, $C$13, 100%, $E$13) + CHOOSE(CONTROL!$C$28, 0.0003, 0)</f>
        <v>60.3658</v>
      </c>
      <c r="D1025" s="4">
        <f>92.4581 * CHOOSE(CONTROL!$C$9, $C$13, 100%, $E$13) + CHOOSE(CONTROL!$C$28, 0, 0)</f>
        <v>92.458100000000002</v>
      </c>
      <c r="E1025" s="4">
        <f>439.594020244223 * CHOOSE(CONTROL!$C$9, $C$13, 100%, $E$13) + CHOOSE(CONTROL!$C$28, 0, 0)</f>
        <v>439.59402024422297</v>
      </c>
    </row>
    <row r="1026" spans="1:5" ht="15">
      <c r="A1026" s="13">
        <v>72744</v>
      </c>
      <c r="B1026" s="4">
        <f>62.1523 * CHOOSE(CONTROL!$C$9, $C$13, 100%, $E$13) + CHOOSE(CONTROL!$C$28, 0.0003, 0)</f>
        <v>62.1526</v>
      </c>
      <c r="C1026" s="4">
        <f>61.7891 * CHOOSE(CONTROL!$C$9, $C$13, 100%, $E$13) + CHOOSE(CONTROL!$C$28, 0.0003, 0)</f>
        <v>61.789400000000001</v>
      </c>
      <c r="D1026" s="4">
        <f>95.656 * CHOOSE(CONTROL!$C$9, $C$13, 100%, $E$13) + CHOOSE(CONTROL!$C$28, 0, 0)</f>
        <v>95.656000000000006</v>
      </c>
      <c r="E1026" s="4">
        <f>450.031714685045 * CHOOSE(CONTROL!$C$9, $C$13, 100%, $E$13) + CHOOSE(CONTROL!$C$28, 0, 0)</f>
        <v>450.03171468504502</v>
      </c>
    </row>
    <row r="1027" spans="1:5" ht="15">
      <c r="A1027" s="13">
        <v>72775</v>
      </c>
      <c r="B1027" s="4">
        <f>65.8907 * CHOOSE(CONTROL!$C$9, $C$13, 100%, $E$13) + CHOOSE(CONTROL!$C$28, 0.0003, 0)</f>
        <v>65.890999999999991</v>
      </c>
      <c r="C1027" s="4">
        <f>65.5274 * CHOOSE(CONTROL!$C$9, $C$13, 100%, $E$13) + CHOOSE(CONTROL!$C$28, 0.0003, 0)</f>
        <v>65.527699999999996</v>
      </c>
      <c r="D1027" s="4">
        <f>100.662 * CHOOSE(CONTROL!$C$9, $C$13, 100%, $E$13) + CHOOSE(CONTROL!$C$28, 0, 0)</f>
        <v>100.66200000000001</v>
      </c>
      <c r="E1027" s="4">
        <f>477.441654979414 * CHOOSE(CONTROL!$C$9, $C$13, 100%, $E$13) + CHOOSE(CONTROL!$C$28, 0, 0)</f>
        <v>477.44165497941401</v>
      </c>
    </row>
    <row r="1028" spans="1:5" ht="15">
      <c r="A1028" s="13">
        <v>72805</v>
      </c>
      <c r="B1028" s="4">
        <f>68.5469 * CHOOSE(CONTROL!$C$9, $C$13, 100%, $E$13) + CHOOSE(CONTROL!$C$28, 0.0003, 0)</f>
        <v>68.547199999999989</v>
      </c>
      <c r="C1028" s="4">
        <f>68.1836 * CHOOSE(CONTROL!$C$9, $C$13, 100%, $E$13) + CHOOSE(CONTROL!$C$28, 0.0003, 0)</f>
        <v>68.183899999999994</v>
      </c>
      <c r="D1028" s="4">
        <f>103.5456 * CHOOSE(CONTROL!$C$9, $C$13, 100%, $E$13) + CHOOSE(CONTROL!$C$28, 0, 0)</f>
        <v>103.54559999999999</v>
      </c>
      <c r="E1028" s="4">
        <f>496.916782844046 * CHOOSE(CONTROL!$C$9, $C$13, 100%, $E$13) + CHOOSE(CONTROL!$C$28, 0, 0)</f>
        <v>496.916782844046</v>
      </c>
    </row>
    <row r="1029" spans="1:5" ht="15">
      <c r="A1029" s="13">
        <v>72836</v>
      </c>
      <c r="B1029" s="4">
        <f>70.1698 * CHOOSE(CONTROL!$C$9, $C$13, 100%, $E$13) + CHOOSE(CONTROL!$C$28, 0.0192, 0)</f>
        <v>70.188999999999993</v>
      </c>
      <c r="C1029" s="4">
        <f>69.8065 * CHOOSE(CONTROL!$C$9, $C$13, 100%, $E$13) + CHOOSE(CONTROL!$C$28, 0.0192, 0)</f>
        <v>69.825699999999998</v>
      </c>
      <c r="D1029" s="4">
        <f>102.4061 * CHOOSE(CONTROL!$C$9, $C$13, 100%, $E$13) + CHOOSE(CONTROL!$C$28, 0, 0)</f>
        <v>102.4061</v>
      </c>
      <c r="E1029" s="4">
        <f>508.815619215664 * CHOOSE(CONTROL!$C$9, $C$13, 100%, $E$13) + CHOOSE(CONTROL!$C$28, 0, 0)</f>
        <v>508.81561921566401</v>
      </c>
    </row>
    <row r="1030" spans="1:5" ht="15">
      <c r="A1030" s="13">
        <v>72866</v>
      </c>
      <c r="B1030" s="4">
        <f>70.3893 * CHOOSE(CONTROL!$C$9, $C$13, 100%, $E$13) + CHOOSE(CONTROL!$C$28, 0.0192, 0)</f>
        <v>70.408500000000004</v>
      </c>
      <c r="C1030" s="4">
        <f>70.0261 * CHOOSE(CONTROL!$C$9, $C$13, 100%, $E$13) + CHOOSE(CONTROL!$C$28, 0.0192, 0)</f>
        <v>70.045299999999997</v>
      </c>
      <c r="D1030" s="4">
        <f>103.3341 * CHOOSE(CONTROL!$C$9, $C$13, 100%, $E$13) + CHOOSE(CONTROL!$C$28, 0, 0)</f>
        <v>103.33410000000001</v>
      </c>
      <c r="E1030" s="4">
        <f>510.42558115793 * CHOOSE(CONTROL!$C$9, $C$13, 100%, $E$13) + CHOOSE(CONTROL!$C$28, 0, 0)</f>
        <v>510.42558115793003</v>
      </c>
    </row>
    <row r="1031" spans="1:5" ht="15">
      <c r="A1031" s="13">
        <v>72897</v>
      </c>
      <c r="B1031" s="4">
        <f>70.3672 * CHOOSE(CONTROL!$C$9, $C$13, 100%, $E$13) + CHOOSE(CONTROL!$C$28, 0.0192, 0)</f>
        <v>70.386399999999995</v>
      </c>
      <c r="C1031" s="4">
        <f>70.0039 * CHOOSE(CONTROL!$C$9, $C$13, 100%, $E$13) + CHOOSE(CONTROL!$C$28, 0.0192, 0)</f>
        <v>70.023099999999999</v>
      </c>
      <c r="D1031" s="4">
        <f>105.0086 * CHOOSE(CONTROL!$C$9, $C$13, 100%, $E$13) + CHOOSE(CONTROL!$C$28, 0, 0)</f>
        <v>105.0086</v>
      </c>
      <c r="E1031" s="4">
        <f>510.263232054508 * CHOOSE(CONTROL!$C$9, $C$13, 100%, $E$13) + CHOOSE(CONTROL!$C$28, 0, 0)</f>
        <v>510.26323205450802</v>
      </c>
    </row>
    <row r="1032" spans="1:5" ht="15">
      <c r="A1032" s="13">
        <v>72928</v>
      </c>
      <c r="B1032" s="4">
        <f>72.0334 * CHOOSE(CONTROL!$C$9, $C$13, 100%, $E$13) + CHOOSE(CONTROL!$C$28, 0.0192, 0)</f>
        <v>72.052599999999998</v>
      </c>
      <c r="C1032" s="4">
        <f>71.6701 * CHOOSE(CONTROL!$C$9, $C$13, 100%, $E$13) + CHOOSE(CONTROL!$C$28, 0.0192, 0)</f>
        <v>71.689300000000003</v>
      </c>
      <c r="D1032" s="4">
        <f>103.9028 * CHOOSE(CONTROL!$C$9, $C$13, 100%, $E$13) + CHOOSE(CONTROL!$C$28, 0, 0)</f>
        <v>103.9028</v>
      </c>
      <c r="E1032" s="4">
        <f>522.480002086993 * CHOOSE(CONTROL!$C$9, $C$13, 100%, $E$13) + CHOOSE(CONTROL!$C$28, 0, 0)</f>
        <v>522.48000208699295</v>
      </c>
    </row>
    <row r="1033" spans="1:5" ht="15">
      <c r="A1033" s="13">
        <v>72958</v>
      </c>
      <c r="B1033" s="4">
        <f>69.1936 * CHOOSE(CONTROL!$C$9, $C$13, 100%, $E$13) + CHOOSE(CONTROL!$C$28, 0.0192, 0)</f>
        <v>69.212800000000001</v>
      </c>
      <c r="C1033" s="4">
        <f>68.8304 * CHOOSE(CONTROL!$C$9, $C$13, 100%, $E$13) + CHOOSE(CONTROL!$C$28, 0.0192, 0)</f>
        <v>68.849599999999995</v>
      </c>
      <c r="D1033" s="4">
        <f>103.3803 * CHOOSE(CONTROL!$C$9, $C$13, 100%, $E$13) + CHOOSE(CONTROL!$C$28, 0, 0)</f>
        <v>103.38030000000001</v>
      </c>
      <c r="E1033" s="4">
        <f>501.658729573156 * CHOOSE(CONTROL!$C$9, $C$13, 100%, $E$13) + CHOOSE(CONTROL!$C$28, 0, 0)</f>
        <v>501.65872957315599</v>
      </c>
    </row>
    <row r="1034" spans="1:5" ht="15">
      <c r="A1034" s="13">
        <v>72989</v>
      </c>
      <c r="B1034" s="4">
        <f>66.9203 * CHOOSE(CONTROL!$C$9, $C$13, 100%, $E$13) + CHOOSE(CONTROL!$C$28, 0.0003, 0)</f>
        <v>66.920599999999993</v>
      </c>
      <c r="C1034" s="4">
        <f>66.5571 * CHOOSE(CONTROL!$C$9, $C$13, 100%, $E$13) + CHOOSE(CONTROL!$C$28, 0.0003, 0)</f>
        <v>66.557400000000001</v>
      </c>
      <c r="D1034" s="4">
        <f>101.9813 * CHOOSE(CONTROL!$C$9, $C$13, 100%, $E$13) + CHOOSE(CONTROL!$C$28, 0, 0)</f>
        <v>101.9813</v>
      </c>
      <c r="E1034" s="4">
        <f>484.990888288525 * CHOOSE(CONTROL!$C$9, $C$13, 100%, $E$13) + CHOOSE(CONTROL!$C$28, 0, 0)</f>
        <v>484.99088828852501</v>
      </c>
    </row>
    <row r="1035" spans="1:5" ht="15">
      <c r="A1035" s="13">
        <v>73019</v>
      </c>
      <c r="B1035" s="4">
        <f>65.4562 * CHOOSE(CONTROL!$C$9, $C$13, 100%, $E$13) + CHOOSE(CONTROL!$C$28, 0.0003, 0)</f>
        <v>65.456499999999991</v>
      </c>
      <c r="C1035" s="4">
        <f>65.0929 * CHOOSE(CONTROL!$C$9, $C$13, 100%, $E$13) + CHOOSE(CONTROL!$C$28, 0.0003, 0)</f>
        <v>65.093199999999996</v>
      </c>
      <c r="D1035" s="4">
        <f>101.5004 * CHOOSE(CONTROL!$C$9, $C$13, 100%, $E$13) + CHOOSE(CONTROL!$C$28, 0, 0)</f>
        <v>101.5004</v>
      </c>
      <c r="E1035" s="4">
        <f>474.255553824763 * CHOOSE(CONTROL!$C$9, $C$13, 100%, $E$13) + CHOOSE(CONTROL!$C$28, 0, 0)</f>
        <v>474.25555382476301</v>
      </c>
    </row>
    <row r="1036" spans="1:5" ht="15">
      <c r="A1036" s="13">
        <v>73050</v>
      </c>
      <c r="B1036" s="4">
        <f>64.4432 * CHOOSE(CONTROL!$C$9, $C$13, 100%, $E$13) + CHOOSE(CONTROL!$C$28, 0.0003, 0)</f>
        <v>64.4435</v>
      </c>
      <c r="C1036" s="4">
        <f>64.0799 * CHOOSE(CONTROL!$C$9, $C$13, 100%, $E$13) + CHOOSE(CONTROL!$C$28, 0.0003, 0)</f>
        <v>64.080199999999991</v>
      </c>
      <c r="D1036" s="4">
        <f>97.9595 * CHOOSE(CONTROL!$C$9, $C$13, 100%, $E$13) + CHOOSE(CONTROL!$C$28, 0, 0)</f>
        <v>97.959500000000006</v>
      </c>
      <c r="E1036" s="4">
        <f>466.828082343218 * CHOOSE(CONTROL!$C$9, $C$13, 100%, $E$13) + CHOOSE(CONTROL!$C$28, 0, 0)</f>
        <v>466.828082343218</v>
      </c>
    </row>
    <row r="1037" spans="1:5" ht="15">
      <c r="A1037" s="13">
        <v>73081</v>
      </c>
      <c r="B1037" s="4">
        <f>61.6716 * CHOOSE(CONTROL!$C$9, $C$13, 100%, $E$13) + CHOOSE(CONTROL!$C$28, 0.0003, 0)</f>
        <v>61.671900000000001</v>
      </c>
      <c r="C1037" s="4">
        <f>61.3083 * CHOOSE(CONTROL!$C$9, $C$13, 100%, $E$13) + CHOOSE(CONTROL!$C$28, 0.0003, 0)</f>
        <v>61.308600000000006</v>
      </c>
      <c r="D1037" s="4">
        <f>94.059 * CHOOSE(CONTROL!$C$9, $C$13, 100%, $E$13) + CHOOSE(CONTROL!$C$28, 0, 0)</f>
        <v>94.058999999999997</v>
      </c>
      <c r="E1037" s="4">
        <f>447.382795799669 * CHOOSE(CONTROL!$C$9, $C$13, 100%, $E$13) + CHOOSE(CONTROL!$C$28, 0, 0)</f>
        <v>447.382795799669</v>
      </c>
    </row>
    <row r="1038" spans="1:5" ht="15">
      <c r="A1038" s="13">
        <v>73109</v>
      </c>
      <c r="B1038" s="4">
        <f>63.1175 * CHOOSE(CONTROL!$C$9, $C$13, 100%, $E$13) + CHOOSE(CONTROL!$C$28, 0.0003, 0)</f>
        <v>63.117800000000003</v>
      </c>
      <c r="C1038" s="4">
        <f>62.7542 * CHOOSE(CONTROL!$C$9, $C$13, 100%, $E$13) + CHOOSE(CONTROL!$C$28, 0.0003, 0)</f>
        <v>62.7545</v>
      </c>
      <c r="D1038" s="4">
        <f>97.3133 * CHOOSE(CONTROL!$C$9, $C$13, 100%, $E$13) + CHOOSE(CONTROL!$C$28, 0, 0)</f>
        <v>97.313299999999998</v>
      </c>
      <c r="E1038" s="4">
        <f>458.005426467037 * CHOOSE(CONTROL!$C$9, $C$13, 100%, $E$13) + CHOOSE(CONTROL!$C$28, 0, 0)</f>
        <v>458.00542646703701</v>
      </c>
    </row>
    <row r="1039" spans="1:5" ht="15">
      <c r="A1039" s="13">
        <v>73140</v>
      </c>
      <c r="B1039" s="4">
        <f>66.9147 * CHOOSE(CONTROL!$C$9, $C$13, 100%, $E$13) + CHOOSE(CONTROL!$C$28, 0.0003, 0)</f>
        <v>66.914999999999992</v>
      </c>
      <c r="C1039" s="4">
        <f>66.5514 * CHOOSE(CONTROL!$C$9, $C$13, 100%, $E$13) + CHOOSE(CONTROL!$C$28, 0.0003, 0)</f>
        <v>66.551699999999997</v>
      </c>
      <c r="D1039" s="4">
        <f>102.4078 * CHOOSE(CONTROL!$C$9, $C$13, 100%, $E$13) + CHOOSE(CONTROL!$C$28, 0, 0)</f>
        <v>102.40779999999999</v>
      </c>
      <c r="E1039" s="4">
        <f>485.901019120422 * CHOOSE(CONTROL!$C$9, $C$13, 100%, $E$13) + CHOOSE(CONTROL!$C$28, 0, 0)</f>
        <v>485.90101912042201</v>
      </c>
    </row>
    <row r="1040" spans="1:5" ht="15">
      <c r="A1040" s="13">
        <v>73170</v>
      </c>
      <c r="B1040" s="4">
        <f>69.6126 * CHOOSE(CONTROL!$C$9, $C$13, 100%, $E$13) + CHOOSE(CONTROL!$C$28, 0.0003, 0)</f>
        <v>69.612899999999996</v>
      </c>
      <c r="C1040" s="4">
        <f>69.2493 * CHOOSE(CONTROL!$C$9, $C$13, 100%, $E$13) + CHOOSE(CONTROL!$C$28, 0.0003, 0)</f>
        <v>69.249600000000001</v>
      </c>
      <c r="D1040" s="4">
        <f>105.3423 * CHOOSE(CONTROL!$C$9, $C$13, 100%, $E$13) + CHOOSE(CONTROL!$C$28, 0, 0)</f>
        <v>105.34229999999999</v>
      </c>
      <c r="E1040" s="4">
        <f>505.721209458304 * CHOOSE(CONTROL!$C$9, $C$13, 100%, $E$13) + CHOOSE(CONTROL!$C$28, 0, 0)</f>
        <v>505.72120945830397</v>
      </c>
    </row>
    <row r="1041" spans="1:5" ht="15">
      <c r="A1041" s="13">
        <v>73201</v>
      </c>
      <c r="B1041" s="4">
        <f>71.261 * CHOOSE(CONTROL!$C$9, $C$13, 100%, $E$13) + CHOOSE(CONTROL!$C$28, 0.0192, 0)</f>
        <v>71.280199999999994</v>
      </c>
      <c r="C1041" s="4">
        <f>70.8977 * CHOOSE(CONTROL!$C$9, $C$13, 100%, $E$13) + CHOOSE(CONTROL!$C$28, 0.0192, 0)</f>
        <v>70.916899999999998</v>
      </c>
      <c r="D1041" s="4">
        <f>104.1828 * CHOOSE(CONTROL!$C$9, $C$13, 100%, $E$13) + CHOOSE(CONTROL!$C$28, 0, 0)</f>
        <v>104.1828</v>
      </c>
      <c r="E1041" s="4">
        <f>517.830870731084 * CHOOSE(CONTROL!$C$9, $C$13, 100%, $E$13) + CHOOSE(CONTROL!$C$28, 0, 0)</f>
        <v>517.83087073108402</v>
      </c>
    </row>
    <row r="1042" spans="1:5" ht="15">
      <c r="A1042" s="13">
        <v>73231</v>
      </c>
      <c r="B1042" s="4">
        <f>71.484 * CHOOSE(CONTROL!$C$9, $C$13, 100%, $E$13) + CHOOSE(CONTROL!$C$28, 0.0192, 0)</f>
        <v>71.503199999999993</v>
      </c>
      <c r="C1042" s="4">
        <f>71.1208 * CHOOSE(CONTROL!$C$9, $C$13, 100%, $E$13) + CHOOSE(CONTROL!$C$28, 0.0192, 0)</f>
        <v>71.14</v>
      </c>
      <c r="D1042" s="4">
        <f>105.1272 * CHOOSE(CONTROL!$C$9, $C$13, 100%, $E$13) + CHOOSE(CONTROL!$C$28, 0, 0)</f>
        <v>105.1272</v>
      </c>
      <c r="E1042" s="4">
        <f>519.469358157418 * CHOOSE(CONTROL!$C$9, $C$13, 100%, $E$13) + CHOOSE(CONTROL!$C$28, 0, 0)</f>
        <v>519.46935815741801</v>
      </c>
    </row>
    <row r="1043" spans="1:5" ht="15">
      <c r="A1043" s="13">
        <v>73262</v>
      </c>
      <c r="B1043" s="4">
        <f>71.4615 * CHOOSE(CONTROL!$C$9, $C$13, 100%, $E$13) + CHOOSE(CONTROL!$C$28, 0.0192, 0)</f>
        <v>71.480699999999999</v>
      </c>
      <c r="C1043" s="4">
        <f>71.0983 * CHOOSE(CONTROL!$C$9, $C$13, 100%, $E$13) + CHOOSE(CONTROL!$C$28, 0.0192, 0)</f>
        <v>71.117499999999993</v>
      </c>
      <c r="D1043" s="4">
        <f>106.8312 * CHOOSE(CONTROL!$C$9, $C$13, 100%, $E$13) + CHOOSE(CONTROL!$C$28, 0, 0)</f>
        <v>106.8312</v>
      </c>
      <c r="E1043" s="4">
        <f>519.304132534595 * CHOOSE(CONTROL!$C$9, $C$13, 100%, $E$13) + CHOOSE(CONTROL!$C$28, 0, 0)</f>
        <v>519.30413253459506</v>
      </c>
    </row>
    <row r="1044" spans="1:5" ht="15">
      <c r="A1044" s="13">
        <v>73293</v>
      </c>
      <c r="B1044" s="4">
        <f>73.154 * CHOOSE(CONTROL!$C$9, $C$13, 100%, $E$13) + CHOOSE(CONTROL!$C$28, 0.0192, 0)</f>
        <v>73.173199999999994</v>
      </c>
      <c r="C1044" s="4">
        <f>72.7907 * CHOOSE(CONTROL!$C$9, $C$13, 100%, $E$13) + CHOOSE(CONTROL!$C$28, 0.0192, 0)</f>
        <v>72.809899999999999</v>
      </c>
      <c r="D1044" s="4">
        <f>105.7058 * CHOOSE(CONTROL!$C$9, $C$13, 100%, $E$13) + CHOOSE(CONTROL!$C$28, 0, 0)</f>
        <v>105.7058</v>
      </c>
      <c r="E1044" s="4">
        <f>531.737360652071 * CHOOSE(CONTROL!$C$9, $C$13, 100%, $E$13) + CHOOSE(CONTROL!$C$28, 0, 0)</f>
        <v>531.73736065207095</v>
      </c>
    </row>
    <row r="1045" spans="1:5" ht="15">
      <c r="A1045" s="13">
        <v>73323</v>
      </c>
      <c r="B1045" s="4">
        <f>70.2695 * CHOOSE(CONTROL!$C$9, $C$13, 100%, $E$13) + CHOOSE(CONTROL!$C$28, 0.0192, 0)</f>
        <v>70.288699999999992</v>
      </c>
      <c r="C1045" s="4">
        <f>69.9063 * CHOOSE(CONTROL!$C$9, $C$13, 100%, $E$13) + CHOOSE(CONTROL!$C$28, 0.0192, 0)</f>
        <v>69.9255</v>
      </c>
      <c r="D1045" s="4">
        <f>105.1741 * CHOOSE(CONTROL!$C$9, $C$13, 100%, $E$13) + CHOOSE(CONTROL!$C$28, 0, 0)</f>
        <v>105.1741</v>
      </c>
      <c r="E1045" s="4">
        <f>510.547174524944 * CHOOSE(CONTROL!$C$9, $C$13, 100%, $E$13) + CHOOSE(CONTROL!$C$28, 0, 0)</f>
        <v>510.54717452494401</v>
      </c>
    </row>
    <row r="1046" spans="1:5" ht="15">
      <c r="A1046" s="13">
        <v>73354</v>
      </c>
      <c r="B1046" s="4">
        <f>67.9605 * CHOOSE(CONTROL!$C$9, $C$13, 100%, $E$13) + CHOOSE(CONTROL!$C$28, 0.0003, 0)</f>
        <v>67.960799999999992</v>
      </c>
      <c r="C1046" s="4">
        <f>67.5972 * CHOOSE(CONTROL!$C$9, $C$13, 100%, $E$13) + CHOOSE(CONTROL!$C$28, 0.0003, 0)</f>
        <v>67.597499999999997</v>
      </c>
      <c r="D1046" s="4">
        <f>103.7505 * CHOOSE(CONTROL!$C$9, $C$13, 100%, $E$13) + CHOOSE(CONTROL!$C$28, 0, 0)</f>
        <v>103.7505</v>
      </c>
      <c r="E1046" s="4">
        <f>493.58401058172 * CHOOSE(CONTROL!$C$9, $C$13, 100%, $E$13) + CHOOSE(CONTROL!$C$28, 0, 0)</f>
        <v>493.58401058172001</v>
      </c>
    </row>
    <row r="1047" spans="1:5" ht="15">
      <c r="A1047" s="13">
        <v>73384</v>
      </c>
      <c r="B1047" s="4">
        <f>66.4733 * CHOOSE(CONTROL!$C$9, $C$13, 100%, $E$13) + CHOOSE(CONTROL!$C$28, 0.0003, 0)</f>
        <v>66.47359999999999</v>
      </c>
      <c r="C1047" s="4">
        <f>66.11 * CHOOSE(CONTROL!$C$9, $C$13, 100%, $E$13) + CHOOSE(CONTROL!$C$28, 0.0003, 0)</f>
        <v>66.110299999999995</v>
      </c>
      <c r="D1047" s="4">
        <f>103.261 * CHOOSE(CONTROL!$C$9, $C$13, 100%, $E$13) + CHOOSE(CONTROL!$C$28, 0, 0)</f>
        <v>103.261</v>
      </c>
      <c r="E1047" s="4">
        <f>482.658466272509 * CHOOSE(CONTROL!$C$9, $C$13, 100%, $E$13) + CHOOSE(CONTROL!$C$28, 0, 0)</f>
        <v>482.65846627250897</v>
      </c>
    </row>
    <row r="1048" spans="1:5" ht="15">
      <c r="A1048" s="13">
        <v>73415</v>
      </c>
      <c r="B1048" s="4">
        <f>65.4444 * CHOOSE(CONTROL!$C$9, $C$13, 100%, $E$13) + CHOOSE(CONTROL!$C$28, 0.0003, 0)</f>
        <v>65.444699999999997</v>
      </c>
      <c r="C1048" s="4">
        <f>65.0811 * CHOOSE(CONTROL!$C$9, $C$13, 100%, $E$13) + CHOOSE(CONTROL!$C$28, 0.0003, 0)</f>
        <v>65.081400000000002</v>
      </c>
      <c r="D1048" s="4">
        <f>99.6576 * CHOOSE(CONTROL!$C$9, $C$13, 100%, $E$13) + CHOOSE(CONTROL!$C$28, 0, 0)</f>
        <v>99.657600000000002</v>
      </c>
      <c r="E1048" s="4">
        <f>475.099394028329 * CHOOSE(CONTROL!$C$9, $C$13, 100%, $E$13) + CHOOSE(CONTROL!$C$28, 0, 0)</f>
        <v>475.09939402832902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8.6803083333333344</v>
      </c>
      <c r="C1050" s="4">
        <f>AVERAGE(C17:C28)</f>
        <v>8.3170166666666656</v>
      </c>
      <c r="D1050" s="4">
        <f>AVERAGE(D17:D28)</f>
        <v>15.112041666666668</v>
      </c>
      <c r="E1050" s="4">
        <f>AVERAGE(E17:E28)</f>
        <v>53.100833333333334</v>
      </c>
    </row>
    <row r="1051" spans="1:5" ht="15">
      <c r="A1051" s="3">
        <v>2016</v>
      </c>
      <c r="B1051" s="4">
        <f>AVERAGE(B29:B40)</f>
        <v>9.1110583333333324</v>
      </c>
      <c r="C1051" s="4">
        <f>AVERAGE(C29:C40)</f>
        <v>8.7477666666666654</v>
      </c>
      <c r="D1051" s="4">
        <f>AVERAGE(D29:D40)</f>
        <v>14.962258333333333</v>
      </c>
      <c r="E1051" s="4">
        <f>AVERAGE(E29:E40)</f>
        <v>55.974166666666669</v>
      </c>
    </row>
    <row r="1052" spans="1:5" ht="15">
      <c r="A1052" s="3">
        <v>2017</v>
      </c>
      <c r="B1052" s="4">
        <f>AVERAGE(B41:B52)</f>
        <v>9.5623166666666659</v>
      </c>
      <c r="C1052" s="4">
        <f>AVERAGE(C41:C52)</f>
        <v>9.1990583333333333</v>
      </c>
      <c r="D1052" s="4">
        <f>AVERAGE(D41:D52)</f>
        <v>15.529825000000001</v>
      </c>
      <c r="E1052" s="4">
        <f>AVERAGE(E41:E52)</f>
        <v>58.86249999999999</v>
      </c>
    </row>
    <row r="1053" spans="1:5" ht="15">
      <c r="A1053" s="3">
        <v>2018</v>
      </c>
      <c r="B1053" s="4">
        <f>AVERAGE(B53:B64)</f>
        <v>11.361233333333331</v>
      </c>
      <c r="C1053" s="4">
        <f>AVERAGE(C53:C64)</f>
        <v>10.997958333333331</v>
      </c>
      <c r="D1053" s="4">
        <f>AVERAGE(D53:D64)</f>
        <v>17.505891666666667</v>
      </c>
      <c r="E1053" s="4">
        <f>AVERAGE(E53:E64)</f>
        <v>71.197499999999991</v>
      </c>
    </row>
    <row r="1054" spans="1:5" ht="15">
      <c r="A1054" s="3">
        <v>2019</v>
      </c>
      <c r="B1054" s="4">
        <f>AVERAGE(B65:B76)</f>
        <v>11.808099999999998</v>
      </c>
      <c r="C1054" s="4">
        <f>AVERAGE(C65:C76)</f>
        <v>11.444824999999996</v>
      </c>
      <c r="D1054" s="4">
        <f>AVERAGE(D65:D76)</f>
        <v>18.103841666666671</v>
      </c>
      <c r="E1054" s="4">
        <f>AVERAGE(E65:E76)</f>
        <v>74.448334248860661</v>
      </c>
    </row>
    <row r="1055" spans="1:5" ht="15">
      <c r="A1055" s="3">
        <v>2020</v>
      </c>
      <c r="B1055" s="4">
        <f>AVERAGE(B77:B88)</f>
        <v>14.113508333333334</v>
      </c>
      <c r="C1055" s="4">
        <f>AVERAGE(C77:C88)</f>
        <v>13.750233333333334</v>
      </c>
      <c r="D1055" s="4">
        <f>AVERAGE(D77:D88)</f>
        <v>20.875616666666666</v>
      </c>
      <c r="E1055" s="4">
        <f>AVERAGE(E77:E88)</f>
        <v>90.846992492675781</v>
      </c>
    </row>
    <row r="1056" spans="1:5" ht="15">
      <c r="A1056" s="3">
        <v>2021</v>
      </c>
      <c r="B1056" s="4">
        <f>AVERAGE(B89:B100)</f>
        <v>14.753491666666664</v>
      </c>
      <c r="C1056" s="4">
        <f>AVERAGE(C89:C100)</f>
        <v>14.390216666666667</v>
      </c>
      <c r="D1056" s="4">
        <f>AVERAGE(D89:D100)</f>
        <v>21.724774999999998</v>
      </c>
      <c r="E1056" s="4">
        <f>AVERAGE(E89:E100)</f>
        <v>94.618591308593793</v>
      </c>
    </row>
    <row r="1057" spans="1:5" ht="15">
      <c r="A1057" s="3">
        <v>2022</v>
      </c>
      <c r="B1057" s="4">
        <f>AVERAGE(B101:B112)</f>
        <v>15.506983333333332</v>
      </c>
      <c r="C1057" s="4">
        <f>AVERAGE(C101:C112)</f>
        <v>15.143725000000002</v>
      </c>
      <c r="D1057" s="4">
        <f>AVERAGE(D101:D112)</f>
        <v>22.795791666666663</v>
      </c>
      <c r="E1057" s="4">
        <f>AVERAGE(E101:E112)</f>
        <v>99.389778137206847</v>
      </c>
    </row>
    <row r="1058" spans="1:5" ht="15">
      <c r="A1058" s="3">
        <v>2023</v>
      </c>
      <c r="B1058" s="4">
        <f>AVERAGE(B113:B124)</f>
        <v>16.311566666666668</v>
      </c>
      <c r="C1058" s="4">
        <f>AVERAGE(C113:C124)</f>
        <v>15.948291666666668</v>
      </c>
      <c r="D1058" s="4">
        <f>AVERAGE(D113:D124)</f>
        <v>23.840041666666664</v>
      </c>
      <c r="E1058" s="4">
        <f>AVERAGE(E113:E124)</f>
        <v>104.16054534912108</v>
      </c>
    </row>
    <row r="1059" spans="1:5" ht="15">
      <c r="A1059" s="3">
        <v>2024</v>
      </c>
      <c r="B1059" s="4">
        <f>AVERAGE(B125:B136)</f>
        <v>17.145291666666662</v>
      </c>
      <c r="C1059" s="4">
        <f>AVERAGE(C125:C136)</f>
        <v>16.782</v>
      </c>
      <c r="D1059" s="4">
        <f>AVERAGE(D125:D136)</f>
        <v>25.213208333333331</v>
      </c>
      <c r="E1059" s="4">
        <f>AVERAGE(E125:E136)</f>
        <v>108.93090057373041</v>
      </c>
    </row>
    <row r="1060" spans="1:5" ht="15">
      <c r="A1060" s="3">
        <v>2025</v>
      </c>
      <c r="B1060" s="4">
        <f>AVERAGE(B137:B148)</f>
        <v>18.506616666666666</v>
      </c>
      <c r="C1060" s="4">
        <f>AVERAGE(C137:C148)</f>
        <v>18.143333333333334</v>
      </c>
      <c r="D1060" s="4">
        <f>AVERAGE(D137:D148)</f>
        <v>26.551458333333333</v>
      </c>
      <c r="E1060" s="4">
        <f>AVERAGE(E137:E148)</f>
        <v>114.7008361816405</v>
      </c>
    </row>
    <row r="1061" spans="1:5" ht="15">
      <c r="A1061" s="3">
        <v>2026</v>
      </c>
      <c r="B1061" s="4">
        <f>AVERAGE(B149:B160)</f>
        <v>19.086300000000005</v>
      </c>
      <c r="C1061" s="4">
        <f>AVERAGE(C149:C160)</f>
        <v>18.723016666666666</v>
      </c>
      <c r="D1061" s="4">
        <f>AVERAGE(D149:D160)</f>
        <v>27.302383333333339</v>
      </c>
      <c r="E1061" s="4">
        <f>AVERAGE(E149:E160)</f>
        <v>118.55784606933582</v>
      </c>
    </row>
    <row r="1062" spans="1:5" ht="15">
      <c r="A1062" s="3">
        <v>2027</v>
      </c>
      <c r="B1062" s="4">
        <f>AVERAGE(B161:B172)</f>
        <v>19.680049999999998</v>
      </c>
      <c r="C1062" s="4">
        <f>AVERAGE(C161:C172)</f>
        <v>19.316775000000003</v>
      </c>
      <c r="D1062" s="4">
        <f>AVERAGE(D161:D172)</f>
        <v>28.050908333333329</v>
      </c>
      <c r="E1062" s="4">
        <f>AVERAGE(E161:E172)</f>
        <v>122.41442108154308</v>
      </c>
    </row>
    <row r="1063" spans="1:5" ht="15">
      <c r="A1063" s="3">
        <v>2028</v>
      </c>
      <c r="B1063" s="4">
        <f>AVERAGE(B173:B184)</f>
        <v>20.234733333333335</v>
      </c>
      <c r="C1063" s="4">
        <f>AVERAGE(C173:C184)</f>
        <v>19.871458333333333</v>
      </c>
      <c r="D1063" s="4">
        <f>AVERAGE(D173:D184)</f>
        <v>28.740366666666663</v>
      </c>
      <c r="E1063" s="4">
        <f>AVERAGE(E173:E184)</f>
        <v>126.27056884765624</v>
      </c>
    </row>
    <row r="1064" spans="1:5" ht="15">
      <c r="A1064" s="3">
        <v>2029</v>
      </c>
      <c r="B1064" s="4">
        <f>AVERAGE(B185:B196)</f>
        <v>20.836300000000005</v>
      </c>
      <c r="C1064" s="4">
        <f>AVERAGE(C185:C196)</f>
        <v>20.473008333333336</v>
      </c>
      <c r="D1064" s="4">
        <f>AVERAGE(D185:D196)</f>
        <v>29.379350000000002</v>
      </c>
      <c r="E1064" s="4">
        <f>AVERAGE(E185:E196)</f>
        <v>130.12626647949216</v>
      </c>
    </row>
    <row r="1065" spans="1:5" ht="15">
      <c r="A1065" s="3">
        <v>2030</v>
      </c>
      <c r="B1065" s="4">
        <f>AVERAGE(B197:B208)</f>
        <v>21.437858333333335</v>
      </c>
      <c r="C1065" s="4">
        <f>AVERAGE(C197:C208)</f>
        <v>21.074566666666666</v>
      </c>
      <c r="D1065" s="4">
        <f>AVERAGE(D197:D208)</f>
        <v>30.026058333333335</v>
      </c>
      <c r="E1065" s="4">
        <f>AVERAGE(E197:E208)</f>
        <v>133.98153686523432</v>
      </c>
    </row>
    <row r="1066" spans="1:5" ht="15">
      <c r="A1066" s="3">
        <v>2031</v>
      </c>
      <c r="B1066" s="4">
        <f>AVERAGE(B209:B220)</f>
        <v>22.187858333333338</v>
      </c>
      <c r="C1066" s="4">
        <f>AVERAGE(C209:C220)</f>
        <v>21.824583333333333</v>
      </c>
      <c r="D1066" s="4">
        <f>AVERAGE(D209:D220)</f>
        <v>30.848808333333334</v>
      </c>
      <c r="E1066" s="4">
        <f>AVERAGE(E209:E220)</f>
        <v>138.83634948730472</v>
      </c>
    </row>
    <row r="1067" spans="1:5" ht="15">
      <c r="A1067" s="3">
        <v>2032</v>
      </c>
      <c r="B1067" s="4">
        <f>AVERAGE(B221:B232)</f>
        <v>22.953499999999995</v>
      </c>
      <c r="C1067" s="4">
        <f>AVERAGE(C221:C232)</f>
        <v>22.590208333333333</v>
      </c>
      <c r="D1067" s="4">
        <f>AVERAGE(D221:D232)</f>
        <v>31.671558333333337</v>
      </c>
      <c r="E1067" s="4">
        <f>AVERAGE(E221:E232)</f>
        <v>143.69071960449216</v>
      </c>
    </row>
    <row r="1068" spans="1:5" ht="15">
      <c r="A1068" s="3">
        <v>2033</v>
      </c>
      <c r="B1068" s="4">
        <f>AVERAGE(B233:B244)</f>
        <v>23.719124999999995</v>
      </c>
      <c r="C1068" s="4">
        <f>AVERAGE(C233:C244)</f>
        <v>23.355824999999999</v>
      </c>
      <c r="D1068" s="4">
        <f>AVERAGE(D233:D244)</f>
        <v>32.494324999999996</v>
      </c>
      <c r="E1068" s="4">
        <f>AVERAGE(E233:E244)</f>
        <v>148.54461669921872</v>
      </c>
    </row>
    <row r="1069" spans="1:5" ht="15">
      <c r="A1069" s="3">
        <v>2034</v>
      </c>
      <c r="B1069" s="4">
        <f>AVERAGE(B245:B256)</f>
        <v>24.484733333333335</v>
      </c>
      <c r="C1069" s="4">
        <f>AVERAGE(C245:C256)</f>
        <v>24.121449999999999</v>
      </c>
      <c r="D1069" s="4">
        <f>AVERAGE(D245:D256)</f>
        <v>33.317074999999996</v>
      </c>
      <c r="E1069" s="4">
        <f>AVERAGE(E245:E256)</f>
        <v>153.39807128906259</v>
      </c>
    </row>
    <row r="1070" spans="1:5" ht="15">
      <c r="A1070" s="3">
        <v>2035</v>
      </c>
      <c r="B1070" s="4">
        <f>AVERAGE(B257:B268)</f>
        <v>25.250375000000005</v>
      </c>
      <c r="C1070" s="4">
        <f>AVERAGE(C257:C268)</f>
        <v>24.887074999999996</v>
      </c>
      <c r="D1070" s="4">
        <f>AVERAGE(D257:D268)</f>
        <v>34.167283333333337</v>
      </c>
      <c r="E1070" s="4">
        <f>AVERAGE(E257:E268)</f>
        <v>158.2510528564454</v>
      </c>
    </row>
    <row r="1071" spans="1:5" ht="15">
      <c r="A1071" s="3">
        <v>2036</v>
      </c>
      <c r="B1071" s="4">
        <f>AVERAGE(B269:B280)</f>
        <v>25.635133333333332</v>
      </c>
      <c r="C1071" s="4">
        <f>AVERAGE(C269:C280)</f>
        <v>25.271841666666671</v>
      </c>
      <c r="D1071" s="4">
        <f>AVERAGE(D269:D280)</f>
        <v>34.738233333333334</v>
      </c>
      <c r="E1071" s="4">
        <f>AVERAGE(E269:E280)</f>
        <v>161.05496254435951</v>
      </c>
    </row>
    <row r="1072" spans="1:5" ht="15">
      <c r="A1072" s="3">
        <v>2037</v>
      </c>
      <c r="B1072" s="4">
        <f>AVERAGE(B281:B292)</f>
        <v>26.025958333333335</v>
      </c>
      <c r="C1072" s="4">
        <f>AVERAGE(C281:C292)</f>
        <v>25.662666666666667</v>
      </c>
      <c r="D1072" s="4">
        <f>AVERAGE(D281:D292)</f>
        <v>35.319291666666672</v>
      </c>
      <c r="E1072" s="4">
        <f>AVERAGE(E281:E292)</f>
        <v>163.90855221478301</v>
      </c>
    </row>
    <row r="1073" spans="1:5" ht="15">
      <c r="A1073" s="3">
        <f t="shared" ref="A1073:A1104" si="0">A1072+1</f>
        <v>2038</v>
      </c>
      <c r="B1073" s="4">
        <f>AVERAGE(B293:B304)</f>
        <v>26.422916666666666</v>
      </c>
      <c r="C1073" s="4">
        <f>AVERAGE(C293:C304)</f>
        <v>26.059624999999997</v>
      </c>
      <c r="D1073" s="4">
        <f>AVERAGE(D293:D304)</f>
        <v>35.910591666666669</v>
      </c>
      <c r="E1073" s="4">
        <f>AVERAGE(E293:E304)</f>
        <v>166.81270210315</v>
      </c>
    </row>
    <row r="1074" spans="1:5" ht="15">
      <c r="A1074" s="3">
        <f t="shared" si="0"/>
        <v>2039</v>
      </c>
      <c r="B1074" s="4">
        <f>AVERAGE(B305:B316)</f>
        <v>26.826116666666664</v>
      </c>
      <c r="C1074" s="4">
        <f>AVERAGE(C305:C316)</f>
        <v>26.462841666666666</v>
      </c>
      <c r="D1074" s="4">
        <f>AVERAGE(D305:D316)</f>
        <v>36.512349999999998</v>
      </c>
      <c r="E1074" s="4">
        <f>AVERAGE(E305:E316)</f>
        <v>169.76830804100425</v>
      </c>
    </row>
    <row r="1075" spans="1:5" ht="15">
      <c r="A1075" s="3">
        <f t="shared" si="0"/>
        <v>2040</v>
      </c>
      <c r="B1075" s="4">
        <f>AVERAGE(B317:B328)</f>
        <v>27.23566666666667</v>
      </c>
      <c r="C1075" s="4">
        <f>AVERAGE(C317:C328)</f>
        <v>26.872391666666669</v>
      </c>
      <c r="D1075" s="4">
        <f>AVERAGE(D317:D328)</f>
        <v>37.124758333333332</v>
      </c>
      <c r="E1075" s="4">
        <f>AVERAGE(E317:E328)</f>
        <v>172.77628173233109</v>
      </c>
    </row>
    <row r="1076" spans="1:5" ht="15">
      <c r="A1076" s="3">
        <f t="shared" si="0"/>
        <v>2041</v>
      </c>
      <c r="B1076" s="4">
        <f>AVERAGE(B329:B340)</f>
        <v>27.651666666666671</v>
      </c>
      <c r="C1076" s="4">
        <f>AVERAGE(C329:C340)</f>
        <v>27.288383333333329</v>
      </c>
      <c r="D1076" s="4">
        <f>AVERAGE(D329:D340)</f>
        <v>37.747958333333322</v>
      </c>
      <c r="E1076" s="4">
        <f>AVERAGE(E329:E340)</f>
        <v>175.83755103478907</v>
      </c>
    </row>
    <row r="1077" spans="1:5" ht="15">
      <c r="A1077" s="3">
        <f t="shared" si="0"/>
        <v>2042</v>
      </c>
      <c r="B1077" s="4">
        <f>AVERAGE(B341:B352)</f>
        <v>28.074191666666668</v>
      </c>
      <c r="C1077" s="4">
        <f>AVERAGE(C341:C352)</f>
        <v>27.710908333333336</v>
      </c>
      <c r="D1077" s="4">
        <f>AVERAGE(D341:D352)</f>
        <v>38.382174999999997</v>
      </c>
      <c r="E1077" s="4">
        <f>AVERAGE(E341:E352)</f>
        <v>178.9530602459208</v>
      </c>
    </row>
    <row r="1078" spans="1:5" ht="15">
      <c r="A1078" s="3">
        <f t="shared" si="0"/>
        <v>2043</v>
      </c>
      <c r="B1078" s="4">
        <f>AVERAGE(B353:B364)</f>
        <v>28.503366666666661</v>
      </c>
      <c r="C1078" s="4">
        <f>AVERAGE(C353:C364)</f>
        <v>28.140091666666663</v>
      </c>
      <c r="D1078" s="4">
        <f>AVERAGE(D353:D364)</f>
        <v>39.027616666666667</v>
      </c>
      <c r="E1078" s="4">
        <f>AVERAGE(E353:E364)</f>
        <v>182.12377039443774</v>
      </c>
    </row>
    <row r="1079" spans="1:5" ht="15">
      <c r="A1079" s="3">
        <f t="shared" si="0"/>
        <v>2044</v>
      </c>
      <c r="B1079" s="4">
        <f>AVERAGE(B365:B376)</f>
        <v>28.939308333333333</v>
      </c>
      <c r="C1079" s="4">
        <f>AVERAGE(C365:C376)</f>
        <v>28.576024999999998</v>
      </c>
      <c r="D1079" s="4">
        <f>AVERAGE(D365:D376)</f>
        <v>39.684449999999991</v>
      </c>
      <c r="E1079" s="4">
        <f>AVERAGE(E365:E376)</f>
        <v>185.35065953666444</v>
      </c>
    </row>
    <row r="1080" spans="1:5" ht="15">
      <c r="A1080" s="3">
        <f t="shared" si="0"/>
        <v>2045</v>
      </c>
      <c r="B1080" s="4">
        <f>AVERAGE(B377:B388)</f>
        <v>29.38208333333333</v>
      </c>
      <c r="C1080" s="4">
        <f>AVERAGE(C377:C388)</f>
        <v>29.018791666666669</v>
      </c>
      <c r="D1080" s="4">
        <f>AVERAGE(D377:D388)</f>
        <v>40.352883333333331</v>
      </c>
      <c r="E1080" s="4">
        <f>AVERAGE(E377:E388)</f>
        <v>188.63472305823606</v>
      </c>
    </row>
    <row r="1081" spans="1:5" ht="15">
      <c r="A1081" s="3">
        <f t="shared" si="0"/>
        <v>2046</v>
      </c>
      <c r="B1081" s="4">
        <f>AVERAGE(B389:B400)</f>
        <v>29.831800000000001</v>
      </c>
      <c r="C1081" s="4">
        <f>AVERAGE(C389:C400)</f>
        <v>29.468533333333337</v>
      </c>
      <c r="D1081" s="4">
        <f>AVERAGE(D389:D400)</f>
        <v>41.033133333333332</v>
      </c>
      <c r="E1081" s="4">
        <f>AVERAGE(E389:E400)</f>
        <v>191.97697398114028</v>
      </c>
    </row>
    <row r="1082" spans="1:5" ht="15">
      <c r="A1082" s="3">
        <f t="shared" si="0"/>
        <v>2047</v>
      </c>
      <c r="B1082" s="4">
        <f>AVERAGE(B401:B412)</f>
        <v>30.288616666666666</v>
      </c>
      <c r="C1082" s="4">
        <f>AVERAGE(C401:C412)</f>
        <v>29.925325000000001</v>
      </c>
      <c r="D1082" s="4">
        <f>AVERAGE(D401:D412)</f>
        <v>41.7254</v>
      </c>
      <c r="E1082" s="4">
        <f>AVERAGE(E401:E412)</f>
        <v>195.37844327620061</v>
      </c>
    </row>
    <row r="1083" spans="1:5" ht="15">
      <c r="A1083" s="3">
        <f t="shared" si="0"/>
        <v>2048</v>
      </c>
      <c r="B1083" s="4">
        <f>AVERAGE(B413:B424)</f>
        <v>30.752608333333331</v>
      </c>
      <c r="C1083" s="4">
        <f>AVERAGE(C413:C424)</f>
        <v>30.389324999999999</v>
      </c>
      <c r="D1083" s="4">
        <f>AVERAGE(D413:D424)</f>
        <v>42.429891666666663</v>
      </c>
      <c r="E1083" s="4">
        <f>AVERAGE(E413:E424)</f>
        <v>198.84018018109614</v>
      </c>
    </row>
    <row r="1084" spans="1:5" ht="15">
      <c r="A1084" s="3">
        <f t="shared" si="0"/>
        <v>2049</v>
      </c>
      <c r="B1084" s="4">
        <f>AVERAGE(B425:B436)</f>
        <v>31.223899999999997</v>
      </c>
      <c r="C1084" s="4">
        <f>AVERAGE(C425:C436)</f>
        <v>30.860633333333329</v>
      </c>
      <c r="D1084" s="4">
        <f>AVERAGE(D425:D436)</f>
        <v>43.146850000000001</v>
      </c>
      <c r="E1084" s="4">
        <f>AVERAGE(E425:E436)</f>
        <v>202.36325252401534</v>
      </c>
    </row>
    <row r="1085" spans="1:5" ht="15">
      <c r="A1085" s="3">
        <f t="shared" si="0"/>
        <v>2050</v>
      </c>
      <c r="B1085" s="4">
        <f>AVERAGE(B437:B448)</f>
        <v>31.702599999999993</v>
      </c>
      <c r="C1085" s="4">
        <f>AVERAGE(C437:C448)</f>
        <v>31.339333333333332</v>
      </c>
      <c r="D1085" s="4">
        <f>AVERAGE(D437:D448)</f>
        <v>43.876458333333339</v>
      </c>
      <c r="E1085" s="4">
        <f>AVERAGE(E437:E448)</f>
        <v>205.9487470530446</v>
      </c>
    </row>
    <row r="1086" spans="1:5" ht="15">
      <c r="A1086" s="3">
        <f t="shared" si="0"/>
        <v>2051</v>
      </c>
      <c r="B1086" s="4">
        <f>AVERAGE(B449:B460)</f>
        <v>32.188833333333328</v>
      </c>
      <c r="C1086" s="4">
        <f>AVERAGE(C449:C460)</f>
        <v>31.825549999999996</v>
      </c>
      <c r="D1086" s="4">
        <f>AVERAGE(D449:D460)</f>
        <v>44.618950000000005</v>
      </c>
      <c r="E1086" s="4">
        <f>AVERAGE(E449:E460)</f>
        <v>209.59776977139384</v>
      </c>
    </row>
    <row r="1087" spans="1:5" ht="15">
      <c r="A1087" s="3">
        <f t="shared" si="0"/>
        <v>2052</v>
      </c>
      <c r="B1087" s="4">
        <f>AVERAGE(B461:B472)</f>
        <v>32.682708333333331</v>
      </c>
      <c r="C1087" s="4">
        <f>AVERAGE(C461:C472)</f>
        <v>32.319424999999995</v>
      </c>
      <c r="D1087" s="4">
        <f>AVERAGE(D461:D472)</f>
        <v>45.374566666666659</v>
      </c>
      <c r="E1087" s="4">
        <f>AVERAGE(E461:E472)</f>
        <v>213.31144627855932</v>
      </c>
    </row>
    <row r="1088" spans="1:5" ht="15">
      <c r="A1088" s="3">
        <f t="shared" si="0"/>
        <v>2053</v>
      </c>
      <c r="B1088" s="4">
        <f>AVERAGE(B473:B484)</f>
        <v>33.184333333333328</v>
      </c>
      <c r="C1088" s="4">
        <f>AVERAGE(C473:C484)</f>
        <v>32.821075</v>
      </c>
      <c r="D1088" s="4">
        <f>AVERAGE(D473:D484)</f>
        <v>46.143558333333338</v>
      </c>
      <c r="E1088" s="4">
        <f>AVERAGE(E473:E484)</f>
        <v>217.09092211753554</v>
      </c>
    </row>
    <row r="1089" spans="1:5" ht="15">
      <c r="A1089" s="3">
        <f t="shared" si="0"/>
        <v>2054</v>
      </c>
      <c r="B1089" s="4">
        <f>AVERAGE(B485:B496)</f>
        <v>33.693891666666666</v>
      </c>
      <c r="C1089" s="4">
        <f>AVERAGE(C485:C496)</f>
        <v>33.330599999999997</v>
      </c>
      <c r="D1089" s="4">
        <f>AVERAGE(D485:D496)</f>
        <v>46.926116666666665</v>
      </c>
      <c r="E1089" s="4">
        <f>AVERAGE(E485:E496)</f>
        <v>220.93736312817293</v>
      </c>
    </row>
    <row r="1090" spans="1:5" ht="15">
      <c r="A1090" s="3">
        <f t="shared" si="0"/>
        <v>2055</v>
      </c>
      <c r="B1090" s="4">
        <f>AVERAGE(B497:B508)</f>
        <v>34.211424999999998</v>
      </c>
      <c r="C1090" s="4">
        <f>AVERAGE(C497:C508)</f>
        <v>33.848149999999997</v>
      </c>
      <c r="D1090" s="4">
        <f>AVERAGE(D497:D508)</f>
        <v>47.722508333333337</v>
      </c>
      <c r="E1090" s="4">
        <f>AVERAGE(E497:E508)</f>
        <v>224.85195580680258</v>
      </c>
    </row>
    <row r="1091" spans="1:5" ht="15">
      <c r="A1091" s="3">
        <f t="shared" si="0"/>
        <v>2056</v>
      </c>
      <c r="B1091" s="4">
        <f>AVERAGE(B509:B520)</f>
        <v>34.737116666666665</v>
      </c>
      <c r="C1091" s="4">
        <f>AVERAGE(C509:C520)</f>
        <v>34.37383333333333</v>
      </c>
      <c r="D1091" s="4">
        <f>AVERAGE(D509:D520)</f>
        <v>48.53295</v>
      </c>
      <c r="E1091" s="4">
        <f>AVERAGE(E509:E520)</f>
        <v>228.83590767222924</v>
      </c>
    </row>
    <row r="1092" spans="1:5" ht="15">
      <c r="A1092" s="3">
        <f t="shared" si="0"/>
        <v>2057</v>
      </c>
      <c r="B1092" s="4">
        <f>AVERAGE(B521:B532)</f>
        <v>35.271049999999995</v>
      </c>
      <c r="C1092" s="4">
        <f>AVERAGE(C521:C532)</f>
        <v>34.907775000000001</v>
      </c>
      <c r="D1092" s="4">
        <f>AVERAGE(D521:D532)</f>
        <v>49.357724999999995</v>
      </c>
      <c r="E1092" s="4">
        <f>AVERAGE(E521:E532)</f>
        <v>232.89044763820894</v>
      </c>
    </row>
    <row r="1093" spans="1:5" ht="15">
      <c r="A1093" s="3">
        <f t="shared" si="0"/>
        <v>2058</v>
      </c>
      <c r="B1093" s="4">
        <f>AVERAGE(B533:B544)</f>
        <v>35.813399999999994</v>
      </c>
      <c r="C1093" s="4">
        <f>AVERAGE(C533:C544)</f>
        <v>35.45010833333334</v>
      </c>
      <c r="D1093" s="4">
        <f>AVERAGE(D533:D544)</f>
        <v>50.197099999999999</v>
      </c>
      <c r="E1093" s="4">
        <f>AVERAGE(E533:E544)</f>
        <v>237.01682639252795</v>
      </c>
    </row>
    <row r="1094" spans="1:5" ht="15">
      <c r="A1094" s="3">
        <f t="shared" si="0"/>
        <v>2059</v>
      </c>
      <c r="B1094" s="4">
        <f>AVERAGE(B545:B556)</f>
        <v>36.364274999999999</v>
      </c>
      <c r="C1094" s="4">
        <f>AVERAGE(C545:C556)</f>
        <v>36.000974999999997</v>
      </c>
      <c r="D1094" s="4">
        <f>AVERAGE(D545:D556)</f>
        <v>51.05125833333333</v>
      </c>
      <c r="E1094" s="4">
        <f>AVERAGE(E545:E556)</f>
        <v>241.21631678279758</v>
      </c>
    </row>
    <row r="1095" spans="1:5" ht="15">
      <c r="A1095" s="3">
        <f t="shared" si="0"/>
        <v>2060</v>
      </c>
      <c r="B1095" s="4">
        <f>AVERAGE(B557:B568)</f>
        <v>36.923816666666674</v>
      </c>
      <c r="C1095" s="4">
        <f>AVERAGE(C557:C568)</f>
        <v>36.560516666666672</v>
      </c>
      <c r="D1095" s="4">
        <f>AVERAGE(D557:D568)</f>
        <v>51.920533333333339</v>
      </c>
      <c r="E1095" s="4">
        <f>AVERAGE(E557:E568)</f>
        <v>245.49021420908386</v>
      </c>
    </row>
    <row r="1096" spans="1:5" ht="15">
      <c r="A1096" s="3">
        <f t="shared" si="0"/>
        <v>2061</v>
      </c>
      <c r="B1096" s="4">
        <f>AVERAGE(B569:B580)</f>
        <v>37.492141666666669</v>
      </c>
      <c r="C1096" s="4">
        <f>AVERAGE(C569:C580)</f>
        <v>37.128858333333334</v>
      </c>
      <c r="D1096" s="4">
        <f>AVERAGE(D569:D580)</f>
        <v>52.805158333333331</v>
      </c>
      <c r="E1096" s="4">
        <f>AVERAGE(E569:E580)</f>
        <v>249.83983702349511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38.069433333333336</v>
      </c>
      <c r="C1097" s="4">
        <f t="shared" ca="1" si="1"/>
        <v>37.70614166666666</v>
      </c>
      <c r="D1097" s="4">
        <f t="shared" ca="1" si="1"/>
        <v>53.705408333333338</v>
      </c>
      <c r="E1097" s="4">
        <f t="shared" ca="1" si="1"/>
        <v>254.26652693684795</v>
      </c>
    </row>
    <row r="1098" spans="1:5" ht="15">
      <c r="A1098" s="3">
        <f t="shared" si="0"/>
        <v>2063</v>
      </c>
      <c r="B1098" s="4">
        <f t="shared" ca="1" si="1"/>
        <v>38.655758333333331</v>
      </c>
      <c r="C1098" s="4">
        <f t="shared" ca="1" si="1"/>
        <v>38.292474999999989</v>
      </c>
      <c r="D1098" s="4">
        <f t="shared" ca="1" si="1"/>
        <v>54.621575000000007</v>
      </c>
      <c r="E1098" s="4">
        <f t="shared" ca="1" si="1"/>
        <v>258.7716494325399</v>
      </c>
    </row>
    <row r="1099" spans="1:5" ht="15">
      <c r="A1099" s="3">
        <f t="shared" si="0"/>
        <v>2064</v>
      </c>
      <c r="B1099" s="4">
        <f t="shared" ca="1" si="1"/>
        <v>39.251316666666668</v>
      </c>
      <c r="C1099" s="4">
        <f t="shared" ca="1" si="1"/>
        <v>38.88805</v>
      </c>
      <c r="D1099" s="4">
        <f t="shared" ca="1" si="1"/>
        <v>55.553941666666667</v>
      </c>
      <c r="E1099" s="4">
        <f t="shared" ca="1" si="1"/>
        <v>263.35659418775504</v>
      </c>
    </row>
    <row r="1100" spans="1:5" ht="15">
      <c r="A1100" s="3">
        <f t="shared" si="0"/>
        <v>2065</v>
      </c>
      <c r="B1100" s="4">
        <f t="shared" ca="1" si="1"/>
        <v>39.85626666666667</v>
      </c>
      <c r="C1100" s="4">
        <f t="shared" ca="1" si="1"/>
        <v>39.492983333333328</v>
      </c>
      <c r="D1100" s="4">
        <f t="shared" ca="1" si="1"/>
        <v>56.502758333333333</v>
      </c>
      <c r="E1100" s="4">
        <f t="shared" ca="1" si="1"/>
        <v>268.02277550213159</v>
      </c>
    </row>
    <row r="1101" spans="1:5" ht="15">
      <c r="A1101" s="3">
        <f t="shared" si="0"/>
        <v>2066</v>
      </c>
      <c r="B1101" s="4">
        <f t="shared" ca="1" si="1"/>
        <v>40.470708333333334</v>
      </c>
      <c r="C1101" s="4">
        <f t="shared" ca="1" si="1"/>
        <v>40.107424999999999</v>
      </c>
      <c r="D1101" s="4">
        <f t="shared" ca="1" si="1"/>
        <v>57.468341666666667</v>
      </c>
      <c r="E1101" s="4">
        <f t="shared" ca="1" si="1"/>
        <v>272.77163273402499</v>
      </c>
    </row>
    <row r="1102" spans="1:5" ht="15">
      <c r="A1102" s="3">
        <f t="shared" si="0"/>
        <v>2067</v>
      </c>
      <c r="B1102" s="4">
        <f t="shared" ca="1" si="1"/>
        <v>41.094816666666667</v>
      </c>
      <c r="C1102" s="4">
        <f t="shared" ca="1" si="1"/>
        <v>40.731541666666665</v>
      </c>
      <c r="D1102" s="4">
        <f t="shared" ca="1" si="1"/>
        <v>58.451008333333334</v>
      </c>
      <c r="E1102" s="4">
        <f t="shared" ca="1" si="1"/>
        <v>277.604630744502</v>
      </c>
    </row>
    <row r="1103" spans="1:5" ht="15">
      <c r="A1103" s="3">
        <f t="shared" si="0"/>
        <v>2068</v>
      </c>
      <c r="B1103" s="4">
        <f t="shared" ca="1" si="1"/>
        <v>41.728724999999997</v>
      </c>
      <c r="C1103" s="4">
        <f t="shared" ca="1" si="1"/>
        <v>41.365449999999996</v>
      </c>
      <c r="D1103" s="4">
        <f t="shared" ca="1" si="1"/>
        <v>59.451008333333341</v>
      </c>
      <c r="E1103" s="4">
        <f t="shared" ca="1" si="1"/>
        <v>282.52326034920014</v>
      </c>
    </row>
    <row r="1104" spans="1:5" ht="15">
      <c r="A1104" s="3">
        <f t="shared" si="0"/>
        <v>2069</v>
      </c>
      <c r="B1104" s="4">
        <f t="shared" ca="1" si="1"/>
        <v>42.372624999999999</v>
      </c>
      <c r="C1104" s="4">
        <f t="shared" ca="1" si="1"/>
        <v>42.009333333333338</v>
      </c>
      <c r="D1104" s="4">
        <f t="shared" ca="1" si="1"/>
        <v>60.468674999999998</v>
      </c>
      <c r="E1104" s="4">
        <f t="shared" ca="1" si="1"/>
        <v>287.52903877819324</v>
      </c>
    </row>
    <row r="1105" spans="1:5" ht="15">
      <c r="A1105" s="3">
        <f t="shared" ref="A1105:A1135" si="2">A1104+1</f>
        <v>2070</v>
      </c>
      <c r="B1105" s="4">
        <f t="shared" ca="1" si="1"/>
        <v>43.026633333333336</v>
      </c>
      <c r="C1105" s="4">
        <f t="shared" ca="1" si="1"/>
        <v>42.663358333333328</v>
      </c>
      <c r="D1105" s="4">
        <f t="shared" ca="1" si="1"/>
        <v>61.504341666666654</v>
      </c>
      <c r="E1105" s="4">
        <f t="shared" ca="1" si="1"/>
        <v>292.62351014400559</v>
      </c>
    </row>
    <row r="1106" spans="1:5" ht="15">
      <c r="A1106" s="3">
        <f t="shared" si="2"/>
        <v>2071</v>
      </c>
      <c r="B1106" s="4">
        <f t="shared" ca="1" si="1"/>
        <v>43.690933333333334</v>
      </c>
      <c r="C1106" s="4">
        <f t="shared" ca="1" si="1"/>
        <v>43.327658333333339</v>
      </c>
      <c r="D1106" s="4">
        <f t="shared" ca="1" si="1"/>
        <v>62.558316666666663</v>
      </c>
      <c r="E1106" s="4">
        <f t="shared" ca="1" si="1"/>
        <v>297.80824591791895</v>
      </c>
    </row>
    <row r="1107" spans="1:5" ht="15">
      <c r="A1107" s="3">
        <f t="shared" si="2"/>
        <v>2072</v>
      </c>
      <c r="B1107" s="4">
        <f t="shared" ca="1" si="1"/>
        <v>44.36569166666667</v>
      </c>
      <c r="C1107" s="4">
        <f t="shared" ca="1" si="1"/>
        <v>44.002391666666675</v>
      </c>
      <c r="D1107" s="4">
        <f t="shared" ca="1" si="1"/>
        <v>63.630891666666678</v>
      </c>
      <c r="E1107" s="4">
        <f t="shared" ca="1" si="1"/>
        <v>303.08484541471637</v>
      </c>
    </row>
    <row r="1108" spans="1:5" ht="15">
      <c r="A1108" s="3">
        <f t="shared" si="2"/>
        <v>2073</v>
      </c>
      <c r="B1108" s="4">
        <f t="shared" ca="1" si="1"/>
        <v>45.051050000000004</v>
      </c>
      <c r="C1108" s="4">
        <f t="shared" ca="1" si="1"/>
        <v>44.687758333333335</v>
      </c>
      <c r="D1108" s="4">
        <f t="shared" ca="1" si="1"/>
        <v>64.72240833333332</v>
      </c>
      <c r="E1108" s="4">
        <f t="shared" ca="1" si="1"/>
        <v>308.45493628601827</v>
      </c>
    </row>
    <row r="1109" spans="1:5" ht="15">
      <c r="A1109" s="3">
        <f t="shared" si="2"/>
        <v>2074</v>
      </c>
      <c r="B1109" s="4">
        <f t="shared" ca="1" si="1"/>
        <v>45.747174999999999</v>
      </c>
      <c r="C1109" s="4">
        <f t="shared" ca="1" si="1"/>
        <v>45.383900000000004</v>
      </c>
      <c r="D1109" s="4">
        <f t="shared" ca="1" si="1"/>
        <v>65.833224999999985</v>
      </c>
      <c r="E1109" s="4">
        <f t="shared" ca="1" si="1"/>
        <v>313.92017502235626</v>
      </c>
    </row>
    <row r="1110" spans="1:5" ht="15">
      <c r="A1110" s="3">
        <f t="shared" si="2"/>
        <v>2075</v>
      </c>
      <c r="B1110" s="4">
        <f t="shared" ca="1" si="1"/>
        <v>46.454258333333343</v>
      </c>
      <c r="C1110" s="4">
        <f t="shared" ca="1" si="1"/>
        <v>46.090975000000007</v>
      </c>
      <c r="D1110" s="4">
        <f t="shared" ca="1" si="1"/>
        <v>66.963666666666668</v>
      </c>
      <c r="E1110" s="4">
        <f t="shared" ca="1" si="1"/>
        <v>319.48224746414513</v>
      </c>
    </row>
    <row r="1111" spans="1:5" ht="15">
      <c r="A1111" s="3">
        <f t="shared" si="2"/>
        <v>2076</v>
      </c>
      <c r="B1111" s="4">
        <f t="shared" ca="1" si="1"/>
        <v>47.172466666666672</v>
      </c>
      <c r="C1111" s="4">
        <f t="shared" ca="1" si="1"/>
        <v>46.809175000000003</v>
      </c>
      <c r="D1111" s="4">
        <f t="shared" ca="1" si="1"/>
        <v>68.114100000000008</v>
      </c>
      <c r="E1111" s="4">
        <f t="shared" ca="1" si="1"/>
        <v>325.14286932170648</v>
      </c>
    </row>
    <row r="1112" spans="1:5" ht="15">
      <c r="A1112" s="3">
        <f t="shared" si="2"/>
        <v>2077</v>
      </c>
      <c r="B1112" s="4">
        <f t="shared" ca="1" si="1"/>
        <v>47.90195833333334</v>
      </c>
      <c r="C1112" s="4">
        <f t="shared" ca="1" si="1"/>
        <v>47.538666666666678</v>
      </c>
      <c r="D1112" s="4">
        <f t="shared" ca="1" si="1"/>
        <v>69.284816666666657</v>
      </c>
      <c r="E1112" s="4">
        <f t="shared" ca="1" si="1"/>
        <v>330.90378670450815</v>
      </c>
    </row>
    <row r="1113" spans="1:5" ht="15">
      <c r="A1113" s="3">
        <f t="shared" si="2"/>
        <v>2078</v>
      </c>
      <c r="B1113" s="4">
        <f t="shared" ca="1" si="1"/>
        <v>48.642916666666672</v>
      </c>
      <c r="C1113" s="4">
        <f t="shared" ca="1" si="1"/>
        <v>48.279625000000003</v>
      </c>
      <c r="D1113" s="4">
        <f t="shared" ca="1" si="1"/>
        <v>70.476258333333334</v>
      </c>
      <c r="E1113" s="4">
        <f t="shared" ca="1" si="1"/>
        <v>336.76677665977854</v>
      </c>
    </row>
    <row r="1114" spans="1:5" ht="15">
      <c r="A1114" s="3">
        <f t="shared" si="2"/>
        <v>2079</v>
      </c>
      <c r="B1114" s="4">
        <f t="shared" ca="1" si="1"/>
        <v>49.395533333333333</v>
      </c>
      <c r="C1114" s="4">
        <f t="shared" ca="1" si="1"/>
        <v>49.032258333333338</v>
      </c>
      <c r="D1114" s="4">
        <f t="shared" ca="1" si="1"/>
        <v>71.688725000000019</v>
      </c>
      <c r="E1114" s="4">
        <f t="shared" ca="1" si="1"/>
        <v>342.73364772066526</v>
      </c>
    </row>
    <row r="1115" spans="1:5" ht="15">
      <c r="A1115" s="3">
        <f t="shared" si="2"/>
        <v>2080</v>
      </c>
      <c r="B1115" s="4">
        <f t="shared" ca="1" si="1"/>
        <v>50.159975000000003</v>
      </c>
      <c r="C1115" s="4">
        <f t="shared" ca="1" si="1"/>
        <v>49.796691666666675</v>
      </c>
      <c r="D1115" s="4">
        <f t="shared" ca="1" si="1"/>
        <v>72.922624999999996</v>
      </c>
      <c r="E1115" s="4">
        <f t="shared" ca="1" si="1"/>
        <v>348.80624046410753</v>
      </c>
    </row>
    <row r="1116" spans="1:5" ht="15">
      <c r="A1116" s="3">
        <f t="shared" si="2"/>
        <v>2081</v>
      </c>
      <c r="B1116" s="4">
        <f t="shared" ca="1" si="1"/>
        <v>50.936458333333341</v>
      </c>
      <c r="C1116" s="4">
        <f t="shared" ca="1" si="1"/>
        <v>50.573166666666673</v>
      </c>
      <c r="D1116" s="4">
        <f t="shared" ca="1" si="1"/>
        <v>74.178341666666668</v>
      </c>
      <c r="E1116" s="4">
        <f t="shared" ca="1" si="1"/>
        <v>354.98642807859028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51.725124999999998</v>
      </c>
      <c r="C1117" s="4">
        <f t="shared" ca="1" si="3"/>
        <v>51.361850000000004</v>
      </c>
      <c r="D1117" s="4">
        <f t="shared" ca="1" si="3"/>
        <v>75.456225000000003</v>
      </c>
      <c r="E1117" s="4">
        <f t="shared" ca="1" si="3"/>
        <v>361.2761169419594</v>
      </c>
    </row>
    <row r="1118" spans="1:5" ht="15">
      <c r="A1118" s="3">
        <f t="shared" si="2"/>
        <v>2083</v>
      </c>
      <c r="B1118" s="4">
        <f t="shared" ca="1" si="3"/>
        <v>52.526216666666663</v>
      </c>
      <c r="C1118" s="4">
        <f t="shared" ca="1" si="3"/>
        <v>52.162941666666661</v>
      </c>
      <c r="D1118" s="4">
        <f t="shared" ca="1" si="3"/>
        <v>76.756683333333356</v>
      </c>
      <c r="E1118" s="4">
        <f t="shared" ca="1" si="3"/>
        <v>367.6772472094749</v>
      </c>
    </row>
    <row r="1119" spans="1:5" ht="15">
      <c r="A1119" s="3">
        <f t="shared" si="2"/>
        <v>2084</v>
      </c>
      <c r="B1119" s="4">
        <f t="shared" ca="1" si="3"/>
        <v>53.339908333333334</v>
      </c>
      <c r="C1119" s="4">
        <f t="shared" ca="1" si="3"/>
        <v>52.976608333333338</v>
      </c>
      <c r="D1119" s="4">
        <f t="shared" ca="1" si="3"/>
        <v>78.080100000000002</v>
      </c>
      <c r="E1119" s="4">
        <f t="shared" ca="1" si="3"/>
        <v>374.19179341228238</v>
      </c>
    </row>
    <row r="1120" spans="1:5" ht="15">
      <c r="A1120" s="3">
        <f t="shared" si="2"/>
        <v>2085</v>
      </c>
      <c r="B1120" s="4">
        <f t="shared" ca="1" si="3"/>
        <v>54.166383333333329</v>
      </c>
      <c r="C1120" s="4">
        <f t="shared" ca="1" si="3"/>
        <v>53.803091666666667</v>
      </c>
      <c r="D1120" s="4">
        <f t="shared" ca="1" si="3"/>
        <v>79.426958333333332</v>
      </c>
      <c r="E1120" s="4">
        <f t="shared" ca="1" si="3"/>
        <v>380.82176506648966</v>
      </c>
    </row>
    <row r="1121" spans="1:5" ht="15">
      <c r="A1121" s="3">
        <f t="shared" si="2"/>
        <v>2086</v>
      </c>
      <c r="B1121" s="4">
        <f t="shared" ca="1" si="3"/>
        <v>55.005833333333335</v>
      </c>
      <c r="C1121" s="4">
        <f t="shared" ca="1" si="3"/>
        <v>54.642558333333319</v>
      </c>
      <c r="D1121" s="4">
        <f t="shared" ca="1" si="3"/>
        <v>80.797558333333342</v>
      </c>
      <c r="E1121" s="4">
        <f t="shared" ca="1" si="3"/>
        <v>387.56920729303323</v>
      </c>
    </row>
    <row r="1122" spans="1:5" ht="15">
      <c r="A1122" s="3">
        <f t="shared" si="2"/>
        <v>2087</v>
      </c>
      <c r="B1122" s="4">
        <f t="shared" ca="1" si="3"/>
        <v>55.858491666666673</v>
      </c>
      <c r="C1122" s="4">
        <f t="shared" ca="1" si="3"/>
        <v>55.495233333333346</v>
      </c>
      <c r="D1122" s="4">
        <f t="shared" ca="1" si="3"/>
        <v>82.192391666666666</v>
      </c>
      <c r="E1122" s="4">
        <f t="shared" ca="1" si="3"/>
        <v>394.43620144852849</v>
      </c>
    </row>
    <row r="1123" spans="1:5" ht="15">
      <c r="A1123" s="3">
        <f t="shared" si="2"/>
        <v>2088</v>
      </c>
      <c r="B1123" s="4">
        <f t="shared" ca="1" si="3"/>
        <v>56.724591666666662</v>
      </c>
      <c r="C1123" s="4">
        <f t="shared" ca="1" si="3"/>
        <v>56.361308333333334</v>
      </c>
      <c r="D1123" s="4">
        <f t="shared" ca="1" si="3"/>
        <v>83.611883333333338</v>
      </c>
      <c r="E1123" s="4">
        <f t="shared" ca="1" si="3"/>
        <v>401.42486576729817</v>
      </c>
    </row>
    <row r="1124" spans="1:5" ht="15">
      <c r="A1124" s="3">
        <f t="shared" si="2"/>
        <v>2089</v>
      </c>
      <c r="B1124" s="4">
        <f t="shared" ca="1" si="3"/>
        <v>57.604300000000002</v>
      </c>
      <c r="C1124" s="4">
        <f t="shared" ca="1" si="3"/>
        <v>57.241008333333347</v>
      </c>
      <c r="D1124" s="4">
        <f t="shared" ca="1" si="3"/>
        <v>85.056449999999998</v>
      </c>
      <c r="E1124" s="4">
        <f t="shared" ca="1" si="3"/>
        <v>408.53735601477615</v>
      </c>
    </row>
    <row r="1125" spans="1:5" ht="15">
      <c r="A1125" s="3">
        <f t="shared" si="2"/>
        <v>2090</v>
      </c>
      <c r="B1125" s="4">
        <f t="shared" ca="1" si="3"/>
        <v>58.497808333333332</v>
      </c>
      <c r="C1125" s="4">
        <f t="shared" ca="1" si="3"/>
        <v>58.134541666666657</v>
      </c>
      <c r="D1125" s="4">
        <f t="shared" ca="1" si="3"/>
        <v>86.526516666666666</v>
      </c>
      <c r="E1125" s="4">
        <f t="shared" ca="1" si="3"/>
        <v>415.77586615248651</v>
      </c>
    </row>
    <row r="1126" spans="1:5" ht="15">
      <c r="A1126" s="3">
        <f t="shared" si="2"/>
        <v>2091</v>
      </c>
      <c r="B1126" s="4">
        <f t="shared" ca="1" si="3"/>
        <v>59.405408333333334</v>
      </c>
      <c r="C1126" s="4">
        <f t="shared" ca="1" si="3"/>
        <v>59.042124999999999</v>
      </c>
      <c r="D1126" s="4">
        <f t="shared" ca="1" si="3"/>
        <v>88.022575000000003</v>
      </c>
      <c r="E1126" s="4">
        <f t="shared" ca="1" si="3"/>
        <v>423.14262901480635</v>
      </c>
    </row>
    <row r="1127" spans="1:5" ht="15">
      <c r="A1127" s="3">
        <f t="shared" si="2"/>
        <v>2092</v>
      </c>
      <c r="B1127" s="4">
        <f t="shared" ca="1" si="3"/>
        <v>60.327275000000007</v>
      </c>
      <c r="C1127" s="4">
        <f t="shared" ca="1" si="3"/>
        <v>59.963983333333339</v>
      </c>
      <c r="D1127" s="4">
        <f t="shared" ca="1" si="3"/>
        <v>89.545066666666671</v>
      </c>
      <c r="E1127" s="4">
        <f t="shared" ca="1" si="3"/>
        <v>430.63991699772032</v>
      </c>
    </row>
    <row r="1128" spans="1:5" ht="15">
      <c r="A1128" s="3">
        <f t="shared" si="2"/>
        <v>2093</v>
      </c>
      <c r="B1128" s="4">
        <f t="shared" ca="1" si="3"/>
        <v>61.263616666666678</v>
      </c>
      <c r="C1128" s="4">
        <f t="shared" ca="1" si="3"/>
        <v>60.900316666666662</v>
      </c>
      <c r="D1128" s="4">
        <f t="shared" ca="1" si="3"/>
        <v>91.094449999999995</v>
      </c>
      <c r="E1128" s="4">
        <f t="shared" ca="1" si="3"/>
        <v>438.27004275977629</v>
      </c>
    </row>
    <row r="1129" spans="1:5" ht="15">
      <c r="A1129" s="3">
        <f t="shared" si="2"/>
        <v>2094</v>
      </c>
      <c r="B1129" s="4">
        <f t="shared" ca="1" si="3"/>
        <v>62.214683333333333</v>
      </c>
      <c r="C1129" s="4">
        <f t="shared" ca="1" si="3"/>
        <v>61.851408333333332</v>
      </c>
      <c r="D1129" s="4">
        <f t="shared" ca="1" si="3"/>
        <v>92.67121666666668</v>
      </c>
      <c r="E1129" s="4">
        <f t="shared" ca="1" si="3"/>
        <v>446.03535993546365</v>
      </c>
    </row>
    <row r="1130" spans="1:5" ht="15">
      <c r="A1130" s="3">
        <f t="shared" si="2"/>
        <v>2095</v>
      </c>
      <c r="B1130" s="4">
        <f t="shared" ca="1" si="3"/>
        <v>63.180725000000002</v>
      </c>
      <c r="C1130" s="4">
        <f t="shared" ca="1" si="3"/>
        <v>62.817433333333334</v>
      </c>
      <c r="D1130" s="4">
        <f t="shared" ca="1" si="3"/>
        <v>94.275833333333324</v>
      </c>
      <c r="E1130" s="4">
        <f t="shared" ca="1" si="3"/>
        <v>453.93826386122669</v>
      </c>
    </row>
    <row r="1131" spans="1:5" ht="15">
      <c r="A1131" s="3">
        <f t="shared" si="2"/>
        <v>2096</v>
      </c>
      <c r="B1131" s="4">
        <f t="shared" ca="1" si="3"/>
        <v>64.161941666666664</v>
      </c>
      <c r="C1131" s="4">
        <f t="shared" ca="1" si="3"/>
        <v>63.798658333333329</v>
      </c>
      <c r="D1131" s="4">
        <f t="shared" ca="1" si="3"/>
        <v>95.908824999999993</v>
      </c>
      <c r="E1131" s="4">
        <f t="shared" ca="1" si="3"/>
        <v>461.98119231434754</v>
      </c>
    </row>
    <row r="1132" spans="1:5" ht="15">
      <c r="A1132" s="3">
        <f t="shared" si="2"/>
        <v>2097</v>
      </c>
      <c r="B1132" s="4">
        <f t="shared" ca="1" si="3"/>
        <v>65.15858333333334</v>
      </c>
      <c r="C1132" s="4">
        <f t="shared" ca="1" si="3"/>
        <v>64.795308333333338</v>
      </c>
      <c r="D1132" s="4">
        <f t="shared" ca="1" si="3"/>
        <v>97.570641666666674</v>
      </c>
      <c r="E1132" s="4">
        <f t="shared" ca="1" si="3"/>
        <v>470.16662626491598</v>
      </c>
    </row>
    <row r="1133" spans="1:5" ht="15">
      <c r="A1133" s="3">
        <f t="shared" si="2"/>
        <v>2098</v>
      </c>
      <c r="B1133" s="4">
        <f t="shared" ca="1" si="3"/>
        <v>66.170924999999997</v>
      </c>
      <c r="C1133" s="4">
        <f t="shared" ca="1" si="3"/>
        <v>65.807625000000016</v>
      </c>
      <c r="D1133" s="4">
        <f t="shared" ca="1" si="3"/>
        <v>99.261824999999988</v>
      </c>
      <c r="E1133" s="4">
        <f t="shared" ca="1" si="3"/>
        <v>478.49709064112477</v>
      </c>
    </row>
    <row r="1134" spans="1:5" ht="15">
      <c r="A1134" s="3">
        <f t="shared" si="2"/>
        <v>2099</v>
      </c>
      <c r="B1134" s="4">
        <f t="shared" ca="1" si="3"/>
        <v>67.199149999999989</v>
      </c>
      <c r="C1134" s="4">
        <f t="shared" ca="1" si="3"/>
        <v>66.835883333333342</v>
      </c>
      <c r="D1134" s="4">
        <f t="shared" ca="1" si="3"/>
        <v>100.98289999999999</v>
      </c>
      <c r="E1134" s="4">
        <f t="shared" ca="1" si="3"/>
        <v>486.97515510812372</v>
      </c>
    </row>
    <row r="1135" spans="1:5" ht="15">
      <c r="A1135" s="3">
        <f t="shared" si="2"/>
        <v>2100</v>
      </c>
      <c r="B1135" s="4">
        <f t="shared" ca="1" si="3"/>
        <v>68.243558333333326</v>
      </c>
      <c r="C1135" s="4">
        <f t="shared" ca="1" si="3"/>
        <v>67.880283333333338</v>
      </c>
      <c r="D1135" s="4">
        <f t="shared" ca="1" si="3"/>
        <v>102.73438333333331</v>
      </c>
      <c r="E1135" s="4">
        <f t="shared" ca="1" si="3"/>
        <v>495.60343486067512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scale="85"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71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f>2.2099 * CHOOSE(CONTROL!$C$22, $C$13, 100%, $E$13)</f>
        <v>2.2099000000000002</v>
      </c>
      <c r="C17" s="63">
        <f>2.2099 * CHOOSE(CONTROL!$C$22, $C$13, 100%, $E$13)</f>
        <v>2.2099000000000002</v>
      </c>
      <c r="D17" s="63">
        <f>2.2343 * CHOOSE(CONTROL!$C$22, $C$13, 100%, $E$13)</f>
        <v>2.2343000000000002</v>
      </c>
      <c r="E17" s="64">
        <f>3.1268 * CHOOSE(CONTROL!$C$22, $C$13, 100%, $E$13)</f>
        <v>3.1267999999999998</v>
      </c>
      <c r="F17" s="64">
        <f>4.06 * CHOOSE(CONTROL!$C$22, $C$13, 100%, $E$13)</f>
        <v>4.0599999999999996</v>
      </c>
      <c r="G17" s="64">
        <f>4.0616 * CHOOSE(CONTROL!$C$22, $C$13, 100%, $E$13)</f>
        <v>4.0616000000000003</v>
      </c>
      <c r="H17" s="64">
        <f>5.6482* CHOOSE(CONTROL!$C$22, $C$13, 100%, $E$13)</f>
        <v>5.6482000000000001</v>
      </c>
      <c r="I17" s="64">
        <f>5.6497 * CHOOSE(CONTROL!$C$22, $C$13, 100%, $E$13)</f>
        <v>5.6497000000000002</v>
      </c>
      <c r="J17" s="64">
        <f>3.1268 * CHOOSE(CONTROL!$C$22, $C$13, 100%, $E$13)</f>
        <v>3.1267999999999998</v>
      </c>
      <c r="K17" s="64">
        <f>3.1284 * CHOOSE(CONTROL!$C$22, $C$13, 100%, $E$13)</f>
        <v>3.1284000000000001</v>
      </c>
      <c r="L17" s="4"/>
      <c r="M17" s="64"/>
      <c r="N17" s="64"/>
    </row>
    <row r="18" spans="1:14" ht="15">
      <c r="A18" s="13">
        <v>42186</v>
      </c>
      <c r="B18" s="63">
        <f>2.2225 * CHOOSE(CONTROL!$C$22, $C$13, 100%, $E$13)</f>
        <v>2.2225000000000001</v>
      </c>
      <c r="C18" s="63">
        <f>2.2225 * CHOOSE(CONTROL!$C$22, $C$13, 100%, $E$13)</f>
        <v>2.2225000000000001</v>
      </c>
      <c r="D18" s="63">
        <f>2.2469 * CHOOSE(CONTROL!$C$22, $C$13, 100%, $E$13)</f>
        <v>2.2469000000000001</v>
      </c>
      <c r="E18" s="64">
        <f>3.2309 * CHOOSE(CONTROL!$C$22, $C$13, 100%, $E$13)</f>
        <v>3.2309000000000001</v>
      </c>
      <c r="F18" s="64">
        <f>4.06 * CHOOSE(CONTROL!$C$22, $C$13, 100%, $E$13)</f>
        <v>4.0599999999999996</v>
      </c>
      <c r="G18" s="64">
        <f>4.0616 * CHOOSE(CONTROL!$C$22, $C$13, 100%, $E$13)</f>
        <v>4.0616000000000003</v>
      </c>
      <c r="H18" s="64">
        <f>5.6599* CHOOSE(CONTROL!$C$22, $C$13, 100%, $E$13)</f>
        <v>5.6599000000000004</v>
      </c>
      <c r="I18" s="64">
        <f>5.6615 * CHOOSE(CONTROL!$C$22, $C$13, 100%, $E$13)</f>
        <v>5.6615000000000002</v>
      </c>
      <c r="J18" s="64">
        <f>3.2309 * CHOOSE(CONTROL!$C$22, $C$13, 100%, $E$13)</f>
        <v>3.2309000000000001</v>
      </c>
      <c r="K18" s="64">
        <f>3.2325 * CHOOSE(CONTROL!$C$22, $C$13, 100%, $E$13)</f>
        <v>3.2324999999999999</v>
      </c>
      <c r="L18" s="4"/>
      <c r="M18" s="64"/>
      <c r="N18" s="64"/>
    </row>
    <row r="19" spans="1:14" ht="15">
      <c r="A19" s="13">
        <v>42217</v>
      </c>
      <c r="B19" s="63">
        <f>2.2353 * CHOOSE(CONTROL!$C$22, $C$13, 100%, $E$13)</f>
        <v>2.2353000000000001</v>
      </c>
      <c r="C19" s="63">
        <f>2.2353 * CHOOSE(CONTROL!$C$22, $C$13, 100%, $E$13)</f>
        <v>2.2353000000000001</v>
      </c>
      <c r="D19" s="63">
        <f>2.2597 * CHOOSE(CONTROL!$C$22, $C$13, 100%, $E$13)</f>
        <v>2.2597</v>
      </c>
      <c r="E19" s="64">
        <f>3.4538 * CHOOSE(CONTROL!$C$22, $C$13, 100%, $E$13)</f>
        <v>3.4538000000000002</v>
      </c>
      <c r="F19" s="64">
        <f>4.06 * CHOOSE(CONTROL!$C$22, $C$13, 100%, $E$13)</f>
        <v>4.0599999999999996</v>
      </c>
      <c r="G19" s="64">
        <f>4.0616 * CHOOSE(CONTROL!$C$22, $C$13, 100%, $E$13)</f>
        <v>4.0616000000000003</v>
      </c>
      <c r="H19" s="64">
        <f>5.6717* CHOOSE(CONTROL!$C$22, $C$13, 100%, $E$13)</f>
        <v>5.6717000000000004</v>
      </c>
      <c r="I19" s="64">
        <f>5.6733 * CHOOSE(CONTROL!$C$22, $C$13, 100%, $E$13)</f>
        <v>5.6733000000000002</v>
      </c>
      <c r="J19" s="64">
        <f>3.4538 * CHOOSE(CONTROL!$C$22, $C$13, 100%, $E$13)</f>
        <v>3.4538000000000002</v>
      </c>
      <c r="K19" s="64">
        <f>3.4553 * CHOOSE(CONTROL!$C$22, $C$13, 100%, $E$13)</f>
        <v>3.4552999999999998</v>
      </c>
      <c r="L19" s="4"/>
      <c r="M19" s="64"/>
      <c r="N19" s="64"/>
    </row>
    <row r="20" spans="1:14" ht="15">
      <c r="A20" s="13">
        <v>42248</v>
      </c>
      <c r="B20" s="63">
        <f>2.2292 * CHOOSE(CONTROL!$C$22, $C$13, 100%, $E$13)</f>
        <v>2.2292000000000001</v>
      </c>
      <c r="C20" s="63">
        <f>2.2292 * CHOOSE(CONTROL!$C$22, $C$13, 100%, $E$13)</f>
        <v>2.2292000000000001</v>
      </c>
      <c r="D20" s="63">
        <f>2.2536 * CHOOSE(CONTROL!$C$22, $C$13, 100%, $E$13)</f>
        <v>2.2536</v>
      </c>
      <c r="E20" s="64">
        <f>3.3064 * CHOOSE(CONTROL!$C$22, $C$13, 100%, $E$13)</f>
        <v>3.3064</v>
      </c>
      <c r="F20" s="64">
        <f>4.06 * CHOOSE(CONTROL!$C$22, $C$13, 100%, $E$13)</f>
        <v>4.0599999999999996</v>
      </c>
      <c r="G20" s="64">
        <f>4.0616 * CHOOSE(CONTROL!$C$22, $C$13, 100%, $E$13)</f>
        <v>4.0616000000000003</v>
      </c>
      <c r="H20" s="64">
        <f>5.6835* CHOOSE(CONTROL!$C$22, $C$13, 100%, $E$13)</f>
        <v>5.6835000000000004</v>
      </c>
      <c r="I20" s="64">
        <f>5.6851 * CHOOSE(CONTROL!$C$22, $C$13, 100%, $E$13)</f>
        <v>5.6851000000000003</v>
      </c>
      <c r="J20" s="64">
        <f>3.3064 * CHOOSE(CONTROL!$C$22, $C$13, 100%, $E$13)</f>
        <v>3.3064</v>
      </c>
      <c r="K20" s="64">
        <f>3.3079 * CHOOSE(CONTROL!$C$22, $C$13, 100%, $E$13)</f>
        <v>3.3079000000000001</v>
      </c>
      <c r="L20" s="4"/>
      <c r="M20" s="64"/>
      <c r="N20" s="64"/>
    </row>
    <row r="21" spans="1:14" ht="15">
      <c r="A21" s="13">
        <v>42278</v>
      </c>
      <c r="B21" s="63">
        <f>2.2231 * CHOOSE(CONTROL!$C$22, $C$13, 100%, $E$13)</f>
        <v>2.2231000000000001</v>
      </c>
      <c r="C21" s="63">
        <f>2.2231 * CHOOSE(CONTROL!$C$22, $C$13, 100%, $E$13)</f>
        <v>2.2231000000000001</v>
      </c>
      <c r="D21" s="63">
        <f>2.2353 * CHOOSE(CONTROL!$C$22, $C$13, 100%, $E$13)</f>
        <v>2.2353000000000001</v>
      </c>
      <c r="E21" s="64">
        <f>3.4538 * CHOOSE(CONTROL!$C$22, $C$13, 100%, $E$13)</f>
        <v>3.4538000000000002</v>
      </c>
      <c r="F21" s="64">
        <f>4.06 * CHOOSE(CONTROL!$C$22, $C$13, 100%, $E$13)</f>
        <v>4.0599999999999996</v>
      </c>
      <c r="G21" s="64">
        <f>4.0602 * CHOOSE(CONTROL!$C$22, $C$13, 100%, $E$13)</f>
        <v>4.0602</v>
      </c>
      <c r="H21" s="64">
        <f>5.6954* CHOOSE(CONTROL!$C$22, $C$13, 100%, $E$13)</f>
        <v>5.6954000000000002</v>
      </c>
      <c r="I21" s="64">
        <f>5.6955 * CHOOSE(CONTROL!$C$22, $C$13, 100%, $E$13)</f>
        <v>5.6955</v>
      </c>
      <c r="J21" s="64">
        <f>3.4538 * CHOOSE(CONTROL!$C$22, $C$13, 100%, $E$13)</f>
        <v>3.4538000000000002</v>
      </c>
      <c r="K21" s="64">
        <f>3.4539 * CHOOSE(CONTROL!$C$22, $C$13, 100%, $E$13)</f>
        <v>3.4539</v>
      </c>
      <c r="L21" s="4"/>
      <c r="M21" s="64"/>
      <c r="N21" s="64"/>
    </row>
    <row r="22" spans="1:14" ht="15">
      <c r="A22" s="13">
        <v>42309</v>
      </c>
      <c r="B22" s="63">
        <f>2.242 * CHOOSE(CONTROL!$C$22, $C$13, 100%, $E$13)</f>
        <v>2.242</v>
      </c>
      <c r="C22" s="63">
        <f>2.242 * CHOOSE(CONTROL!$C$22, $C$13, 100%, $E$13)</f>
        <v>2.242</v>
      </c>
      <c r="D22" s="63">
        <f>2.2542 * CHOOSE(CONTROL!$C$22, $C$13, 100%, $E$13)</f>
        <v>2.2542</v>
      </c>
      <c r="E22" s="64">
        <f>3.3432 * CHOOSE(CONTROL!$C$22, $C$13, 100%, $E$13)</f>
        <v>3.3431999999999999</v>
      </c>
      <c r="F22" s="64">
        <f>4.06 * CHOOSE(CONTROL!$C$22, $C$13, 100%, $E$13)</f>
        <v>4.0599999999999996</v>
      </c>
      <c r="G22" s="64">
        <f>4.0602 * CHOOSE(CONTROL!$C$22, $C$13, 100%, $E$13)</f>
        <v>4.0602</v>
      </c>
      <c r="H22" s="64">
        <f>5.7072* CHOOSE(CONTROL!$C$22, $C$13, 100%, $E$13)</f>
        <v>5.7072000000000003</v>
      </c>
      <c r="I22" s="64">
        <f>5.7074 * CHOOSE(CONTROL!$C$22, $C$13, 100%, $E$13)</f>
        <v>5.7073999999999998</v>
      </c>
      <c r="J22" s="64">
        <f>3.3432 * CHOOSE(CONTROL!$C$22, $C$13, 100%, $E$13)</f>
        <v>3.3431999999999999</v>
      </c>
      <c r="K22" s="64">
        <f>3.3434 * CHOOSE(CONTROL!$C$22, $C$13, 100%, $E$13)</f>
        <v>3.3433999999999999</v>
      </c>
      <c r="L22" s="4"/>
      <c r="M22" s="64"/>
      <c r="N22" s="64"/>
    </row>
    <row r="23" spans="1:14" ht="15">
      <c r="A23" s="13">
        <v>42339</v>
      </c>
      <c r="B23" s="63">
        <f>2.2724 * CHOOSE(CONTROL!$C$22, $C$13, 100%, $E$13)</f>
        <v>2.2724000000000002</v>
      </c>
      <c r="C23" s="63">
        <f>2.2724 * CHOOSE(CONTROL!$C$22, $C$13, 100%, $E$13)</f>
        <v>2.2724000000000002</v>
      </c>
      <c r="D23" s="63">
        <f>2.2846 * CHOOSE(CONTROL!$C$22, $C$13, 100%, $E$13)</f>
        <v>2.2846000000000002</v>
      </c>
      <c r="E23" s="64">
        <f>3.3054 * CHOOSE(CONTROL!$C$22, $C$13, 100%, $E$13)</f>
        <v>3.3054000000000001</v>
      </c>
      <c r="F23" s="64">
        <f>4.06 * CHOOSE(CONTROL!$C$22, $C$13, 100%, $E$13)</f>
        <v>4.0599999999999996</v>
      </c>
      <c r="G23" s="64">
        <f>4.0602 * CHOOSE(CONTROL!$C$22, $C$13, 100%, $E$13)</f>
        <v>4.0602</v>
      </c>
      <c r="H23" s="64">
        <f>5.7191* CHOOSE(CONTROL!$C$22, $C$13, 100%, $E$13)</f>
        <v>5.7191000000000001</v>
      </c>
      <c r="I23" s="64">
        <f>5.7193 * CHOOSE(CONTROL!$C$22, $C$13, 100%, $E$13)</f>
        <v>5.7192999999999996</v>
      </c>
      <c r="J23" s="64">
        <f>3.3054 * CHOOSE(CONTROL!$C$22, $C$13, 100%, $E$13)</f>
        <v>3.3054000000000001</v>
      </c>
      <c r="K23" s="64">
        <f>3.3056 * CHOOSE(CONTROL!$C$22, $C$13, 100%, $E$13)</f>
        <v>3.3056000000000001</v>
      </c>
      <c r="L23" s="4"/>
      <c r="M23" s="64"/>
      <c r="N23" s="64"/>
    </row>
    <row r="24" spans="1:14" ht="15">
      <c r="A24" s="13">
        <v>42370</v>
      </c>
      <c r="B24" s="63">
        <f>2.6078 * CHOOSE(CONTROL!$C$22, $C$13, 100%, $E$13)</f>
        <v>2.6078000000000001</v>
      </c>
      <c r="C24" s="63">
        <f>2.6078 * CHOOSE(CONTROL!$C$22, $C$13, 100%, $E$13)</f>
        <v>2.6078000000000001</v>
      </c>
      <c r="D24" s="63">
        <f>2.62 * CHOOSE(CONTROL!$C$22, $C$13, 100%, $E$13)</f>
        <v>2.62</v>
      </c>
      <c r="E24" s="64">
        <f>3.383 * CHOOSE(CONTROL!$C$22, $C$13, 100%, $E$13)</f>
        <v>3.383</v>
      </c>
      <c r="F24" s="64">
        <f>4.017 * CHOOSE(CONTROL!$C$22, $C$13, 100%, $E$13)</f>
        <v>4.0170000000000003</v>
      </c>
      <c r="G24" s="64">
        <f>4.0172 * CHOOSE(CONTROL!$C$22, $C$13, 100%, $E$13)</f>
        <v>4.0171999999999999</v>
      </c>
      <c r="H24" s="64">
        <f>5.731* CHOOSE(CONTROL!$C$22, $C$13, 100%, $E$13)</f>
        <v>5.7309999999999999</v>
      </c>
      <c r="I24" s="64">
        <f>5.7312 * CHOOSE(CONTROL!$C$22, $C$13, 100%, $E$13)</f>
        <v>5.7312000000000003</v>
      </c>
      <c r="J24" s="64">
        <f>3.383 * CHOOSE(CONTROL!$C$22, $C$13, 100%, $E$13)</f>
        <v>3.383</v>
      </c>
      <c r="K24" s="64">
        <f>3.3832 * CHOOSE(CONTROL!$C$22, $C$13, 100%, $E$13)</f>
        <v>3.3832</v>
      </c>
      <c r="L24" s="4"/>
      <c r="M24" s="64"/>
      <c r="N24" s="64"/>
    </row>
    <row r="25" spans="1:14" ht="15">
      <c r="A25" s="13">
        <v>42401</v>
      </c>
      <c r="B25" s="63">
        <f>2.6017 * CHOOSE(CONTROL!$C$22, $C$13, 100%, $E$13)</f>
        <v>2.6017000000000001</v>
      </c>
      <c r="C25" s="63">
        <f>2.6017 * CHOOSE(CONTROL!$C$22, $C$13, 100%, $E$13)</f>
        <v>2.6017000000000001</v>
      </c>
      <c r="D25" s="63">
        <f>2.6139 * CHOOSE(CONTROL!$C$22, $C$13, 100%, $E$13)</f>
        <v>2.6139000000000001</v>
      </c>
      <c r="E25" s="64">
        <f>3.3427 * CHOOSE(CONTROL!$C$22, $C$13, 100%, $E$13)</f>
        <v>3.3426999999999998</v>
      </c>
      <c r="F25" s="64">
        <f>4.035 * CHOOSE(CONTROL!$C$22, $C$13, 100%, $E$13)</f>
        <v>4.0350000000000001</v>
      </c>
      <c r="G25" s="64">
        <f>4.0352 * CHOOSE(CONTROL!$C$22, $C$13, 100%, $E$13)</f>
        <v>4.0351999999999997</v>
      </c>
      <c r="H25" s="64">
        <f>5.743* CHOOSE(CONTROL!$C$22, $C$13, 100%, $E$13)</f>
        <v>5.7430000000000003</v>
      </c>
      <c r="I25" s="64">
        <f>5.7432 * CHOOSE(CONTROL!$C$22, $C$13, 100%, $E$13)</f>
        <v>5.7431999999999999</v>
      </c>
      <c r="J25" s="64">
        <f>3.3427 * CHOOSE(CONTROL!$C$22, $C$13, 100%, $E$13)</f>
        <v>3.3426999999999998</v>
      </c>
      <c r="K25" s="64">
        <f>3.3429 * CHOOSE(CONTROL!$C$22, $C$13, 100%, $E$13)</f>
        <v>3.3429000000000002</v>
      </c>
      <c r="L25" s="4"/>
      <c r="M25" s="64"/>
      <c r="N25" s="64"/>
    </row>
    <row r="26" spans="1:14" ht="15">
      <c r="A26" s="13">
        <v>42430</v>
      </c>
      <c r="B26" s="63">
        <f>2.5956 * CHOOSE(CONTROL!$C$22, $C$13, 100%, $E$13)</f>
        <v>2.5956000000000001</v>
      </c>
      <c r="C26" s="63">
        <f>2.5956 * CHOOSE(CONTROL!$C$22, $C$13, 100%, $E$13)</f>
        <v>2.5956000000000001</v>
      </c>
      <c r="D26" s="63">
        <f>2.6079 * CHOOSE(CONTROL!$C$22, $C$13, 100%, $E$13)</f>
        <v>2.6078999999999999</v>
      </c>
      <c r="E26" s="64">
        <f>3.5819 * CHOOSE(CONTROL!$C$22, $C$13, 100%, $E$13)</f>
        <v>3.5819000000000001</v>
      </c>
      <c r="F26" s="64">
        <f>4.01 * CHOOSE(CONTROL!$C$22, $C$13, 100%, $E$13)</f>
        <v>4.01</v>
      </c>
      <c r="G26" s="64">
        <f>4.0102 * CHOOSE(CONTROL!$C$22, $C$13, 100%, $E$13)</f>
        <v>4.0102000000000002</v>
      </c>
      <c r="H26" s="64">
        <f>5.7549* CHOOSE(CONTROL!$C$22, $C$13, 100%, $E$13)</f>
        <v>5.7549000000000001</v>
      </c>
      <c r="I26" s="64">
        <f>5.7551 * CHOOSE(CONTROL!$C$22, $C$13, 100%, $E$13)</f>
        <v>5.7550999999999997</v>
      </c>
      <c r="J26" s="64">
        <f>3.5819 * CHOOSE(CONTROL!$C$22, $C$13, 100%, $E$13)</f>
        <v>3.5819000000000001</v>
      </c>
      <c r="K26" s="64">
        <f>3.5821 * CHOOSE(CONTROL!$C$22, $C$13, 100%, $E$13)</f>
        <v>3.5821000000000001</v>
      </c>
      <c r="L26" s="4"/>
      <c r="M26" s="64"/>
      <c r="N26" s="64"/>
    </row>
    <row r="27" spans="1:14" ht="15">
      <c r="A27" s="13">
        <v>42461</v>
      </c>
      <c r="B27" s="63">
        <f>2.6042 * CHOOSE(CONTROL!$C$22, $C$13, 100%, $E$13)</f>
        <v>2.6042000000000001</v>
      </c>
      <c r="C27" s="63">
        <f>2.6042 * CHOOSE(CONTROL!$C$22, $C$13, 100%, $E$13)</f>
        <v>2.6042000000000001</v>
      </c>
      <c r="D27" s="63">
        <f>2.6164 * CHOOSE(CONTROL!$C$22, $C$13, 100%, $E$13)</f>
        <v>2.6164000000000001</v>
      </c>
      <c r="E27" s="64">
        <f>3.3427 * CHOOSE(CONTROL!$C$22, $C$13, 100%, $E$13)</f>
        <v>3.3426999999999998</v>
      </c>
      <c r="F27" s="64">
        <f>4.035 * CHOOSE(CONTROL!$C$22, $C$13, 100%, $E$13)</f>
        <v>4.0350000000000001</v>
      </c>
      <c r="G27" s="64">
        <f>4.0352 * CHOOSE(CONTROL!$C$22, $C$13, 100%, $E$13)</f>
        <v>4.0351999999999997</v>
      </c>
      <c r="H27" s="64">
        <f>5.7669* CHOOSE(CONTROL!$C$22, $C$13, 100%, $E$13)</f>
        <v>5.7668999999999997</v>
      </c>
      <c r="I27" s="64">
        <f>5.7671 * CHOOSE(CONTROL!$C$22, $C$13, 100%, $E$13)</f>
        <v>5.7671000000000001</v>
      </c>
      <c r="J27" s="64">
        <f>3.3427 * CHOOSE(CONTROL!$C$22, $C$13, 100%, $E$13)</f>
        <v>3.3426999999999998</v>
      </c>
      <c r="K27" s="64">
        <f>3.3429 * CHOOSE(CONTROL!$C$22, $C$13, 100%, $E$13)</f>
        <v>3.3429000000000002</v>
      </c>
      <c r="L27" s="4"/>
      <c r="M27" s="64"/>
      <c r="N27" s="64"/>
    </row>
    <row r="28" spans="1:14" ht="15">
      <c r="A28" s="13">
        <v>42491</v>
      </c>
      <c r="B28" s="63">
        <f>2.6103 * CHOOSE(CONTROL!$C$22, $C$13, 100%, $E$13)</f>
        <v>2.6103000000000001</v>
      </c>
      <c r="C28" s="63">
        <f>2.6103 * CHOOSE(CONTROL!$C$22, $C$13, 100%, $E$13)</f>
        <v>2.6103000000000001</v>
      </c>
      <c r="D28" s="63">
        <f>2.6347 * CHOOSE(CONTROL!$C$22, $C$13, 100%, $E$13)</f>
        <v>2.6347</v>
      </c>
      <c r="E28" s="64">
        <f>3.3395 * CHOOSE(CONTROL!$C$22, $C$13, 100%, $E$13)</f>
        <v>3.3395000000000001</v>
      </c>
      <c r="F28" s="64">
        <f>4.005 * CHOOSE(CONTROL!$C$22, $C$13, 100%, $E$13)</f>
        <v>4.0049999999999999</v>
      </c>
      <c r="G28" s="64">
        <f>4.0066 * CHOOSE(CONTROL!$C$22, $C$13, 100%, $E$13)</f>
        <v>4.0065999999999997</v>
      </c>
      <c r="H28" s="64">
        <f>5.7789* CHOOSE(CONTROL!$C$22, $C$13, 100%, $E$13)</f>
        <v>5.7789000000000001</v>
      </c>
      <c r="I28" s="64">
        <f>5.7805 * CHOOSE(CONTROL!$C$22, $C$13, 100%, $E$13)</f>
        <v>5.7805</v>
      </c>
      <c r="J28" s="64">
        <f>3.3395 * CHOOSE(CONTROL!$C$22, $C$13, 100%, $E$13)</f>
        <v>3.3395000000000001</v>
      </c>
      <c r="K28" s="64">
        <f>3.341 * CHOOSE(CONTROL!$C$22, $C$13, 100%, $E$13)</f>
        <v>3.3410000000000002</v>
      </c>
      <c r="L28" s="4"/>
      <c r="M28" s="64"/>
      <c r="N28" s="64"/>
    </row>
    <row r="29" spans="1:14" ht="15">
      <c r="A29" s="13">
        <v>42522</v>
      </c>
      <c r="B29" s="63">
        <f>2.6164 * CHOOSE(CONTROL!$C$22, $C$13, 100%, $E$13)</f>
        <v>2.6164000000000001</v>
      </c>
      <c r="C29" s="63">
        <f>2.6164 * CHOOSE(CONTROL!$C$22, $C$13, 100%, $E$13)</f>
        <v>2.6164000000000001</v>
      </c>
      <c r="D29" s="63">
        <f>2.6408 * CHOOSE(CONTROL!$C$22, $C$13, 100%, $E$13)</f>
        <v>2.6408</v>
      </c>
      <c r="E29" s="64">
        <f>3.1559 * CHOOSE(CONTROL!$C$22, $C$13, 100%, $E$13)</f>
        <v>3.1558999999999999</v>
      </c>
      <c r="F29" s="64">
        <f>4.017 * CHOOSE(CONTROL!$C$22, $C$13, 100%, $E$13)</f>
        <v>4.0170000000000003</v>
      </c>
      <c r="G29" s="64">
        <f>4.0186 * CHOOSE(CONTROL!$C$22, $C$13, 100%, $E$13)</f>
        <v>4.0186000000000002</v>
      </c>
      <c r="H29" s="64">
        <f>5.791* CHOOSE(CONTROL!$C$22, $C$13, 100%, $E$13)</f>
        <v>5.7910000000000004</v>
      </c>
      <c r="I29" s="64">
        <f>5.7926 * CHOOSE(CONTROL!$C$22, $C$13, 100%, $E$13)</f>
        <v>5.7926000000000002</v>
      </c>
      <c r="J29" s="64">
        <f>3.1559 * CHOOSE(CONTROL!$C$22, $C$13, 100%, $E$13)</f>
        <v>3.1558999999999999</v>
      </c>
      <c r="K29" s="64">
        <f>3.1575 * CHOOSE(CONTROL!$C$22, $C$13, 100%, $E$13)</f>
        <v>3.1575000000000002</v>
      </c>
      <c r="L29" s="4"/>
      <c r="M29" s="64"/>
      <c r="N29" s="64"/>
    </row>
    <row r="30" spans="1:14" ht="15">
      <c r="A30" s="13">
        <v>42552</v>
      </c>
      <c r="B30" s="63">
        <f>2.6506 * CHOOSE(CONTROL!$C$22, $C$13, 100%, $E$13)</f>
        <v>2.6505999999999998</v>
      </c>
      <c r="C30" s="63">
        <f>2.6506 * CHOOSE(CONTROL!$C$22, $C$13, 100%, $E$13)</f>
        <v>2.6505999999999998</v>
      </c>
      <c r="D30" s="63">
        <f>2.675 * CHOOSE(CONTROL!$C$22, $C$13, 100%, $E$13)</f>
        <v>2.6749999999999998</v>
      </c>
      <c r="E30" s="64">
        <f>3.2732 * CHOOSE(CONTROL!$C$22, $C$13, 100%, $E$13)</f>
        <v>3.2732000000000001</v>
      </c>
      <c r="F30" s="64">
        <f>4.017 * CHOOSE(CONTROL!$C$22, $C$13, 100%, $E$13)</f>
        <v>4.0170000000000003</v>
      </c>
      <c r="G30" s="64">
        <f>4.0186 * CHOOSE(CONTROL!$C$22, $C$13, 100%, $E$13)</f>
        <v>4.0186000000000002</v>
      </c>
      <c r="H30" s="64">
        <f>5.8031* CHOOSE(CONTROL!$C$22, $C$13, 100%, $E$13)</f>
        <v>5.8030999999999997</v>
      </c>
      <c r="I30" s="64">
        <f>5.8046 * CHOOSE(CONTROL!$C$22, $C$13, 100%, $E$13)</f>
        <v>5.8045999999999998</v>
      </c>
      <c r="J30" s="64">
        <f>3.2732 * CHOOSE(CONTROL!$C$22, $C$13, 100%, $E$13)</f>
        <v>3.2732000000000001</v>
      </c>
      <c r="K30" s="64">
        <f>3.2747 * CHOOSE(CONTROL!$C$22, $C$13, 100%, $E$13)</f>
        <v>3.2747000000000002</v>
      </c>
      <c r="L30" s="4"/>
      <c r="M30" s="4"/>
      <c r="N30" s="4"/>
    </row>
    <row r="31" spans="1:14" ht="15">
      <c r="A31" s="13">
        <v>42583</v>
      </c>
      <c r="B31" s="63">
        <f>2.6658 * CHOOSE(CONTROL!$C$22, $C$13, 100%, $E$13)</f>
        <v>2.6657999999999999</v>
      </c>
      <c r="C31" s="63">
        <f>2.6658 * CHOOSE(CONTROL!$C$22, $C$13, 100%, $E$13)</f>
        <v>2.6657999999999999</v>
      </c>
      <c r="D31" s="63">
        <f>2.6902 * CHOOSE(CONTROL!$C$22, $C$13, 100%, $E$13)</f>
        <v>2.6901999999999999</v>
      </c>
      <c r="E31" s="64">
        <f>3.383 * CHOOSE(CONTROL!$C$22, $C$13, 100%, $E$13)</f>
        <v>3.383</v>
      </c>
      <c r="F31" s="64">
        <f>4.017 * CHOOSE(CONTROL!$C$22, $C$13, 100%, $E$13)</f>
        <v>4.0170000000000003</v>
      </c>
      <c r="G31" s="64">
        <f>4.0186 * CHOOSE(CONTROL!$C$22, $C$13, 100%, $E$13)</f>
        <v>4.0186000000000002</v>
      </c>
      <c r="H31" s="64">
        <f>5.8151* CHOOSE(CONTROL!$C$22, $C$13, 100%, $E$13)</f>
        <v>5.8151000000000002</v>
      </c>
      <c r="I31" s="64">
        <f>5.8167 * CHOOSE(CONTROL!$C$22, $C$13, 100%, $E$13)</f>
        <v>5.8167</v>
      </c>
      <c r="J31" s="64">
        <f>3.383 * CHOOSE(CONTROL!$C$22, $C$13, 100%, $E$13)</f>
        <v>3.383</v>
      </c>
      <c r="K31" s="64">
        <f>3.3846 * CHOOSE(CONTROL!$C$22, $C$13, 100%, $E$13)</f>
        <v>3.3845999999999998</v>
      </c>
      <c r="L31" s="4"/>
      <c r="M31" s="4"/>
      <c r="N31" s="4"/>
    </row>
    <row r="32" spans="1:14" ht="15">
      <c r="A32" s="13">
        <v>42614</v>
      </c>
      <c r="B32" s="63">
        <f>2.6597 * CHOOSE(CONTROL!$C$22, $C$13, 100%, $E$13)</f>
        <v>2.6597</v>
      </c>
      <c r="C32" s="63">
        <f>2.6597 * CHOOSE(CONTROL!$C$22, $C$13, 100%, $E$13)</f>
        <v>2.6597</v>
      </c>
      <c r="D32" s="63">
        <f>2.6841 * CHOOSE(CONTROL!$C$22, $C$13, 100%, $E$13)</f>
        <v>2.6840999999999999</v>
      </c>
      <c r="E32" s="64">
        <f>3.2732 * CHOOSE(CONTROL!$C$22, $C$13, 100%, $E$13)</f>
        <v>3.2732000000000001</v>
      </c>
      <c r="F32" s="64">
        <f>4.017 * CHOOSE(CONTROL!$C$22, $C$13, 100%, $E$13)</f>
        <v>4.0170000000000003</v>
      </c>
      <c r="G32" s="64">
        <f>4.0186 * CHOOSE(CONTROL!$C$22, $C$13, 100%, $E$13)</f>
        <v>4.0186000000000002</v>
      </c>
      <c r="H32" s="64">
        <f>5.8273* CHOOSE(CONTROL!$C$22, $C$13, 100%, $E$13)</f>
        <v>5.8273000000000001</v>
      </c>
      <c r="I32" s="64">
        <f>5.8288 * CHOOSE(CONTROL!$C$22, $C$13, 100%, $E$13)</f>
        <v>5.8288000000000002</v>
      </c>
      <c r="J32" s="64">
        <f>3.2732 * CHOOSE(CONTROL!$C$22, $C$13, 100%, $E$13)</f>
        <v>3.2732000000000001</v>
      </c>
      <c r="K32" s="64">
        <f>3.2747 * CHOOSE(CONTROL!$C$22, $C$13, 100%, $E$13)</f>
        <v>3.2747000000000002</v>
      </c>
      <c r="L32" s="4"/>
      <c r="M32" s="4"/>
      <c r="N32" s="4"/>
    </row>
    <row r="33" spans="1:14" ht="15">
      <c r="A33" s="13">
        <v>42644</v>
      </c>
      <c r="B33" s="63">
        <f>2.6898 * CHOOSE(CONTROL!$C$22, $C$13, 100%, $E$13)</f>
        <v>2.6898</v>
      </c>
      <c r="C33" s="63">
        <f>2.6898 * CHOOSE(CONTROL!$C$22, $C$13, 100%, $E$13)</f>
        <v>2.6898</v>
      </c>
      <c r="D33" s="63">
        <f>2.702 * CHOOSE(CONTROL!$C$22, $C$13, 100%, $E$13)</f>
        <v>2.702</v>
      </c>
      <c r="E33" s="64">
        <f>3.3427 * CHOOSE(CONTROL!$C$22, $C$13, 100%, $E$13)</f>
        <v>3.3426999999999998</v>
      </c>
      <c r="F33" s="64">
        <f>4.035 * CHOOSE(CONTROL!$C$22, $C$13, 100%, $E$13)</f>
        <v>4.0350000000000001</v>
      </c>
      <c r="G33" s="64">
        <f>4.0352 * CHOOSE(CONTROL!$C$22, $C$13, 100%, $E$13)</f>
        <v>4.0351999999999997</v>
      </c>
      <c r="H33" s="64">
        <f>5.8394* CHOOSE(CONTROL!$C$22, $C$13, 100%, $E$13)</f>
        <v>5.8394000000000004</v>
      </c>
      <c r="I33" s="64">
        <f>5.8396 * CHOOSE(CONTROL!$C$22, $C$13, 100%, $E$13)</f>
        <v>5.8395999999999999</v>
      </c>
      <c r="J33" s="64">
        <f>3.3427 * CHOOSE(CONTROL!$C$22, $C$13, 100%, $E$13)</f>
        <v>3.3426999999999998</v>
      </c>
      <c r="K33" s="64">
        <f>3.3429 * CHOOSE(CONTROL!$C$22, $C$13, 100%, $E$13)</f>
        <v>3.3429000000000002</v>
      </c>
      <c r="L33" s="4"/>
      <c r="M33" s="4"/>
      <c r="N33" s="4"/>
    </row>
    <row r="34" spans="1:14" ht="15">
      <c r="A34" s="13">
        <v>42675</v>
      </c>
      <c r="B34" s="63">
        <f>2.6928 * CHOOSE(CONTROL!$C$22, $C$13, 100%, $E$13)</f>
        <v>2.6928000000000001</v>
      </c>
      <c r="C34" s="63">
        <f>2.6928 * CHOOSE(CONTROL!$C$22, $C$13, 100%, $E$13)</f>
        <v>2.6928000000000001</v>
      </c>
      <c r="D34" s="63">
        <f>2.705 * CHOOSE(CONTROL!$C$22, $C$13, 100%, $E$13)</f>
        <v>2.7050000000000001</v>
      </c>
      <c r="E34" s="64">
        <f>3.3427 * CHOOSE(CONTROL!$C$22, $C$13, 100%, $E$13)</f>
        <v>3.3426999999999998</v>
      </c>
      <c r="F34" s="64">
        <f>4.035 * CHOOSE(CONTROL!$C$22, $C$13, 100%, $E$13)</f>
        <v>4.0350000000000001</v>
      </c>
      <c r="G34" s="64">
        <f>4.0352 * CHOOSE(CONTROL!$C$22, $C$13, 100%, $E$13)</f>
        <v>4.0351999999999997</v>
      </c>
      <c r="H34" s="64">
        <f>5.8516* CHOOSE(CONTROL!$C$22, $C$13, 100%, $E$13)</f>
        <v>5.8516000000000004</v>
      </c>
      <c r="I34" s="64">
        <f>5.8517 * CHOOSE(CONTROL!$C$22, $C$13, 100%, $E$13)</f>
        <v>5.8517000000000001</v>
      </c>
      <c r="J34" s="64">
        <f>3.3427 * CHOOSE(CONTROL!$C$22, $C$13, 100%, $E$13)</f>
        <v>3.3426999999999998</v>
      </c>
      <c r="K34" s="64">
        <f>3.3429 * CHOOSE(CONTROL!$C$22, $C$13, 100%, $E$13)</f>
        <v>3.3429000000000002</v>
      </c>
      <c r="L34" s="4"/>
      <c r="M34" s="4"/>
      <c r="N34" s="4"/>
    </row>
    <row r="35" spans="1:14" ht="15">
      <c r="A35" s="13">
        <v>42705</v>
      </c>
      <c r="B35" s="63">
        <f>2.6959 * CHOOSE(CONTROL!$C$22, $C$13, 100%, $E$13)</f>
        <v>2.6959</v>
      </c>
      <c r="C35" s="63">
        <f>2.6959 * CHOOSE(CONTROL!$C$22, $C$13, 100%, $E$13)</f>
        <v>2.6959</v>
      </c>
      <c r="D35" s="63">
        <f>2.7081 * CHOOSE(CONTROL!$C$22, $C$13, 100%, $E$13)</f>
        <v>2.7081</v>
      </c>
      <c r="E35" s="64">
        <f>3.5831 * CHOOSE(CONTROL!$C$22, $C$13, 100%, $E$13)</f>
        <v>3.5831</v>
      </c>
      <c r="F35" s="64">
        <f>4.017 * CHOOSE(CONTROL!$C$22, $C$13, 100%, $E$13)</f>
        <v>4.0170000000000003</v>
      </c>
      <c r="G35" s="64">
        <f>4.0172 * CHOOSE(CONTROL!$C$22, $C$13, 100%, $E$13)</f>
        <v>4.0171999999999999</v>
      </c>
      <c r="H35" s="64">
        <f>5.8638* CHOOSE(CONTROL!$C$22, $C$13, 100%, $E$13)</f>
        <v>5.8638000000000003</v>
      </c>
      <c r="I35" s="64">
        <f>5.8639 * CHOOSE(CONTROL!$C$22, $C$13, 100%, $E$13)</f>
        <v>5.8639000000000001</v>
      </c>
      <c r="J35" s="64">
        <f>3.5831 * CHOOSE(CONTROL!$C$22, $C$13, 100%, $E$13)</f>
        <v>3.5831</v>
      </c>
      <c r="K35" s="64">
        <f>3.5833 * CHOOSE(CONTROL!$C$22, $C$13, 100%, $E$13)</f>
        <v>3.5832999999999999</v>
      </c>
      <c r="L35" s="4"/>
      <c r="M35" s="4"/>
      <c r="N35" s="4"/>
    </row>
    <row r="36" spans="1:14" ht="15">
      <c r="A36" s="13">
        <v>42736</v>
      </c>
      <c r="B36" s="63">
        <f>2.7015 * CHOOSE(CONTROL!$C$22, $C$13, 100%, $E$13)</f>
        <v>2.7014999999999998</v>
      </c>
      <c r="C36" s="63">
        <f>2.7015 * CHOOSE(CONTROL!$C$22, $C$13, 100%, $E$13)</f>
        <v>2.7014999999999998</v>
      </c>
      <c r="D36" s="63">
        <f>2.7137 * CHOOSE(CONTROL!$C$22, $C$13, 100%, $E$13)</f>
        <v>2.7136999999999998</v>
      </c>
      <c r="E36" s="64">
        <f>3.4856 * CHOOSE(CONTROL!$C$22, $C$13, 100%, $E$13)</f>
        <v>3.4855999999999998</v>
      </c>
      <c r="F36" s="64">
        <f>3.4856 * CHOOSE(CONTROL!$C$22, $C$13, 100%, $E$13)</f>
        <v>3.4855999999999998</v>
      </c>
      <c r="G36" s="64">
        <f>3.4858 * CHOOSE(CONTROL!$C$22, $C$13, 100%, $E$13)</f>
        <v>3.4857999999999998</v>
      </c>
      <c r="H36" s="64">
        <f>5.876* CHOOSE(CONTROL!$C$22, $C$13, 100%, $E$13)</f>
        <v>5.8760000000000003</v>
      </c>
      <c r="I36" s="64">
        <f>5.8761 * CHOOSE(CONTROL!$C$22, $C$13, 100%, $E$13)</f>
        <v>5.8761000000000001</v>
      </c>
      <c r="J36" s="64">
        <f>3.4856 * CHOOSE(CONTROL!$C$22, $C$13, 100%, $E$13)</f>
        <v>3.4855999999999998</v>
      </c>
      <c r="K36" s="64">
        <f>3.4858 * CHOOSE(CONTROL!$C$22, $C$13, 100%, $E$13)</f>
        <v>3.4857999999999998</v>
      </c>
      <c r="L36" s="4"/>
      <c r="M36" s="4"/>
      <c r="N36" s="4"/>
    </row>
    <row r="37" spans="1:14" ht="15">
      <c r="A37" s="13">
        <v>42767</v>
      </c>
      <c r="B37" s="63">
        <f>2.6954 * CHOOSE(CONTROL!$C$22, $C$13, 100%, $E$13)</f>
        <v>2.6953999999999998</v>
      </c>
      <c r="C37" s="63">
        <f>2.6954 * CHOOSE(CONTROL!$C$22, $C$13, 100%, $E$13)</f>
        <v>2.6953999999999998</v>
      </c>
      <c r="D37" s="63">
        <f>2.7076 * CHOOSE(CONTROL!$C$22, $C$13, 100%, $E$13)</f>
        <v>2.7075999999999998</v>
      </c>
      <c r="E37" s="64">
        <f>3.3873 * CHOOSE(CONTROL!$C$22, $C$13, 100%, $E$13)</f>
        <v>3.3873000000000002</v>
      </c>
      <c r="F37" s="64">
        <f>3.3873 * CHOOSE(CONTROL!$C$22, $C$13, 100%, $E$13)</f>
        <v>3.3873000000000002</v>
      </c>
      <c r="G37" s="64">
        <f>3.3875 * CHOOSE(CONTROL!$C$22, $C$13, 100%, $E$13)</f>
        <v>3.3875000000000002</v>
      </c>
      <c r="H37" s="64">
        <f>5.8882* CHOOSE(CONTROL!$C$22, $C$13, 100%, $E$13)</f>
        <v>5.8882000000000003</v>
      </c>
      <c r="I37" s="64">
        <f>5.8884 * CHOOSE(CONTROL!$C$22, $C$13, 100%, $E$13)</f>
        <v>5.8883999999999999</v>
      </c>
      <c r="J37" s="64">
        <f>3.3873 * CHOOSE(CONTROL!$C$22, $C$13, 100%, $E$13)</f>
        <v>3.3873000000000002</v>
      </c>
      <c r="K37" s="64">
        <f>3.3875 * CHOOSE(CONTROL!$C$22, $C$13, 100%, $E$13)</f>
        <v>3.3875000000000002</v>
      </c>
      <c r="L37" s="4"/>
      <c r="M37" s="4"/>
      <c r="N37" s="4"/>
    </row>
    <row r="38" spans="1:14" ht="15">
      <c r="A38" s="13">
        <v>42795</v>
      </c>
      <c r="B38" s="63">
        <f>2.6924 * CHOOSE(CONTROL!$C$22, $C$13, 100%, $E$13)</f>
        <v>2.6924000000000001</v>
      </c>
      <c r="C38" s="63">
        <f>2.6924 * CHOOSE(CONTROL!$C$22, $C$13, 100%, $E$13)</f>
        <v>2.6924000000000001</v>
      </c>
      <c r="D38" s="63">
        <f>2.7046 * CHOOSE(CONTROL!$C$22, $C$13, 100%, $E$13)</f>
        <v>2.7046000000000001</v>
      </c>
      <c r="E38" s="64">
        <f>3.4487 * CHOOSE(CONTROL!$C$22, $C$13, 100%, $E$13)</f>
        <v>3.4487000000000001</v>
      </c>
      <c r="F38" s="64">
        <f>3.4487 * CHOOSE(CONTROL!$C$22, $C$13, 100%, $E$13)</f>
        <v>3.4487000000000001</v>
      </c>
      <c r="G38" s="64">
        <f>3.4489 * CHOOSE(CONTROL!$C$22, $C$13, 100%, $E$13)</f>
        <v>3.4489000000000001</v>
      </c>
      <c r="H38" s="64">
        <f>5.9005* CHOOSE(CONTROL!$C$22, $C$13, 100%, $E$13)</f>
        <v>5.9005000000000001</v>
      </c>
      <c r="I38" s="64">
        <f>5.9007 * CHOOSE(CONTROL!$C$22, $C$13, 100%, $E$13)</f>
        <v>5.9006999999999996</v>
      </c>
      <c r="J38" s="64">
        <f>3.4487 * CHOOSE(CONTROL!$C$22, $C$13, 100%, $E$13)</f>
        <v>3.4487000000000001</v>
      </c>
      <c r="K38" s="64">
        <f>3.4489 * CHOOSE(CONTROL!$C$22, $C$13, 100%, $E$13)</f>
        <v>3.4489000000000001</v>
      </c>
      <c r="L38" s="4"/>
      <c r="M38" s="4"/>
      <c r="N38" s="4"/>
    </row>
    <row r="39" spans="1:14" ht="15">
      <c r="A39" s="13">
        <v>42826</v>
      </c>
      <c r="B39" s="63">
        <f>2.7147 * CHOOSE(CONTROL!$C$22, $C$13, 100%, $E$13)</f>
        <v>2.7147000000000001</v>
      </c>
      <c r="C39" s="63">
        <f>2.7147 * CHOOSE(CONTROL!$C$22, $C$13, 100%, $E$13)</f>
        <v>2.7147000000000001</v>
      </c>
      <c r="D39" s="63">
        <f>2.7269 * CHOOSE(CONTROL!$C$22, $C$13, 100%, $E$13)</f>
        <v>2.7269000000000001</v>
      </c>
      <c r="E39" s="64">
        <f>3.3873 * CHOOSE(CONTROL!$C$22, $C$13, 100%, $E$13)</f>
        <v>3.3873000000000002</v>
      </c>
      <c r="F39" s="64">
        <f>3.3873 * CHOOSE(CONTROL!$C$22, $C$13, 100%, $E$13)</f>
        <v>3.3873000000000002</v>
      </c>
      <c r="G39" s="64">
        <f>3.3875 * CHOOSE(CONTROL!$C$22, $C$13, 100%, $E$13)</f>
        <v>3.3875000000000002</v>
      </c>
      <c r="H39" s="64">
        <f>5.9128* CHOOSE(CONTROL!$C$22, $C$13, 100%, $E$13)</f>
        <v>5.9127999999999998</v>
      </c>
      <c r="I39" s="64">
        <f>5.9129 * CHOOSE(CONTROL!$C$22, $C$13, 100%, $E$13)</f>
        <v>5.9128999999999996</v>
      </c>
      <c r="J39" s="64">
        <f>3.3873 * CHOOSE(CONTROL!$C$22, $C$13, 100%, $E$13)</f>
        <v>3.3873000000000002</v>
      </c>
      <c r="K39" s="64">
        <f>3.3875 * CHOOSE(CONTROL!$C$22, $C$13, 100%, $E$13)</f>
        <v>3.3875000000000002</v>
      </c>
      <c r="L39" s="4"/>
      <c r="M39" s="4"/>
      <c r="N39" s="4"/>
    </row>
    <row r="40" spans="1:14" ht="15">
      <c r="A40" s="13">
        <v>42856</v>
      </c>
      <c r="B40" s="63">
        <f>2.7117 * CHOOSE(CONTROL!$C$22, $C$13, 100%, $E$13)</f>
        <v>2.7117</v>
      </c>
      <c r="C40" s="63">
        <f>2.7117 * CHOOSE(CONTROL!$C$22, $C$13, 100%, $E$13)</f>
        <v>2.7117</v>
      </c>
      <c r="D40" s="63">
        <f>2.7361 * CHOOSE(CONTROL!$C$22, $C$13, 100%, $E$13)</f>
        <v>2.7361</v>
      </c>
      <c r="E40" s="64">
        <f>3.3873 * CHOOSE(CONTROL!$C$22, $C$13, 100%, $E$13)</f>
        <v>3.3873000000000002</v>
      </c>
      <c r="F40" s="64">
        <f>3.3873 * CHOOSE(CONTROL!$C$22, $C$13, 100%, $E$13)</f>
        <v>3.3873000000000002</v>
      </c>
      <c r="G40" s="64">
        <f>3.3889 * CHOOSE(CONTROL!$C$22, $C$13, 100%, $E$13)</f>
        <v>3.3889</v>
      </c>
      <c r="H40" s="64">
        <f>5.9251* CHOOSE(CONTROL!$C$22, $C$13, 100%, $E$13)</f>
        <v>5.9250999999999996</v>
      </c>
      <c r="I40" s="64">
        <f>5.9267 * CHOOSE(CONTROL!$C$22, $C$13, 100%, $E$13)</f>
        <v>5.9267000000000003</v>
      </c>
      <c r="J40" s="64">
        <f>3.3873 * CHOOSE(CONTROL!$C$22, $C$13, 100%, $E$13)</f>
        <v>3.3873000000000002</v>
      </c>
      <c r="K40" s="64">
        <f>3.3889 * CHOOSE(CONTROL!$C$22, $C$13, 100%, $E$13)</f>
        <v>3.3889</v>
      </c>
      <c r="L40" s="4"/>
      <c r="M40" s="4"/>
      <c r="N40" s="4"/>
    </row>
    <row r="41" spans="1:14" ht="15">
      <c r="A41" s="13">
        <v>42887</v>
      </c>
      <c r="B41" s="63">
        <f>2.7177 * CHOOSE(CONTROL!$C$22, $C$13, 100%, $E$13)</f>
        <v>2.7176999999999998</v>
      </c>
      <c r="C41" s="63">
        <f>2.7177 * CHOOSE(CONTROL!$C$22, $C$13, 100%, $E$13)</f>
        <v>2.7176999999999998</v>
      </c>
      <c r="D41" s="63">
        <f>2.7422 * CHOOSE(CONTROL!$C$22, $C$13, 100%, $E$13)</f>
        <v>2.7422</v>
      </c>
      <c r="E41" s="64">
        <f>3.2645 * CHOOSE(CONTROL!$C$22, $C$13, 100%, $E$13)</f>
        <v>3.2645</v>
      </c>
      <c r="F41" s="64">
        <f>3.2645 * CHOOSE(CONTROL!$C$22, $C$13, 100%, $E$13)</f>
        <v>3.2645</v>
      </c>
      <c r="G41" s="64">
        <f>3.2661 * CHOOSE(CONTROL!$C$22, $C$13, 100%, $E$13)</f>
        <v>3.2660999999999998</v>
      </c>
      <c r="H41" s="64">
        <f>5.9374* CHOOSE(CONTROL!$C$22, $C$13, 100%, $E$13)</f>
        <v>5.9374000000000002</v>
      </c>
      <c r="I41" s="64">
        <f>5.939 * CHOOSE(CONTROL!$C$22, $C$13, 100%, $E$13)</f>
        <v>5.9390000000000001</v>
      </c>
      <c r="J41" s="64">
        <f>3.2645 * CHOOSE(CONTROL!$C$22, $C$13, 100%, $E$13)</f>
        <v>3.2645</v>
      </c>
      <c r="K41" s="64">
        <f>3.2661 * CHOOSE(CONTROL!$C$22, $C$13, 100%, $E$13)</f>
        <v>3.2660999999999998</v>
      </c>
      <c r="L41" s="4"/>
      <c r="M41" s="4"/>
      <c r="N41" s="4"/>
    </row>
    <row r="42" spans="1:14" ht="15">
      <c r="A42" s="13">
        <v>42917</v>
      </c>
      <c r="B42" s="63">
        <f>2.7414 * CHOOSE(CONTROL!$C$22, $C$13, 100%, $E$13)</f>
        <v>2.7414000000000001</v>
      </c>
      <c r="C42" s="63">
        <f>2.7414 * CHOOSE(CONTROL!$C$22, $C$13, 100%, $E$13)</f>
        <v>2.7414000000000001</v>
      </c>
      <c r="D42" s="63">
        <f>2.7659 * CHOOSE(CONTROL!$C$22, $C$13, 100%, $E$13)</f>
        <v>2.7658999999999998</v>
      </c>
      <c r="E42" s="64">
        <f>3.633 * CHOOSE(CONTROL!$C$22, $C$13, 100%, $E$13)</f>
        <v>3.633</v>
      </c>
      <c r="F42" s="64">
        <f>3.633 * CHOOSE(CONTROL!$C$22, $C$13, 100%, $E$13)</f>
        <v>3.633</v>
      </c>
      <c r="G42" s="64">
        <f>3.6346 * CHOOSE(CONTROL!$C$22, $C$13, 100%, $E$13)</f>
        <v>3.6345999999999998</v>
      </c>
      <c r="H42" s="64">
        <f>5.9498* CHOOSE(CONTROL!$C$22, $C$13, 100%, $E$13)</f>
        <v>5.9497999999999998</v>
      </c>
      <c r="I42" s="64">
        <f>5.9514 * CHOOSE(CONTROL!$C$22, $C$13, 100%, $E$13)</f>
        <v>5.9513999999999996</v>
      </c>
      <c r="J42" s="64">
        <f>3.633 * CHOOSE(CONTROL!$C$22, $C$13, 100%, $E$13)</f>
        <v>3.633</v>
      </c>
      <c r="K42" s="64">
        <f>3.6346 * CHOOSE(CONTROL!$C$22, $C$13, 100%, $E$13)</f>
        <v>3.6345999999999998</v>
      </c>
      <c r="L42" s="4"/>
      <c r="M42" s="4"/>
      <c r="N42" s="4"/>
    </row>
    <row r="43" spans="1:14" ht="15">
      <c r="A43" s="13">
        <v>42948</v>
      </c>
      <c r="B43" s="63">
        <f>2.7566 * CHOOSE(CONTROL!$C$22, $C$13, 100%, $E$13)</f>
        <v>2.7566000000000002</v>
      </c>
      <c r="C43" s="63">
        <f>2.7566 * CHOOSE(CONTROL!$C$22, $C$13, 100%, $E$13)</f>
        <v>2.7566000000000002</v>
      </c>
      <c r="D43" s="63">
        <f>2.7811 * CHOOSE(CONTROL!$C$22, $C$13, 100%, $E$13)</f>
        <v>2.7810999999999999</v>
      </c>
      <c r="E43" s="64">
        <f>3.633 * CHOOSE(CONTROL!$C$22, $C$13, 100%, $E$13)</f>
        <v>3.633</v>
      </c>
      <c r="F43" s="64">
        <f>3.633 * CHOOSE(CONTROL!$C$22, $C$13, 100%, $E$13)</f>
        <v>3.633</v>
      </c>
      <c r="G43" s="64">
        <f>3.6346 * CHOOSE(CONTROL!$C$22, $C$13, 100%, $E$13)</f>
        <v>3.6345999999999998</v>
      </c>
      <c r="H43" s="64">
        <f>5.9622* CHOOSE(CONTROL!$C$22, $C$13, 100%, $E$13)</f>
        <v>5.9622000000000002</v>
      </c>
      <c r="I43" s="64">
        <f>5.9638 * CHOOSE(CONTROL!$C$22, $C$13, 100%, $E$13)</f>
        <v>5.9638</v>
      </c>
      <c r="J43" s="64">
        <f>3.633 * CHOOSE(CONTROL!$C$22, $C$13, 100%, $E$13)</f>
        <v>3.633</v>
      </c>
      <c r="K43" s="64">
        <f>3.6346 * CHOOSE(CONTROL!$C$22, $C$13, 100%, $E$13)</f>
        <v>3.6345999999999998</v>
      </c>
      <c r="L43" s="4"/>
      <c r="M43" s="4"/>
      <c r="N43" s="4"/>
    </row>
    <row r="44" spans="1:14" ht="15">
      <c r="A44" s="13">
        <v>42979</v>
      </c>
      <c r="B44" s="63">
        <f>2.7506 * CHOOSE(CONTROL!$C$22, $C$13, 100%, $E$13)</f>
        <v>2.7505999999999999</v>
      </c>
      <c r="C44" s="63">
        <f>2.7506 * CHOOSE(CONTROL!$C$22, $C$13, 100%, $E$13)</f>
        <v>2.7505999999999999</v>
      </c>
      <c r="D44" s="63">
        <f>2.775 * CHOOSE(CONTROL!$C$22, $C$13, 100%, $E$13)</f>
        <v>2.7749999999999999</v>
      </c>
      <c r="E44" s="64">
        <f>3.633 * CHOOSE(CONTROL!$C$22, $C$13, 100%, $E$13)</f>
        <v>3.633</v>
      </c>
      <c r="F44" s="64">
        <f>3.633 * CHOOSE(CONTROL!$C$22, $C$13, 100%, $E$13)</f>
        <v>3.633</v>
      </c>
      <c r="G44" s="64">
        <f>3.6346 * CHOOSE(CONTROL!$C$22, $C$13, 100%, $E$13)</f>
        <v>3.6345999999999998</v>
      </c>
      <c r="H44" s="64">
        <f>5.9746* CHOOSE(CONTROL!$C$22, $C$13, 100%, $E$13)</f>
        <v>5.9745999999999997</v>
      </c>
      <c r="I44" s="64">
        <f>5.9762 * CHOOSE(CONTROL!$C$22, $C$13, 100%, $E$13)</f>
        <v>5.9762000000000004</v>
      </c>
      <c r="J44" s="64">
        <f>3.633 * CHOOSE(CONTROL!$C$22, $C$13, 100%, $E$13)</f>
        <v>3.633</v>
      </c>
      <c r="K44" s="64">
        <f>3.6346 * CHOOSE(CONTROL!$C$22, $C$13, 100%, $E$13)</f>
        <v>3.6345999999999998</v>
      </c>
      <c r="L44" s="4"/>
      <c r="M44" s="4"/>
      <c r="N44" s="4"/>
    </row>
    <row r="45" spans="1:14" ht="15">
      <c r="A45" s="13">
        <v>43009</v>
      </c>
      <c r="B45" s="63">
        <f>2.7682 * CHOOSE(CONTROL!$C$22, $C$13, 100%, $E$13)</f>
        <v>2.7682000000000002</v>
      </c>
      <c r="C45" s="63">
        <f>2.7682 * CHOOSE(CONTROL!$C$22, $C$13, 100%, $E$13)</f>
        <v>2.7682000000000002</v>
      </c>
      <c r="D45" s="63">
        <f>2.7804 * CHOOSE(CONTROL!$C$22, $C$13, 100%, $E$13)</f>
        <v>2.7804000000000002</v>
      </c>
      <c r="E45" s="64">
        <f>3.633 * CHOOSE(CONTROL!$C$22, $C$13, 100%, $E$13)</f>
        <v>3.633</v>
      </c>
      <c r="F45" s="64">
        <f>3.633 * CHOOSE(CONTROL!$C$22, $C$13, 100%, $E$13)</f>
        <v>3.633</v>
      </c>
      <c r="G45" s="64">
        <f>3.6332 * CHOOSE(CONTROL!$C$22, $C$13, 100%, $E$13)</f>
        <v>3.6332</v>
      </c>
      <c r="H45" s="64">
        <f>5.9871* CHOOSE(CONTROL!$C$22, $C$13, 100%, $E$13)</f>
        <v>5.9870999999999999</v>
      </c>
      <c r="I45" s="64">
        <f>5.9872 * CHOOSE(CONTROL!$C$22, $C$13, 100%, $E$13)</f>
        <v>5.9871999999999996</v>
      </c>
      <c r="J45" s="64">
        <f>3.633 * CHOOSE(CONTROL!$C$22, $C$13, 100%, $E$13)</f>
        <v>3.633</v>
      </c>
      <c r="K45" s="64">
        <f>3.6332 * CHOOSE(CONTROL!$C$22, $C$13, 100%, $E$13)</f>
        <v>3.6332</v>
      </c>
      <c r="L45" s="4"/>
      <c r="M45" s="4"/>
      <c r="N45" s="4"/>
    </row>
    <row r="46" spans="1:14" ht="15">
      <c r="A46" s="13">
        <v>43040</v>
      </c>
      <c r="B46" s="63">
        <f>2.7713 * CHOOSE(CONTROL!$C$22, $C$13, 100%, $E$13)</f>
        <v>2.7713000000000001</v>
      </c>
      <c r="C46" s="63">
        <f>2.7713 * CHOOSE(CONTROL!$C$22, $C$13, 100%, $E$13)</f>
        <v>2.7713000000000001</v>
      </c>
      <c r="D46" s="63">
        <f>2.7835 * CHOOSE(CONTROL!$C$22, $C$13, 100%, $E$13)</f>
        <v>2.7835000000000001</v>
      </c>
      <c r="E46" s="64">
        <f>3.633 * CHOOSE(CONTROL!$C$22, $C$13, 100%, $E$13)</f>
        <v>3.633</v>
      </c>
      <c r="F46" s="64">
        <f>3.633 * CHOOSE(CONTROL!$C$22, $C$13, 100%, $E$13)</f>
        <v>3.633</v>
      </c>
      <c r="G46" s="64">
        <f>3.6332 * CHOOSE(CONTROL!$C$22, $C$13, 100%, $E$13)</f>
        <v>3.6332</v>
      </c>
      <c r="H46" s="64">
        <f>5.9995* CHOOSE(CONTROL!$C$22, $C$13, 100%, $E$13)</f>
        <v>5.9995000000000003</v>
      </c>
      <c r="I46" s="64">
        <f>5.9997 * CHOOSE(CONTROL!$C$22, $C$13, 100%, $E$13)</f>
        <v>5.9996999999999998</v>
      </c>
      <c r="J46" s="64">
        <f>3.633 * CHOOSE(CONTROL!$C$22, $C$13, 100%, $E$13)</f>
        <v>3.633</v>
      </c>
      <c r="K46" s="64">
        <f>3.6332 * CHOOSE(CONTROL!$C$22, $C$13, 100%, $E$13)</f>
        <v>3.6332</v>
      </c>
      <c r="L46" s="4"/>
      <c r="M46" s="4"/>
      <c r="N46" s="4"/>
    </row>
    <row r="47" spans="1:14" ht="15">
      <c r="A47" s="13">
        <v>43070</v>
      </c>
      <c r="B47" s="63">
        <f>2.7743 * CHOOSE(CONTROL!$C$22, $C$13, 100%, $E$13)</f>
        <v>2.7743000000000002</v>
      </c>
      <c r="C47" s="63">
        <f>2.7743 * CHOOSE(CONTROL!$C$22, $C$13, 100%, $E$13)</f>
        <v>2.7743000000000002</v>
      </c>
      <c r="D47" s="63">
        <f>2.7865 * CHOOSE(CONTROL!$C$22, $C$13, 100%, $E$13)</f>
        <v>2.7865000000000002</v>
      </c>
      <c r="E47" s="64">
        <f>3.633 * CHOOSE(CONTROL!$C$22, $C$13, 100%, $E$13)</f>
        <v>3.633</v>
      </c>
      <c r="F47" s="64">
        <f>3.633 * CHOOSE(CONTROL!$C$22, $C$13, 100%, $E$13)</f>
        <v>3.633</v>
      </c>
      <c r="G47" s="64">
        <f>3.6332 * CHOOSE(CONTROL!$C$22, $C$13, 100%, $E$13)</f>
        <v>3.6332</v>
      </c>
      <c r="H47" s="64">
        <f>6.012* CHOOSE(CONTROL!$C$22, $C$13, 100%, $E$13)</f>
        <v>6.0119999999999996</v>
      </c>
      <c r="I47" s="64">
        <f>6.0122 * CHOOSE(CONTROL!$C$22, $C$13, 100%, $E$13)</f>
        <v>6.0122</v>
      </c>
      <c r="J47" s="64">
        <f>3.633 * CHOOSE(CONTROL!$C$22, $C$13, 100%, $E$13)</f>
        <v>3.633</v>
      </c>
      <c r="K47" s="64">
        <f>3.6332 * CHOOSE(CONTROL!$C$22, $C$13, 100%, $E$13)</f>
        <v>3.6332</v>
      </c>
      <c r="L47" s="4"/>
      <c r="M47" s="4"/>
      <c r="N47" s="4"/>
    </row>
    <row r="48" spans="1:14" ht="15">
      <c r="A48" s="13">
        <v>43101</v>
      </c>
      <c r="B48" s="63">
        <f>2.8174 * CHOOSE(CONTROL!$C$22, $C$13, 100%, $E$13)</f>
        <v>2.8174000000000001</v>
      </c>
      <c r="C48" s="63">
        <f>2.8174 * CHOOSE(CONTROL!$C$22, $C$13, 100%, $E$13)</f>
        <v>2.8174000000000001</v>
      </c>
      <c r="D48" s="63">
        <f>2.8296 * CHOOSE(CONTROL!$C$22, $C$13, 100%, $E$13)</f>
        <v>2.8296000000000001</v>
      </c>
      <c r="E48" s="64">
        <f>3.2609 * CHOOSE(CONTROL!$C$22, $C$13, 100%, $E$13)</f>
        <v>3.2608999999999999</v>
      </c>
      <c r="F48" s="64">
        <f>3.2609 * CHOOSE(CONTROL!$C$22, $C$13, 100%, $E$13)</f>
        <v>3.2608999999999999</v>
      </c>
      <c r="G48" s="64">
        <f>3.261 * CHOOSE(CONTROL!$C$22, $C$13, 100%, $E$13)</f>
        <v>3.2610000000000001</v>
      </c>
      <c r="H48" s="64">
        <f>6.0246* CHOOSE(CONTROL!$C$22, $C$13, 100%, $E$13)</f>
        <v>6.0246000000000004</v>
      </c>
      <c r="I48" s="64">
        <f>6.0247 * CHOOSE(CONTROL!$C$22, $C$13, 100%, $E$13)</f>
        <v>6.0247000000000002</v>
      </c>
      <c r="J48" s="64">
        <f>3.2609 * CHOOSE(CONTROL!$C$22, $C$13, 100%, $E$13)</f>
        <v>3.2608999999999999</v>
      </c>
      <c r="K48" s="64">
        <f>3.261 * CHOOSE(CONTROL!$C$22, $C$13, 100%, $E$13)</f>
        <v>3.2610000000000001</v>
      </c>
      <c r="L48" s="4"/>
      <c r="M48" s="4"/>
      <c r="N48" s="4"/>
    </row>
    <row r="49" spans="1:14" ht="15">
      <c r="A49" s="13">
        <v>43132</v>
      </c>
      <c r="B49" s="63">
        <f>2.8144 * CHOOSE(CONTROL!$C$22, $C$13, 100%, $E$13)</f>
        <v>2.8144</v>
      </c>
      <c r="C49" s="63">
        <f>2.8144 * CHOOSE(CONTROL!$C$22, $C$13, 100%, $E$13)</f>
        <v>2.8144</v>
      </c>
      <c r="D49" s="63">
        <f>2.8266 * CHOOSE(CONTROL!$C$22, $C$13, 100%, $E$13)</f>
        <v>2.8266</v>
      </c>
      <c r="E49" s="64">
        <f>3.2349 * CHOOSE(CONTROL!$C$22, $C$13, 100%, $E$13)</f>
        <v>3.2349000000000001</v>
      </c>
      <c r="F49" s="64">
        <f>3.2349 * CHOOSE(CONTROL!$C$22, $C$13, 100%, $E$13)</f>
        <v>3.2349000000000001</v>
      </c>
      <c r="G49" s="64">
        <f>3.2351 * CHOOSE(CONTROL!$C$22, $C$13, 100%, $E$13)</f>
        <v>3.2351000000000001</v>
      </c>
      <c r="H49" s="64">
        <f>6.0371* CHOOSE(CONTROL!$C$22, $C$13, 100%, $E$13)</f>
        <v>6.0370999999999997</v>
      </c>
      <c r="I49" s="64">
        <f>6.0373 * CHOOSE(CONTROL!$C$22, $C$13, 100%, $E$13)</f>
        <v>6.0373000000000001</v>
      </c>
      <c r="J49" s="64">
        <f>3.2349 * CHOOSE(CONTROL!$C$22, $C$13, 100%, $E$13)</f>
        <v>3.2349000000000001</v>
      </c>
      <c r="K49" s="64">
        <f>3.2351 * CHOOSE(CONTROL!$C$22, $C$13, 100%, $E$13)</f>
        <v>3.2351000000000001</v>
      </c>
      <c r="L49" s="4"/>
      <c r="M49" s="4"/>
      <c r="N49" s="4"/>
    </row>
    <row r="50" spans="1:14" ht="15">
      <c r="A50" s="13">
        <v>43160</v>
      </c>
      <c r="B50" s="63">
        <f>2.8113 * CHOOSE(CONTROL!$C$22, $C$13, 100%, $E$13)</f>
        <v>2.8113000000000001</v>
      </c>
      <c r="C50" s="63">
        <f>2.8113 * CHOOSE(CONTROL!$C$22, $C$13, 100%, $E$13)</f>
        <v>2.8113000000000001</v>
      </c>
      <c r="D50" s="63">
        <f>2.8235 * CHOOSE(CONTROL!$C$22, $C$13, 100%, $E$13)</f>
        <v>2.8235000000000001</v>
      </c>
      <c r="E50" s="64">
        <f>3.2516 * CHOOSE(CONTROL!$C$22, $C$13, 100%, $E$13)</f>
        <v>3.2515999999999998</v>
      </c>
      <c r="F50" s="64">
        <f>3.2516 * CHOOSE(CONTROL!$C$22, $C$13, 100%, $E$13)</f>
        <v>3.2515999999999998</v>
      </c>
      <c r="G50" s="64">
        <f>3.2518 * CHOOSE(CONTROL!$C$22, $C$13, 100%, $E$13)</f>
        <v>3.2517999999999998</v>
      </c>
      <c r="H50" s="64">
        <f>6.0497* CHOOSE(CONTROL!$C$22, $C$13, 100%, $E$13)</f>
        <v>6.0496999999999996</v>
      </c>
      <c r="I50" s="64">
        <f>6.0499 * CHOOSE(CONTROL!$C$22, $C$13, 100%, $E$13)</f>
        <v>6.0499000000000001</v>
      </c>
      <c r="J50" s="64">
        <f>3.2516 * CHOOSE(CONTROL!$C$22, $C$13, 100%, $E$13)</f>
        <v>3.2515999999999998</v>
      </c>
      <c r="K50" s="64">
        <f>3.2518 * CHOOSE(CONTROL!$C$22, $C$13, 100%, $E$13)</f>
        <v>3.2517999999999998</v>
      </c>
      <c r="L50" s="4"/>
      <c r="M50" s="4"/>
      <c r="N50" s="4"/>
    </row>
    <row r="51" spans="1:14" ht="15">
      <c r="A51" s="13">
        <v>43191</v>
      </c>
      <c r="B51" s="63">
        <f>2.8078 * CHOOSE(CONTROL!$C$22, $C$13, 100%, $E$13)</f>
        <v>2.8077999999999999</v>
      </c>
      <c r="C51" s="63">
        <f>2.8078 * CHOOSE(CONTROL!$C$22, $C$13, 100%, $E$13)</f>
        <v>2.8077999999999999</v>
      </c>
      <c r="D51" s="63">
        <f>2.8201 * CHOOSE(CONTROL!$C$22, $C$13, 100%, $E$13)</f>
        <v>2.8201000000000001</v>
      </c>
      <c r="E51" s="64">
        <f>3.2675 * CHOOSE(CONTROL!$C$22, $C$13, 100%, $E$13)</f>
        <v>3.2675000000000001</v>
      </c>
      <c r="F51" s="64">
        <f>3.2675 * CHOOSE(CONTROL!$C$22, $C$13, 100%, $E$13)</f>
        <v>3.2675000000000001</v>
      </c>
      <c r="G51" s="64">
        <f>3.2677 * CHOOSE(CONTROL!$C$22, $C$13, 100%, $E$13)</f>
        <v>3.2677</v>
      </c>
      <c r="H51" s="64">
        <f>6.0623* CHOOSE(CONTROL!$C$22, $C$13, 100%, $E$13)</f>
        <v>6.0622999999999996</v>
      </c>
      <c r="I51" s="64">
        <f>6.0625 * CHOOSE(CONTROL!$C$22, $C$13, 100%, $E$13)</f>
        <v>6.0625</v>
      </c>
      <c r="J51" s="64">
        <f>3.2675 * CHOOSE(CONTROL!$C$22, $C$13, 100%, $E$13)</f>
        <v>3.2675000000000001</v>
      </c>
      <c r="K51" s="64">
        <f>3.2677 * CHOOSE(CONTROL!$C$22, $C$13, 100%, $E$13)</f>
        <v>3.2677</v>
      </c>
      <c r="L51" s="4"/>
      <c r="M51" s="4"/>
      <c r="N51" s="4"/>
    </row>
    <row r="52" spans="1:14" ht="15">
      <c r="A52" s="13">
        <v>43221</v>
      </c>
      <c r="B52" s="63">
        <f>2.8078 * CHOOSE(CONTROL!$C$22, $C$13, 100%, $E$13)</f>
        <v>2.8077999999999999</v>
      </c>
      <c r="C52" s="63">
        <f>2.8078 * CHOOSE(CONTROL!$C$22, $C$13, 100%, $E$13)</f>
        <v>2.8077999999999999</v>
      </c>
      <c r="D52" s="63">
        <f>2.8323 * CHOOSE(CONTROL!$C$22, $C$13, 100%, $E$13)</f>
        <v>2.8323</v>
      </c>
      <c r="E52" s="64">
        <f>3.2751 * CHOOSE(CONTROL!$C$22, $C$13, 100%, $E$13)</f>
        <v>3.2751000000000001</v>
      </c>
      <c r="F52" s="64">
        <f>3.2751 * CHOOSE(CONTROL!$C$22, $C$13, 100%, $E$13)</f>
        <v>3.2751000000000001</v>
      </c>
      <c r="G52" s="64">
        <f>3.2767 * CHOOSE(CONTROL!$C$22, $C$13, 100%, $E$13)</f>
        <v>3.2766999999999999</v>
      </c>
      <c r="H52" s="64">
        <f>6.0749* CHOOSE(CONTROL!$C$22, $C$13, 100%, $E$13)</f>
        <v>6.0749000000000004</v>
      </c>
      <c r="I52" s="64">
        <f>6.0765 * CHOOSE(CONTROL!$C$22, $C$13, 100%, $E$13)</f>
        <v>6.0765000000000002</v>
      </c>
      <c r="J52" s="64">
        <f>3.2751 * CHOOSE(CONTROL!$C$22, $C$13, 100%, $E$13)</f>
        <v>3.2751000000000001</v>
      </c>
      <c r="K52" s="64">
        <f>3.2767 * CHOOSE(CONTROL!$C$22, $C$13, 100%, $E$13)</f>
        <v>3.2766999999999999</v>
      </c>
      <c r="L52" s="4"/>
      <c r="M52" s="4"/>
      <c r="N52" s="4"/>
    </row>
    <row r="53" spans="1:14" ht="15">
      <c r="A53" s="13">
        <v>43252</v>
      </c>
      <c r="B53" s="63">
        <f>2.8139 * CHOOSE(CONTROL!$C$22, $C$13, 100%, $E$13)</f>
        <v>2.8138999999999998</v>
      </c>
      <c r="C53" s="63">
        <f>2.8139 * CHOOSE(CONTROL!$C$22, $C$13, 100%, $E$13)</f>
        <v>2.8138999999999998</v>
      </c>
      <c r="D53" s="63">
        <f>2.8383 * CHOOSE(CONTROL!$C$22, $C$13, 100%, $E$13)</f>
        <v>2.8382999999999998</v>
      </c>
      <c r="E53" s="64">
        <f>3.2718 * CHOOSE(CONTROL!$C$22, $C$13, 100%, $E$13)</f>
        <v>3.2717999999999998</v>
      </c>
      <c r="F53" s="64">
        <f>3.2718 * CHOOSE(CONTROL!$C$22, $C$13, 100%, $E$13)</f>
        <v>3.2717999999999998</v>
      </c>
      <c r="G53" s="64">
        <f>3.2733 * CHOOSE(CONTROL!$C$22, $C$13, 100%, $E$13)</f>
        <v>3.2732999999999999</v>
      </c>
      <c r="H53" s="64">
        <f>6.0876* CHOOSE(CONTROL!$C$22, $C$13, 100%, $E$13)</f>
        <v>6.0876000000000001</v>
      </c>
      <c r="I53" s="64">
        <f>6.0891 * CHOOSE(CONTROL!$C$22, $C$13, 100%, $E$13)</f>
        <v>6.0891000000000002</v>
      </c>
      <c r="J53" s="64">
        <f>3.2718 * CHOOSE(CONTROL!$C$22, $C$13, 100%, $E$13)</f>
        <v>3.2717999999999998</v>
      </c>
      <c r="K53" s="64">
        <f>3.2733 * CHOOSE(CONTROL!$C$22, $C$13, 100%, $E$13)</f>
        <v>3.2732999999999999</v>
      </c>
      <c r="L53" s="4"/>
      <c r="M53" s="4"/>
      <c r="N53" s="4"/>
    </row>
    <row r="54" spans="1:14" ht="15">
      <c r="A54" s="13">
        <v>43282</v>
      </c>
      <c r="B54" s="63">
        <f>2.8974 * CHOOSE(CONTROL!$C$22, $C$13, 100%, $E$13)</f>
        <v>2.8974000000000002</v>
      </c>
      <c r="C54" s="63">
        <f>2.8974 * CHOOSE(CONTROL!$C$22, $C$13, 100%, $E$13)</f>
        <v>2.8974000000000002</v>
      </c>
      <c r="D54" s="63">
        <f>2.9218 * CHOOSE(CONTROL!$C$22, $C$13, 100%, $E$13)</f>
        <v>2.9218000000000002</v>
      </c>
      <c r="E54" s="64">
        <f>3.459 * CHOOSE(CONTROL!$C$22, $C$13, 100%, $E$13)</f>
        <v>3.4590000000000001</v>
      </c>
      <c r="F54" s="64">
        <f>3.459 * CHOOSE(CONTROL!$C$22, $C$13, 100%, $E$13)</f>
        <v>3.4590000000000001</v>
      </c>
      <c r="G54" s="64">
        <f>3.4605 * CHOOSE(CONTROL!$C$22, $C$13, 100%, $E$13)</f>
        <v>3.4605000000000001</v>
      </c>
      <c r="H54" s="64">
        <f>6.1003* CHOOSE(CONTROL!$C$22, $C$13, 100%, $E$13)</f>
        <v>6.1002999999999998</v>
      </c>
      <c r="I54" s="64">
        <f>6.1018 * CHOOSE(CONTROL!$C$22, $C$13, 100%, $E$13)</f>
        <v>6.1017999999999999</v>
      </c>
      <c r="J54" s="64">
        <f>3.459 * CHOOSE(CONTROL!$C$22, $C$13, 100%, $E$13)</f>
        <v>3.4590000000000001</v>
      </c>
      <c r="K54" s="64">
        <f>3.4605 * CHOOSE(CONTROL!$C$22, $C$13, 100%, $E$13)</f>
        <v>3.4605000000000001</v>
      </c>
      <c r="L54" s="4"/>
      <c r="M54" s="4"/>
      <c r="N54" s="4"/>
    </row>
    <row r="55" spans="1:14" ht="15">
      <c r="A55" s="13">
        <v>43313</v>
      </c>
      <c r="B55" s="63">
        <f>2.904 * CHOOSE(CONTROL!$C$22, $C$13, 100%, $E$13)</f>
        <v>2.9039999999999999</v>
      </c>
      <c r="C55" s="63">
        <f>2.904 * CHOOSE(CONTROL!$C$22, $C$13, 100%, $E$13)</f>
        <v>2.9039999999999999</v>
      </c>
      <c r="D55" s="63">
        <f>2.9285 * CHOOSE(CONTROL!$C$22, $C$13, 100%, $E$13)</f>
        <v>2.9285000000000001</v>
      </c>
      <c r="E55" s="64">
        <f>3.4409 * CHOOSE(CONTROL!$C$22, $C$13, 100%, $E$13)</f>
        <v>3.4409000000000001</v>
      </c>
      <c r="F55" s="64">
        <f>3.4409 * CHOOSE(CONTROL!$C$22, $C$13, 100%, $E$13)</f>
        <v>3.4409000000000001</v>
      </c>
      <c r="G55" s="64">
        <f>3.4425 * CHOOSE(CONTROL!$C$22, $C$13, 100%, $E$13)</f>
        <v>3.4424999999999999</v>
      </c>
      <c r="H55" s="64">
        <f>6.113* CHOOSE(CONTROL!$C$22, $C$13, 100%, $E$13)</f>
        <v>6.1130000000000004</v>
      </c>
      <c r="I55" s="64">
        <f>6.1145 * CHOOSE(CONTROL!$C$22, $C$13, 100%, $E$13)</f>
        <v>6.1144999999999996</v>
      </c>
      <c r="J55" s="64">
        <f>3.4409 * CHOOSE(CONTROL!$C$22, $C$13, 100%, $E$13)</f>
        <v>3.4409000000000001</v>
      </c>
      <c r="K55" s="64">
        <f>3.4425 * CHOOSE(CONTROL!$C$22, $C$13, 100%, $E$13)</f>
        <v>3.4424999999999999</v>
      </c>
      <c r="L55" s="4"/>
      <c r="M55" s="4"/>
      <c r="N55" s="4"/>
    </row>
    <row r="56" spans="1:14" ht="15">
      <c r="A56" s="13">
        <v>43344</v>
      </c>
      <c r="B56" s="63">
        <f>2.901 * CHOOSE(CONTROL!$C$22, $C$13, 100%, $E$13)</f>
        <v>2.9009999999999998</v>
      </c>
      <c r="C56" s="63">
        <f>2.901 * CHOOSE(CONTROL!$C$22, $C$13, 100%, $E$13)</f>
        <v>2.9009999999999998</v>
      </c>
      <c r="D56" s="63">
        <f>2.9254 * CHOOSE(CONTROL!$C$22, $C$13, 100%, $E$13)</f>
        <v>2.9253999999999998</v>
      </c>
      <c r="E56" s="64">
        <f>3.4363 * CHOOSE(CONTROL!$C$22, $C$13, 100%, $E$13)</f>
        <v>3.4363000000000001</v>
      </c>
      <c r="F56" s="64">
        <f>3.4363 * CHOOSE(CONTROL!$C$22, $C$13, 100%, $E$13)</f>
        <v>3.4363000000000001</v>
      </c>
      <c r="G56" s="64">
        <f>3.4379 * CHOOSE(CONTROL!$C$22, $C$13, 100%, $E$13)</f>
        <v>3.4379</v>
      </c>
      <c r="H56" s="64">
        <f>6.1257* CHOOSE(CONTROL!$C$22, $C$13, 100%, $E$13)</f>
        <v>6.1257000000000001</v>
      </c>
      <c r="I56" s="64">
        <f>6.1273 * CHOOSE(CONTROL!$C$22, $C$13, 100%, $E$13)</f>
        <v>6.1273</v>
      </c>
      <c r="J56" s="64">
        <f>3.4363 * CHOOSE(CONTROL!$C$22, $C$13, 100%, $E$13)</f>
        <v>3.4363000000000001</v>
      </c>
      <c r="K56" s="64">
        <f>3.4379 * CHOOSE(CONTROL!$C$22, $C$13, 100%, $E$13)</f>
        <v>3.4379</v>
      </c>
      <c r="L56" s="4"/>
      <c r="M56" s="4"/>
      <c r="N56" s="4"/>
    </row>
    <row r="57" spans="1:14" ht="15">
      <c r="A57" s="13">
        <v>43374</v>
      </c>
      <c r="B57" s="63">
        <f>2.8921 * CHOOSE(CONTROL!$C$22, $C$13, 100%, $E$13)</f>
        <v>2.8921000000000001</v>
      </c>
      <c r="C57" s="63">
        <f>2.8921 * CHOOSE(CONTROL!$C$22, $C$13, 100%, $E$13)</f>
        <v>2.8921000000000001</v>
      </c>
      <c r="D57" s="63">
        <f>2.9043 * CHOOSE(CONTROL!$C$22, $C$13, 100%, $E$13)</f>
        <v>2.9043000000000001</v>
      </c>
      <c r="E57" s="64">
        <f>3.433 * CHOOSE(CONTROL!$C$22, $C$13, 100%, $E$13)</f>
        <v>3.4329999999999998</v>
      </c>
      <c r="F57" s="64">
        <f>3.433 * CHOOSE(CONTROL!$C$22, $C$13, 100%, $E$13)</f>
        <v>3.4329999999999998</v>
      </c>
      <c r="G57" s="64">
        <f>3.4331 * CHOOSE(CONTROL!$C$22, $C$13, 100%, $E$13)</f>
        <v>3.4331</v>
      </c>
      <c r="H57" s="64">
        <f>6.1385* CHOOSE(CONTROL!$C$22, $C$13, 100%, $E$13)</f>
        <v>6.1384999999999996</v>
      </c>
      <c r="I57" s="64">
        <f>6.1386 * CHOOSE(CONTROL!$C$22, $C$13, 100%, $E$13)</f>
        <v>6.1386000000000003</v>
      </c>
      <c r="J57" s="64">
        <f>3.433 * CHOOSE(CONTROL!$C$22, $C$13, 100%, $E$13)</f>
        <v>3.4329999999999998</v>
      </c>
      <c r="K57" s="64">
        <f>3.4331 * CHOOSE(CONTROL!$C$22, $C$13, 100%, $E$13)</f>
        <v>3.4331</v>
      </c>
      <c r="L57" s="4"/>
      <c r="M57" s="4"/>
      <c r="N57" s="4"/>
    </row>
    <row r="58" spans="1:14" ht="15">
      <c r="A58" s="13">
        <v>43405</v>
      </c>
      <c r="B58" s="63">
        <f>2.8951 * CHOOSE(CONTROL!$C$22, $C$13, 100%, $E$13)</f>
        <v>2.8950999999999998</v>
      </c>
      <c r="C58" s="63">
        <f>2.8951 * CHOOSE(CONTROL!$C$22, $C$13, 100%, $E$13)</f>
        <v>2.8950999999999998</v>
      </c>
      <c r="D58" s="63">
        <f>2.9073 * CHOOSE(CONTROL!$C$22, $C$13, 100%, $E$13)</f>
        <v>2.9073000000000002</v>
      </c>
      <c r="E58" s="64">
        <f>3.4401 * CHOOSE(CONTROL!$C$22, $C$13, 100%, $E$13)</f>
        <v>3.4401000000000002</v>
      </c>
      <c r="F58" s="64">
        <f>3.4401 * CHOOSE(CONTROL!$C$22, $C$13, 100%, $E$13)</f>
        <v>3.4401000000000002</v>
      </c>
      <c r="G58" s="64">
        <f>3.4403 * CHOOSE(CONTROL!$C$22, $C$13, 100%, $E$13)</f>
        <v>3.4403000000000001</v>
      </c>
      <c r="H58" s="64">
        <f>6.1513* CHOOSE(CONTROL!$C$22, $C$13, 100%, $E$13)</f>
        <v>6.1513</v>
      </c>
      <c r="I58" s="64">
        <f>6.1514 * CHOOSE(CONTROL!$C$22, $C$13, 100%, $E$13)</f>
        <v>6.1513999999999998</v>
      </c>
      <c r="J58" s="64">
        <f>3.4401 * CHOOSE(CONTROL!$C$22, $C$13, 100%, $E$13)</f>
        <v>3.4401000000000002</v>
      </c>
      <c r="K58" s="64">
        <f>3.4403 * CHOOSE(CONTROL!$C$22, $C$13, 100%, $E$13)</f>
        <v>3.4403000000000001</v>
      </c>
      <c r="L58" s="4"/>
      <c r="M58" s="4"/>
      <c r="N58" s="4"/>
    </row>
    <row r="59" spans="1:14" ht="15">
      <c r="A59" s="13">
        <v>43435</v>
      </c>
      <c r="B59" s="63">
        <f>2.8951 * CHOOSE(CONTROL!$C$22, $C$13, 100%, $E$13)</f>
        <v>2.8950999999999998</v>
      </c>
      <c r="C59" s="63">
        <f>2.8951 * CHOOSE(CONTROL!$C$22, $C$13, 100%, $E$13)</f>
        <v>2.8950999999999998</v>
      </c>
      <c r="D59" s="63">
        <f>2.9073 * CHOOSE(CONTROL!$C$22, $C$13, 100%, $E$13)</f>
        <v>2.9073000000000002</v>
      </c>
      <c r="E59" s="64">
        <f>3.4275 * CHOOSE(CONTROL!$C$22, $C$13, 100%, $E$13)</f>
        <v>3.4275000000000002</v>
      </c>
      <c r="F59" s="64">
        <f>3.4275 * CHOOSE(CONTROL!$C$22, $C$13, 100%, $E$13)</f>
        <v>3.4275000000000002</v>
      </c>
      <c r="G59" s="64">
        <f>3.4277 * CHOOSE(CONTROL!$C$22, $C$13, 100%, $E$13)</f>
        <v>3.4277000000000002</v>
      </c>
      <c r="H59" s="64">
        <f>6.1641* CHOOSE(CONTROL!$C$22, $C$13, 100%, $E$13)</f>
        <v>6.1641000000000004</v>
      </c>
      <c r="I59" s="64">
        <f>6.1643 * CHOOSE(CONTROL!$C$22, $C$13, 100%, $E$13)</f>
        <v>6.1642999999999999</v>
      </c>
      <c r="J59" s="64">
        <f>3.4275 * CHOOSE(CONTROL!$C$22, $C$13, 100%, $E$13)</f>
        <v>3.4275000000000002</v>
      </c>
      <c r="K59" s="64">
        <f>3.4277 * CHOOSE(CONTROL!$C$22, $C$13, 100%, $E$13)</f>
        <v>3.4277000000000002</v>
      </c>
      <c r="L59" s="4"/>
      <c r="M59" s="4"/>
      <c r="N59" s="4"/>
    </row>
    <row r="60" spans="1:14" ht="15">
      <c r="A60" s="13">
        <v>43466</v>
      </c>
      <c r="B60" s="63">
        <f>2.9246 * CHOOSE(CONTROL!$C$22, $C$13, 100%, $E$13)</f>
        <v>2.9245999999999999</v>
      </c>
      <c r="C60" s="63">
        <f>2.9246 * CHOOSE(CONTROL!$C$22, $C$13, 100%, $E$13)</f>
        <v>2.9245999999999999</v>
      </c>
      <c r="D60" s="63">
        <f>2.9368 * CHOOSE(CONTROL!$C$22, $C$13, 100%, $E$13)</f>
        <v>2.9367999999999999</v>
      </c>
      <c r="E60" s="64">
        <f>3.4699 * CHOOSE(CONTROL!$C$22, $C$13, 100%, $E$13)</f>
        <v>3.4699</v>
      </c>
      <c r="F60" s="64">
        <f>3.4699 * CHOOSE(CONTROL!$C$22, $C$13, 100%, $E$13)</f>
        <v>3.4699</v>
      </c>
      <c r="G60" s="64">
        <f>3.4701 * CHOOSE(CONTROL!$C$22, $C$13, 100%, $E$13)</f>
        <v>3.4701</v>
      </c>
      <c r="H60" s="64">
        <f>6.1769* CHOOSE(CONTROL!$C$22, $C$13, 100%, $E$13)</f>
        <v>6.1768999999999998</v>
      </c>
      <c r="I60" s="64">
        <f>6.1771 * CHOOSE(CONTROL!$C$22, $C$13, 100%, $E$13)</f>
        <v>6.1771000000000003</v>
      </c>
      <c r="J60" s="64">
        <f>3.4699 * CHOOSE(CONTROL!$C$22, $C$13, 100%, $E$13)</f>
        <v>3.4699</v>
      </c>
      <c r="K60" s="64">
        <f>3.4701 * CHOOSE(CONTROL!$C$22, $C$13, 100%, $E$13)</f>
        <v>3.4701</v>
      </c>
      <c r="L60" s="4"/>
      <c r="M60" s="4"/>
      <c r="N60" s="4"/>
    </row>
    <row r="61" spans="1:14" ht="15">
      <c r="A61" s="13">
        <v>43497</v>
      </c>
      <c r="B61" s="63">
        <f>2.9216 * CHOOSE(CONTROL!$C$22, $C$13, 100%, $E$13)</f>
        <v>2.9216000000000002</v>
      </c>
      <c r="C61" s="63">
        <f>2.9216 * CHOOSE(CONTROL!$C$22, $C$13, 100%, $E$13)</f>
        <v>2.9216000000000002</v>
      </c>
      <c r="D61" s="63">
        <f>2.9338 * CHOOSE(CONTROL!$C$22, $C$13, 100%, $E$13)</f>
        <v>2.9338000000000002</v>
      </c>
      <c r="E61" s="64">
        <f>3.4392 * CHOOSE(CONTROL!$C$22, $C$13, 100%, $E$13)</f>
        <v>3.4392</v>
      </c>
      <c r="F61" s="64">
        <f>3.4392 * CHOOSE(CONTROL!$C$22, $C$13, 100%, $E$13)</f>
        <v>3.4392</v>
      </c>
      <c r="G61" s="64">
        <f>3.4394 * CHOOSE(CONTROL!$C$22, $C$13, 100%, $E$13)</f>
        <v>3.4394</v>
      </c>
      <c r="H61" s="64">
        <f>6.1898* CHOOSE(CONTROL!$C$22, $C$13, 100%, $E$13)</f>
        <v>6.1898</v>
      </c>
      <c r="I61" s="64">
        <f>6.19 * CHOOSE(CONTROL!$C$22, $C$13, 100%, $E$13)</f>
        <v>6.19</v>
      </c>
      <c r="J61" s="64">
        <f>3.4392 * CHOOSE(CONTROL!$C$22, $C$13, 100%, $E$13)</f>
        <v>3.4392</v>
      </c>
      <c r="K61" s="64">
        <f>3.4394 * CHOOSE(CONTROL!$C$22, $C$13, 100%, $E$13)</f>
        <v>3.4394</v>
      </c>
      <c r="L61" s="4"/>
      <c r="M61" s="4"/>
      <c r="N61" s="4"/>
    </row>
    <row r="62" spans="1:14" ht="15">
      <c r="A62" s="13">
        <v>43525</v>
      </c>
      <c r="B62" s="63">
        <f>2.9185 * CHOOSE(CONTROL!$C$22, $C$13, 100%, $E$13)</f>
        <v>2.9184999999999999</v>
      </c>
      <c r="C62" s="63">
        <f>2.9185 * CHOOSE(CONTROL!$C$22, $C$13, 100%, $E$13)</f>
        <v>2.9184999999999999</v>
      </c>
      <c r="D62" s="63">
        <f>2.9308 * CHOOSE(CONTROL!$C$22, $C$13, 100%, $E$13)</f>
        <v>2.9308000000000001</v>
      </c>
      <c r="E62" s="64">
        <f>3.4596 * CHOOSE(CONTROL!$C$22, $C$13, 100%, $E$13)</f>
        <v>3.4596</v>
      </c>
      <c r="F62" s="64">
        <f>3.4596 * CHOOSE(CONTROL!$C$22, $C$13, 100%, $E$13)</f>
        <v>3.4596</v>
      </c>
      <c r="G62" s="64">
        <f>3.4598 * CHOOSE(CONTROL!$C$22, $C$13, 100%, $E$13)</f>
        <v>3.4598</v>
      </c>
      <c r="H62" s="64">
        <f>6.2027* CHOOSE(CONTROL!$C$22, $C$13, 100%, $E$13)</f>
        <v>6.2027000000000001</v>
      </c>
      <c r="I62" s="64">
        <f>6.2029 * CHOOSE(CONTROL!$C$22, $C$13, 100%, $E$13)</f>
        <v>6.2028999999999996</v>
      </c>
      <c r="J62" s="64">
        <f>3.4596 * CHOOSE(CONTROL!$C$22, $C$13, 100%, $E$13)</f>
        <v>3.4596</v>
      </c>
      <c r="K62" s="64">
        <f>3.4598 * CHOOSE(CONTROL!$C$22, $C$13, 100%, $E$13)</f>
        <v>3.4598</v>
      </c>
      <c r="L62" s="4"/>
      <c r="M62" s="4"/>
      <c r="N62" s="4"/>
    </row>
    <row r="63" spans="1:14" ht="15">
      <c r="A63" s="13">
        <v>43556</v>
      </c>
      <c r="B63" s="63">
        <f>2.9152 * CHOOSE(CONTROL!$C$22, $C$13, 100%, $E$13)</f>
        <v>2.9152</v>
      </c>
      <c r="C63" s="63">
        <f>2.9152 * CHOOSE(CONTROL!$C$22, $C$13, 100%, $E$13)</f>
        <v>2.9152</v>
      </c>
      <c r="D63" s="63">
        <f>2.9274 * CHOOSE(CONTROL!$C$22, $C$13, 100%, $E$13)</f>
        <v>2.9274</v>
      </c>
      <c r="E63" s="64">
        <f>3.4796 * CHOOSE(CONTROL!$C$22, $C$13, 100%, $E$13)</f>
        <v>3.4796</v>
      </c>
      <c r="F63" s="64">
        <f>3.4796 * CHOOSE(CONTROL!$C$22, $C$13, 100%, $E$13)</f>
        <v>3.4796</v>
      </c>
      <c r="G63" s="64">
        <f>3.4798 * CHOOSE(CONTROL!$C$22, $C$13, 100%, $E$13)</f>
        <v>3.4798</v>
      </c>
      <c r="H63" s="64">
        <f>6.2156* CHOOSE(CONTROL!$C$22, $C$13, 100%, $E$13)</f>
        <v>6.2156000000000002</v>
      </c>
      <c r="I63" s="64">
        <f>6.2158 * CHOOSE(CONTROL!$C$22, $C$13, 100%, $E$13)</f>
        <v>6.2157999999999998</v>
      </c>
      <c r="J63" s="64">
        <f>3.4796 * CHOOSE(CONTROL!$C$22, $C$13, 100%, $E$13)</f>
        <v>3.4796</v>
      </c>
      <c r="K63" s="64">
        <f>3.4798 * CHOOSE(CONTROL!$C$22, $C$13, 100%, $E$13)</f>
        <v>3.4798</v>
      </c>
      <c r="L63" s="4"/>
      <c r="M63" s="4"/>
      <c r="N63" s="4"/>
    </row>
    <row r="64" spans="1:14" ht="15">
      <c r="A64" s="13">
        <v>43586</v>
      </c>
      <c r="B64" s="63">
        <f>2.9152 * CHOOSE(CONTROL!$C$22, $C$13, 100%, $E$13)</f>
        <v>2.9152</v>
      </c>
      <c r="C64" s="63">
        <f>2.9152 * CHOOSE(CONTROL!$C$22, $C$13, 100%, $E$13)</f>
        <v>2.9152</v>
      </c>
      <c r="D64" s="63">
        <f>2.9396 * CHOOSE(CONTROL!$C$22, $C$13, 100%, $E$13)</f>
        <v>2.9396</v>
      </c>
      <c r="E64" s="64">
        <f>3.4887 * CHOOSE(CONTROL!$C$22, $C$13, 100%, $E$13)</f>
        <v>3.4887000000000001</v>
      </c>
      <c r="F64" s="64">
        <f>3.4887 * CHOOSE(CONTROL!$C$22, $C$13, 100%, $E$13)</f>
        <v>3.4887000000000001</v>
      </c>
      <c r="G64" s="64">
        <f>3.4903 * CHOOSE(CONTROL!$C$22, $C$13, 100%, $E$13)</f>
        <v>3.4903</v>
      </c>
      <c r="H64" s="64">
        <f>6.2286* CHOOSE(CONTROL!$C$22, $C$13, 100%, $E$13)</f>
        <v>6.2286000000000001</v>
      </c>
      <c r="I64" s="64">
        <f>6.2301 * CHOOSE(CONTROL!$C$22, $C$13, 100%, $E$13)</f>
        <v>6.2301000000000002</v>
      </c>
      <c r="J64" s="64">
        <f>3.4887 * CHOOSE(CONTROL!$C$22, $C$13, 100%, $E$13)</f>
        <v>3.4887000000000001</v>
      </c>
      <c r="K64" s="64">
        <f>3.4903 * CHOOSE(CONTROL!$C$22, $C$13, 100%, $E$13)</f>
        <v>3.4903</v>
      </c>
      <c r="L64" s="4"/>
      <c r="M64" s="4"/>
      <c r="N64" s="4"/>
    </row>
    <row r="65" spans="1:14" ht="15">
      <c r="A65" s="13">
        <v>43617</v>
      </c>
      <c r="B65" s="63">
        <f>2.9213 * CHOOSE(CONTROL!$C$22, $C$13, 100%, $E$13)</f>
        <v>2.9213</v>
      </c>
      <c r="C65" s="63">
        <f>2.9213 * CHOOSE(CONTROL!$C$22, $C$13, 100%, $E$13)</f>
        <v>2.9213</v>
      </c>
      <c r="D65" s="63">
        <f>2.9457 * CHOOSE(CONTROL!$C$22, $C$13, 100%, $E$13)</f>
        <v>2.9457</v>
      </c>
      <c r="E65" s="64">
        <f>3.4839 * CHOOSE(CONTROL!$C$22, $C$13, 100%, $E$13)</f>
        <v>3.4839000000000002</v>
      </c>
      <c r="F65" s="64">
        <f>3.4839 * CHOOSE(CONTROL!$C$22, $C$13, 100%, $E$13)</f>
        <v>3.4839000000000002</v>
      </c>
      <c r="G65" s="64">
        <f>3.4854 * CHOOSE(CONTROL!$C$22, $C$13, 100%, $E$13)</f>
        <v>3.4853999999999998</v>
      </c>
      <c r="H65" s="64">
        <f>6.2415* CHOOSE(CONTROL!$C$22, $C$13, 100%, $E$13)</f>
        <v>6.2415000000000003</v>
      </c>
      <c r="I65" s="64">
        <f>6.2431 * CHOOSE(CONTROL!$C$22, $C$13, 100%, $E$13)</f>
        <v>6.2431000000000001</v>
      </c>
      <c r="J65" s="64">
        <f>3.4839 * CHOOSE(CONTROL!$C$22, $C$13, 100%, $E$13)</f>
        <v>3.4839000000000002</v>
      </c>
      <c r="K65" s="64">
        <f>3.4854 * CHOOSE(CONTROL!$C$22, $C$13, 100%, $E$13)</f>
        <v>3.4853999999999998</v>
      </c>
      <c r="L65" s="4"/>
      <c r="M65" s="4"/>
      <c r="N65" s="4"/>
    </row>
    <row r="66" spans="1:14" ht="15">
      <c r="A66" s="13">
        <v>43647</v>
      </c>
      <c r="B66" s="63">
        <f>2.9781 * CHOOSE(CONTROL!$C$22, $C$13, 100%, $E$13)</f>
        <v>2.9781</v>
      </c>
      <c r="C66" s="63">
        <f>2.9781 * CHOOSE(CONTROL!$C$22, $C$13, 100%, $E$13)</f>
        <v>2.9781</v>
      </c>
      <c r="D66" s="63">
        <f>3.0026 * CHOOSE(CONTROL!$C$22, $C$13, 100%, $E$13)</f>
        <v>3.0026000000000002</v>
      </c>
      <c r="E66" s="64">
        <f>3.4566 * CHOOSE(CONTROL!$C$22, $C$13, 100%, $E$13)</f>
        <v>3.4565999999999999</v>
      </c>
      <c r="F66" s="64">
        <f>3.4566 * CHOOSE(CONTROL!$C$22, $C$13, 100%, $E$13)</f>
        <v>3.4565999999999999</v>
      </c>
      <c r="G66" s="64">
        <f>3.4582 * CHOOSE(CONTROL!$C$22, $C$13, 100%, $E$13)</f>
        <v>3.4582000000000002</v>
      </c>
      <c r="H66" s="64">
        <f>6.2545* CHOOSE(CONTROL!$C$22, $C$13, 100%, $E$13)</f>
        <v>6.2545000000000002</v>
      </c>
      <c r="I66" s="64">
        <f>6.2561 * CHOOSE(CONTROL!$C$22, $C$13, 100%, $E$13)</f>
        <v>6.2561</v>
      </c>
      <c r="J66" s="64">
        <f>3.4566 * CHOOSE(CONTROL!$C$22, $C$13, 100%, $E$13)</f>
        <v>3.4565999999999999</v>
      </c>
      <c r="K66" s="64">
        <f>3.4582 * CHOOSE(CONTROL!$C$22, $C$13, 100%, $E$13)</f>
        <v>3.4582000000000002</v>
      </c>
      <c r="L66" s="4"/>
      <c r="M66" s="4"/>
      <c r="N66" s="4"/>
    </row>
    <row r="67" spans="1:14" ht="15">
      <c r="A67" s="13">
        <v>43678</v>
      </c>
      <c r="B67" s="63">
        <f>2.9848 * CHOOSE(CONTROL!$C$22, $C$13, 100%, $E$13)</f>
        <v>2.9847999999999999</v>
      </c>
      <c r="C67" s="63">
        <f>2.9848 * CHOOSE(CONTROL!$C$22, $C$13, 100%, $E$13)</f>
        <v>2.9847999999999999</v>
      </c>
      <c r="D67" s="63">
        <f>3.0092 * CHOOSE(CONTROL!$C$22, $C$13, 100%, $E$13)</f>
        <v>3.0091999999999999</v>
      </c>
      <c r="E67" s="64">
        <f>3.434 * CHOOSE(CONTROL!$C$22, $C$13, 100%, $E$13)</f>
        <v>3.4340000000000002</v>
      </c>
      <c r="F67" s="64">
        <f>3.434 * CHOOSE(CONTROL!$C$22, $C$13, 100%, $E$13)</f>
        <v>3.4340000000000002</v>
      </c>
      <c r="G67" s="64">
        <f>3.4356 * CHOOSE(CONTROL!$C$22, $C$13, 100%, $E$13)</f>
        <v>3.4356</v>
      </c>
      <c r="H67" s="64">
        <f>6.2676* CHOOSE(CONTROL!$C$22, $C$13, 100%, $E$13)</f>
        <v>6.2675999999999998</v>
      </c>
      <c r="I67" s="64">
        <f>6.2691 * CHOOSE(CONTROL!$C$22, $C$13, 100%, $E$13)</f>
        <v>6.2690999999999999</v>
      </c>
      <c r="J67" s="64">
        <f>3.434 * CHOOSE(CONTROL!$C$22, $C$13, 100%, $E$13)</f>
        <v>3.4340000000000002</v>
      </c>
      <c r="K67" s="64">
        <f>3.4356 * CHOOSE(CONTROL!$C$22, $C$13, 100%, $E$13)</f>
        <v>3.4356</v>
      </c>
      <c r="L67" s="4"/>
      <c r="M67" s="4"/>
      <c r="N67" s="4"/>
    </row>
    <row r="68" spans="1:14" ht="15">
      <c r="A68" s="13">
        <v>43709</v>
      </c>
      <c r="B68" s="63">
        <f>2.9818 * CHOOSE(CONTROL!$C$22, $C$13, 100%, $E$13)</f>
        <v>2.9817999999999998</v>
      </c>
      <c r="C68" s="63">
        <f>2.9818 * CHOOSE(CONTROL!$C$22, $C$13, 100%, $E$13)</f>
        <v>2.9817999999999998</v>
      </c>
      <c r="D68" s="63">
        <f>3.0062 * CHOOSE(CONTROL!$C$22, $C$13, 100%, $E$13)</f>
        <v>3.0062000000000002</v>
      </c>
      <c r="E68" s="64">
        <f>3.4288 * CHOOSE(CONTROL!$C$22, $C$13, 100%, $E$13)</f>
        <v>3.4287999999999998</v>
      </c>
      <c r="F68" s="64">
        <f>3.4288 * CHOOSE(CONTROL!$C$22, $C$13, 100%, $E$13)</f>
        <v>3.4287999999999998</v>
      </c>
      <c r="G68" s="64">
        <f>3.4304 * CHOOSE(CONTROL!$C$22, $C$13, 100%, $E$13)</f>
        <v>3.4304000000000001</v>
      </c>
      <c r="H68" s="64">
        <f>6.2806* CHOOSE(CONTROL!$C$22, $C$13, 100%, $E$13)</f>
        <v>6.2805999999999997</v>
      </c>
      <c r="I68" s="64">
        <f>6.2822 * CHOOSE(CONTROL!$C$22, $C$13, 100%, $E$13)</f>
        <v>6.2821999999999996</v>
      </c>
      <c r="J68" s="64">
        <f>3.4288 * CHOOSE(CONTROL!$C$22, $C$13, 100%, $E$13)</f>
        <v>3.4287999999999998</v>
      </c>
      <c r="K68" s="64">
        <f>3.4304 * CHOOSE(CONTROL!$C$22, $C$13, 100%, $E$13)</f>
        <v>3.4304000000000001</v>
      </c>
      <c r="L68" s="4"/>
      <c r="M68" s="4"/>
      <c r="N68" s="4"/>
    </row>
    <row r="69" spans="1:14" ht="15">
      <c r="A69" s="13">
        <v>43739</v>
      </c>
      <c r="B69" s="63">
        <f>2.9731 * CHOOSE(CONTROL!$C$22, $C$13, 100%, $E$13)</f>
        <v>2.9731000000000001</v>
      </c>
      <c r="C69" s="63">
        <f>2.9731 * CHOOSE(CONTROL!$C$22, $C$13, 100%, $E$13)</f>
        <v>2.9731000000000001</v>
      </c>
      <c r="D69" s="63">
        <f>2.9854 * CHOOSE(CONTROL!$C$22, $C$13, 100%, $E$13)</f>
        <v>2.9853999999999998</v>
      </c>
      <c r="E69" s="64">
        <f>3.4275 * CHOOSE(CONTROL!$C$22, $C$13, 100%, $E$13)</f>
        <v>3.4275000000000002</v>
      </c>
      <c r="F69" s="64">
        <f>3.4275 * CHOOSE(CONTROL!$C$22, $C$13, 100%, $E$13)</f>
        <v>3.4275000000000002</v>
      </c>
      <c r="G69" s="64">
        <f>3.4277 * CHOOSE(CONTROL!$C$22, $C$13, 100%, $E$13)</f>
        <v>3.4277000000000002</v>
      </c>
      <c r="H69" s="64">
        <f>6.2937* CHOOSE(CONTROL!$C$22, $C$13, 100%, $E$13)</f>
        <v>6.2937000000000003</v>
      </c>
      <c r="I69" s="64">
        <f>6.2939 * CHOOSE(CONTROL!$C$22, $C$13, 100%, $E$13)</f>
        <v>6.2938999999999998</v>
      </c>
      <c r="J69" s="64">
        <f>3.4275 * CHOOSE(CONTROL!$C$22, $C$13, 100%, $E$13)</f>
        <v>3.4275000000000002</v>
      </c>
      <c r="K69" s="64">
        <f>3.4277 * CHOOSE(CONTROL!$C$22, $C$13, 100%, $E$13)</f>
        <v>3.4277000000000002</v>
      </c>
      <c r="L69" s="4"/>
      <c r="M69" s="4"/>
      <c r="N69" s="4"/>
    </row>
    <row r="70" spans="1:14" ht="15">
      <c r="A70" s="13">
        <v>43770</v>
      </c>
      <c r="B70" s="63">
        <f>2.9762 * CHOOSE(CONTROL!$C$22, $C$13, 100%, $E$13)</f>
        <v>2.9762</v>
      </c>
      <c r="C70" s="63">
        <f>2.9762 * CHOOSE(CONTROL!$C$22, $C$13, 100%, $E$13)</f>
        <v>2.9762</v>
      </c>
      <c r="D70" s="63">
        <f>2.9884 * CHOOSE(CONTROL!$C$22, $C$13, 100%, $E$13)</f>
        <v>2.9883999999999999</v>
      </c>
      <c r="E70" s="64">
        <f>3.4357 * CHOOSE(CONTROL!$C$22, $C$13, 100%, $E$13)</f>
        <v>3.4357000000000002</v>
      </c>
      <c r="F70" s="64">
        <f>3.4357 * CHOOSE(CONTROL!$C$22, $C$13, 100%, $E$13)</f>
        <v>3.4357000000000002</v>
      </c>
      <c r="G70" s="64">
        <f>3.4359 * CHOOSE(CONTROL!$C$22, $C$13, 100%, $E$13)</f>
        <v>3.4359000000000002</v>
      </c>
      <c r="H70" s="64">
        <f>6.3068* CHOOSE(CONTROL!$C$22, $C$13, 100%, $E$13)</f>
        <v>6.3068</v>
      </c>
      <c r="I70" s="64">
        <f>6.307 * CHOOSE(CONTROL!$C$22, $C$13, 100%, $E$13)</f>
        <v>6.3070000000000004</v>
      </c>
      <c r="J70" s="64">
        <f>3.4357 * CHOOSE(CONTROL!$C$22, $C$13, 100%, $E$13)</f>
        <v>3.4357000000000002</v>
      </c>
      <c r="K70" s="64">
        <f>3.4359 * CHOOSE(CONTROL!$C$22, $C$13, 100%, $E$13)</f>
        <v>3.4359000000000002</v>
      </c>
      <c r="L70" s="4"/>
      <c r="M70" s="4"/>
      <c r="N70" s="4"/>
    </row>
    <row r="71" spans="1:14" ht="15">
      <c r="A71" s="13">
        <v>43800</v>
      </c>
      <c r="B71" s="63">
        <f>2.9762 * CHOOSE(CONTROL!$C$22, $C$13, 100%, $E$13)</f>
        <v>2.9762</v>
      </c>
      <c r="C71" s="63">
        <f>2.9762 * CHOOSE(CONTROL!$C$22, $C$13, 100%, $E$13)</f>
        <v>2.9762</v>
      </c>
      <c r="D71" s="63">
        <f>2.9884 * CHOOSE(CONTROL!$C$22, $C$13, 100%, $E$13)</f>
        <v>2.9883999999999999</v>
      </c>
      <c r="E71" s="64">
        <f>3.4206 * CHOOSE(CONTROL!$C$22, $C$13, 100%, $E$13)</f>
        <v>3.4205999999999999</v>
      </c>
      <c r="F71" s="64">
        <f>3.4206 * CHOOSE(CONTROL!$C$22, $C$13, 100%, $E$13)</f>
        <v>3.4205999999999999</v>
      </c>
      <c r="G71" s="64">
        <f>3.4207 * CHOOSE(CONTROL!$C$22, $C$13, 100%, $E$13)</f>
        <v>3.4207000000000001</v>
      </c>
      <c r="H71" s="64">
        <f>6.32* CHOOSE(CONTROL!$C$22, $C$13, 100%, $E$13)</f>
        <v>6.32</v>
      </c>
      <c r="I71" s="64">
        <f>6.3201 * CHOOSE(CONTROL!$C$22, $C$13, 100%, $E$13)</f>
        <v>6.3201000000000001</v>
      </c>
      <c r="J71" s="64">
        <f>3.4206 * CHOOSE(CONTROL!$C$22, $C$13, 100%, $E$13)</f>
        <v>3.4205999999999999</v>
      </c>
      <c r="K71" s="64">
        <f>3.4207 * CHOOSE(CONTROL!$C$22, $C$13, 100%, $E$13)</f>
        <v>3.4207000000000001</v>
      </c>
      <c r="L71" s="4"/>
      <c r="M71" s="4"/>
      <c r="N71" s="4"/>
    </row>
    <row r="72" spans="1:14" ht="15">
      <c r="A72" s="13">
        <v>43831</v>
      </c>
      <c r="B72" s="63">
        <f>3.0034 * CHOOSE(CONTROL!$C$22, $C$13, 100%, $E$13)</f>
        <v>3.0034000000000001</v>
      </c>
      <c r="C72" s="63">
        <f>3.0034 * CHOOSE(CONTROL!$C$22, $C$13, 100%, $E$13)</f>
        <v>3.0034000000000001</v>
      </c>
      <c r="D72" s="63">
        <f>3.0156 * CHOOSE(CONTROL!$C$22, $C$13, 100%, $E$13)</f>
        <v>3.0156000000000001</v>
      </c>
      <c r="E72" s="64">
        <f>3.5343 * CHOOSE(CONTROL!$C$22, $C$13, 100%, $E$13)</f>
        <v>3.5343</v>
      </c>
      <c r="F72" s="64">
        <f>3.5343 * CHOOSE(CONTROL!$C$22, $C$13, 100%, $E$13)</f>
        <v>3.5343</v>
      </c>
      <c r="G72" s="64">
        <f>3.5345 * CHOOSE(CONTROL!$C$22, $C$13, 100%, $E$13)</f>
        <v>3.5345</v>
      </c>
      <c r="H72" s="64">
        <f>6.3331* CHOOSE(CONTROL!$C$22, $C$13, 100%, $E$13)</f>
        <v>6.3331</v>
      </c>
      <c r="I72" s="64">
        <f>6.3333 * CHOOSE(CONTROL!$C$22, $C$13, 100%, $E$13)</f>
        <v>6.3333000000000004</v>
      </c>
      <c r="J72" s="64">
        <f>3.5343 * CHOOSE(CONTROL!$C$22, $C$13, 100%, $E$13)</f>
        <v>3.5343</v>
      </c>
      <c r="K72" s="64">
        <f>3.5345 * CHOOSE(CONTROL!$C$22, $C$13, 100%, $E$13)</f>
        <v>3.5345</v>
      </c>
      <c r="L72" s="4"/>
      <c r="M72" s="4"/>
      <c r="N72" s="4"/>
    </row>
    <row r="73" spans="1:14" ht="15">
      <c r="A73" s="13">
        <v>43862</v>
      </c>
      <c r="B73" s="63">
        <f>3.0003 * CHOOSE(CONTROL!$C$22, $C$13, 100%, $E$13)</f>
        <v>3.0003000000000002</v>
      </c>
      <c r="C73" s="63">
        <f>3.0003 * CHOOSE(CONTROL!$C$22, $C$13, 100%, $E$13)</f>
        <v>3.0003000000000002</v>
      </c>
      <c r="D73" s="63">
        <f>3.0125 * CHOOSE(CONTROL!$C$22, $C$13, 100%, $E$13)</f>
        <v>3.0125000000000002</v>
      </c>
      <c r="E73" s="64">
        <f>3.4967 * CHOOSE(CONTROL!$C$22, $C$13, 100%, $E$13)</f>
        <v>3.4967000000000001</v>
      </c>
      <c r="F73" s="64">
        <f>3.4967 * CHOOSE(CONTROL!$C$22, $C$13, 100%, $E$13)</f>
        <v>3.4967000000000001</v>
      </c>
      <c r="G73" s="64">
        <f>3.4969 * CHOOSE(CONTROL!$C$22, $C$13, 100%, $E$13)</f>
        <v>3.4969000000000001</v>
      </c>
      <c r="H73" s="64">
        <f>6.3463* CHOOSE(CONTROL!$C$22, $C$13, 100%, $E$13)</f>
        <v>6.3463000000000003</v>
      </c>
      <c r="I73" s="64">
        <f>6.3465 * CHOOSE(CONTROL!$C$22, $C$13, 100%, $E$13)</f>
        <v>6.3464999999999998</v>
      </c>
      <c r="J73" s="64">
        <f>3.4967 * CHOOSE(CONTROL!$C$22, $C$13, 100%, $E$13)</f>
        <v>3.4967000000000001</v>
      </c>
      <c r="K73" s="64">
        <f>3.4969 * CHOOSE(CONTROL!$C$22, $C$13, 100%, $E$13)</f>
        <v>3.4969000000000001</v>
      </c>
      <c r="L73" s="4"/>
      <c r="M73" s="4"/>
      <c r="N73" s="4"/>
    </row>
    <row r="74" spans="1:14" ht="15">
      <c r="A74" s="13">
        <v>43891</v>
      </c>
      <c r="B74" s="63">
        <f>2.9973 * CHOOSE(CONTROL!$C$22, $C$13, 100%, $E$13)</f>
        <v>2.9973000000000001</v>
      </c>
      <c r="C74" s="63">
        <f>2.9973 * CHOOSE(CONTROL!$C$22, $C$13, 100%, $E$13)</f>
        <v>2.9973000000000001</v>
      </c>
      <c r="D74" s="63">
        <f>3.0095 * CHOOSE(CONTROL!$C$22, $C$13, 100%, $E$13)</f>
        <v>3.0095000000000001</v>
      </c>
      <c r="E74" s="64">
        <f>3.5226 * CHOOSE(CONTROL!$C$22, $C$13, 100%, $E$13)</f>
        <v>3.5226000000000002</v>
      </c>
      <c r="F74" s="64">
        <f>3.5226 * CHOOSE(CONTROL!$C$22, $C$13, 100%, $E$13)</f>
        <v>3.5226000000000002</v>
      </c>
      <c r="G74" s="64">
        <f>3.5228 * CHOOSE(CONTROL!$C$22, $C$13, 100%, $E$13)</f>
        <v>3.5228000000000002</v>
      </c>
      <c r="H74" s="64">
        <f>6.3595* CHOOSE(CONTROL!$C$22, $C$13, 100%, $E$13)</f>
        <v>6.3594999999999997</v>
      </c>
      <c r="I74" s="64">
        <f>6.3597 * CHOOSE(CONTROL!$C$22, $C$13, 100%, $E$13)</f>
        <v>6.3597000000000001</v>
      </c>
      <c r="J74" s="64">
        <f>3.5226 * CHOOSE(CONTROL!$C$22, $C$13, 100%, $E$13)</f>
        <v>3.5226000000000002</v>
      </c>
      <c r="K74" s="64">
        <f>3.5228 * CHOOSE(CONTROL!$C$22, $C$13, 100%, $E$13)</f>
        <v>3.5228000000000002</v>
      </c>
      <c r="L74" s="4"/>
      <c r="M74" s="4"/>
      <c r="N74" s="4"/>
    </row>
    <row r="75" spans="1:14" ht="15">
      <c r="A75" s="13">
        <v>43922</v>
      </c>
      <c r="B75" s="63">
        <f>2.994 * CHOOSE(CONTROL!$C$22, $C$13, 100%, $E$13)</f>
        <v>2.9940000000000002</v>
      </c>
      <c r="C75" s="63">
        <f>2.994 * CHOOSE(CONTROL!$C$22, $C$13, 100%, $E$13)</f>
        <v>2.9940000000000002</v>
      </c>
      <c r="D75" s="63">
        <f>3.0062 * CHOOSE(CONTROL!$C$22, $C$13, 100%, $E$13)</f>
        <v>3.0062000000000002</v>
      </c>
      <c r="E75" s="64">
        <f>3.5484 * CHOOSE(CONTROL!$C$22, $C$13, 100%, $E$13)</f>
        <v>3.5484</v>
      </c>
      <c r="F75" s="64">
        <f>3.5484 * CHOOSE(CONTROL!$C$22, $C$13, 100%, $E$13)</f>
        <v>3.5484</v>
      </c>
      <c r="G75" s="64">
        <f>3.5486 * CHOOSE(CONTROL!$C$22, $C$13, 100%, $E$13)</f>
        <v>3.5486</v>
      </c>
      <c r="H75" s="64">
        <f>6.3728* CHOOSE(CONTROL!$C$22, $C$13, 100%, $E$13)</f>
        <v>6.3727999999999998</v>
      </c>
      <c r="I75" s="64">
        <f>6.373 * CHOOSE(CONTROL!$C$22, $C$13, 100%, $E$13)</f>
        <v>6.3730000000000002</v>
      </c>
      <c r="J75" s="64">
        <f>3.5484 * CHOOSE(CONTROL!$C$22, $C$13, 100%, $E$13)</f>
        <v>3.5484</v>
      </c>
      <c r="K75" s="64">
        <f>3.5486 * CHOOSE(CONTROL!$C$22, $C$13, 100%, $E$13)</f>
        <v>3.5486</v>
      </c>
      <c r="L75" s="4"/>
      <c r="M75" s="4"/>
      <c r="N75" s="4"/>
    </row>
    <row r="76" spans="1:14" ht="15">
      <c r="A76" s="13">
        <v>43952</v>
      </c>
      <c r="B76" s="63">
        <f>2.994 * CHOOSE(CONTROL!$C$22, $C$13, 100%, $E$13)</f>
        <v>2.9940000000000002</v>
      </c>
      <c r="C76" s="63">
        <f>2.994 * CHOOSE(CONTROL!$C$22, $C$13, 100%, $E$13)</f>
        <v>2.9940000000000002</v>
      </c>
      <c r="D76" s="63">
        <f>3.0184 * CHOOSE(CONTROL!$C$22, $C$13, 100%, $E$13)</f>
        <v>3.0184000000000002</v>
      </c>
      <c r="E76" s="64">
        <f>3.5597 * CHOOSE(CONTROL!$C$22, $C$13, 100%, $E$13)</f>
        <v>3.5596999999999999</v>
      </c>
      <c r="F76" s="64">
        <f>3.5597 * CHOOSE(CONTROL!$C$22, $C$13, 100%, $E$13)</f>
        <v>3.5596999999999999</v>
      </c>
      <c r="G76" s="64">
        <f>3.5612 * CHOOSE(CONTROL!$C$22, $C$13, 100%, $E$13)</f>
        <v>3.5611999999999999</v>
      </c>
      <c r="H76" s="64">
        <f>6.3861* CHOOSE(CONTROL!$C$22, $C$13, 100%, $E$13)</f>
        <v>6.3860999999999999</v>
      </c>
      <c r="I76" s="64">
        <f>6.3876 * CHOOSE(CONTROL!$C$22, $C$13, 100%, $E$13)</f>
        <v>6.3875999999999999</v>
      </c>
      <c r="J76" s="64">
        <f>3.5597 * CHOOSE(CONTROL!$C$22, $C$13, 100%, $E$13)</f>
        <v>3.5596999999999999</v>
      </c>
      <c r="K76" s="64">
        <f>3.5612 * CHOOSE(CONTROL!$C$22, $C$13, 100%, $E$13)</f>
        <v>3.5611999999999999</v>
      </c>
      <c r="L76" s="4"/>
      <c r="M76" s="4"/>
      <c r="N76" s="4"/>
    </row>
    <row r="77" spans="1:14" ht="15">
      <c r="A77" s="13">
        <v>43983</v>
      </c>
      <c r="B77" s="63">
        <f>3.0001 * CHOOSE(CONTROL!$C$22, $C$13, 100%, $E$13)</f>
        <v>3.0001000000000002</v>
      </c>
      <c r="C77" s="63">
        <f>3.0001 * CHOOSE(CONTROL!$C$22, $C$13, 100%, $E$13)</f>
        <v>3.0001000000000002</v>
      </c>
      <c r="D77" s="63">
        <f>3.0245 * CHOOSE(CONTROL!$C$22, $C$13, 100%, $E$13)</f>
        <v>3.0245000000000002</v>
      </c>
      <c r="E77" s="64">
        <f>3.5526 * CHOOSE(CONTROL!$C$22, $C$13, 100%, $E$13)</f>
        <v>3.5526</v>
      </c>
      <c r="F77" s="64">
        <f>3.5526 * CHOOSE(CONTROL!$C$22, $C$13, 100%, $E$13)</f>
        <v>3.5526</v>
      </c>
      <c r="G77" s="64">
        <f>3.5542 * CHOOSE(CONTROL!$C$22, $C$13, 100%, $E$13)</f>
        <v>3.5541999999999998</v>
      </c>
      <c r="H77" s="64">
        <f>6.3994* CHOOSE(CONTROL!$C$22, $C$13, 100%, $E$13)</f>
        <v>6.3994</v>
      </c>
      <c r="I77" s="64">
        <f>6.4009 * CHOOSE(CONTROL!$C$22, $C$13, 100%, $E$13)</f>
        <v>6.4009</v>
      </c>
      <c r="J77" s="64">
        <f>3.5526 * CHOOSE(CONTROL!$C$22, $C$13, 100%, $E$13)</f>
        <v>3.5526</v>
      </c>
      <c r="K77" s="64">
        <f>3.5542 * CHOOSE(CONTROL!$C$22, $C$13, 100%, $E$13)</f>
        <v>3.5541999999999998</v>
      </c>
      <c r="L77" s="4"/>
      <c r="M77" s="4"/>
      <c r="N77" s="4"/>
    </row>
    <row r="78" spans="1:14" ht="15">
      <c r="A78" s="13">
        <v>44013</v>
      </c>
      <c r="B78" s="63">
        <f>3.0509 * CHOOSE(CONTROL!$C$22, $C$13, 100%, $E$13)</f>
        <v>3.0508999999999999</v>
      </c>
      <c r="C78" s="63">
        <f>3.0509 * CHOOSE(CONTROL!$C$22, $C$13, 100%, $E$13)</f>
        <v>3.0508999999999999</v>
      </c>
      <c r="D78" s="63">
        <f>3.0753 * CHOOSE(CONTROL!$C$22, $C$13, 100%, $E$13)</f>
        <v>3.0752999999999999</v>
      </c>
      <c r="E78" s="64">
        <f>3.6456 * CHOOSE(CONTROL!$C$22, $C$13, 100%, $E$13)</f>
        <v>3.6456</v>
      </c>
      <c r="F78" s="64">
        <f>3.6456 * CHOOSE(CONTROL!$C$22, $C$13, 100%, $E$13)</f>
        <v>3.6456</v>
      </c>
      <c r="G78" s="64">
        <f>3.6472 * CHOOSE(CONTROL!$C$22, $C$13, 100%, $E$13)</f>
        <v>3.6472000000000002</v>
      </c>
      <c r="H78" s="64">
        <f>6.4127* CHOOSE(CONTROL!$C$22, $C$13, 100%, $E$13)</f>
        <v>6.4127000000000001</v>
      </c>
      <c r="I78" s="64">
        <f>6.4143 * CHOOSE(CONTROL!$C$22, $C$13, 100%, $E$13)</f>
        <v>6.4142999999999999</v>
      </c>
      <c r="J78" s="64">
        <f>3.6456 * CHOOSE(CONTROL!$C$22, $C$13, 100%, $E$13)</f>
        <v>3.6456</v>
      </c>
      <c r="K78" s="64">
        <f>3.6472 * CHOOSE(CONTROL!$C$22, $C$13, 100%, $E$13)</f>
        <v>3.6472000000000002</v>
      </c>
      <c r="L78" s="4"/>
      <c r="M78" s="4"/>
      <c r="N78" s="4"/>
    </row>
    <row r="79" spans="1:14" ht="15">
      <c r="A79" s="13">
        <v>44044</v>
      </c>
      <c r="B79" s="63">
        <f>3.0576 * CHOOSE(CONTROL!$C$22, $C$13, 100%, $E$13)</f>
        <v>3.0575999999999999</v>
      </c>
      <c r="C79" s="63">
        <f>3.0576 * CHOOSE(CONTROL!$C$22, $C$13, 100%, $E$13)</f>
        <v>3.0575999999999999</v>
      </c>
      <c r="D79" s="63">
        <f>3.082 * CHOOSE(CONTROL!$C$22, $C$13, 100%, $E$13)</f>
        <v>3.0819999999999999</v>
      </c>
      <c r="E79" s="64">
        <f>3.6165 * CHOOSE(CONTROL!$C$22, $C$13, 100%, $E$13)</f>
        <v>3.6164999999999998</v>
      </c>
      <c r="F79" s="64">
        <f>3.6165 * CHOOSE(CONTROL!$C$22, $C$13, 100%, $E$13)</f>
        <v>3.6164999999999998</v>
      </c>
      <c r="G79" s="64">
        <f>3.6181 * CHOOSE(CONTROL!$C$22, $C$13, 100%, $E$13)</f>
        <v>3.6181000000000001</v>
      </c>
      <c r="H79" s="64">
        <f>6.4261* CHOOSE(CONTROL!$C$22, $C$13, 100%, $E$13)</f>
        <v>6.4260999999999999</v>
      </c>
      <c r="I79" s="64">
        <f>6.4276 * CHOOSE(CONTROL!$C$22, $C$13, 100%, $E$13)</f>
        <v>6.4276</v>
      </c>
      <c r="J79" s="64">
        <f>3.6165 * CHOOSE(CONTROL!$C$22, $C$13, 100%, $E$13)</f>
        <v>3.6164999999999998</v>
      </c>
      <c r="K79" s="64">
        <f>3.6181 * CHOOSE(CONTROL!$C$22, $C$13, 100%, $E$13)</f>
        <v>3.6181000000000001</v>
      </c>
      <c r="L79" s="4"/>
      <c r="M79" s="4"/>
      <c r="N79" s="4"/>
    </row>
    <row r="80" spans="1:14" ht="15">
      <c r="A80" s="13">
        <v>44075</v>
      </c>
      <c r="B80" s="63">
        <f>3.0545 * CHOOSE(CONTROL!$C$22, $C$13, 100%, $E$13)</f>
        <v>3.0545</v>
      </c>
      <c r="C80" s="63">
        <f>3.0545 * CHOOSE(CONTROL!$C$22, $C$13, 100%, $E$13)</f>
        <v>3.0545</v>
      </c>
      <c r="D80" s="63">
        <f>3.079 * CHOOSE(CONTROL!$C$22, $C$13, 100%, $E$13)</f>
        <v>3.0790000000000002</v>
      </c>
      <c r="E80" s="64">
        <f>3.6106 * CHOOSE(CONTROL!$C$22, $C$13, 100%, $E$13)</f>
        <v>3.6105999999999998</v>
      </c>
      <c r="F80" s="64">
        <f>3.6106 * CHOOSE(CONTROL!$C$22, $C$13, 100%, $E$13)</f>
        <v>3.6105999999999998</v>
      </c>
      <c r="G80" s="64">
        <f>3.6122 * CHOOSE(CONTROL!$C$22, $C$13, 100%, $E$13)</f>
        <v>3.6122000000000001</v>
      </c>
      <c r="H80" s="64">
        <f>6.4394* CHOOSE(CONTROL!$C$22, $C$13, 100%, $E$13)</f>
        <v>6.4394</v>
      </c>
      <c r="I80" s="64">
        <f>6.441 * CHOOSE(CONTROL!$C$22, $C$13, 100%, $E$13)</f>
        <v>6.4409999999999998</v>
      </c>
      <c r="J80" s="64">
        <f>3.6106 * CHOOSE(CONTROL!$C$22, $C$13, 100%, $E$13)</f>
        <v>3.6105999999999998</v>
      </c>
      <c r="K80" s="64">
        <f>3.6122 * CHOOSE(CONTROL!$C$22, $C$13, 100%, $E$13)</f>
        <v>3.6122000000000001</v>
      </c>
      <c r="L80" s="4"/>
      <c r="M80" s="4"/>
      <c r="N80" s="4"/>
    </row>
    <row r="81" spans="1:14" ht="15">
      <c r="A81" s="13">
        <v>44105</v>
      </c>
      <c r="B81" s="63">
        <f>3.0462 * CHOOSE(CONTROL!$C$22, $C$13, 100%, $E$13)</f>
        <v>3.0461999999999998</v>
      </c>
      <c r="C81" s="63">
        <f>3.0462 * CHOOSE(CONTROL!$C$22, $C$13, 100%, $E$13)</f>
        <v>3.0461999999999998</v>
      </c>
      <c r="D81" s="63">
        <f>3.0584 * CHOOSE(CONTROL!$C$22, $C$13, 100%, $E$13)</f>
        <v>3.0583999999999998</v>
      </c>
      <c r="E81" s="64">
        <f>3.6122 * CHOOSE(CONTROL!$C$22, $C$13, 100%, $E$13)</f>
        <v>3.6122000000000001</v>
      </c>
      <c r="F81" s="64">
        <f>3.6122 * CHOOSE(CONTROL!$C$22, $C$13, 100%, $E$13)</f>
        <v>3.6122000000000001</v>
      </c>
      <c r="G81" s="64">
        <f>3.6124 * CHOOSE(CONTROL!$C$22, $C$13, 100%, $E$13)</f>
        <v>3.6124000000000001</v>
      </c>
      <c r="H81" s="64">
        <f>6.4529* CHOOSE(CONTROL!$C$22, $C$13, 100%, $E$13)</f>
        <v>6.4528999999999996</v>
      </c>
      <c r="I81" s="64">
        <f>6.453 * CHOOSE(CONTROL!$C$22, $C$13, 100%, $E$13)</f>
        <v>6.4530000000000003</v>
      </c>
      <c r="J81" s="64">
        <f>3.6122 * CHOOSE(CONTROL!$C$22, $C$13, 100%, $E$13)</f>
        <v>3.6122000000000001</v>
      </c>
      <c r="K81" s="64">
        <f>3.6124 * CHOOSE(CONTROL!$C$22, $C$13, 100%, $E$13)</f>
        <v>3.6124000000000001</v>
      </c>
      <c r="L81" s="4"/>
      <c r="M81" s="4"/>
      <c r="N81" s="4"/>
    </row>
    <row r="82" spans="1:14" ht="15">
      <c r="A82" s="13">
        <v>44136</v>
      </c>
      <c r="B82" s="63">
        <f>3.0493 * CHOOSE(CONTROL!$C$22, $C$13, 100%, $E$13)</f>
        <v>3.0493000000000001</v>
      </c>
      <c r="C82" s="63">
        <f>3.0493 * CHOOSE(CONTROL!$C$22, $C$13, 100%, $E$13)</f>
        <v>3.0493000000000001</v>
      </c>
      <c r="D82" s="63">
        <f>3.0615 * CHOOSE(CONTROL!$C$22, $C$13, 100%, $E$13)</f>
        <v>3.0615000000000001</v>
      </c>
      <c r="E82" s="64">
        <f>3.6219 * CHOOSE(CONTROL!$C$22, $C$13, 100%, $E$13)</f>
        <v>3.6219000000000001</v>
      </c>
      <c r="F82" s="64">
        <f>3.6219 * CHOOSE(CONTROL!$C$22, $C$13, 100%, $E$13)</f>
        <v>3.6219000000000001</v>
      </c>
      <c r="G82" s="64">
        <f>3.622 * CHOOSE(CONTROL!$C$22, $C$13, 100%, $E$13)</f>
        <v>3.6219999999999999</v>
      </c>
      <c r="H82" s="64">
        <f>6.4663* CHOOSE(CONTROL!$C$22, $C$13, 100%, $E$13)</f>
        <v>6.4663000000000004</v>
      </c>
      <c r="I82" s="64">
        <f>6.4665 * CHOOSE(CONTROL!$C$22, $C$13, 100%, $E$13)</f>
        <v>6.4664999999999999</v>
      </c>
      <c r="J82" s="64">
        <f>3.6219 * CHOOSE(CONTROL!$C$22, $C$13, 100%, $E$13)</f>
        <v>3.6219000000000001</v>
      </c>
      <c r="K82" s="64">
        <f>3.622 * CHOOSE(CONTROL!$C$22, $C$13, 100%, $E$13)</f>
        <v>3.6219999999999999</v>
      </c>
      <c r="L82" s="4"/>
      <c r="M82" s="4"/>
      <c r="N82" s="4"/>
    </row>
    <row r="83" spans="1:14" ht="15">
      <c r="A83" s="13">
        <v>44166</v>
      </c>
      <c r="B83" s="63">
        <f>3.0493 * CHOOSE(CONTROL!$C$22, $C$13, 100%, $E$13)</f>
        <v>3.0493000000000001</v>
      </c>
      <c r="C83" s="63">
        <f>3.0493 * CHOOSE(CONTROL!$C$22, $C$13, 100%, $E$13)</f>
        <v>3.0493000000000001</v>
      </c>
      <c r="D83" s="63">
        <f>3.0615 * CHOOSE(CONTROL!$C$22, $C$13, 100%, $E$13)</f>
        <v>3.0615000000000001</v>
      </c>
      <c r="E83" s="64">
        <f>3.6031 * CHOOSE(CONTROL!$C$22, $C$13, 100%, $E$13)</f>
        <v>3.6031</v>
      </c>
      <c r="F83" s="64">
        <f>3.6031 * CHOOSE(CONTROL!$C$22, $C$13, 100%, $E$13)</f>
        <v>3.6031</v>
      </c>
      <c r="G83" s="64">
        <f>3.6033 * CHOOSE(CONTROL!$C$22, $C$13, 100%, $E$13)</f>
        <v>3.6032999999999999</v>
      </c>
      <c r="H83" s="64">
        <f>6.4798* CHOOSE(CONTROL!$C$22, $C$13, 100%, $E$13)</f>
        <v>6.4798</v>
      </c>
      <c r="I83" s="64">
        <f>6.48 * CHOOSE(CONTROL!$C$22, $C$13, 100%, $E$13)</f>
        <v>6.48</v>
      </c>
      <c r="J83" s="64">
        <f>3.6031 * CHOOSE(CONTROL!$C$22, $C$13, 100%, $E$13)</f>
        <v>3.6031</v>
      </c>
      <c r="K83" s="64">
        <f>3.6033 * CHOOSE(CONTROL!$C$22, $C$13, 100%, $E$13)</f>
        <v>3.6032999999999999</v>
      </c>
      <c r="L83" s="4"/>
      <c r="M83" s="4"/>
      <c r="N83" s="4"/>
    </row>
    <row r="84" spans="1:14" ht="15">
      <c r="A84" s="13">
        <v>44197</v>
      </c>
      <c r="B84" s="63">
        <f>3.0805 * CHOOSE(CONTROL!$C$22, $C$13, 100%, $E$13)</f>
        <v>3.0804999999999998</v>
      </c>
      <c r="C84" s="63">
        <f>3.0805 * CHOOSE(CONTROL!$C$22, $C$13, 100%, $E$13)</f>
        <v>3.0804999999999998</v>
      </c>
      <c r="D84" s="63">
        <f>3.0927 * CHOOSE(CONTROL!$C$22, $C$13, 100%, $E$13)</f>
        <v>3.0926999999999998</v>
      </c>
      <c r="E84" s="64">
        <f>3.649 * CHOOSE(CONTROL!$C$22, $C$13, 100%, $E$13)</f>
        <v>3.649</v>
      </c>
      <c r="F84" s="64">
        <f>3.649 * CHOOSE(CONTROL!$C$22, $C$13, 100%, $E$13)</f>
        <v>3.649</v>
      </c>
      <c r="G84" s="64">
        <f>3.6492 * CHOOSE(CONTROL!$C$22, $C$13, 100%, $E$13)</f>
        <v>3.6492</v>
      </c>
      <c r="H84" s="64">
        <f>6.4933* CHOOSE(CONTROL!$C$22, $C$13, 100%, $E$13)</f>
        <v>6.4932999999999996</v>
      </c>
      <c r="I84" s="64">
        <f>6.4935 * CHOOSE(CONTROL!$C$22, $C$13, 100%, $E$13)</f>
        <v>6.4935</v>
      </c>
      <c r="J84" s="64">
        <f>3.649 * CHOOSE(CONTROL!$C$22, $C$13, 100%, $E$13)</f>
        <v>3.649</v>
      </c>
      <c r="K84" s="64">
        <f>3.6492 * CHOOSE(CONTROL!$C$22, $C$13, 100%, $E$13)</f>
        <v>3.6492</v>
      </c>
      <c r="L84" s="4"/>
      <c r="M84" s="4"/>
      <c r="N84" s="4"/>
    </row>
    <row r="85" spans="1:14" ht="15">
      <c r="A85" s="13">
        <v>44228</v>
      </c>
      <c r="B85" s="63">
        <f>3.0775 * CHOOSE(CONTROL!$C$22, $C$13, 100%, $E$13)</f>
        <v>3.0775000000000001</v>
      </c>
      <c r="C85" s="63">
        <f>3.0775 * CHOOSE(CONTROL!$C$22, $C$13, 100%, $E$13)</f>
        <v>3.0775000000000001</v>
      </c>
      <c r="D85" s="63">
        <f>3.0897 * CHOOSE(CONTROL!$C$22, $C$13, 100%, $E$13)</f>
        <v>3.0897000000000001</v>
      </c>
      <c r="E85" s="64">
        <f>3.6087 * CHOOSE(CONTROL!$C$22, $C$13, 100%, $E$13)</f>
        <v>3.6086999999999998</v>
      </c>
      <c r="F85" s="64">
        <f>3.6087 * CHOOSE(CONTROL!$C$22, $C$13, 100%, $E$13)</f>
        <v>3.6086999999999998</v>
      </c>
      <c r="G85" s="64">
        <f>3.6088 * CHOOSE(CONTROL!$C$22, $C$13, 100%, $E$13)</f>
        <v>3.6088</v>
      </c>
      <c r="H85" s="64">
        <f>6.5068* CHOOSE(CONTROL!$C$22, $C$13, 100%, $E$13)</f>
        <v>6.5068000000000001</v>
      </c>
      <c r="I85" s="64">
        <f>6.507 * CHOOSE(CONTROL!$C$22, $C$13, 100%, $E$13)</f>
        <v>6.5069999999999997</v>
      </c>
      <c r="J85" s="64">
        <f>3.6087 * CHOOSE(CONTROL!$C$22, $C$13, 100%, $E$13)</f>
        <v>3.6086999999999998</v>
      </c>
      <c r="K85" s="64">
        <f>3.6088 * CHOOSE(CONTROL!$C$22, $C$13, 100%, $E$13)</f>
        <v>3.6088</v>
      </c>
      <c r="L85" s="4"/>
      <c r="M85" s="4"/>
      <c r="N85" s="4"/>
    </row>
    <row r="86" spans="1:14" ht="15">
      <c r="A86" s="13">
        <v>44256</v>
      </c>
      <c r="B86" s="63">
        <f>3.0744 * CHOOSE(CONTROL!$C$22, $C$13, 100%, $E$13)</f>
        <v>3.0743999999999998</v>
      </c>
      <c r="C86" s="63">
        <f>3.0744 * CHOOSE(CONTROL!$C$22, $C$13, 100%, $E$13)</f>
        <v>3.0743999999999998</v>
      </c>
      <c r="D86" s="63">
        <f>3.0866 * CHOOSE(CONTROL!$C$22, $C$13, 100%, $E$13)</f>
        <v>3.0865999999999998</v>
      </c>
      <c r="E86" s="64">
        <f>3.6367 * CHOOSE(CONTROL!$C$22, $C$13, 100%, $E$13)</f>
        <v>3.6366999999999998</v>
      </c>
      <c r="F86" s="64">
        <f>3.6367 * CHOOSE(CONTROL!$C$22, $C$13, 100%, $E$13)</f>
        <v>3.6366999999999998</v>
      </c>
      <c r="G86" s="64">
        <f>3.6369 * CHOOSE(CONTROL!$C$22, $C$13, 100%, $E$13)</f>
        <v>3.6368999999999998</v>
      </c>
      <c r="H86" s="64">
        <f>6.5204* CHOOSE(CONTROL!$C$22, $C$13, 100%, $E$13)</f>
        <v>6.5204000000000004</v>
      </c>
      <c r="I86" s="64">
        <f>6.5205 * CHOOSE(CONTROL!$C$22, $C$13, 100%, $E$13)</f>
        <v>6.5205000000000002</v>
      </c>
      <c r="J86" s="64">
        <f>3.6367 * CHOOSE(CONTROL!$C$22, $C$13, 100%, $E$13)</f>
        <v>3.6366999999999998</v>
      </c>
      <c r="K86" s="64">
        <f>3.6369 * CHOOSE(CONTROL!$C$22, $C$13, 100%, $E$13)</f>
        <v>3.6368999999999998</v>
      </c>
      <c r="L86" s="4"/>
      <c r="M86" s="4"/>
      <c r="N86" s="4"/>
    </row>
    <row r="87" spans="1:14" ht="15">
      <c r="A87" s="13">
        <v>44287</v>
      </c>
      <c r="B87" s="63">
        <f>3.0712 * CHOOSE(CONTROL!$C$22, $C$13, 100%, $E$13)</f>
        <v>3.0712000000000002</v>
      </c>
      <c r="C87" s="63">
        <f>3.0712 * CHOOSE(CONTROL!$C$22, $C$13, 100%, $E$13)</f>
        <v>3.0712000000000002</v>
      </c>
      <c r="D87" s="63">
        <f>3.0834 * CHOOSE(CONTROL!$C$22, $C$13, 100%, $E$13)</f>
        <v>3.0834000000000001</v>
      </c>
      <c r="E87" s="64">
        <f>3.6649 * CHOOSE(CONTROL!$C$22, $C$13, 100%, $E$13)</f>
        <v>3.6648999999999998</v>
      </c>
      <c r="F87" s="64">
        <f>3.6649 * CHOOSE(CONTROL!$C$22, $C$13, 100%, $E$13)</f>
        <v>3.6648999999999998</v>
      </c>
      <c r="G87" s="64">
        <f>3.665 * CHOOSE(CONTROL!$C$22, $C$13, 100%, $E$13)</f>
        <v>3.665</v>
      </c>
      <c r="H87" s="64">
        <f>6.5339* CHOOSE(CONTROL!$C$22, $C$13, 100%, $E$13)</f>
        <v>6.5339</v>
      </c>
      <c r="I87" s="64">
        <f>6.5341 * CHOOSE(CONTROL!$C$22, $C$13, 100%, $E$13)</f>
        <v>6.5340999999999996</v>
      </c>
      <c r="J87" s="64">
        <f>3.6649 * CHOOSE(CONTROL!$C$22, $C$13, 100%, $E$13)</f>
        <v>3.6648999999999998</v>
      </c>
      <c r="K87" s="64">
        <f>3.665 * CHOOSE(CONTROL!$C$22, $C$13, 100%, $E$13)</f>
        <v>3.665</v>
      </c>
      <c r="L87" s="4"/>
      <c r="M87" s="4"/>
      <c r="N87" s="4"/>
    </row>
    <row r="88" spans="1:14" ht="15">
      <c r="A88" s="13">
        <v>44317</v>
      </c>
      <c r="B88" s="63">
        <f>3.0712 * CHOOSE(CONTROL!$C$22, $C$13, 100%, $E$13)</f>
        <v>3.0712000000000002</v>
      </c>
      <c r="C88" s="63">
        <f>3.0712 * CHOOSE(CONTROL!$C$22, $C$13, 100%, $E$13)</f>
        <v>3.0712000000000002</v>
      </c>
      <c r="D88" s="63">
        <f>3.0956 * CHOOSE(CONTROL!$C$22, $C$13, 100%, $E$13)</f>
        <v>3.0956000000000001</v>
      </c>
      <c r="E88" s="64">
        <f>3.677 * CHOOSE(CONTROL!$C$22, $C$13, 100%, $E$13)</f>
        <v>3.677</v>
      </c>
      <c r="F88" s="64">
        <f>3.677 * CHOOSE(CONTROL!$C$22, $C$13, 100%, $E$13)</f>
        <v>3.677</v>
      </c>
      <c r="G88" s="64">
        <f>3.6786 * CHOOSE(CONTROL!$C$22, $C$13, 100%, $E$13)</f>
        <v>3.6785999999999999</v>
      </c>
      <c r="H88" s="64">
        <f>6.5476* CHOOSE(CONTROL!$C$22, $C$13, 100%, $E$13)</f>
        <v>6.5476000000000001</v>
      </c>
      <c r="I88" s="64">
        <f>6.5491 * CHOOSE(CONTROL!$C$22, $C$13, 100%, $E$13)</f>
        <v>6.5491000000000001</v>
      </c>
      <c r="J88" s="64">
        <f>3.677 * CHOOSE(CONTROL!$C$22, $C$13, 100%, $E$13)</f>
        <v>3.677</v>
      </c>
      <c r="K88" s="64">
        <f>3.6786 * CHOOSE(CONTROL!$C$22, $C$13, 100%, $E$13)</f>
        <v>3.6785999999999999</v>
      </c>
      <c r="L88" s="4"/>
      <c r="M88" s="4"/>
      <c r="N88" s="4"/>
    </row>
    <row r="89" spans="1:14" ht="15">
      <c r="A89" s="13">
        <v>44348</v>
      </c>
      <c r="B89" s="63">
        <f>3.0773 * CHOOSE(CONTROL!$C$22, $C$13, 100%, $E$13)</f>
        <v>3.0773000000000001</v>
      </c>
      <c r="C89" s="63">
        <f>3.0773 * CHOOSE(CONTROL!$C$22, $C$13, 100%, $E$13)</f>
        <v>3.0773000000000001</v>
      </c>
      <c r="D89" s="63">
        <f>3.1017 * CHOOSE(CONTROL!$C$22, $C$13, 100%, $E$13)</f>
        <v>3.1017000000000001</v>
      </c>
      <c r="E89" s="64">
        <f>3.6691 * CHOOSE(CONTROL!$C$22, $C$13, 100%, $E$13)</f>
        <v>3.6690999999999998</v>
      </c>
      <c r="F89" s="64">
        <f>3.6691 * CHOOSE(CONTROL!$C$22, $C$13, 100%, $E$13)</f>
        <v>3.6690999999999998</v>
      </c>
      <c r="G89" s="64">
        <f>3.6707 * CHOOSE(CONTROL!$C$22, $C$13, 100%, $E$13)</f>
        <v>3.6707000000000001</v>
      </c>
      <c r="H89" s="64">
        <f>6.5612* CHOOSE(CONTROL!$C$22, $C$13, 100%, $E$13)</f>
        <v>6.5612000000000004</v>
      </c>
      <c r="I89" s="64">
        <f>6.5628 * CHOOSE(CONTROL!$C$22, $C$13, 100%, $E$13)</f>
        <v>6.5628000000000002</v>
      </c>
      <c r="J89" s="64">
        <f>3.6691 * CHOOSE(CONTROL!$C$22, $C$13, 100%, $E$13)</f>
        <v>3.6690999999999998</v>
      </c>
      <c r="K89" s="64">
        <f>3.6707 * CHOOSE(CONTROL!$C$22, $C$13, 100%, $E$13)</f>
        <v>3.6707000000000001</v>
      </c>
      <c r="L89" s="4"/>
      <c r="M89" s="4"/>
      <c r="N89" s="4"/>
    </row>
    <row r="90" spans="1:14" ht="15">
      <c r="A90" s="13">
        <v>44378</v>
      </c>
      <c r="B90" s="63">
        <f>3.137 * CHOOSE(CONTROL!$C$22, $C$13, 100%, $E$13)</f>
        <v>3.137</v>
      </c>
      <c r="C90" s="63">
        <f>3.137 * CHOOSE(CONTROL!$C$22, $C$13, 100%, $E$13)</f>
        <v>3.137</v>
      </c>
      <c r="D90" s="63">
        <f>3.1614 * CHOOSE(CONTROL!$C$22, $C$13, 100%, $E$13)</f>
        <v>3.1614</v>
      </c>
      <c r="E90" s="64">
        <f>3.6976 * CHOOSE(CONTROL!$C$22, $C$13, 100%, $E$13)</f>
        <v>3.6976</v>
      </c>
      <c r="F90" s="64">
        <f>3.6976 * CHOOSE(CONTROL!$C$22, $C$13, 100%, $E$13)</f>
        <v>3.6976</v>
      </c>
      <c r="G90" s="64">
        <f>3.6992 * CHOOSE(CONTROL!$C$22, $C$13, 100%, $E$13)</f>
        <v>3.6991999999999998</v>
      </c>
      <c r="H90" s="64">
        <f>6.5749* CHOOSE(CONTROL!$C$22, $C$13, 100%, $E$13)</f>
        <v>6.5749000000000004</v>
      </c>
      <c r="I90" s="64">
        <f>6.5764 * CHOOSE(CONTROL!$C$22, $C$13, 100%, $E$13)</f>
        <v>6.5763999999999996</v>
      </c>
      <c r="J90" s="64">
        <f>3.6976 * CHOOSE(CONTROL!$C$22, $C$13, 100%, $E$13)</f>
        <v>3.6976</v>
      </c>
      <c r="K90" s="64">
        <f>3.6992 * CHOOSE(CONTROL!$C$22, $C$13, 100%, $E$13)</f>
        <v>3.6991999999999998</v>
      </c>
      <c r="L90" s="4"/>
      <c r="M90" s="4"/>
      <c r="N90" s="4"/>
    </row>
    <row r="91" spans="1:14" ht="15">
      <c r="A91" s="13">
        <v>44409</v>
      </c>
      <c r="B91" s="63">
        <f>3.1436 * CHOOSE(CONTROL!$C$22, $C$13, 100%, $E$13)</f>
        <v>3.1436000000000002</v>
      </c>
      <c r="C91" s="63">
        <f>3.1436 * CHOOSE(CONTROL!$C$22, $C$13, 100%, $E$13)</f>
        <v>3.1436000000000002</v>
      </c>
      <c r="D91" s="63">
        <f>3.1681 * CHOOSE(CONTROL!$C$22, $C$13, 100%, $E$13)</f>
        <v>3.1680999999999999</v>
      </c>
      <c r="E91" s="64">
        <f>3.6658 * CHOOSE(CONTROL!$C$22, $C$13, 100%, $E$13)</f>
        <v>3.6657999999999999</v>
      </c>
      <c r="F91" s="64">
        <f>3.6658 * CHOOSE(CONTROL!$C$22, $C$13, 100%, $E$13)</f>
        <v>3.6657999999999999</v>
      </c>
      <c r="G91" s="64">
        <f>3.6674 * CHOOSE(CONTROL!$C$22, $C$13, 100%, $E$13)</f>
        <v>3.6674000000000002</v>
      </c>
      <c r="H91" s="64">
        <f>6.5886* CHOOSE(CONTROL!$C$22, $C$13, 100%, $E$13)</f>
        <v>6.5885999999999996</v>
      </c>
      <c r="I91" s="64">
        <f>6.5901 * CHOOSE(CONTROL!$C$22, $C$13, 100%, $E$13)</f>
        <v>6.5900999999999996</v>
      </c>
      <c r="J91" s="64">
        <f>3.6658 * CHOOSE(CONTROL!$C$22, $C$13, 100%, $E$13)</f>
        <v>3.6657999999999999</v>
      </c>
      <c r="K91" s="64">
        <f>3.6674 * CHOOSE(CONTROL!$C$22, $C$13, 100%, $E$13)</f>
        <v>3.6674000000000002</v>
      </c>
      <c r="L91" s="4"/>
      <c r="M91" s="4"/>
      <c r="N91" s="4"/>
    </row>
    <row r="92" spans="1:14" ht="15">
      <c r="A92" s="13">
        <v>44440</v>
      </c>
      <c r="B92" s="63">
        <f>3.1406 * CHOOSE(CONTROL!$C$22, $C$13, 100%, $E$13)</f>
        <v>3.1406000000000001</v>
      </c>
      <c r="C92" s="63">
        <f>3.1406 * CHOOSE(CONTROL!$C$22, $C$13, 100%, $E$13)</f>
        <v>3.1406000000000001</v>
      </c>
      <c r="D92" s="63">
        <f>3.165 * CHOOSE(CONTROL!$C$22, $C$13, 100%, $E$13)</f>
        <v>3.165</v>
      </c>
      <c r="E92" s="64">
        <f>3.6597 * CHOOSE(CONTROL!$C$22, $C$13, 100%, $E$13)</f>
        <v>3.6597</v>
      </c>
      <c r="F92" s="64">
        <f>3.6597 * CHOOSE(CONTROL!$C$22, $C$13, 100%, $E$13)</f>
        <v>3.6597</v>
      </c>
      <c r="G92" s="64">
        <f>3.6612 * CHOOSE(CONTROL!$C$22, $C$13, 100%, $E$13)</f>
        <v>3.6612</v>
      </c>
      <c r="H92" s="64">
        <f>6.6023* CHOOSE(CONTROL!$C$22, $C$13, 100%, $E$13)</f>
        <v>6.6022999999999996</v>
      </c>
      <c r="I92" s="64">
        <f>6.6039 * CHOOSE(CONTROL!$C$22, $C$13, 100%, $E$13)</f>
        <v>6.6039000000000003</v>
      </c>
      <c r="J92" s="64">
        <f>3.6597 * CHOOSE(CONTROL!$C$22, $C$13, 100%, $E$13)</f>
        <v>3.6597</v>
      </c>
      <c r="K92" s="64">
        <f>3.6612 * CHOOSE(CONTROL!$C$22, $C$13, 100%, $E$13)</f>
        <v>3.6612</v>
      </c>
      <c r="L92" s="4"/>
      <c r="M92" s="4"/>
      <c r="N92" s="4"/>
    </row>
    <row r="93" spans="1:14" ht="15">
      <c r="A93" s="13">
        <v>44470</v>
      </c>
      <c r="B93" s="63">
        <f>3.1326 * CHOOSE(CONTROL!$C$22, $C$13, 100%, $E$13)</f>
        <v>3.1326000000000001</v>
      </c>
      <c r="C93" s="63">
        <f>3.1326 * CHOOSE(CONTROL!$C$22, $C$13, 100%, $E$13)</f>
        <v>3.1326000000000001</v>
      </c>
      <c r="D93" s="63">
        <f>3.1448 * CHOOSE(CONTROL!$C$22, $C$13, 100%, $E$13)</f>
        <v>3.1448</v>
      </c>
      <c r="E93" s="64">
        <f>3.6625 * CHOOSE(CONTROL!$C$22, $C$13, 100%, $E$13)</f>
        <v>3.6625000000000001</v>
      </c>
      <c r="F93" s="64">
        <f>3.6625 * CHOOSE(CONTROL!$C$22, $C$13, 100%, $E$13)</f>
        <v>3.6625000000000001</v>
      </c>
      <c r="G93" s="64">
        <f>3.6626 * CHOOSE(CONTROL!$C$22, $C$13, 100%, $E$13)</f>
        <v>3.6625999999999999</v>
      </c>
      <c r="H93" s="64">
        <f>6.616* CHOOSE(CONTROL!$C$22, $C$13, 100%, $E$13)</f>
        <v>6.6159999999999997</v>
      </c>
      <c r="I93" s="64">
        <f>6.6162 * CHOOSE(CONTROL!$C$22, $C$13, 100%, $E$13)</f>
        <v>6.6162000000000001</v>
      </c>
      <c r="J93" s="64">
        <f>3.6625 * CHOOSE(CONTROL!$C$22, $C$13, 100%, $E$13)</f>
        <v>3.6625000000000001</v>
      </c>
      <c r="K93" s="64">
        <f>3.6626 * CHOOSE(CONTROL!$C$22, $C$13, 100%, $E$13)</f>
        <v>3.6625999999999999</v>
      </c>
      <c r="L93" s="4"/>
      <c r="M93" s="4"/>
      <c r="N93" s="4"/>
    </row>
    <row r="94" spans="1:14" ht="15">
      <c r="A94" s="13">
        <v>44501</v>
      </c>
      <c r="B94" s="63">
        <f>3.1356 * CHOOSE(CONTROL!$C$22, $C$13, 100%, $E$13)</f>
        <v>3.1356000000000002</v>
      </c>
      <c r="C94" s="63">
        <f>3.1356 * CHOOSE(CONTROL!$C$22, $C$13, 100%, $E$13)</f>
        <v>3.1356000000000002</v>
      </c>
      <c r="D94" s="63">
        <f>3.1478 * CHOOSE(CONTROL!$C$22, $C$13, 100%, $E$13)</f>
        <v>3.1478000000000002</v>
      </c>
      <c r="E94" s="64">
        <f>3.6727 * CHOOSE(CONTROL!$C$22, $C$13, 100%, $E$13)</f>
        <v>3.6726999999999999</v>
      </c>
      <c r="F94" s="64">
        <f>3.6727 * CHOOSE(CONTROL!$C$22, $C$13, 100%, $E$13)</f>
        <v>3.6726999999999999</v>
      </c>
      <c r="G94" s="64">
        <f>3.6728 * CHOOSE(CONTROL!$C$22, $C$13, 100%, $E$13)</f>
        <v>3.6728000000000001</v>
      </c>
      <c r="H94" s="64">
        <f>6.6298* CHOOSE(CONTROL!$C$22, $C$13, 100%, $E$13)</f>
        <v>6.6298000000000004</v>
      </c>
      <c r="I94" s="64">
        <f>6.63 * CHOOSE(CONTROL!$C$22, $C$13, 100%, $E$13)</f>
        <v>6.63</v>
      </c>
      <c r="J94" s="64">
        <f>3.6727 * CHOOSE(CONTROL!$C$22, $C$13, 100%, $E$13)</f>
        <v>3.6726999999999999</v>
      </c>
      <c r="K94" s="64">
        <f>3.6728 * CHOOSE(CONTROL!$C$22, $C$13, 100%, $E$13)</f>
        <v>3.6728000000000001</v>
      </c>
      <c r="L94" s="4"/>
      <c r="M94" s="4"/>
      <c r="N94" s="4"/>
    </row>
    <row r="95" spans="1:14" ht="15">
      <c r="A95" s="13">
        <v>44531</v>
      </c>
      <c r="B95" s="63">
        <f>3.1356 * CHOOSE(CONTROL!$C$22, $C$13, 100%, $E$13)</f>
        <v>3.1356000000000002</v>
      </c>
      <c r="C95" s="63">
        <f>3.1356 * CHOOSE(CONTROL!$C$22, $C$13, 100%, $E$13)</f>
        <v>3.1356000000000002</v>
      </c>
      <c r="D95" s="63">
        <f>3.1478 * CHOOSE(CONTROL!$C$22, $C$13, 100%, $E$13)</f>
        <v>3.1478000000000002</v>
      </c>
      <c r="E95" s="64">
        <f>3.6524 * CHOOSE(CONTROL!$C$22, $C$13, 100%, $E$13)</f>
        <v>3.6524000000000001</v>
      </c>
      <c r="F95" s="64">
        <f>3.6524 * CHOOSE(CONTROL!$C$22, $C$13, 100%, $E$13)</f>
        <v>3.6524000000000001</v>
      </c>
      <c r="G95" s="64">
        <f>3.6526 * CHOOSE(CONTROL!$C$22, $C$13, 100%, $E$13)</f>
        <v>3.6526000000000001</v>
      </c>
      <c r="H95" s="64">
        <f>6.6436* CHOOSE(CONTROL!$C$22, $C$13, 100%, $E$13)</f>
        <v>6.6436000000000002</v>
      </c>
      <c r="I95" s="64">
        <f>6.6438 * CHOOSE(CONTROL!$C$22, $C$13, 100%, $E$13)</f>
        <v>6.6437999999999997</v>
      </c>
      <c r="J95" s="64">
        <f>3.6524 * CHOOSE(CONTROL!$C$22, $C$13, 100%, $E$13)</f>
        <v>3.6524000000000001</v>
      </c>
      <c r="K95" s="64">
        <f>3.6526 * CHOOSE(CONTROL!$C$22, $C$13, 100%, $E$13)</f>
        <v>3.6526000000000001</v>
      </c>
      <c r="L95" s="4"/>
      <c r="M95" s="4"/>
      <c r="N95" s="4"/>
    </row>
    <row r="96" spans="1:14" ht="15">
      <c r="A96" s="13">
        <v>44562</v>
      </c>
      <c r="B96" s="63">
        <f>3.1653 * CHOOSE(CONTROL!$C$22, $C$13, 100%, $E$13)</f>
        <v>3.1652999999999998</v>
      </c>
      <c r="C96" s="63">
        <f>3.1653 * CHOOSE(CONTROL!$C$22, $C$13, 100%, $E$13)</f>
        <v>3.1652999999999998</v>
      </c>
      <c r="D96" s="63">
        <f>3.1775 * CHOOSE(CONTROL!$C$22, $C$13, 100%, $E$13)</f>
        <v>3.1775000000000002</v>
      </c>
      <c r="E96" s="64">
        <f>3.7076 * CHOOSE(CONTROL!$C$22, $C$13, 100%, $E$13)</f>
        <v>3.7075999999999998</v>
      </c>
      <c r="F96" s="64">
        <f>3.7076 * CHOOSE(CONTROL!$C$22, $C$13, 100%, $E$13)</f>
        <v>3.7075999999999998</v>
      </c>
      <c r="G96" s="64">
        <f>3.7078 * CHOOSE(CONTROL!$C$22, $C$13, 100%, $E$13)</f>
        <v>3.7078000000000002</v>
      </c>
      <c r="H96" s="64">
        <f>6.6575* CHOOSE(CONTROL!$C$22, $C$13, 100%, $E$13)</f>
        <v>6.6574999999999998</v>
      </c>
      <c r="I96" s="64">
        <f>6.6577 * CHOOSE(CONTROL!$C$22, $C$13, 100%, $E$13)</f>
        <v>6.6577000000000002</v>
      </c>
      <c r="J96" s="64">
        <f>3.7076 * CHOOSE(CONTROL!$C$22, $C$13, 100%, $E$13)</f>
        <v>3.7075999999999998</v>
      </c>
      <c r="K96" s="64">
        <f>3.7078 * CHOOSE(CONTROL!$C$22, $C$13, 100%, $E$13)</f>
        <v>3.7078000000000002</v>
      </c>
      <c r="L96" s="4"/>
      <c r="M96" s="4"/>
      <c r="N96" s="4"/>
    </row>
    <row r="97" spans="1:14" ht="15">
      <c r="A97" s="13">
        <v>44593</v>
      </c>
      <c r="B97" s="63">
        <f>3.1623 * CHOOSE(CONTROL!$C$22, $C$13, 100%, $E$13)</f>
        <v>3.1623000000000001</v>
      </c>
      <c r="C97" s="63">
        <f>3.1623 * CHOOSE(CONTROL!$C$22, $C$13, 100%, $E$13)</f>
        <v>3.1623000000000001</v>
      </c>
      <c r="D97" s="63">
        <f>3.1745 * CHOOSE(CONTROL!$C$22, $C$13, 100%, $E$13)</f>
        <v>3.1745000000000001</v>
      </c>
      <c r="E97" s="64">
        <f>3.6651 * CHOOSE(CONTROL!$C$22, $C$13, 100%, $E$13)</f>
        <v>3.6650999999999998</v>
      </c>
      <c r="F97" s="64">
        <f>3.6651 * CHOOSE(CONTROL!$C$22, $C$13, 100%, $E$13)</f>
        <v>3.6650999999999998</v>
      </c>
      <c r="G97" s="64">
        <f>3.6653 * CHOOSE(CONTROL!$C$22, $C$13, 100%, $E$13)</f>
        <v>3.6652999999999998</v>
      </c>
      <c r="H97" s="64">
        <f>6.6713* CHOOSE(CONTROL!$C$22, $C$13, 100%, $E$13)</f>
        <v>6.6712999999999996</v>
      </c>
      <c r="I97" s="64">
        <f>6.6715 * CHOOSE(CONTROL!$C$22, $C$13, 100%, $E$13)</f>
        <v>6.6715</v>
      </c>
      <c r="J97" s="64">
        <f>3.6651 * CHOOSE(CONTROL!$C$22, $C$13, 100%, $E$13)</f>
        <v>3.6650999999999998</v>
      </c>
      <c r="K97" s="64">
        <f>3.6653 * CHOOSE(CONTROL!$C$22, $C$13, 100%, $E$13)</f>
        <v>3.6652999999999998</v>
      </c>
      <c r="L97" s="4"/>
      <c r="M97" s="4"/>
      <c r="N97" s="4"/>
    </row>
    <row r="98" spans="1:14" ht="15">
      <c r="A98" s="13">
        <v>44621</v>
      </c>
      <c r="B98" s="63">
        <f>3.1593 * CHOOSE(CONTROL!$C$22, $C$13, 100%, $E$13)</f>
        <v>3.1593</v>
      </c>
      <c r="C98" s="63">
        <f>3.1593 * CHOOSE(CONTROL!$C$22, $C$13, 100%, $E$13)</f>
        <v>3.1593</v>
      </c>
      <c r="D98" s="63">
        <f>3.1715 * CHOOSE(CONTROL!$C$22, $C$13, 100%, $E$13)</f>
        <v>3.1715</v>
      </c>
      <c r="E98" s="64">
        <f>3.6948 * CHOOSE(CONTROL!$C$22, $C$13, 100%, $E$13)</f>
        <v>3.6947999999999999</v>
      </c>
      <c r="F98" s="64">
        <f>3.6948 * CHOOSE(CONTROL!$C$22, $C$13, 100%, $E$13)</f>
        <v>3.6947999999999999</v>
      </c>
      <c r="G98" s="64">
        <f>3.695 * CHOOSE(CONTROL!$C$22, $C$13, 100%, $E$13)</f>
        <v>3.6949999999999998</v>
      </c>
      <c r="H98" s="64">
        <f>6.6852* CHOOSE(CONTROL!$C$22, $C$13, 100%, $E$13)</f>
        <v>6.6852</v>
      </c>
      <c r="I98" s="64">
        <f>6.6854 * CHOOSE(CONTROL!$C$22, $C$13, 100%, $E$13)</f>
        <v>6.6853999999999996</v>
      </c>
      <c r="J98" s="64">
        <f>3.6948 * CHOOSE(CONTROL!$C$22, $C$13, 100%, $E$13)</f>
        <v>3.6947999999999999</v>
      </c>
      <c r="K98" s="64">
        <f>3.695 * CHOOSE(CONTROL!$C$22, $C$13, 100%, $E$13)</f>
        <v>3.6949999999999998</v>
      </c>
      <c r="L98" s="4"/>
      <c r="M98" s="4"/>
      <c r="N98" s="4"/>
    </row>
    <row r="99" spans="1:14" ht="15">
      <c r="A99" s="13">
        <v>44652</v>
      </c>
      <c r="B99" s="63">
        <f>3.1561 * CHOOSE(CONTROL!$C$22, $C$13, 100%, $E$13)</f>
        <v>3.1560999999999999</v>
      </c>
      <c r="C99" s="63">
        <f>3.1561 * CHOOSE(CONTROL!$C$22, $C$13, 100%, $E$13)</f>
        <v>3.1560999999999999</v>
      </c>
      <c r="D99" s="63">
        <f>3.1683 * CHOOSE(CONTROL!$C$22, $C$13, 100%, $E$13)</f>
        <v>3.1682999999999999</v>
      </c>
      <c r="E99" s="64">
        <f>3.7248 * CHOOSE(CONTROL!$C$22, $C$13, 100%, $E$13)</f>
        <v>3.7248000000000001</v>
      </c>
      <c r="F99" s="64">
        <f>3.7248 * CHOOSE(CONTROL!$C$22, $C$13, 100%, $E$13)</f>
        <v>3.7248000000000001</v>
      </c>
      <c r="G99" s="64">
        <f>3.7249 * CHOOSE(CONTROL!$C$22, $C$13, 100%, $E$13)</f>
        <v>3.7248999999999999</v>
      </c>
      <c r="H99" s="64">
        <f>6.6992* CHOOSE(CONTROL!$C$22, $C$13, 100%, $E$13)</f>
        <v>6.6992000000000003</v>
      </c>
      <c r="I99" s="64">
        <f>6.6994 * CHOOSE(CONTROL!$C$22, $C$13, 100%, $E$13)</f>
        <v>6.6993999999999998</v>
      </c>
      <c r="J99" s="64">
        <f>3.7248 * CHOOSE(CONTROL!$C$22, $C$13, 100%, $E$13)</f>
        <v>3.7248000000000001</v>
      </c>
      <c r="K99" s="64">
        <f>3.7249 * CHOOSE(CONTROL!$C$22, $C$13, 100%, $E$13)</f>
        <v>3.7248999999999999</v>
      </c>
      <c r="L99" s="4"/>
      <c r="M99" s="4"/>
      <c r="N99" s="4"/>
    </row>
    <row r="100" spans="1:14" ht="15">
      <c r="A100" s="13">
        <v>44682</v>
      </c>
      <c r="B100" s="63">
        <f>3.1561 * CHOOSE(CONTROL!$C$22, $C$13, 100%, $E$13)</f>
        <v>3.1560999999999999</v>
      </c>
      <c r="C100" s="63">
        <f>3.1561 * CHOOSE(CONTROL!$C$22, $C$13, 100%, $E$13)</f>
        <v>3.1560999999999999</v>
      </c>
      <c r="D100" s="63">
        <f>3.1806 * CHOOSE(CONTROL!$C$22, $C$13, 100%, $E$13)</f>
        <v>3.1806000000000001</v>
      </c>
      <c r="E100" s="64">
        <f>3.7376 * CHOOSE(CONTROL!$C$22, $C$13, 100%, $E$13)</f>
        <v>3.7376</v>
      </c>
      <c r="F100" s="64">
        <f>3.7376 * CHOOSE(CONTROL!$C$22, $C$13, 100%, $E$13)</f>
        <v>3.7376</v>
      </c>
      <c r="G100" s="64">
        <f>3.7391 * CHOOSE(CONTROL!$C$22, $C$13, 100%, $E$13)</f>
        <v>3.7391000000000001</v>
      </c>
      <c r="H100" s="64">
        <f>6.7131* CHOOSE(CONTROL!$C$22, $C$13, 100%, $E$13)</f>
        <v>6.7130999999999998</v>
      </c>
      <c r="I100" s="64">
        <f>6.7147 * CHOOSE(CONTROL!$C$22, $C$13, 100%, $E$13)</f>
        <v>6.7146999999999997</v>
      </c>
      <c r="J100" s="64">
        <f>3.7376 * CHOOSE(CONTROL!$C$22, $C$13, 100%, $E$13)</f>
        <v>3.7376</v>
      </c>
      <c r="K100" s="64">
        <f>3.7391 * CHOOSE(CONTROL!$C$22, $C$13, 100%, $E$13)</f>
        <v>3.7391000000000001</v>
      </c>
      <c r="L100" s="4"/>
      <c r="M100" s="4"/>
      <c r="N100" s="4"/>
    </row>
    <row r="101" spans="1:14" ht="15">
      <c r="A101" s="13">
        <v>44713</v>
      </c>
      <c r="B101" s="63">
        <f>3.1622 * CHOOSE(CONTROL!$C$22, $C$13, 100%, $E$13)</f>
        <v>3.1621999999999999</v>
      </c>
      <c r="C101" s="63">
        <f>3.1622 * CHOOSE(CONTROL!$C$22, $C$13, 100%, $E$13)</f>
        <v>3.1621999999999999</v>
      </c>
      <c r="D101" s="63">
        <f>3.1866 * CHOOSE(CONTROL!$C$22, $C$13, 100%, $E$13)</f>
        <v>3.1865999999999999</v>
      </c>
      <c r="E101" s="64">
        <f>3.729 * CHOOSE(CONTROL!$C$22, $C$13, 100%, $E$13)</f>
        <v>3.7290000000000001</v>
      </c>
      <c r="F101" s="64">
        <f>3.729 * CHOOSE(CONTROL!$C$22, $C$13, 100%, $E$13)</f>
        <v>3.7290000000000001</v>
      </c>
      <c r="G101" s="64">
        <f>3.7306 * CHOOSE(CONTROL!$C$22, $C$13, 100%, $E$13)</f>
        <v>3.7305999999999999</v>
      </c>
      <c r="H101" s="64">
        <f>6.7271* CHOOSE(CONTROL!$C$22, $C$13, 100%, $E$13)</f>
        <v>6.7271000000000001</v>
      </c>
      <c r="I101" s="64">
        <f>6.7287 * CHOOSE(CONTROL!$C$22, $C$13, 100%, $E$13)</f>
        <v>6.7286999999999999</v>
      </c>
      <c r="J101" s="64">
        <f>3.729 * CHOOSE(CONTROL!$C$22, $C$13, 100%, $E$13)</f>
        <v>3.7290000000000001</v>
      </c>
      <c r="K101" s="64">
        <f>3.7306 * CHOOSE(CONTROL!$C$22, $C$13, 100%, $E$13)</f>
        <v>3.7305999999999999</v>
      </c>
      <c r="L101" s="4"/>
      <c r="M101" s="4"/>
      <c r="N101" s="4"/>
    </row>
    <row r="102" spans="1:14" ht="15">
      <c r="A102" s="13">
        <v>44743</v>
      </c>
      <c r="B102" s="63">
        <f>3.2179 * CHOOSE(CONTROL!$C$22, $C$13, 100%, $E$13)</f>
        <v>3.2179000000000002</v>
      </c>
      <c r="C102" s="63">
        <f>3.2179 * CHOOSE(CONTROL!$C$22, $C$13, 100%, $E$13)</f>
        <v>3.2179000000000002</v>
      </c>
      <c r="D102" s="63">
        <f>3.2423 * CHOOSE(CONTROL!$C$22, $C$13, 100%, $E$13)</f>
        <v>3.2423000000000002</v>
      </c>
      <c r="E102" s="64">
        <f>3.796 * CHOOSE(CONTROL!$C$22, $C$13, 100%, $E$13)</f>
        <v>3.7959999999999998</v>
      </c>
      <c r="F102" s="64">
        <f>3.796 * CHOOSE(CONTROL!$C$22, $C$13, 100%, $E$13)</f>
        <v>3.7959999999999998</v>
      </c>
      <c r="G102" s="64">
        <f>3.7976 * CHOOSE(CONTROL!$C$22, $C$13, 100%, $E$13)</f>
        <v>3.7976000000000001</v>
      </c>
      <c r="H102" s="64">
        <f>6.7411* CHOOSE(CONTROL!$C$22, $C$13, 100%, $E$13)</f>
        <v>6.7411000000000003</v>
      </c>
      <c r="I102" s="64">
        <f>6.7427 * CHOOSE(CONTROL!$C$22, $C$13, 100%, $E$13)</f>
        <v>6.7427000000000001</v>
      </c>
      <c r="J102" s="64">
        <f>3.796 * CHOOSE(CONTROL!$C$22, $C$13, 100%, $E$13)</f>
        <v>3.7959999999999998</v>
      </c>
      <c r="K102" s="64">
        <f>3.7976 * CHOOSE(CONTROL!$C$22, $C$13, 100%, $E$13)</f>
        <v>3.7976000000000001</v>
      </c>
      <c r="L102" s="4"/>
      <c r="M102" s="4"/>
      <c r="N102" s="4"/>
    </row>
    <row r="103" spans="1:14" ht="15">
      <c r="A103" s="13">
        <v>44774</v>
      </c>
      <c r="B103" s="63">
        <f>3.2245 * CHOOSE(CONTROL!$C$22, $C$13, 100%, $E$13)</f>
        <v>3.2244999999999999</v>
      </c>
      <c r="C103" s="63">
        <f>3.2245 * CHOOSE(CONTROL!$C$22, $C$13, 100%, $E$13)</f>
        <v>3.2244999999999999</v>
      </c>
      <c r="D103" s="63">
        <f>3.249 * CHOOSE(CONTROL!$C$22, $C$13, 100%, $E$13)</f>
        <v>3.2490000000000001</v>
      </c>
      <c r="E103" s="64">
        <f>3.7622 * CHOOSE(CONTROL!$C$22, $C$13, 100%, $E$13)</f>
        <v>3.7622</v>
      </c>
      <c r="F103" s="64">
        <f>3.7622 * CHOOSE(CONTROL!$C$22, $C$13, 100%, $E$13)</f>
        <v>3.7622</v>
      </c>
      <c r="G103" s="64">
        <f>3.7638 * CHOOSE(CONTROL!$C$22, $C$13, 100%, $E$13)</f>
        <v>3.7637999999999998</v>
      </c>
      <c r="H103" s="64">
        <f>6.7552* CHOOSE(CONTROL!$C$22, $C$13, 100%, $E$13)</f>
        <v>6.7552000000000003</v>
      </c>
      <c r="I103" s="64">
        <f>6.7567 * CHOOSE(CONTROL!$C$22, $C$13, 100%, $E$13)</f>
        <v>6.7567000000000004</v>
      </c>
      <c r="J103" s="64">
        <f>3.7622 * CHOOSE(CONTROL!$C$22, $C$13, 100%, $E$13)</f>
        <v>3.7622</v>
      </c>
      <c r="K103" s="64">
        <f>3.7638 * CHOOSE(CONTROL!$C$22, $C$13, 100%, $E$13)</f>
        <v>3.7637999999999998</v>
      </c>
      <c r="L103" s="4"/>
      <c r="M103" s="4"/>
      <c r="N103" s="4"/>
    </row>
    <row r="104" spans="1:14" ht="15">
      <c r="A104" s="13">
        <v>44805</v>
      </c>
      <c r="B104" s="63">
        <f>3.2215 * CHOOSE(CONTROL!$C$22, $C$13, 100%, $E$13)</f>
        <v>3.2214999999999998</v>
      </c>
      <c r="C104" s="63">
        <f>3.2215 * CHOOSE(CONTROL!$C$22, $C$13, 100%, $E$13)</f>
        <v>3.2214999999999998</v>
      </c>
      <c r="D104" s="63">
        <f>3.2459 * CHOOSE(CONTROL!$C$22, $C$13, 100%, $E$13)</f>
        <v>3.2458999999999998</v>
      </c>
      <c r="E104" s="64">
        <f>3.7558 * CHOOSE(CONTROL!$C$22, $C$13, 100%, $E$13)</f>
        <v>3.7557999999999998</v>
      </c>
      <c r="F104" s="64">
        <f>3.7558 * CHOOSE(CONTROL!$C$22, $C$13, 100%, $E$13)</f>
        <v>3.7557999999999998</v>
      </c>
      <c r="G104" s="64">
        <f>3.7574 * CHOOSE(CONTROL!$C$22, $C$13, 100%, $E$13)</f>
        <v>3.7574000000000001</v>
      </c>
      <c r="H104" s="64">
        <f>6.7692* CHOOSE(CONTROL!$C$22, $C$13, 100%, $E$13)</f>
        <v>6.7691999999999997</v>
      </c>
      <c r="I104" s="64">
        <f>6.7708 * CHOOSE(CONTROL!$C$22, $C$13, 100%, $E$13)</f>
        <v>6.7708000000000004</v>
      </c>
      <c r="J104" s="64">
        <f>3.7558 * CHOOSE(CONTROL!$C$22, $C$13, 100%, $E$13)</f>
        <v>3.7557999999999998</v>
      </c>
      <c r="K104" s="64">
        <f>3.7574 * CHOOSE(CONTROL!$C$22, $C$13, 100%, $E$13)</f>
        <v>3.7574000000000001</v>
      </c>
      <c r="L104" s="4"/>
      <c r="M104" s="4"/>
      <c r="N104" s="4"/>
    </row>
    <row r="105" spans="1:14" ht="15">
      <c r="A105" s="13">
        <v>44835</v>
      </c>
      <c r="B105" s="63">
        <f>3.2138 * CHOOSE(CONTROL!$C$22, $C$13, 100%, $E$13)</f>
        <v>3.2138</v>
      </c>
      <c r="C105" s="63">
        <f>3.2138 * CHOOSE(CONTROL!$C$22, $C$13, 100%, $E$13)</f>
        <v>3.2138</v>
      </c>
      <c r="D105" s="63">
        <f>3.226 * CHOOSE(CONTROL!$C$22, $C$13, 100%, $E$13)</f>
        <v>3.226</v>
      </c>
      <c r="E105" s="64">
        <f>3.7595 * CHOOSE(CONTROL!$C$22, $C$13, 100%, $E$13)</f>
        <v>3.7595000000000001</v>
      </c>
      <c r="F105" s="64">
        <f>3.7595 * CHOOSE(CONTROL!$C$22, $C$13, 100%, $E$13)</f>
        <v>3.7595000000000001</v>
      </c>
      <c r="G105" s="64">
        <f>3.7597 * CHOOSE(CONTROL!$C$22, $C$13, 100%, $E$13)</f>
        <v>3.7597</v>
      </c>
      <c r="H105" s="64">
        <f>6.7834* CHOOSE(CONTROL!$C$22, $C$13, 100%, $E$13)</f>
        <v>6.7834000000000003</v>
      </c>
      <c r="I105" s="64">
        <f>6.7835 * CHOOSE(CONTROL!$C$22, $C$13, 100%, $E$13)</f>
        <v>6.7835000000000001</v>
      </c>
      <c r="J105" s="64">
        <f>3.7595 * CHOOSE(CONTROL!$C$22, $C$13, 100%, $E$13)</f>
        <v>3.7595000000000001</v>
      </c>
      <c r="K105" s="64">
        <f>3.7597 * CHOOSE(CONTROL!$C$22, $C$13, 100%, $E$13)</f>
        <v>3.7597</v>
      </c>
      <c r="L105" s="4"/>
      <c r="M105" s="4"/>
      <c r="N105" s="4"/>
    </row>
    <row r="106" spans="1:14" ht="15">
      <c r="A106" s="13">
        <v>44866</v>
      </c>
      <c r="B106" s="63">
        <f>3.2169 * CHOOSE(CONTROL!$C$22, $C$13, 100%, $E$13)</f>
        <v>3.2168999999999999</v>
      </c>
      <c r="C106" s="63">
        <f>3.2169 * CHOOSE(CONTROL!$C$22, $C$13, 100%, $E$13)</f>
        <v>3.2168999999999999</v>
      </c>
      <c r="D106" s="63">
        <f>3.2291 * CHOOSE(CONTROL!$C$22, $C$13, 100%, $E$13)</f>
        <v>3.2290999999999999</v>
      </c>
      <c r="E106" s="64">
        <f>3.7702 * CHOOSE(CONTROL!$C$22, $C$13, 100%, $E$13)</f>
        <v>3.7702</v>
      </c>
      <c r="F106" s="64">
        <f>3.7702 * CHOOSE(CONTROL!$C$22, $C$13, 100%, $E$13)</f>
        <v>3.7702</v>
      </c>
      <c r="G106" s="64">
        <f>3.7703 * CHOOSE(CONTROL!$C$22, $C$13, 100%, $E$13)</f>
        <v>3.7703000000000002</v>
      </c>
      <c r="H106" s="64">
        <f>6.7975* CHOOSE(CONTROL!$C$22, $C$13, 100%, $E$13)</f>
        <v>6.7975000000000003</v>
      </c>
      <c r="I106" s="64">
        <f>6.7977 * CHOOSE(CONTROL!$C$22, $C$13, 100%, $E$13)</f>
        <v>6.7976999999999999</v>
      </c>
      <c r="J106" s="64">
        <f>3.7702 * CHOOSE(CONTROL!$C$22, $C$13, 100%, $E$13)</f>
        <v>3.7702</v>
      </c>
      <c r="K106" s="64">
        <f>3.7703 * CHOOSE(CONTROL!$C$22, $C$13, 100%, $E$13)</f>
        <v>3.7703000000000002</v>
      </c>
      <c r="L106" s="4"/>
      <c r="M106" s="4"/>
      <c r="N106" s="4"/>
    </row>
    <row r="107" spans="1:14" ht="15">
      <c r="A107" s="13">
        <v>44896</v>
      </c>
      <c r="B107" s="63">
        <f>3.2169 * CHOOSE(CONTROL!$C$22, $C$13, 100%, $E$13)</f>
        <v>3.2168999999999999</v>
      </c>
      <c r="C107" s="63">
        <f>3.2169 * CHOOSE(CONTROL!$C$22, $C$13, 100%, $E$13)</f>
        <v>3.2168999999999999</v>
      </c>
      <c r="D107" s="63">
        <f>3.2291 * CHOOSE(CONTROL!$C$22, $C$13, 100%, $E$13)</f>
        <v>3.2290999999999999</v>
      </c>
      <c r="E107" s="64">
        <f>3.7488 * CHOOSE(CONTROL!$C$22, $C$13, 100%, $E$13)</f>
        <v>3.7488000000000001</v>
      </c>
      <c r="F107" s="64">
        <f>3.7488 * CHOOSE(CONTROL!$C$22, $C$13, 100%, $E$13)</f>
        <v>3.7488000000000001</v>
      </c>
      <c r="G107" s="64">
        <f>3.749 * CHOOSE(CONTROL!$C$22, $C$13, 100%, $E$13)</f>
        <v>3.7490000000000001</v>
      </c>
      <c r="H107" s="64">
        <f>6.8116* CHOOSE(CONTROL!$C$22, $C$13, 100%, $E$13)</f>
        <v>6.8116000000000003</v>
      </c>
      <c r="I107" s="64">
        <f>6.8118 * CHOOSE(CONTROL!$C$22, $C$13, 100%, $E$13)</f>
        <v>6.8117999999999999</v>
      </c>
      <c r="J107" s="64">
        <f>3.7488 * CHOOSE(CONTROL!$C$22, $C$13, 100%, $E$13)</f>
        <v>3.7488000000000001</v>
      </c>
      <c r="K107" s="64">
        <f>3.749 * CHOOSE(CONTROL!$C$22, $C$13, 100%, $E$13)</f>
        <v>3.7490000000000001</v>
      </c>
      <c r="L107" s="4"/>
      <c r="M107" s="4"/>
      <c r="N107" s="4"/>
    </row>
    <row r="108" spans="1:14" ht="15">
      <c r="A108" s="13">
        <v>44927</v>
      </c>
      <c r="B108" s="63">
        <f>3.2478 * CHOOSE(CONTROL!$C$22, $C$13, 100%, $E$13)</f>
        <v>3.2477999999999998</v>
      </c>
      <c r="C108" s="63">
        <f>3.2478 * CHOOSE(CONTROL!$C$22, $C$13, 100%, $E$13)</f>
        <v>3.2477999999999998</v>
      </c>
      <c r="D108" s="63">
        <f>3.26 * CHOOSE(CONTROL!$C$22, $C$13, 100%, $E$13)</f>
        <v>3.26</v>
      </c>
      <c r="E108" s="64">
        <f>3.7975 * CHOOSE(CONTROL!$C$22, $C$13, 100%, $E$13)</f>
        <v>3.7974999999999999</v>
      </c>
      <c r="F108" s="64">
        <f>3.7975 * CHOOSE(CONTROL!$C$22, $C$13, 100%, $E$13)</f>
        <v>3.7974999999999999</v>
      </c>
      <c r="G108" s="64">
        <f>3.7977 * CHOOSE(CONTROL!$C$22, $C$13, 100%, $E$13)</f>
        <v>3.7976999999999999</v>
      </c>
      <c r="H108" s="64">
        <f>6.8258* CHOOSE(CONTROL!$C$22, $C$13, 100%, $E$13)</f>
        <v>6.8258000000000001</v>
      </c>
      <c r="I108" s="64">
        <f>6.826 * CHOOSE(CONTROL!$C$22, $C$13, 100%, $E$13)</f>
        <v>6.8259999999999996</v>
      </c>
      <c r="J108" s="64">
        <f>3.7975 * CHOOSE(CONTROL!$C$22, $C$13, 100%, $E$13)</f>
        <v>3.7974999999999999</v>
      </c>
      <c r="K108" s="64">
        <f>3.7977 * CHOOSE(CONTROL!$C$22, $C$13, 100%, $E$13)</f>
        <v>3.7976999999999999</v>
      </c>
      <c r="L108" s="4"/>
      <c r="M108" s="4"/>
      <c r="N108" s="4"/>
    </row>
    <row r="109" spans="1:14" ht="15">
      <c r="A109" s="13">
        <v>44958</v>
      </c>
      <c r="B109" s="63">
        <f>3.2448 * CHOOSE(CONTROL!$C$22, $C$13, 100%, $E$13)</f>
        <v>3.2448000000000001</v>
      </c>
      <c r="C109" s="63">
        <f>3.2448 * CHOOSE(CONTROL!$C$22, $C$13, 100%, $E$13)</f>
        <v>3.2448000000000001</v>
      </c>
      <c r="D109" s="63">
        <f>3.257 * CHOOSE(CONTROL!$C$22, $C$13, 100%, $E$13)</f>
        <v>3.2570000000000001</v>
      </c>
      <c r="E109" s="64">
        <f>3.7528 * CHOOSE(CONTROL!$C$22, $C$13, 100%, $E$13)</f>
        <v>3.7528000000000001</v>
      </c>
      <c r="F109" s="64">
        <f>3.7528 * CHOOSE(CONTROL!$C$22, $C$13, 100%, $E$13)</f>
        <v>3.7528000000000001</v>
      </c>
      <c r="G109" s="64">
        <f>3.753 * CHOOSE(CONTROL!$C$22, $C$13, 100%, $E$13)</f>
        <v>3.7530000000000001</v>
      </c>
      <c r="H109" s="64">
        <f>6.8401* CHOOSE(CONTROL!$C$22, $C$13, 100%, $E$13)</f>
        <v>6.8400999999999996</v>
      </c>
      <c r="I109" s="64">
        <f>6.8402 * CHOOSE(CONTROL!$C$22, $C$13, 100%, $E$13)</f>
        <v>6.8402000000000003</v>
      </c>
      <c r="J109" s="64">
        <f>3.7528 * CHOOSE(CONTROL!$C$22, $C$13, 100%, $E$13)</f>
        <v>3.7528000000000001</v>
      </c>
      <c r="K109" s="64">
        <f>3.753 * CHOOSE(CONTROL!$C$22, $C$13, 100%, $E$13)</f>
        <v>3.7530000000000001</v>
      </c>
      <c r="L109" s="4"/>
      <c r="M109" s="4"/>
      <c r="N109" s="4"/>
    </row>
    <row r="110" spans="1:14" ht="15">
      <c r="A110" s="13">
        <v>44986</v>
      </c>
      <c r="B110" s="63">
        <f>3.2417 * CHOOSE(CONTROL!$C$22, $C$13, 100%, $E$13)</f>
        <v>3.2416999999999998</v>
      </c>
      <c r="C110" s="63">
        <f>3.2417 * CHOOSE(CONTROL!$C$22, $C$13, 100%, $E$13)</f>
        <v>3.2416999999999998</v>
      </c>
      <c r="D110" s="63">
        <f>3.254 * CHOOSE(CONTROL!$C$22, $C$13, 100%, $E$13)</f>
        <v>3.254</v>
      </c>
      <c r="E110" s="64">
        <f>3.7843 * CHOOSE(CONTROL!$C$22, $C$13, 100%, $E$13)</f>
        <v>3.7843</v>
      </c>
      <c r="F110" s="64">
        <f>3.7843 * CHOOSE(CONTROL!$C$22, $C$13, 100%, $E$13)</f>
        <v>3.7843</v>
      </c>
      <c r="G110" s="64">
        <f>3.7844 * CHOOSE(CONTROL!$C$22, $C$13, 100%, $E$13)</f>
        <v>3.7844000000000002</v>
      </c>
      <c r="H110" s="64">
        <f>6.8543* CHOOSE(CONTROL!$C$22, $C$13, 100%, $E$13)</f>
        <v>6.8543000000000003</v>
      </c>
      <c r="I110" s="64">
        <f>6.8545 * CHOOSE(CONTROL!$C$22, $C$13, 100%, $E$13)</f>
        <v>6.8544999999999998</v>
      </c>
      <c r="J110" s="64">
        <f>3.7843 * CHOOSE(CONTROL!$C$22, $C$13, 100%, $E$13)</f>
        <v>3.7843</v>
      </c>
      <c r="K110" s="64">
        <f>3.7844 * CHOOSE(CONTROL!$C$22, $C$13, 100%, $E$13)</f>
        <v>3.7844000000000002</v>
      </c>
      <c r="L110" s="4"/>
      <c r="M110" s="4"/>
      <c r="N110" s="4"/>
    </row>
    <row r="111" spans="1:14" ht="15">
      <c r="A111" s="13">
        <v>45017</v>
      </c>
      <c r="B111" s="63">
        <f>3.2387 * CHOOSE(CONTROL!$C$22, $C$13, 100%, $E$13)</f>
        <v>3.2387000000000001</v>
      </c>
      <c r="C111" s="63">
        <f>3.2387 * CHOOSE(CONTROL!$C$22, $C$13, 100%, $E$13)</f>
        <v>3.2387000000000001</v>
      </c>
      <c r="D111" s="63">
        <f>3.2509 * CHOOSE(CONTROL!$C$22, $C$13, 100%, $E$13)</f>
        <v>3.2509000000000001</v>
      </c>
      <c r="E111" s="64">
        <f>3.816 * CHOOSE(CONTROL!$C$22, $C$13, 100%, $E$13)</f>
        <v>3.8159999999999998</v>
      </c>
      <c r="F111" s="64">
        <f>3.816 * CHOOSE(CONTROL!$C$22, $C$13, 100%, $E$13)</f>
        <v>3.8159999999999998</v>
      </c>
      <c r="G111" s="64">
        <f>3.8162 * CHOOSE(CONTROL!$C$22, $C$13, 100%, $E$13)</f>
        <v>3.8161999999999998</v>
      </c>
      <c r="H111" s="64">
        <f>6.8686* CHOOSE(CONTROL!$C$22, $C$13, 100%, $E$13)</f>
        <v>6.8685999999999998</v>
      </c>
      <c r="I111" s="64">
        <f>6.8688 * CHOOSE(CONTROL!$C$22, $C$13, 100%, $E$13)</f>
        <v>6.8688000000000002</v>
      </c>
      <c r="J111" s="64">
        <f>3.816 * CHOOSE(CONTROL!$C$22, $C$13, 100%, $E$13)</f>
        <v>3.8159999999999998</v>
      </c>
      <c r="K111" s="64">
        <f>3.8162 * CHOOSE(CONTROL!$C$22, $C$13, 100%, $E$13)</f>
        <v>3.8161999999999998</v>
      </c>
      <c r="L111" s="4"/>
      <c r="M111" s="4"/>
      <c r="N111" s="4"/>
    </row>
    <row r="112" spans="1:14" ht="15">
      <c r="A112" s="13">
        <v>45047</v>
      </c>
      <c r="B112" s="63">
        <f>3.2387 * CHOOSE(CONTROL!$C$22, $C$13, 100%, $E$13)</f>
        <v>3.2387000000000001</v>
      </c>
      <c r="C112" s="63">
        <f>3.2387 * CHOOSE(CONTROL!$C$22, $C$13, 100%, $E$13)</f>
        <v>3.2387000000000001</v>
      </c>
      <c r="D112" s="63">
        <f>3.2631 * CHOOSE(CONTROL!$C$22, $C$13, 100%, $E$13)</f>
        <v>3.2631000000000001</v>
      </c>
      <c r="E112" s="64">
        <f>3.8295 * CHOOSE(CONTROL!$C$22, $C$13, 100%, $E$13)</f>
        <v>3.8294999999999999</v>
      </c>
      <c r="F112" s="64">
        <f>3.8295 * CHOOSE(CONTROL!$C$22, $C$13, 100%, $E$13)</f>
        <v>3.8294999999999999</v>
      </c>
      <c r="G112" s="64">
        <f>3.8311 * CHOOSE(CONTROL!$C$22, $C$13, 100%, $E$13)</f>
        <v>3.8311000000000002</v>
      </c>
      <c r="H112" s="64">
        <f>6.8829* CHOOSE(CONTROL!$C$22, $C$13, 100%, $E$13)</f>
        <v>6.8829000000000002</v>
      </c>
      <c r="I112" s="64">
        <f>6.8845 * CHOOSE(CONTROL!$C$22, $C$13, 100%, $E$13)</f>
        <v>6.8845000000000001</v>
      </c>
      <c r="J112" s="64">
        <f>3.8295 * CHOOSE(CONTROL!$C$22, $C$13, 100%, $E$13)</f>
        <v>3.8294999999999999</v>
      </c>
      <c r="K112" s="64">
        <f>3.8311 * CHOOSE(CONTROL!$C$22, $C$13, 100%, $E$13)</f>
        <v>3.8311000000000002</v>
      </c>
      <c r="L112" s="4"/>
      <c r="M112" s="4"/>
      <c r="N112" s="4"/>
    </row>
    <row r="113" spans="1:14" ht="15">
      <c r="A113" s="13">
        <v>45078</v>
      </c>
      <c r="B113" s="63">
        <f>3.2448 * CHOOSE(CONTROL!$C$22, $C$13, 100%, $E$13)</f>
        <v>3.2448000000000001</v>
      </c>
      <c r="C113" s="63">
        <f>3.2448 * CHOOSE(CONTROL!$C$22, $C$13, 100%, $E$13)</f>
        <v>3.2448000000000001</v>
      </c>
      <c r="D113" s="63">
        <f>3.2692 * CHOOSE(CONTROL!$C$22, $C$13, 100%, $E$13)</f>
        <v>3.2692000000000001</v>
      </c>
      <c r="E113" s="64">
        <f>3.8203 * CHOOSE(CONTROL!$C$22, $C$13, 100%, $E$13)</f>
        <v>3.8203</v>
      </c>
      <c r="F113" s="64">
        <f>3.8203 * CHOOSE(CONTROL!$C$22, $C$13, 100%, $E$13)</f>
        <v>3.8203</v>
      </c>
      <c r="G113" s="64">
        <f>3.8218 * CHOOSE(CONTROL!$C$22, $C$13, 100%, $E$13)</f>
        <v>3.8218000000000001</v>
      </c>
      <c r="H113" s="64">
        <f>6.8972* CHOOSE(CONTROL!$C$22, $C$13, 100%, $E$13)</f>
        <v>6.8971999999999998</v>
      </c>
      <c r="I113" s="64">
        <f>6.8988 * CHOOSE(CONTROL!$C$22, $C$13, 100%, $E$13)</f>
        <v>6.8987999999999996</v>
      </c>
      <c r="J113" s="64">
        <f>3.8203 * CHOOSE(CONTROL!$C$22, $C$13, 100%, $E$13)</f>
        <v>3.8203</v>
      </c>
      <c r="K113" s="64">
        <f>3.8218 * CHOOSE(CONTROL!$C$22, $C$13, 100%, $E$13)</f>
        <v>3.8218000000000001</v>
      </c>
      <c r="L113" s="4"/>
      <c r="M113" s="4"/>
      <c r="N113" s="4"/>
    </row>
    <row r="114" spans="1:14" ht="15">
      <c r="A114" s="13">
        <v>45108</v>
      </c>
      <c r="B114" s="63">
        <f>3.3031 * CHOOSE(CONTROL!$C$22, $C$13, 100%, $E$13)</f>
        <v>3.3031000000000001</v>
      </c>
      <c r="C114" s="63">
        <f>3.3031 * CHOOSE(CONTROL!$C$22, $C$13, 100%, $E$13)</f>
        <v>3.3031000000000001</v>
      </c>
      <c r="D114" s="63">
        <f>3.3275 * CHOOSE(CONTROL!$C$22, $C$13, 100%, $E$13)</f>
        <v>3.3275000000000001</v>
      </c>
      <c r="E114" s="64">
        <f>3.8691 * CHOOSE(CONTROL!$C$22, $C$13, 100%, $E$13)</f>
        <v>3.8691</v>
      </c>
      <c r="F114" s="64">
        <f>3.8691 * CHOOSE(CONTROL!$C$22, $C$13, 100%, $E$13)</f>
        <v>3.8691</v>
      </c>
      <c r="G114" s="64">
        <f>3.8706 * CHOOSE(CONTROL!$C$22, $C$13, 100%, $E$13)</f>
        <v>3.8706</v>
      </c>
      <c r="H114" s="64">
        <f>6.9116* CHOOSE(CONTROL!$C$22, $C$13, 100%, $E$13)</f>
        <v>6.9116</v>
      </c>
      <c r="I114" s="64">
        <f>6.9132 * CHOOSE(CONTROL!$C$22, $C$13, 100%, $E$13)</f>
        <v>6.9131999999999998</v>
      </c>
      <c r="J114" s="64">
        <f>3.8691 * CHOOSE(CONTROL!$C$22, $C$13, 100%, $E$13)</f>
        <v>3.8691</v>
      </c>
      <c r="K114" s="64">
        <f>3.8706 * CHOOSE(CONTROL!$C$22, $C$13, 100%, $E$13)</f>
        <v>3.8706</v>
      </c>
      <c r="L114" s="4"/>
      <c r="M114" s="4"/>
      <c r="N114" s="4"/>
    </row>
    <row r="115" spans="1:14" ht="15">
      <c r="A115" s="13">
        <v>45139</v>
      </c>
      <c r="B115" s="63">
        <f>3.3098 * CHOOSE(CONTROL!$C$22, $C$13, 100%, $E$13)</f>
        <v>3.3098000000000001</v>
      </c>
      <c r="C115" s="63">
        <f>3.3098 * CHOOSE(CONTROL!$C$22, $C$13, 100%, $E$13)</f>
        <v>3.3098000000000001</v>
      </c>
      <c r="D115" s="63">
        <f>3.3342 * CHOOSE(CONTROL!$C$22, $C$13, 100%, $E$13)</f>
        <v>3.3342000000000001</v>
      </c>
      <c r="E115" s="64">
        <f>3.8332 * CHOOSE(CONTROL!$C$22, $C$13, 100%, $E$13)</f>
        <v>3.8332000000000002</v>
      </c>
      <c r="F115" s="64">
        <f>3.8332 * CHOOSE(CONTROL!$C$22, $C$13, 100%, $E$13)</f>
        <v>3.8332000000000002</v>
      </c>
      <c r="G115" s="64">
        <f>3.8348 * CHOOSE(CONTROL!$C$22, $C$13, 100%, $E$13)</f>
        <v>3.8348</v>
      </c>
      <c r="H115" s="64">
        <f>6.926* CHOOSE(CONTROL!$C$22, $C$13, 100%, $E$13)</f>
        <v>6.9260000000000002</v>
      </c>
      <c r="I115" s="64">
        <f>6.9276 * CHOOSE(CONTROL!$C$22, $C$13, 100%, $E$13)</f>
        <v>6.9276</v>
      </c>
      <c r="J115" s="64">
        <f>3.8332 * CHOOSE(CONTROL!$C$22, $C$13, 100%, $E$13)</f>
        <v>3.8332000000000002</v>
      </c>
      <c r="K115" s="64">
        <f>3.8348 * CHOOSE(CONTROL!$C$22, $C$13, 100%, $E$13)</f>
        <v>3.8348</v>
      </c>
      <c r="L115" s="4"/>
      <c r="M115" s="4"/>
      <c r="N115" s="4"/>
    </row>
    <row r="116" spans="1:14" ht="15">
      <c r="A116" s="13">
        <v>45170</v>
      </c>
      <c r="B116" s="63">
        <f>3.3067 * CHOOSE(CONTROL!$C$22, $C$13, 100%, $E$13)</f>
        <v>3.3067000000000002</v>
      </c>
      <c r="C116" s="63">
        <f>3.3067 * CHOOSE(CONTROL!$C$22, $C$13, 100%, $E$13)</f>
        <v>3.3067000000000002</v>
      </c>
      <c r="D116" s="63">
        <f>3.3312 * CHOOSE(CONTROL!$C$22, $C$13, 100%, $E$13)</f>
        <v>3.3311999999999999</v>
      </c>
      <c r="E116" s="64">
        <f>3.8266 * CHOOSE(CONTROL!$C$22, $C$13, 100%, $E$13)</f>
        <v>3.8266</v>
      </c>
      <c r="F116" s="64">
        <f>3.8266 * CHOOSE(CONTROL!$C$22, $C$13, 100%, $E$13)</f>
        <v>3.8266</v>
      </c>
      <c r="G116" s="64">
        <f>3.8282 * CHOOSE(CONTROL!$C$22, $C$13, 100%, $E$13)</f>
        <v>3.8281999999999998</v>
      </c>
      <c r="H116" s="64">
        <f>6.9404* CHOOSE(CONTROL!$C$22, $C$13, 100%, $E$13)</f>
        <v>6.9404000000000003</v>
      </c>
      <c r="I116" s="64">
        <f>6.942 * CHOOSE(CONTROL!$C$22, $C$13, 100%, $E$13)</f>
        <v>6.9420000000000002</v>
      </c>
      <c r="J116" s="64">
        <f>3.8266 * CHOOSE(CONTROL!$C$22, $C$13, 100%, $E$13)</f>
        <v>3.8266</v>
      </c>
      <c r="K116" s="64">
        <f>3.8282 * CHOOSE(CONTROL!$C$22, $C$13, 100%, $E$13)</f>
        <v>3.8281999999999998</v>
      </c>
      <c r="L116" s="4"/>
      <c r="M116" s="4"/>
      <c r="N116" s="4"/>
    </row>
    <row r="117" spans="1:14" ht="15">
      <c r="A117" s="13">
        <v>45200</v>
      </c>
      <c r="B117" s="63">
        <f>3.2994 * CHOOSE(CONTROL!$C$22, $C$13, 100%, $E$13)</f>
        <v>3.2993999999999999</v>
      </c>
      <c r="C117" s="63">
        <f>3.2994 * CHOOSE(CONTROL!$C$22, $C$13, 100%, $E$13)</f>
        <v>3.2993999999999999</v>
      </c>
      <c r="D117" s="63">
        <f>3.3116 * CHOOSE(CONTROL!$C$22, $C$13, 100%, $E$13)</f>
        <v>3.3115999999999999</v>
      </c>
      <c r="E117" s="64">
        <f>3.8312 * CHOOSE(CONTROL!$C$22, $C$13, 100%, $E$13)</f>
        <v>3.8311999999999999</v>
      </c>
      <c r="F117" s="64">
        <f>3.8312 * CHOOSE(CONTROL!$C$22, $C$13, 100%, $E$13)</f>
        <v>3.8311999999999999</v>
      </c>
      <c r="G117" s="64">
        <f>3.8314 * CHOOSE(CONTROL!$C$22, $C$13, 100%, $E$13)</f>
        <v>3.8313999999999999</v>
      </c>
      <c r="H117" s="64">
        <f>6.9549* CHOOSE(CONTROL!$C$22, $C$13, 100%, $E$13)</f>
        <v>6.9549000000000003</v>
      </c>
      <c r="I117" s="64">
        <f>6.9551 * CHOOSE(CONTROL!$C$22, $C$13, 100%, $E$13)</f>
        <v>6.9550999999999998</v>
      </c>
      <c r="J117" s="64">
        <f>3.8312 * CHOOSE(CONTROL!$C$22, $C$13, 100%, $E$13)</f>
        <v>3.8311999999999999</v>
      </c>
      <c r="K117" s="64">
        <f>3.8314 * CHOOSE(CONTROL!$C$22, $C$13, 100%, $E$13)</f>
        <v>3.8313999999999999</v>
      </c>
      <c r="L117" s="4"/>
      <c r="M117" s="4"/>
      <c r="N117" s="4"/>
    </row>
    <row r="118" spans="1:14" ht="15">
      <c r="A118" s="13">
        <v>45231</v>
      </c>
      <c r="B118" s="63">
        <f>3.3024 * CHOOSE(CONTROL!$C$22, $C$13, 100%, $E$13)</f>
        <v>3.3024</v>
      </c>
      <c r="C118" s="63">
        <f>3.3024 * CHOOSE(CONTROL!$C$22, $C$13, 100%, $E$13)</f>
        <v>3.3024</v>
      </c>
      <c r="D118" s="63">
        <f>3.3146 * CHOOSE(CONTROL!$C$22, $C$13, 100%, $E$13)</f>
        <v>3.3146</v>
      </c>
      <c r="E118" s="64">
        <f>3.8423 * CHOOSE(CONTROL!$C$22, $C$13, 100%, $E$13)</f>
        <v>3.8422999999999998</v>
      </c>
      <c r="F118" s="64">
        <f>3.8423 * CHOOSE(CONTROL!$C$22, $C$13, 100%, $E$13)</f>
        <v>3.8422999999999998</v>
      </c>
      <c r="G118" s="64">
        <f>3.8425 * CHOOSE(CONTROL!$C$22, $C$13, 100%, $E$13)</f>
        <v>3.8424999999999998</v>
      </c>
      <c r="H118" s="64">
        <f>6.9694* CHOOSE(CONTROL!$C$22, $C$13, 100%, $E$13)</f>
        <v>6.9694000000000003</v>
      </c>
      <c r="I118" s="64">
        <f>6.9696 * CHOOSE(CONTROL!$C$22, $C$13, 100%, $E$13)</f>
        <v>6.9695999999999998</v>
      </c>
      <c r="J118" s="64">
        <f>3.8423 * CHOOSE(CONTROL!$C$22, $C$13, 100%, $E$13)</f>
        <v>3.8422999999999998</v>
      </c>
      <c r="K118" s="64">
        <f>3.8425 * CHOOSE(CONTROL!$C$22, $C$13, 100%, $E$13)</f>
        <v>3.8424999999999998</v>
      </c>
      <c r="L118" s="4"/>
      <c r="M118" s="4"/>
      <c r="N118" s="4"/>
    </row>
    <row r="119" spans="1:14" ht="15">
      <c r="A119" s="13">
        <v>45261</v>
      </c>
      <c r="B119" s="63">
        <f>3.3024 * CHOOSE(CONTROL!$C$22, $C$13, 100%, $E$13)</f>
        <v>3.3024</v>
      </c>
      <c r="C119" s="63">
        <f>3.3024 * CHOOSE(CONTROL!$C$22, $C$13, 100%, $E$13)</f>
        <v>3.3024</v>
      </c>
      <c r="D119" s="63">
        <f>3.3146 * CHOOSE(CONTROL!$C$22, $C$13, 100%, $E$13)</f>
        <v>3.3146</v>
      </c>
      <c r="E119" s="64">
        <f>3.8198 * CHOOSE(CONTROL!$C$22, $C$13, 100%, $E$13)</f>
        <v>3.8197999999999999</v>
      </c>
      <c r="F119" s="64">
        <f>3.8198 * CHOOSE(CONTROL!$C$22, $C$13, 100%, $E$13)</f>
        <v>3.8197999999999999</v>
      </c>
      <c r="G119" s="64">
        <f>3.82 * CHOOSE(CONTROL!$C$22, $C$13, 100%, $E$13)</f>
        <v>3.82</v>
      </c>
      <c r="H119" s="64">
        <f>6.9839* CHOOSE(CONTROL!$C$22, $C$13, 100%, $E$13)</f>
        <v>6.9839000000000002</v>
      </c>
      <c r="I119" s="64">
        <f>6.9841 * CHOOSE(CONTROL!$C$22, $C$13, 100%, $E$13)</f>
        <v>6.9840999999999998</v>
      </c>
      <c r="J119" s="64">
        <f>3.8198 * CHOOSE(CONTROL!$C$22, $C$13, 100%, $E$13)</f>
        <v>3.8197999999999999</v>
      </c>
      <c r="K119" s="64">
        <f>3.82 * CHOOSE(CONTROL!$C$22, $C$13, 100%, $E$13)</f>
        <v>3.82</v>
      </c>
      <c r="L119" s="4"/>
      <c r="M119" s="4"/>
      <c r="N119" s="4"/>
    </row>
    <row r="120" spans="1:14" ht="15">
      <c r="A120" s="13">
        <v>45292</v>
      </c>
      <c r="B120" s="63">
        <f>3.3324 * CHOOSE(CONTROL!$C$22, $C$13, 100%, $E$13)</f>
        <v>3.3323999999999998</v>
      </c>
      <c r="C120" s="63">
        <f>3.3324 * CHOOSE(CONTROL!$C$22, $C$13, 100%, $E$13)</f>
        <v>3.3323999999999998</v>
      </c>
      <c r="D120" s="63">
        <f>3.3446 * CHOOSE(CONTROL!$C$22, $C$13, 100%, $E$13)</f>
        <v>3.3445999999999998</v>
      </c>
      <c r="E120" s="64">
        <f>3.8554 * CHOOSE(CONTROL!$C$22, $C$13, 100%, $E$13)</f>
        <v>3.8553999999999999</v>
      </c>
      <c r="F120" s="64">
        <f>3.8554 * CHOOSE(CONTROL!$C$22, $C$13, 100%, $E$13)</f>
        <v>3.8553999999999999</v>
      </c>
      <c r="G120" s="64">
        <f>3.8555 * CHOOSE(CONTROL!$C$22, $C$13, 100%, $E$13)</f>
        <v>3.8555000000000001</v>
      </c>
      <c r="H120" s="64">
        <f>6.9985* CHOOSE(CONTROL!$C$22, $C$13, 100%, $E$13)</f>
        <v>6.9984999999999999</v>
      </c>
      <c r="I120" s="64">
        <f>6.9986 * CHOOSE(CONTROL!$C$22, $C$13, 100%, $E$13)</f>
        <v>6.9985999999999997</v>
      </c>
      <c r="J120" s="64">
        <f>3.8554 * CHOOSE(CONTROL!$C$22, $C$13, 100%, $E$13)</f>
        <v>3.8553999999999999</v>
      </c>
      <c r="K120" s="64">
        <f>3.8555 * CHOOSE(CONTROL!$C$22, $C$13, 100%, $E$13)</f>
        <v>3.8555000000000001</v>
      </c>
      <c r="L120" s="4"/>
      <c r="M120" s="4"/>
      <c r="N120" s="4"/>
    </row>
    <row r="121" spans="1:14" ht="15">
      <c r="A121" s="13">
        <v>45323</v>
      </c>
      <c r="B121" s="63">
        <f>3.3294 * CHOOSE(CONTROL!$C$22, $C$13, 100%, $E$13)</f>
        <v>3.3294000000000001</v>
      </c>
      <c r="C121" s="63">
        <f>3.3294 * CHOOSE(CONTROL!$C$22, $C$13, 100%, $E$13)</f>
        <v>3.3294000000000001</v>
      </c>
      <c r="D121" s="63">
        <f>3.3416 * CHOOSE(CONTROL!$C$22, $C$13, 100%, $E$13)</f>
        <v>3.3416000000000001</v>
      </c>
      <c r="E121" s="64">
        <f>3.8103 * CHOOSE(CONTROL!$C$22, $C$13, 100%, $E$13)</f>
        <v>3.8102999999999998</v>
      </c>
      <c r="F121" s="64">
        <f>3.8103 * CHOOSE(CONTROL!$C$22, $C$13, 100%, $E$13)</f>
        <v>3.8102999999999998</v>
      </c>
      <c r="G121" s="64">
        <f>3.8105 * CHOOSE(CONTROL!$C$22, $C$13, 100%, $E$13)</f>
        <v>3.8105000000000002</v>
      </c>
      <c r="H121" s="64">
        <f>7.013* CHOOSE(CONTROL!$C$22, $C$13, 100%, $E$13)</f>
        <v>7.0129999999999999</v>
      </c>
      <c r="I121" s="64">
        <f>7.0132 * CHOOSE(CONTROL!$C$22, $C$13, 100%, $E$13)</f>
        <v>7.0132000000000003</v>
      </c>
      <c r="J121" s="64">
        <f>3.8103 * CHOOSE(CONTROL!$C$22, $C$13, 100%, $E$13)</f>
        <v>3.8102999999999998</v>
      </c>
      <c r="K121" s="64">
        <f>3.8105 * CHOOSE(CONTROL!$C$22, $C$13, 100%, $E$13)</f>
        <v>3.8105000000000002</v>
      </c>
      <c r="L121" s="4"/>
      <c r="M121" s="4"/>
      <c r="N121" s="4"/>
    </row>
    <row r="122" spans="1:14" ht="15">
      <c r="A122" s="13">
        <v>45352</v>
      </c>
      <c r="B122" s="63">
        <f>3.3263 * CHOOSE(CONTROL!$C$22, $C$13, 100%, $E$13)</f>
        <v>3.3262999999999998</v>
      </c>
      <c r="C122" s="63">
        <f>3.3263 * CHOOSE(CONTROL!$C$22, $C$13, 100%, $E$13)</f>
        <v>3.3262999999999998</v>
      </c>
      <c r="D122" s="63">
        <f>3.3385 * CHOOSE(CONTROL!$C$22, $C$13, 100%, $E$13)</f>
        <v>3.3384999999999998</v>
      </c>
      <c r="E122" s="64">
        <f>3.842 * CHOOSE(CONTROL!$C$22, $C$13, 100%, $E$13)</f>
        <v>3.8420000000000001</v>
      </c>
      <c r="F122" s="64">
        <f>3.842 * CHOOSE(CONTROL!$C$22, $C$13, 100%, $E$13)</f>
        <v>3.8420000000000001</v>
      </c>
      <c r="G122" s="64">
        <f>3.8422 * CHOOSE(CONTROL!$C$22, $C$13, 100%, $E$13)</f>
        <v>3.8422000000000001</v>
      </c>
      <c r="H122" s="64">
        <f>7.0276* CHOOSE(CONTROL!$C$22, $C$13, 100%, $E$13)</f>
        <v>7.0275999999999996</v>
      </c>
      <c r="I122" s="64">
        <f>7.0278 * CHOOSE(CONTROL!$C$22, $C$13, 100%, $E$13)</f>
        <v>7.0278</v>
      </c>
      <c r="J122" s="64">
        <f>3.842 * CHOOSE(CONTROL!$C$22, $C$13, 100%, $E$13)</f>
        <v>3.8420000000000001</v>
      </c>
      <c r="K122" s="64">
        <f>3.8422 * CHOOSE(CONTROL!$C$22, $C$13, 100%, $E$13)</f>
        <v>3.8422000000000001</v>
      </c>
      <c r="L122" s="4"/>
      <c r="M122" s="4"/>
      <c r="N122" s="4"/>
    </row>
    <row r="123" spans="1:14" ht="15">
      <c r="A123" s="13">
        <v>45383</v>
      </c>
      <c r="B123" s="63">
        <f>3.3234 * CHOOSE(CONTROL!$C$22, $C$13, 100%, $E$13)</f>
        <v>3.3233999999999999</v>
      </c>
      <c r="C123" s="63">
        <f>3.3234 * CHOOSE(CONTROL!$C$22, $C$13, 100%, $E$13)</f>
        <v>3.3233999999999999</v>
      </c>
      <c r="D123" s="63">
        <f>3.3356 * CHOOSE(CONTROL!$C$22, $C$13, 100%, $E$13)</f>
        <v>3.3355999999999999</v>
      </c>
      <c r="E123" s="64">
        <f>3.8741 * CHOOSE(CONTROL!$C$22, $C$13, 100%, $E$13)</f>
        <v>3.8740999999999999</v>
      </c>
      <c r="F123" s="64">
        <f>3.8741 * CHOOSE(CONTROL!$C$22, $C$13, 100%, $E$13)</f>
        <v>3.8740999999999999</v>
      </c>
      <c r="G123" s="64">
        <f>3.8743 * CHOOSE(CONTROL!$C$22, $C$13, 100%, $E$13)</f>
        <v>3.8742999999999999</v>
      </c>
      <c r="H123" s="64">
        <f>7.0423* CHOOSE(CONTROL!$C$22, $C$13, 100%, $E$13)</f>
        <v>7.0423</v>
      </c>
      <c r="I123" s="64">
        <f>7.0425 * CHOOSE(CONTROL!$C$22, $C$13, 100%, $E$13)</f>
        <v>7.0425000000000004</v>
      </c>
      <c r="J123" s="64">
        <f>3.8741 * CHOOSE(CONTROL!$C$22, $C$13, 100%, $E$13)</f>
        <v>3.8740999999999999</v>
      </c>
      <c r="K123" s="64">
        <f>3.8743 * CHOOSE(CONTROL!$C$22, $C$13, 100%, $E$13)</f>
        <v>3.8742999999999999</v>
      </c>
      <c r="L123" s="4"/>
      <c r="M123" s="4"/>
      <c r="N123" s="4"/>
    </row>
    <row r="124" spans="1:14" ht="15">
      <c r="A124" s="13">
        <v>45413</v>
      </c>
      <c r="B124" s="63">
        <f>3.3234 * CHOOSE(CONTROL!$C$22, $C$13, 100%, $E$13)</f>
        <v>3.3233999999999999</v>
      </c>
      <c r="C124" s="63">
        <f>3.3234 * CHOOSE(CONTROL!$C$22, $C$13, 100%, $E$13)</f>
        <v>3.3233999999999999</v>
      </c>
      <c r="D124" s="63">
        <f>3.3478 * CHOOSE(CONTROL!$C$22, $C$13, 100%, $E$13)</f>
        <v>3.3477999999999999</v>
      </c>
      <c r="E124" s="64">
        <f>3.8877 * CHOOSE(CONTROL!$C$22, $C$13, 100%, $E$13)</f>
        <v>3.8877000000000002</v>
      </c>
      <c r="F124" s="64">
        <f>3.8877 * CHOOSE(CONTROL!$C$22, $C$13, 100%, $E$13)</f>
        <v>3.8877000000000002</v>
      </c>
      <c r="G124" s="64">
        <f>3.8893 * CHOOSE(CONTROL!$C$22, $C$13, 100%, $E$13)</f>
        <v>3.8893</v>
      </c>
      <c r="H124" s="64">
        <f>7.057* CHOOSE(CONTROL!$C$22, $C$13, 100%, $E$13)</f>
        <v>7.0570000000000004</v>
      </c>
      <c r="I124" s="64">
        <f>7.0585 * CHOOSE(CONTROL!$C$22, $C$13, 100%, $E$13)</f>
        <v>7.0585000000000004</v>
      </c>
      <c r="J124" s="64">
        <f>3.8877 * CHOOSE(CONTROL!$C$22, $C$13, 100%, $E$13)</f>
        <v>3.8877000000000002</v>
      </c>
      <c r="K124" s="64">
        <f>3.8893 * CHOOSE(CONTROL!$C$22, $C$13, 100%, $E$13)</f>
        <v>3.8893</v>
      </c>
      <c r="L124" s="4"/>
      <c r="M124" s="4"/>
      <c r="N124" s="4"/>
    </row>
    <row r="125" spans="1:14" ht="15">
      <c r="A125" s="13">
        <v>45444</v>
      </c>
      <c r="B125" s="63">
        <f>3.3294 * CHOOSE(CONTROL!$C$22, $C$13, 100%, $E$13)</f>
        <v>3.3294000000000001</v>
      </c>
      <c r="C125" s="63">
        <f>3.3294 * CHOOSE(CONTROL!$C$22, $C$13, 100%, $E$13)</f>
        <v>3.3294000000000001</v>
      </c>
      <c r="D125" s="63">
        <f>3.3539 * CHOOSE(CONTROL!$C$22, $C$13, 100%, $E$13)</f>
        <v>3.3538999999999999</v>
      </c>
      <c r="E125" s="64">
        <f>3.8784 * CHOOSE(CONTROL!$C$22, $C$13, 100%, $E$13)</f>
        <v>3.8784000000000001</v>
      </c>
      <c r="F125" s="64">
        <f>3.8784 * CHOOSE(CONTROL!$C$22, $C$13, 100%, $E$13)</f>
        <v>3.8784000000000001</v>
      </c>
      <c r="G125" s="64">
        <f>3.8799 * CHOOSE(CONTROL!$C$22, $C$13, 100%, $E$13)</f>
        <v>3.8799000000000001</v>
      </c>
      <c r="H125" s="64">
        <f>7.0717* CHOOSE(CONTROL!$C$22, $C$13, 100%, $E$13)</f>
        <v>7.0716999999999999</v>
      </c>
      <c r="I125" s="64">
        <f>7.0732 * CHOOSE(CONTROL!$C$22, $C$13, 100%, $E$13)</f>
        <v>7.0731999999999999</v>
      </c>
      <c r="J125" s="64">
        <f>3.8784 * CHOOSE(CONTROL!$C$22, $C$13, 100%, $E$13)</f>
        <v>3.8784000000000001</v>
      </c>
      <c r="K125" s="64">
        <f>3.8799 * CHOOSE(CONTROL!$C$22, $C$13, 100%, $E$13)</f>
        <v>3.8799000000000001</v>
      </c>
      <c r="L125" s="4"/>
      <c r="M125" s="4"/>
      <c r="N125" s="4"/>
    </row>
    <row r="126" spans="1:14" ht="15">
      <c r="A126" s="13">
        <v>45474</v>
      </c>
      <c r="B126" s="63">
        <f>3.3849 * CHOOSE(CONTROL!$C$22, $C$13, 100%, $E$13)</f>
        <v>3.3849</v>
      </c>
      <c r="C126" s="63">
        <f>3.3849 * CHOOSE(CONTROL!$C$22, $C$13, 100%, $E$13)</f>
        <v>3.3849</v>
      </c>
      <c r="D126" s="63">
        <f>3.4093 * CHOOSE(CONTROL!$C$22, $C$13, 100%, $E$13)</f>
        <v>3.4093</v>
      </c>
      <c r="E126" s="64">
        <f>3.9401 * CHOOSE(CONTROL!$C$22, $C$13, 100%, $E$13)</f>
        <v>3.9401000000000002</v>
      </c>
      <c r="F126" s="64">
        <f>3.9401 * CHOOSE(CONTROL!$C$22, $C$13, 100%, $E$13)</f>
        <v>3.9401000000000002</v>
      </c>
      <c r="G126" s="64">
        <f>3.9416 * CHOOSE(CONTROL!$C$22, $C$13, 100%, $E$13)</f>
        <v>3.9416000000000002</v>
      </c>
      <c r="H126" s="64">
        <f>7.0864* CHOOSE(CONTROL!$C$22, $C$13, 100%, $E$13)</f>
        <v>7.0864000000000003</v>
      </c>
      <c r="I126" s="64">
        <f>7.088 * CHOOSE(CONTROL!$C$22, $C$13, 100%, $E$13)</f>
        <v>7.0880000000000001</v>
      </c>
      <c r="J126" s="64">
        <f>3.9401 * CHOOSE(CONTROL!$C$22, $C$13, 100%, $E$13)</f>
        <v>3.9401000000000002</v>
      </c>
      <c r="K126" s="64">
        <f>3.9416 * CHOOSE(CONTROL!$C$22, $C$13, 100%, $E$13)</f>
        <v>3.9416000000000002</v>
      </c>
      <c r="L126" s="4"/>
      <c r="M126" s="4"/>
      <c r="N126" s="4"/>
    </row>
    <row r="127" spans="1:14" ht="15">
      <c r="A127" s="13">
        <v>45505</v>
      </c>
      <c r="B127" s="63">
        <f>3.3915 * CHOOSE(CONTROL!$C$22, $C$13, 100%, $E$13)</f>
        <v>3.3915000000000002</v>
      </c>
      <c r="C127" s="63">
        <f>3.3915 * CHOOSE(CONTROL!$C$22, $C$13, 100%, $E$13)</f>
        <v>3.3915000000000002</v>
      </c>
      <c r="D127" s="63">
        <f>3.416 * CHOOSE(CONTROL!$C$22, $C$13, 100%, $E$13)</f>
        <v>3.4159999999999999</v>
      </c>
      <c r="E127" s="64">
        <f>3.9039 * CHOOSE(CONTROL!$C$22, $C$13, 100%, $E$13)</f>
        <v>3.9039000000000001</v>
      </c>
      <c r="F127" s="64">
        <f>3.9039 * CHOOSE(CONTROL!$C$22, $C$13, 100%, $E$13)</f>
        <v>3.9039000000000001</v>
      </c>
      <c r="G127" s="64">
        <f>3.9054 * CHOOSE(CONTROL!$C$22, $C$13, 100%, $E$13)</f>
        <v>3.9054000000000002</v>
      </c>
      <c r="H127" s="64">
        <f>7.1012* CHOOSE(CONTROL!$C$22, $C$13, 100%, $E$13)</f>
        <v>7.1012000000000004</v>
      </c>
      <c r="I127" s="64">
        <f>7.1027 * CHOOSE(CONTROL!$C$22, $C$13, 100%, $E$13)</f>
        <v>7.1026999999999996</v>
      </c>
      <c r="J127" s="64">
        <f>3.9039 * CHOOSE(CONTROL!$C$22, $C$13, 100%, $E$13)</f>
        <v>3.9039000000000001</v>
      </c>
      <c r="K127" s="64">
        <f>3.9054 * CHOOSE(CONTROL!$C$22, $C$13, 100%, $E$13)</f>
        <v>3.9054000000000002</v>
      </c>
      <c r="L127" s="4"/>
      <c r="M127" s="4"/>
      <c r="N127" s="4"/>
    </row>
    <row r="128" spans="1:14" ht="15">
      <c r="A128" s="13">
        <v>45536</v>
      </c>
      <c r="B128" s="63">
        <f>3.3885 * CHOOSE(CONTROL!$C$22, $C$13, 100%, $E$13)</f>
        <v>3.3885000000000001</v>
      </c>
      <c r="C128" s="63">
        <f>3.3885 * CHOOSE(CONTROL!$C$22, $C$13, 100%, $E$13)</f>
        <v>3.3885000000000001</v>
      </c>
      <c r="D128" s="63">
        <f>3.4129 * CHOOSE(CONTROL!$C$22, $C$13, 100%, $E$13)</f>
        <v>3.4129</v>
      </c>
      <c r="E128" s="64">
        <f>3.8972 * CHOOSE(CONTROL!$C$22, $C$13, 100%, $E$13)</f>
        <v>3.8972000000000002</v>
      </c>
      <c r="F128" s="64">
        <f>3.8972 * CHOOSE(CONTROL!$C$22, $C$13, 100%, $E$13)</f>
        <v>3.8972000000000002</v>
      </c>
      <c r="G128" s="64">
        <f>3.8988 * CHOOSE(CONTROL!$C$22, $C$13, 100%, $E$13)</f>
        <v>3.8988</v>
      </c>
      <c r="H128" s="64">
        <f>7.1159* CHOOSE(CONTROL!$C$22, $C$13, 100%, $E$13)</f>
        <v>7.1158999999999999</v>
      </c>
      <c r="I128" s="64">
        <f>7.1175 * CHOOSE(CONTROL!$C$22, $C$13, 100%, $E$13)</f>
        <v>7.1174999999999997</v>
      </c>
      <c r="J128" s="64">
        <f>3.8972 * CHOOSE(CONTROL!$C$22, $C$13, 100%, $E$13)</f>
        <v>3.8972000000000002</v>
      </c>
      <c r="K128" s="64">
        <f>3.8988 * CHOOSE(CONTROL!$C$22, $C$13, 100%, $E$13)</f>
        <v>3.8988</v>
      </c>
      <c r="L128" s="4"/>
      <c r="M128" s="4"/>
      <c r="N128" s="4"/>
    </row>
    <row r="129" spans="1:14" ht="15">
      <c r="A129" s="13">
        <v>45566</v>
      </c>
      <c r="B129" s="63">
        <f>3.3815 * CHOOSE(CONTROL!$C$22, $C$13, 100%, $E$13)</f>
        <v>3.3815</v>
      </c>
      <c r="C129" s="63">
        <f>3.3815 * CHOOSE(CONTROL!$C$22, $C$13, 100%, $E$13)</f>
        <v>3.3815</v>
      </c>
      <c r="D129" s="63">
        <f>3.3937 * CHOOSE(CONTROL!$C$22, $C$13, 100%, $E$13)</f>
        <v>3.3936999999999999</v>
      </c>
      <c r="E129" s="64">
        <f>3.9019 * CHOOSE(CONTROL!$C$22, $C$13, 100%, $E$13)</f>
        <v>3.9018999999999999</v>
      </c>
      <c r="F129" s="64">
        <f>3.9019 * CHOOSE(CONTROL!$C$22, $C$13, 100%, $E$13)</f>
        <v>3.9018999999999999</v>
      </c>
      <c r="G129" s="64">
        <f>3.9021 * CHOOSE(CONTROL!$C$22, $C$13, 100%, $E$13)</f>
        <v>3.9020999999999999</v>
      </c>
      <c r="H129" s="64">
        <f>7.1308* CHOOSE(CONTROL!$C$22, $C$13, 100%, $E$13)</f>
        <v>7.1307999999999998</v>
      </c>
      <c r="I129" s="64">
        <f>7.1309 * CHOOSE(CONTROL!$C$22, $C$13, 100%, $E$13)</f>
        <v>7.1308999999999996</v>
      </c>
      <c r="J129" s="64">
        <f>3.9019 * CHOOSE(CONTROL!$C$22, $C$13, 100%, $E$13)</f>
        <v>3.9018999999999999</v>
      </c>
      <c r="K129" s="64">
        <f>3.9021 * CHOOSE(CONTROL!$C$22, $C$13, 100%, $E$13)</f>
        <v>3.9020999999999999</v>
      </c>
      <c r="L129" s="4"/>
      <c r="M129" s="4"/>
      <c r="N129" s="4"/>
    </row>
    <row r="130" spans="1:14" ht="15">
      <c r="A130" s="13">
        <v>45597</v>
      </c>
      <c r="B130" s="63">
        <f>3.3845 * CHOOSE(CONTROL!$C$22, $C$13, 100%, $E$13)</f>
        <v>3.3845000000000001</v>
      </c>
      <c r="C130" s="63">
        <f>3.3845 * CHOOSE(CONTROL!$C$22, $C$13, 100%, $E$13)</f>
        <v>3.3845000000000001</v>
      </c>
      <c r="D130" s="63">
        <f>3.3967 * CHOOSE(CONTROL!$C$22, $C$13, 100%, $E$13)</f>
        <v>3.3967000000000001</v>
      </c>
      <c r="E130" s="64">
        <f>3.9131 * CHOOSE(CONTROL!$C$22, $C$13, 100%, $E$13)</f>
        <v>3.9131</v>
      </c>
      <c r="F130" s="64">
        <f>3.9131 * CHOOSE(CONTROL!$C$22, $C$13, 100%, $E$13)</f>
        <v>3.9131</v>
      </c>
      <c r="G130" s="64">
        <f>3.9133 * CHOOSE(CONTROL!$C$22, $C$13, 100%, $E$13)</f>
        <v>3.9133</v>
      </c>
      <c r="H130" s="64">
        <f>7.1456* CHOOSE(CONTROL!$C$22, $C$13, 100%, $E$13)</f>
        <v>7.1456</v>
      </c>
      <c r="I130" s="64">
        <f>7.1458 * CHOOSE(CONTROL!$C$22, $C$13, 100%, $E$13)</f>
        <v>7.1458000000000004</v>
      </c>
      <c r="J130" s="64">
        <f>3.9131 * CHOOSE(CONTROL!$C$22, $C$13, 100%, $E$13)</f>
        <v>3.9131</v>
      </c>
      <c r="K130" s="64">
        <f>3.9133 * CHOOSE(CONTROL!$C$22, $C$13, 100%, $E$13)</f>
        <v>3.9133</v>
      </c>
      <c r="L130" s="4"/>
      <c r="M130" s="4"/>
      <c r="N130" s="4"/>
    </row>
    <row r="131" spans="1:14" ht="15">
      <c r="A131" s="13">
        <v>45627</v>
      </c>
      <c r="B131" s="63">
        <f>3.3845 * CHOOSE(CONTROL!$C$22, $C$13, 100%, $E$13)</f>
        <v>3.3845000000000001</v>
      </c>
      <c r="C131" s="63">
        <f>3.3845 * CHOOSE(CONTROL!$C$22, $C$13, 100%, $E$13)</f>
        <v>3.3845000000000001</v>
      </c>
      <c r="D131" s="63">
        <f>3.3967 * CHOOSE(CONTROL!$C$22, $C$13, 100%, $E$13)</f>
        <v>3.3967000000000001</v>
      </c>
      <c r="E131" s="64">
        <f>3.8904 * CHOOSE(CONTROL!$C$22, $C$13, 100%, $E$13)</f>
        <v>3.8904000000000001</v>
      </c>
      <c r="F131" s="64">
        <f>3.8904 * CHOOSE(CONTROL!$C$22, $C$13, 100%, $E$13)</f>
        <v>3.8904000000000001</v>
      </c>
      <c r="G131" s="64">
        <f>3.8906 * CHOOSE(CONTROL!$C$22, $C$13, 100%, $E$13)</f>
        <v>3.8906000000000001</v>
      </c>
      <c r="H131" s="64">
        <f>7.1605* CHOOSE(CONTROL!$C$22, $C$13, 100%, $E$13)</f>
        <v>7.1604999999999999</v>
      </c>
      <c r="I131" s="64">
        <f>7.1607 * CHOOSE(CONTROL!$C$22, $C$13, 100%, $E$13)</f>
        <v>7.1607000000000003</v>
      </c>
      <c r="J131" s="64">
        <f>3.8904 * CHOOSE(CONTROL!$C$22, $C$13, 100%, $E$13)</f>
        <v>3.8904000000000001</v>
      </c>
      <c r="K131" s="64">
        <f>3.8906 * CHOOSE(CONTROL!$C$22, $C$13, 100%, $E$13)</f>
        <v>3.8906000000000001</v>
      </c>
      <c r="L131" s="4"/>
      <c r="M131" s="4"/>
      <c r="N131" s="4"/>
    </row>
    <row r="132" spans="1:14" ht="15">
      <c r="A132" s="13">
        <v>45658</v>
      </c>
      <c r="B132" s="63">
        <f>3.4166 * CHOOSE(CONTROL!$C$22, $C$13, 100%, $E$13)</f>
        <v>3.4165999999999999</v>
      </c>
      <c r="C132" s="63">
        <f>3.4166 * CHOOSE(CONTROL!$C$22, $C$13, 100%, $E$13)</f>
        <v>3.4165999999999999</v>
      </c>
      <c r="D132" s="63">
        <f>3.4288 * CHOOSE(CONTROL!$C$22, $C$13, 100%, $E$13)</f>
        <v>3.4287999999999998</v>
      </c>
      <c r="E132" s="64">
        <f>3.9232 * CHOOSE(CONTROL!$C$22, $C$13, 100%, $E$13)</f>
        <v>3.9232</v>
      </c>
      <c r="F132" s="64">
        <f>3.9232 * CHOOSE(CONTROL!$C$22, $C$13, 100%, $E$13)</f>
        <v>3.9232</v>
      </c>
      <c r="G132" s="64">
        <f>3.9234 * CHOOSE(CONTROL!$C$22, $C$13, 100%, $E$13)</f>
        <v>3.9234</v>
      </c>
      <c r="H132" s="64">
        <f>7.1754* CHOOSE(CONTROL!$C$22, $C$13, 100%, $E$13)</f>
        <v>7.1753999999999998</v>
      </c>
      <c r="I132" s="64">
        <f>7.1756 * CHOOSE(CONTROL!$C$22, $C$13, 100%, $E$13)</f>
        <v>7.1756000000000002</v>
      </c>
      <c r="J132" s="64">
        <f>3.9232 * CHOOSE(CONTROL!$C$22, $C$13, 100%, $E$13)</f>
        <v>3.9232</v>
      </c>
      <c r="K132" s="64">
        <f>3.9234 * CHOOSE(CONTROL!$C$22, $C$13, 100%, $E$13)</f>
        <v>3.9234</v>
      </c>
      <c r="L132" s="4"/>
      <c r="M132" s="4"/>
      <c r="N132" s="4"/>
    </row>
    <row r="133" spans="1:14" ht="15">
      <c r="A133" s="13">
        <v>45689</v>
      </c>
      <c r="B133" s="63">
        <f>3.4136 * CHOOSE(CONTROL!$C$22, $C$13, 100%, $E$13)</f>
        <v>3.4136000000000002</v>
      </c>
      <c r="C133" s="63">
        <f>3.4136 * CHOOSE(CONTROL!$C$22, $C$13, 100%, $E$13)</f>
        <v>3.4136000000000002</v>
      </c>
      <c r="D133" s="63">
        <f>3.4258 * CHOOSE(CONTROL!$C$22, $C$13, 100%, $E$13)</f>
        <v>3.4258000000000002</v>
      </c>
      <c r="E133" s="64">
        <f>3.8779 * CHOOSE(CONTROL!$C$22, $C$13, 100%, $E$13)</f>
        <v>3.8778999999999999</v>
      </c>
      <c r="F133" s="64">
        <f>3.8779 * CHOOSE(CONTROL!$C$22, $C$13, 100%, $E$13)</f>
        <v>3.8778999999999999</v>
      </c>
      <c r="G133" s="64">
        <f>3.8781 * CHOOSE(CONTROL!$C$22, $C$13, 100%, $E$13)</f>
        <v>3.8780999999999999</v>
      </c>
      <c r="H133" s="64">
        <f>7.1904* CHOOSE(CONTROL!$C$22, $C$13, 100%, $E$13)</f>
        <v>7.1904000000000003</v>
      </c>
      <c r="I133" s="64">
        <f>7.1906 * CHOOSE(CONTROL!$C$22, $C$13, 100%, $E$13)</f>
        <v>7.1905999999999999</v>
      </c>
      <c r="J133" s="64">
        <f>3.8779 * CHOOSE(CONTROL!$C$22, $C$13, 100%, $E$13)</f>
        <v>3.8778999999999999</v>
      </c>
      <c r="K133" s="64">
        <f>3.8781 * CHOOSE(CONTROL!$C$22, $C$13, 100%, $E$13)</f>
        <v>3.8780999999999999</v>
      </c>
      <c r="L133" s="4"/>
      <c r="M133" s="4"/>
      <c r="N133" s="4"/>
    </row>
    <row r="134" spans="1:14" ht="15">
      <c r="A134" s="13">
        <v>45717</v>
      </c>
      <c r="B134" s="63">
        <f>3.4105 * CHOOSE(CONTROL!$C$22, $C$13, 100%, $E$13)</f>
        <v>3.4104999999999999</v>
      </c>
      <c r="C134" s="63">
        <f>3.4105 * CHOOSE(CONTROL!$C$22, $C$13, 100%, $E$13)</f>
        <v>3.4104999999999999</v>
      </c>
      <c r="D134" s="63">
        <f>3.4227 * CHOOSE(CONTROL!$C$22, $C$13, 100%, $E$13)</f>
        <v>3.4226999999999999</v>
      </c>
      <c r="E134" s="64">
        <f>3.9098 * CHOOSE(CONTROL!$C$22, $C$13, 100%, $E$13)</f>
        <v>3.9098000000000002</v>
      </c>
      <c r="F134" s="64">
        <f>3.9098 * CHOOSE(CONTROL!$C$22, $C$13, 100%, $E$13)</f>
        <v>3.9098000000000002</v>
      </c>
      <c r="G134" s="64">
        <f>3.91 * CHOOSE(CONTROL!$C$22, $C$13, 100%, $E$13)</f>
        <v>3.91</v>
      </c>
      <c r="H134" s="64">
        <f>7.2054* CHOOSE(CONTROL!$C$22, $C$13, 100%, $E$13)</f>
        <v>7.2054</v>
      </c>
      <c r="I134" s="64">
        <f>7.2055 * CHOOSE(CONTROL!$C$22, $C$13, 100%, $E$13)</f>
        <v>7.2054999999999998</v>
      </c>
      <c r="J134" s="64">
        <f>3.9098 * CHOOSE(CONTROL!$C$22, $C$13, 100%, $E$13)</f>
        <v>3.9098000000000002</v>
      </c>
      <c r="K134" s="64">
        <f>3.91 * CHOOSE(CONTROL!$C$22, $C$13, 100%, $E$13)</f>
        <v>3.91</v>
      </c>
      <c r="L134" s="4"/>
      <c r="M134" s="4"/>
      <c r="N134" s="4"/>
    </row>
    <row r="135" spans="1:14" ht="15">
      <c r="A135" s="13">
        <v>45748</v>
      </c>
      <c r="B135" s="63">
        <f>3.4077 * CHOOSE(CONTROL!$C$22, $C$13, 100%, $E$13)</f>
        <v>3.4077000000000002</v>
      </c>
      <c r="C135" s="63">
        <f>3.4077 * CHOOSE(CONTROL!$C$22, $C$13, 100%, $E$13)</f>
        <v>3.4077000000000002</v>
      </c>
      <c r="D135" s="63">
        <f>3.4199 * CHOOSE(CONTROL!$C$22, $C$13, 100%, $E$13)</f>
        <v>3.4199000000000002</v>
      </c>
      <c r="E135" s="64">
        <f>3.9422 * CHOOSE(CONTROL!$C$22, $C$13, 100%, $E$13)</f>
        <v>3.9422000000000001</v>
      </c>
      <c r="F135" s="64">
        <f>3.9422 * CHOOSE(CONTROL!$C$22, $C$13, 100%, $E$13)</f>
        <v>3.9422000000000001</v>
      </c>
      <c r="G135" s="64">
        <f>3.9424 * CHOOSE(CONTROL!$C$22, $C$13, 100%, $E$13)</f>
        <v>3.9424000000000001</v>
      </c>
      <c r="H135" s="64">
        <f>7.2204* CHOOSE(CONTROL!$C$22, $C$13, 100%, $E$13)</f>
        <v>7.2203999999999997</v>
      </c>
      <c r="I135" s="64">
        <f>7.2205 * CHOOSE(CONTROL!$C$22, $C$13, 100%, $E$13)</f>
        <v>7.2205000000000004</v>
      </c>
      <c r="J135" s="64">
        <f>3.9422 * CHOOSE(CONTROL!$C$22, $C$13, 100%, $E$13)</f>
        <v>3.9422000000000001</v>
      </c>
      <c r="K135" s="64">
        <f>3.9424 * CHOOSE(CONTROL!$C$22, $C$13, 100%, $E$13)</f>
        <v>3.9424000000000001</v>
      </c>
      <c r="L135" s="4"/>
      <c r="M135" s="4"/>
      <c r="N135" s="4"/>
    </row>
    <row r="136" spans="1:14" ht="15">
      <c r="A136" s="13">
        <v>45778</v>
      </c>
      <c r="B136" s="63">
        <f>3.4077 * CHOOSE(CONTROL!$C$22, $C$13, 100%, $E$13)</f>
        <v>3.4077000000000002</v>
      </c>
      <c r="C136" s="63">
        <f>3.4077 * CHOOSE(CONTROL!$C$22, $C$13, 100%, $E$13)</f>
        <v>3.4077000000000002</v>
      </c>
      <c r="D136" s="63">
        <f>3.4321 * CHOOSE(CONTROL!$C$22, $C$13, 100%, $E$13)</f>
        <v>3.4321000000000002</v>
      </c>
      <c r="E136" s="64">
        <f>3.9559 * CHOOSE(CONTROL!$C$22, $C$13, 100%, $E$13)</f>
        <v>3.9559000000000002</v>
      </c>
      <c r="F136" s="64">
        <f>3.9559 * CHOOSE(CONTROL!$C$22, $C$13, 100%, $E$13)</f>
        <v>3.9559000000000002</v>
      </c>
      <c r="G136" s="64">
        <f>3.9575 * CHOOSE(CONTROL!$C$22, $C$13, 100%, $E$13)</f>
        <v>3.9575</v>
      </c>
      <c r="H136" s="64">
        <f>7.2354* CHOOSE(CONTROL!$C$22, $C$13, 100%, $E$13)</f>
        <v>7.2354000000000003</v>
      </c>
      <c r="I136" s="64">
        <f>7.237 * CHOOSE(CONTROL!$C$22, $C$13, 100%, $E$13)</f>
        <v>7.2370000000000001</v>
      </c>
      <c r="J136" s="64">
        <f>3.9559 * CHOOSE(CONTROL!$C$22, $C$13, 100%, $E$13)</f>
        <v>3.9559000000000002</v>
      </c>
      <c r="K136" s="64">
        <f>3.9575 * CHOOSE(CONTROL!$C$22, $C$13, 100%, $E$13)</f>
        <v>3.9575</v>
      </c>
      <c r="L136" s="4"/>
      <c r="M136" s="4"/>
      <c r="N136" s="4"/>
    </row>
    <row r="137" spans="1:14" ht="15">
      <c r="A137" s="13">
        <v>45809</v>
      </c>
      <c r="B137" s="63">
        <f>3.4137 * CHOOSE(CONTROL!$C$22, $C$13, 100%, $E$13)</f>
        <v>3.4137</v>
      </c>
      <c r="C137" s="63">
        <f>3.4137 * CHOOSE(CONTROL!$C$22, $C$13, 100%, $E$13)</f>
        <v>3.4137</v>
      </c>
      <c r="D137" s="63">
        <f>3.4382 * CHOOSE(CONTROL!$C$22, $C$13, 100%, $E$13)</f>
        <v>3.4382000000000001</v>
      </c>
      <c r="E137" s="64">
        <f>3.9464 * CHOOSE(CONTROL!$C$22, $C$13, 100%, $E$13)</f>
        <v>3.9464000000000001</v>
      </c>
      <c r="F137" s="64">
        <f>3.9464 * CHOOSE(CONTROL!$C$22, $C$13, 100%, $E$13)</f>
        <v>3.9464000000000001</v>
      </c>
      <c r="G137" s="64">
        <f>3.948 * CHOOSE(CONTROL!$C$22, $C$13, 100%, $E$13)</f>
        <v>3.948</v>
      </c>
      <c r="H137" s="64">
        <f>7.2505* CHOOSE(CONTROL!$C$22, $C$13, 100%, $E$13)</f>
        <v>7.2504999999999997</v>
      </c>
      <c r="I137" s="64">
        <f>7.2521 * CHOOSE(CONTROL!$C$22, $C$13, 100%, $E$13)</f>
        <v>7.2521000000000004</v>
      </c>
      <c r="J137" s="64">
        <f>3.9464 * CHOOSE(CONTROL!$C$22, $C$13, 100%, $E$13)</f>
        <v>3.9464000000000001</v>
      </c>
      <c r="K137" s="64">
        <f>3.948 * CHOOSE(CONTROL!$C$22, $C$13, 100%, $E$13)</f>
        <v>3.948</v>
      </c>
      <c r="L137" s="4"/>
      <c r="M137" s="4"/>
      <c r="N137" s="4"/>
    </row>
    <row r="138" spans="1:14" ht="15">
      <c r="A138" s="13">
        <v>45839</v>
      </c>
      <c r="B138" s="63">
        <f>3.4735 * CHOOSE(CONTROL!$C$22, $C$13, 100%, $E$13)</f>
        <v>3.4735</v>
      </c>
      <c r="C138" s="63">
        <f>3.4735 * CHOOSE(CONTROL!$C$22, $C$13, 100%, $E$13)</f>
        <v>3.4735</v>
      </c>
      <c r="D138" s="63">
        <f>3.4979 * CHOOSE(CONTROL!$C$22, $C$13, 100%, $E$13)</f>
        <v>3.4979</v>
      </c>
      <c r="E138" s="64">
        <f>4.0021 * CHOOSE(CONTROL!$C$22, $C$13, 100%, $E$13)</f>
        <v>4.0021000000000004</v>
      </c>
      <c r="F138" s="64">
        <f>4.0021 * CHOOSE(CONTROL!$C$22, $C$13, 100%, $E$13)</f>
        <v>4.0021000000000004</v>
      </c>
      <c r="G138" s="64">
        <f>4.0037 * CHOOSE(CONTROL!$C$22, $C$13, 100%, $E$13)</f>
        <v>4.0037000000000003</v>
      </c>
      <c r="H138" s="64">
        <f>7.2656* CHOOSE(CONTROL!$C$22, $C$13, 100%, $E$13)</f>
        <v>7.2656000000000001</v>
      </c>
      <c r="I138" s="64">
        <f>7.2672 * CHOOSE(CONTROL!$C$22, $C$13, 100%, $E$13)</f>
        <v>7.2671999999999999</v>
      </c>
      <c r="J138" s="64">
        <f>4.0021 * CHOOSE(CONTROL!$C$22, $C$13, 100%, $E$13)</f>
        <v>4.0021000000000004</v>
      </c>
      <c r="K138" s="64">
        <f>4.0037 * CHOOSE(CONTROL!$C$22, $C$13, 100%, $E$13)</f>
        <v>4.0037000000000003</v>
      </c>
      <c r="L138" s="4"/>
      <c r="M138" s="4"/>
      <c r="N138" s="4"/>
    </row>
    <row r="139" spans="1:14" ht="15">
      <c r="A139" s="13">
        <v>45870</v>
      </c>
      <c r="B139" s="63">
        <f>3.4802 * CHOOSE(CONTROL!$C$22, $C$13, 100%, $E$13)</f>
        <v>3.4802</v>
      </c>
      <c r="C139" s="63">
        <f>3.4802 * CHOOSE(CONTROL!$C$22, $C$13, 100%, $E$13)</f>
        <v>3.4802</v>
      </c>
      <c r="D139" s="63">
        <f>3.5046 * CHOOSE(CONTROL!$C$22, $C$13, 100%, $E$13)</f>
        <v>3.5045999999999999</v>
      </c>
      <c r="E139" s="64">
        <f>3.9656 * CHOOSE(CONTROL!$C$22, $C$13, 100%, $E$13)</f>
        <v>3.9655999999999998</v>
      </c>
      <c r="F139" s="64">
        <f>3.9656 * CHOOSE(CONTROL!$C$22, $C$13, 100%, $E$13)</f>
        <v>3.9655999999999998</v>
      </c>
      <c r="G139" s="64">
        <f>3.9672 * CHOOSE(CONTROL!$C$22, $C$13, 100%, $E$13)</f>
        <v>3.9672000000000001</v>
      </c>
      <c r="H139" s="64">
        <f>7.2807* CHOOSE(CONTROL!$C$22, $C$13, 100%, $E$13)</f>
        <v>7.2807000000000004</v>
      </c>
      <c r="I139" s="64">
        <f>7.2823 * CHOOSE(CONTROL!$C$22, $C$13, 100%, $E$13)</f>
        <v>7.2823000000000002</v>
      </c>
      <c r="J139" s="64">
        <f>3.9656 * CHOOSE(CONTROL!$C$22, $C$13, 100%, $E$13)</f>
        <v>3.9655999999999998</v>
      </c>
      <c r="K139" s="64">
        <f>3.9672 * CHOOSE(CONTROL!$C$22, $C$13, 100%, $E$13)</f>
        <v>3.9672000000000001</v>
      </c>
      <c r="L139" s="4"/>
      <c r="M139" s="4"/>
      <c r="N139" s="4"/>
    </row>
    <row r="140" spans="1:14" ht="15">
      <c r="A140" s="13">
        <v>45901</v>
      </c>
      <c r="B140" s="63">
        <f>3.4772 * CHOOSE(CONTROL!$C$22, $C$13, 100%, $E$13)</f>
        <v>3.4771999999999998</v>
      </c>
      <c r="C140" s="63">
        <f>3.4772 * CHOOSE(CONTROL!$C$22, $C$13, 100%, $E$13)</f>
        <v>3.4771999999999998</v>
      </c>
      <c r="D140" s="63">
        <f>3.5016 * CHOOSE(CONTROL!$C$22, $C$13, 100%, $E$13)</f>
        <v>3.5015999999999998</v>
      </c>
      <c r="E140" s="64">
        <f>3.959 * CHOOSE(CONTROL!$C$22, $C$13, 100%, $E$13)</f>
        <v>3.9590000000000001</v>
      </c>
      <c r="F140" s="64">
        <f>3.959 * CHOOSE(CONTROL!$C$22, $C$13, 100%, $E$13)</f>
        <v>3.9590000000000001</v>
      </c>
      <c r="G140" s="64">
        <f>3.9605 * CHOOSE(CONTROL!$C$22, $C$13, 100%, $E$13)</f>
        <v>3.9605000000000001</v>
      </c>
      <c r="H140" s="64">
        <f>7.2959* CHOOSE(CONTROL!$C$22, $C$13, 100%, $E$13)</f>
        <v>7.2958999999999996</v>
      </c>
      <c r="I140" s="64">
        <f>7.2975 * CHOOSE(CONTROL!$C$22, $C$13, 100%, $E$13)</f>
        <v>7.2975000000000003</v>
      </c>
      <c r="J140" s="64">
        <f>3.959 * CHOOSE(CONTROL!$C$22, $C$13, 100%, $E$13)</f>
        <v>3.9590000000000001</v>
      </c>
      <c r="K140" s="64">
        <f>3.9605 * CHOOSE(CONTROL!$C$22, $C$13, 100%, $E$13)</f>
        <v>3.9605000000000001</v>
      </c>
      <c r="L140" s="4"/>
      <c r="M140" s="4"/>
      <c r="N140" s="4"/>
    </row>
    <row r="141" spans="1:14" ht="15">
      <c r="A141" s="13">
        <v>45931</v>
      </c>
      <c r="B141" s="63">
        <f>3.4705 * CHOOSE(CONTROL!$C$22, $C$13, 100%, $E$13)</f>
        <v>3.4704999999999999</v>
      </c>
      <c r="C141" s="63">
        <f>3.4705 * CHOOSE(CONTROL!$C$22, $C$13, 100%, $E$13)</f>
        <v>3.4704999999999999</v>
      </c>
      <c r="D141" s="63">
        <f>3.4827 * CHOOSE(CONTROL!$C$22, $C$13, 100%, $E$13)</f>
        <v>3.4826999999999999</v>
      </c>
      <c r="E141" s="64">
        <f>3.9638 * CHOOSE(CONTROL!$C$22, $C$13, 100%, $E$13)</f>
        <v>3.9638</v>
      </c>
      <c r="F141" s="64">
        <f>3.9638 * CHOOSE(CONTROL!$C$22, $C$13, 100%, $E$13)</f>
        <v>3.9638</v>
      </c>
      <c r="G141" s="64">
        <f>3.964 * CHOOSE(CONTROL!$C$22, $C$13, 100%, $E$13)</f>
        <v>3.964</v>
      </c>
      <c r="H141" s="64">
        <f>7.3111* CHOOSE(CONTROL!$C$22, $C$13, 100%, $E$13)</f>
        <v>7.3110999999999997</v>
      </c>
      <c r="I141" s="64">
        <f>7.3113 * CHOOSE(CONTROL!$C$22, $C$13, 100%, $E$13)</f>
        <v>7.3113000000000001</v>
      </c>
      <c r="J141" s="64">
        <f>3.9638 * CHOOSE(CONTROL!$C$22, $C$13, 100%, $E$13)</f>
        <v>3.9638</v>
      </c>
      <c r="K141" s="64">
        <f>3.964 * CHOOSE(CONTROL!$C$22, $C$13, 100%, $E$13)</f>
        <v>3.964</v>
      </c>
      <c r="L141" s="4"/>
      <c r="M141" s="4"/>
      <c r="N141" s="4"/>
    </row>
    <row r="142" spans="1:14" ht="15">
      <c r="A142" s="13">
        <v>45962</v>
      </c>
      <c r="B142" s="63">
        <f>3.4735 * CHOOSE(CONTROL!$C$22, $C$13, 100%, $E$13)</f>
        <v>3.4735</v>
      </c>
      <c r="C142" s="63">
        <f>3.4735 * CHOOSE(CONTROL!$C$22, $C$13, 100%, $E$13)</f>
        <v>3.4735</v>
      </c>
      <c r="D142" s="63">
        <f>3.4857 * CHOOSE(CONTROL!$C$22, $C$13, 100%, $E$13)</f>
        <v>3.4857</v>
      </c>
      <c r="E142" s="64">
        <f>3.9751 * CHOOSE(CONTROL!$C$22, $C$13, 100%, $E$13)</f>
        <v>3.9750999999999999</v>
      </c>
      <c r="F142" s="64">
        <f>3.9751 * CHOOSE(CONTROL!$C$22, $C$13, 100%, $E$13)</f>
        <v>3.9750999999999999</v>
      </c>
      <c r="G142" s="64">
        <f>3.9753 * CHOOSE(CONTROL!$C$22, $C$13, 100%, $E$13)</f>
        <v>3.9752999999999998</v>
      </c>
      <c r="H142" s="64">
        <f>7.3263* CHOOSE(CONTROL!$C$22, $C$13, 100%, $E$13)</f>
        <v>7.3262999999999998</v>
      </c>
      <c r="I142" s="64">
        <f>7.3265 * CHOOSE(CONTROL!$C$22, $C$13, 100%, $E$13)</f>
        <v>7.3265000000000002</v>
      </c>
      <c r="J142" s="64">
        <f>3.9751 * CHOOSE(CONTROL!$C$22, $C$13, 100%, $E$13)</f>
        <v>3.9750999999999999</v>
      </c>
      <c r="K142" s="64">
        <f>3.9753 * CHOOSE(CONTROL!$C$22, $C$13, 100%, $E$13)</f>
        <v>3.9752999999999998</v>
      </c>
    </row>
    <row r="143" spans="1:14" ht="15">
      <c r="A143" s="13">
        <v>45992</v>
      </c>
      <c r="B143" s="63">
        <f>3.4735 * CHOOSE(CONTROL!$C$22, $C$13, 100%, $E$13)</f>
        <v>3.4735</v>
      </c>
      <c r="C143" s="63">
        <f>3.4735 * CHOOSE(CONTROL!$C$22, $C$13, 100%, $E$13)</f>
        <v>3.4735</v>
      </c>
      <c r="D143" s="63">
        <f>3.4857 * CHOOSE(CONTROL!$C$22, $C$13, 100%, $E$13)</f>
        <v>3.4857</v>
      </c>
      <c r="E143" s="64">
        <f>3.9522 * CHOOSE(CONTROL!$C$22, $C$13, 100%, $E$13)</f>
        <v>3.9521999999999999</v>
      </c>
      <c r="F143" s="64">
        <f>3.9522 * CHOOSE(CONTROL!$C$22, $C$13, 100%, $E$13)</f>
        <v>3.9521999999999999</v>
      </c>
      <c r="G143" s="64">
        <f>3.9524 * CHOOSE(CONTROL!$C$22, $C$13, 100%, $E$13)</f>
        <v>3.9523999999999999</v>
      </c>
      <c r="H143" s="64">
        <f>7.3416* CHOOSE(CONTROL!$C$22, $C$13, 100%, $E$13)</f>
        <v>7.3415999999999997</v>
      </c>
      <c r="I143" s="64">
        <f>7.3418 * CHOOSE(CONTROL!$C$22, $C$13, 100%, $E$13)</f>
        <v>7.3418000000000001</v>
      </c>
      <c r="J143" s="64">
        <f>3.9522 * CHOOSE(CONTROL!$C$22, $C$13, 100%, $E$13)</f>
        <v>3.9521999999999999</v>
      </c>
      <c r="K143" s="64">
        <f>3.9524 * CHOOSE(CONTROL!$C$22, $C$13, 100%, $E$13)</f>
        <v>3.9523999999999999</v>
      </c>
    </row>
    <row r="144" spans="1:14" ht="15">
      <c r="A144" s="13">
        <v>46023</v>
      </c>
      <c r="B144" s="63">
        <f>3.4998 * CHOOSE(CONTROL!$C$22, $C$13, 100%, $E$13)</f>
        <v>3.4998</v>
      </c>
      <c r="C144" s="63">
        <f>3.4998 * CHOOSE(CONTROL!$C$22, $C$13, 100%, $E$13)</f>
        <v>3.4998</v>
      </c>
      <c r="D144" s="63">
        <f>3.512 * CHOOSE(CONTROL!$C$22, $C$13, 100%, $E$13)</f>
        <v>3.512</v>
      </c>
      <c r="E144" s="64">
        <f>3.9948 * CHOOSE(CONTROL!$C$22, $C$13, 100%, $E$13)</f>
        <v>3.9948000000000001</v>
      </c>
      <c r="F144" s="64">
        <f>3.9948 * CHOOSE(CONTROL!$C$22, $C$13, 100%, $E$13)</f>
        <v>3.9948000000000001</v>
      </c>
      <c r="G144" s="64">
        <f>3.995 * CHOOSE(CONTROL!$C$22, $C$13, 100%, $E$13)</f>
        <v>3.9950000000000001</v>
      </c>
      <c r="H144" s="64">
        <f>7.3569* CHOOSE(CONTROL!$C$22, $C$13, 100%, $E$13)</f>
        <v>7.3569000000000004</v>
      </c>
      <c r="I144" s="64">
        <f>7.3571 * CHOOSE(CONTROL!$C$22, $C$13, 100%, $E$13)</f>
        <v>7.3571</v>
      </c>
      <c r="J144" s="64">
        <f>3.9948 * CHOOSE(CONTROL!$C$22, $C$13, 100%, $E$13)</f>
        <v>3.9948000000000001</v>
      </c>
      <c r="K144" s="64">
        <f>3.995 * CHOOSE(CONTROL!$C$22, $C$13, 100%, $E$13)</f>
        <v>3.9950000000000001</v>
      </c>
    </row>
    <row r="145" spans="1:11" ht="15">
      <c r="A145" s="13">
        <v>46054</v>
      </c>
      <c r="B145" s="63">
        <f>3.4968 * CHOOSE(CONTROL!$C$22, $C$13, 100%, $E$13)</f>
        <v>3.4967999999999999</v>
      </c>
      <c r="C145" s="63">
        <f>3.4968 * CHOOSE(CONTROL!$C$22, $C$13, 100%, $E$13)</f>
        <v>3.4967999999999999</v>
      </c>
      <c r="D145" s="63">
        <f>3.509 * CHOOSE(CONTROL!$C$22, $C$13, 100%, $E$13)</f>
        <v>3.5089999999999999</v>
      </c>
      <c r="E145" s="64">
        <f>3.9484 * CHOOSE(CONTROL!$C$22, $C$13, 100%, $E$13)</f>
        <v>3.9483999999999999</v>
      </c>
      <c r="F145" s="64">
        <f>3.9484 * CHOOSE(CONTROL!$C$22, $C$13, 100%, $E$13)</f>
        <v>3.9483999999999999</v>
      </c>
      <c r="G145" s="64">
        <f>3.9486 * CHOOSE(CONTROL!$C$22, $C$13, 100%, $E$13)</f>
        <v>3.9485999999999999</v>
      </c>
      <c r="H145" s="64">
        <f>7.3722* CHOOSE(CONTROL!$C$22, $C$13, 100%, $E$13)</f>
        <v>7.3722000000000003</v>
      </c>
      <c r="I145" s="64">
        <f>7.3724 * CHOOSE(CONTROL!$C$22, $C$13, 100%, $E$13)</f>
        <v>7.3723999999999998</v>
      </c>
      <c r="J145" s="64">
        <f>3.9484 * CHOOSE(CONTROL!$C$22, $C$13, 100%, $E$13)</f>
        <v>3.9483999999999999</v>
      </c>
      <c r="K145" s="64">
        <f>3.9486 * CHOOSE(CONTROL!$C$22, $C$13, 100%, $E$13)</f>
        <v>3.9485999999999999</v>
      </c>
    </row>
    <row r="146" spans="1:11" ht="15">
      <c r="A146" s="13">
        <v>46082</v>
      </c>
      <c r="B146" s="63">
        <f>3.4937 * CHOOSE(CONTROL!$C$22, $C$13, 100%, $E$13)</f>
        <v>3.4937</v>
      </c>
      <c r="C146" s="63">
        <f>3.4937 * CHOOSE(CONTROL!$C$22, $C$13, 100%, $E$13)</f>
        <v>3.4937</v>
      </c>
      <c r="D146" s="63">
        <f>3.5059 * CHOOSE(CONTROL!$C$22, $C$13, 100%, $E$13)</f>
        <v>3.5059</v>
      </c>
      <c r="E146" s="64">
        <f>3.9812 * CHOOSE(CONTROL!$C$22, $C$13, 100%, $E$13)</f>
        <v>3.9811999999999999</v>
      </c>
      <c r="F146" s="64">
        <f>3.9812 * CHOOSE(CONTROL!$C$22, $C$13, 100%, $E$13)</f>
        <v>3.9811999999999999</v>
      </c>
      <c r="G146" s="64">
        <f>3.9814 * CHOOSE(CONTROL!$C$22, $C$13, 100%, $E$13)</f>
        <v>3.9813999999999998</v>
      </c>
      <c r="H146" s="64">
        <f>7.3876* CHOOSE(CONTROL!$C$22, $C$13, 100%, $E$13)</f>
        <v>7.3875999999999999</v>
      </c>
      <c r="I146" s="64">
        <f>7.3877 * CHOOSE(CONTROL!$C$22, $C$13, 100%, $E$13)</f>
        <v>7.3876999999999997</v>
      </c>
      <c r="J146" s="64">
        <f>3.9812 * CHOOSE(CONTROL!$C$22, $C$13, 100%, $E$13)</f>
        <v>3.9811999999999999</v>
      </c>
      <c r="K146" s="64">
        <f>3.9814 * CHOOSE(CONTROL!$C$22, $C$13, 100%, $E$13)</f>
        <v>3.9813999999999998</v>
      </c>
    </row>
    <row r="147" spans="1:11" ht="15">
      <c r="A147" s="13">
        <v>46113</v>
      </c>
      <c r="B147" s="63">
        <f>3.491 * CHOOSE(CONTROL!$C$22, $C$13, 100%, $E$13)</f>
        <v>3.4910000000000001</v>
      </c>
      <c r="C147" s="63">
        <f>3.491 * CHOOSE(CONTROL!$C$22, $C$13, 100%, $E$13)</f>
        <v>3.4910000000000001</v>
      </c>
      <c r="D147" s="63">
        <f>3.5032 * CHOOSE(CONTROL!$C$22, $C$13, 100%, $E$13)</f>
        <v>3.5032000000000001</v>
      </c>
      <c r="E147" s="64">
        <f>4.0145 * CHOOSE(CONTROL!$C$22, $C$13, 100%, $E$13)</f>
        <v>4.0145</v>
      </c>
      <c r="F147" s="64">
        <f>4.0145 * CHOOSE(CONTROL!$C$22, $C$13, 100%, $E$13)</f>
        <v>4.0145</v>
      </c>
      <c r="G147" s="64">
        <f>4.0147 * CHOOSE(CONTROL!$C$22, $C$13, 100%, $E$13)</f>
        <v>4.0147000000000004</v>
      </c>
      <c r="H147" s="64">
        <f>7.403* CHOOSE(CONTROL!$C$22, $C$13, 100%, $E$13)</f>
        <v>7.4029999999999996</v>
      </c>
      <c r="I147" s="64">
        <f>7.4031 * CHOOSE(CONTROL!$C$22, $C$13, 100%, $E$13)</f>
        <v>7.4031000000000002</v>
      </c>
      <c r="J147" s="64">
        <f>4.0145 * CHOOSE(CONTROL!$C$22, $C$13, 100%, $E$13)</f>
        <v>4.0145</v>
      </c>
      <c r="K147" s="64">
        <f>4.0147 * CHOOSE(CONTROL!$C$22, $C$13, 100%, $E$13)</f>
        <v>4.0147000000000004</v>
      </c>
    </row>
    <row r="148" spans="1:11" ht="15">
      <c r="A148" s="13">
        <v>46143</v>
      </c>
      <c r="B148" s="63">
        <f>3.491 * CHOOSE(CONTROL!$C$22, $C$13, 100%, $E$13)</f>
        <v>3.4910000000000001</v>
      </c>
      <c r="C148" s="63">
        <f>3.491 * CHOOSE(CONTROL!$C$22, $C$13, 100%, $E$13)</f>
        <v>3.4910000000000001</v>
      </c>
      <c r="D148" s="63">
        <f>3.5154 * CHOOSE(CONTROL!$C$22, $C$13, 100%, $E$13)</f>
        <v>3.5154000000000001</v>
      </c>
      <c r="E148" s="64">
        <f>4.0285 * CHOOSE(CONTROL!$C$22, $C$13, 100%, $E$13)</f>
        <v>4.0285000000000002</v>
      </c>
      <c r="F148" s="64">
        <f>4.0285 * CHOOSE(CONTROL!$C$22, $C$13, 100%, $E$13)</f>
        <v>4.0285000000000002</v>
      </c>
      <c r="G148" s="64">
        <f>4.0301 * CHOOSE(CONTROL!$C$22, $C$13, 100%, $E$13)</f>
        <v>4.0301</v>
      </c>
      <c r="H148" s="64">
        <f>7.4184* CHOOSE(CONTROL!$C$22, $C$13, 100%, $E$13)</f>
        <v>7.4184000000000001</v>
      </c>
      <c r="I148" s="64">
        <f>7.42 * CHOOSE(CONTROL!$C$22, $C$13, 100%, $E$13)</f>
        <v>7.42</v>
      </c>
      <c r="J148" s="64">
        <f>4.0285 * CHOOSE(CONTROL!$C$22, $C$13, 100%, $E$13)</f>
        <v>4.0285000000000002</v>
      </c>
      <c r="K148" s="64">
        <f>4.0301 * CHOOSE(CONTROL!$C$22, $C$13, 100%, $E$13)</f>
        <v>4.0301</v>
      </c>
    </row>
    <row r="149" spans="1:11" ht="15">
      <c r="A149" s="13">
        <v>46174</v>
      </c>
      <c r="B149" s="63">
        <f>3.497 * CHOOSE(CONTROL!$C$22, $C$13, 100%, $E$13)</f>
        <v>3.4969999999999999</v>
      </c>
      <c r="C149" s="63">
        <f>3.497 * CHOOSE(CONTROL!$C$22, $C$13, 100%, $E$13)</f>
        <v>3.4969999999999999</v>
      </c>
      <c r="D149" s="63">
        <f>3.5215 * CHOOSE(CONTROL!$C$22, $C$13, 100%, $E$13)</f>
        <v>3.5215000000000001</v>
      </c>
      <c r="E149" s="64">
        <f>4.0187 * CHOOSE(CONTROL!$C$22, $C$13, 100%, $E$13)</f>
        <v>4.0186999999999999</v>
      </c>
      <c r="F149" s="64">
        <f>4.0187 * CHOOSE(CONTROL!$C$22, $C$13, 100%, $E$13)</f>
        <v>4.0186999999999999</v>
      </c>
      <c r="G149" s="64">
        <f>4.0203 * CHOOSE(CONTROL!$C$22, $C$13, 100%, $E$13)</f>
        <v>4.0202999999999998</v>
      </c>
      <c r="H149" s="64">
        <f>7.4338* CHOOSE(CONTROL!$C$22, $C$13, 100%, $E$13)</f>
        <v>7.4337999999999997</v>
      </c>
      <c r="I149" s="64">
        <f>7.4354 * CHOOSE(CONTROL!$C$22, $C$13, 100%, $E$13)</f>
        <v>7.4353999999999996</v>
      </c>
      <c r="J149" s="64">
        <f>4.0187 * CHOOSE(CONTROL!$C$22, $C$13, 100%, $E$13)</f>
        <v>4.0186999999999999</v>
      </c>
      <c r="K149" s="64">
        <f>4.0203 * CHOOSE(CONTROL!$C$22, $C$13, 100%, $E$13)</f>
        <v>4.0202999999999998</v>
      </c>
    </row>
    <row r="150" spans="1:11" ht="15">
      <c r="A150" s="13">
        <v>46204</v>
      </c>
      <c r="B150" s="63">
        <f>3.5437 * CHOOSE(CONTROL!$C$22, $C$13, 100%, $E$13)</f>
        <v>3.5436999999999999</v>
      </c>
      <c r="C150" s="63">
        <f>3.5437 * CHOOSE(CONTROL!$C$22, $C$13, 100%, $E$13)</f>
        <v>3.5436999999999999</v>
      </c>
      <c r="D150" s="63">
        <f>3.5681 * CHOOSE(CONTROL!$C$22, $C$13, 100%, $E$13)</f>
        <v>3.5680999999999998</v>
      </c>
      <c r="E150" s="64">
        <f>4.0789 * CHOOSE(CONTROL!$C$22, $C$13, 100%, $E$13)</f>
        <v>4.0789</v>
      </c>
      <c r="F150" s="64">
        <f>4.0789 * CHOOSE(CONTROL!$C$22, $C$13, 100%, $E$13)</f>
        <v>4.0789</v>
      </c>
      <c r="G150" s="64">
        <f>4.0805 * CHOOSE(CONTROL!$C$22, $C$13, 100%, $E$13)</f>
        <v>4.0804999999999998</v>
      </c>
      <c r="H150" s="64">
        <f>7.4493* CHOOSE(CONTROL!$C$22, $C$13, 100%, $E$13)</f>
        <v>7.4493</v>
      </c>
      <c r="I150" s="64">
        <f>7.4509 * CHOOSE(CONTROL!$C$22, $C$13, 100%, $E$13)</f>
        <v>7.4508999999999999</v>
      </c>
      <c r="J150" s="64">
        <f>4.0789 * CHOOSE(CONTROL!$C$22, $C$13, 100%, $E$13)</f>
        <v>4.0789</v>
      </c>
      <c r="K150" s="64">
        <f>4.0805 * CHOOSE(CONTROL!$C$22, $C$13, 100%, $E$13)</f>
        <v>4.0804999999999998</v>
      </c>
    </row>
    <row r="151" spans="1:11" ht="15">
      <c r="A151" s="13">
        <v>46235</v>
      </c>
      <c r="B151" s="63">
        <f>3.5504 * CHOOSE(CONTROL!$C$22, $C$13, 100%, $E$13)</f>
        <v>3.5503999999999998</v>
      </c>
      <c r="C151" s="63">
        <f>3.5504 * CHOOSE(CONTROL!$C$22, $C$13, 100%, $E$13)</f>
        <v>3.5503999999999998</v>
      </c>
      <c r="D151" s="63">
        <f>3.5748 * CHOOSE(CONTROL!$C$22, $C$13, 100%, $E$13)</f>
        <v>3.5748000000000002</v>
      </c>
      <c r="E151" s="64">
        <f>4.0414 * CHOOSE(CONTROL!$C$22, $C$13, 100%, $E$13)</f>
        <v>4.0414000000000003</v>
      </c>
      <c r="F151" s="64">
        <f>4.0414 * CHOOSE(CONTROL!$C$22, $C$13, 100%, $E$13)</f>
        <v>4.0414000000000003</v>
      </c>
      <c r="G151" s="64">
        <f>4.043 * CHOOSE(CONTROL!$C$22, $C$13, 100%, $E$13)</f>
        <v>4.0430000000000001</v>
      </c>
      <c r="H151" s="64">
        <f>7.4648* CHOOSE(CONTROL!$C$22, $C$13, 100%, $E$13)</f>
        <v>7.4648000000000003</v>
      </c>
      <c r="I151" s="64">
        <f>7.4664 * CHOOSE(CONTROL!$C$22, $C$13, 100%, $E$13)</f>
        <v>7.4664000000000001</v>
      </c>
      <c r="J151" s="64">
        <f>4.0414 * CHOOSE(CONTROL!$C$22, $C$13, 100%, $E$13)</f>
        <v>4.0414000000000003</v>
      </c>
      <c r="K151" s="64">
        <f>4.043 * CHOOSE(CONTROL!$C$22, $C$13, 100%, $E$13)</f>
        <v>4.0430000000000001</v>
      </c>
    </row>
    <row r="152" spans="1:11" ht="15">
      <c r="A152" s="13">
        <v>46266</v>
      </c>
      <c r="B152" s="63">
        <f>3.5473 * CHOOSE(CONTROL!$C$22, $C$13, 100%, $E$13)</f>
        <v>3.5472999999999999</v>
      </c>
      <c r="C152" s="63">
        <f>3.5473 * CHOOSE(CONTROL!$C$22, $C$13, 100%, $E$13)</f>
        <v>3.5472999999999999</v>
      </c>
      <c r="D152" s="63">
        <f>3.5717 * CHOOSE(CONTROL!$C$22, $C$13, 100%, $E$13)</f>
        <v>3.5716999999999999</v>
      </c>
      <c r="E152" s="64">
        <f>4.0346 * CHOOSE(CONTROL!$C$22, $C$13, 100%, $E$13)</f>
        <v>4.0346000000000002</v>
      </c>
      <c r="F152" s="64">
        <f>4.0346 * CHOOSE(CONTROL!$C$22, $C$13, 100%, $E$13)</f>
        <v>4.0346000000000002</v>
      </c>
      <c r="G152" s="64">
        <f>4.0362 * CHOOSE(CONTROL!$C$22, $C$13, 100%, $E$13)</f>
        <v>4.0362</v>
      </c>
      <c r="H152" s="64">
        <f>7.4804* CHOOSE(CONTROL!$C$22, $C$13, 100%, $E$13)</f>
        <v>7.4804000000000004</v>
      </c>
      <c r="I152" s="64">
        <f>7.482 * CHOOSE(CONTROL!$C$22, $C$13, 100%, $E$13)</f>
        <v>7.4820000000000002</v>
      </c>
      <c r="J152" s="64">
        <f>4.0346 * CHOOSE(CONTROL!$C$22, $C$13, 100%, $E$13)</f>
        <v>4.0346000000000002</v>
      </c>
      <c r="K152" s="64">
        <f>4.0362 * CHOOSE(CONTROL!$C$22, $C$13, 100%, $E$13)</f>
        <v>4.0362</v>
      </c>
    </row>
    <row r="153" spans="1:11" ht="15">
      <c r="A153" s="13">
        <v>46296</v>
      </c>
      <c r="B153" s="63">
        <f>3.541 * CHOOSE(CONTROL!$C$22, $C$13, 100%, $E$13)</f>
        <v>3.5409999999999999</v>
      </c>
      <c r="C153" s="63">
        <f>3.541 * CHOOSE(CONTROL!$C$22, $C$13, 100%, $E$13)</f>
        <v>3.5409999999999999</v>
      </c>
      <c r="D153" s="63">
        <f>3.5532 * CHOOSE(CONTROL!$C$22, $C$13, 100%, $E$13)</f>
        <v>3.5531999999999999</v>
      </c>
      <c r="E153" s="64">
        <f>4.0399 * CHOOSE(CONTROL!$C$22, $C$13, 100%, $E$13)</f>
        <v>4.0399000000000003</v>
      </c>
      <c r="F153" s="64">
        <f>4.0399 * CHOOSE(CONTROL!$C$22, $C$13, 100%, $E$13)</f>
        <v>4.0399000000000003</v>
      </c>
      <c r="G153" s="64">
        <f>4.0401 * CHOOSE(CONTROL!$C$22, $C$13, 100%, $E$13)</f>
        <v>4.0400999999999998</v>
      </c>
      <c r="H153" s="64">
        <f>7.496* CHOOSE(CONTROL!$C$22, $C$13, 100%, $E$13)</f>
        <v>7.4960000000000004</v>
      </c>
      <c r="I153" s="64">
        <f>7.4962 * CHOOSE(CONTROL!$C$22, $C$13, 100%, $E$13)</f>
        <v>7.4962</v>
      </c>
      <c r="J153" s="64">
        <f>4.0399 * CHOOSE(CONTROL!$C$22, $C$13, 100%, $E$13)</f>
        <v>4.0399000000000003</v>
      </c>
      <c r="K153" s="64">
        <f>4.0401 * CHOOSE(CONTROL!$C$22, $C$13, 100%, $E$13)</f>
        <v>4.0400999999999998</v>
      </c>
    </row>
    <row r="154" spans="1:11" ht="15">
      <c r="A154" s="13">
        <v>46327</v>
      </c>
      <c r="B154" s="63">
        <f>3.544 * CHOOSE(CONTROL!$C$22, $C$13, 100%, $E$13)</f>
        <v>3.544</v>
      </c>
      <c r="C154" s="63">
        <f>3.544 * CHOOSE(CONTROL!$C$22, $C$13, 100%, $E$13)</f>
        <v>3.544</v>
      </c>
      <c r="D154" s="63">
        <f>3.5562 * CHOOSE(CONTROL!$C$22, $C$13, 100%, $E$13)</f>
        <v>3.5562</v>
      </c>
      <c r="E154" s="64">
        <f>4.0514 * CHOOSE(CONTROL!$C$22, $C$13, 100%, $E$13)</f>
        <v>4.0514000000000001</v>
      </c>
      <c r="F154" s="64">
        <f>4.0514 * CHOOSE(CONTROL!$C$22, $C$13, 100%, $E$13)</f>
        <v>4.0514000000000001</v>
      </c>
      <c r="G154" s="64">
        <f>4.0516 * CHOOSE(CONTROL!$C$22, $C$13, 100%, $E$13)</f>
        <v>4.0515999999999996</v>
      </c>
      <c r="H154" s="64">
        <f>7.5116* CHOOSE(CONTROL!$C$22, $C$13, 100%, $E$13)</f>
        <v>7.5115999999999996</v>
      </c>
      <c r="I154" s="64">
        <f>7.5118 * CHOOSE(CONTROL!$C$22, $C$13, 100%, $E$13)</f>
        <v>7.5118</v>
      </c>
      <c r="J154" s="64">
        <f>4.0514 * CHOOSE(CONTROL!$C$22, $C$13, 100%, $E$13)</f>
        <v>4.0514000000000001</v>
      </c>
      <c r="K154" s="64">
        <f>4.0516 * CHOOSE(CONTROL!$C$22, $C$13, 100%, $E$13)</f>
        <v>4.0515999999999996</v>
      </c>
    </row>
    <row r="155" spans="1:11" ht="15">
      <c r="A155" s="13">
        <v>46357</v>
      </c>
      <c r="B155" s="63">
        <f>3.544 * CHOOSE(CONTROL!$C$22, $C$13, 100%, $E$13)</f>
        <v>3.544</v>
      </c>
      <c r="C155" s="63">
        <f>3.544 * CHOOSE(CONTROL!$C$22, $C$13, 100%, $E$13)</f>
        <v>3.544</v>
      </c>
      <c r="D155" s="63">
        <f>3.5562 * CHOOSE(CONTROL!$C$22, $C$13, 100%, $E$13)</f>
        <v>3.5562</v>
      </c>
      <c r="E155" s="64">
        <f>4.028 * CHOOSE(CONTROL!$C$22, $C$13, 100%, $E$13)</f>
        <v>4.0279999999999996</v>
      </c>
      <c r="F155" s="64">
        <f>4.028 * CHOOSE(CONTROL!$C$22, $C$13, 100%, $E$13)</f>
        <v>4.0279999999999996</v>
      </c>
      <c r="G155" s="64">
        <f>4.0282 * CHOOSE(CONTROL!$C$22, $C$13, 100%, $E$13)</f>
        <v>4.0282</v>
      </c>
      <c r="H155" s="64">
        <f>7.5273* CHOOSE(CONTROL!$C$22, $C$13, 100%, $E$13)</f>
        <v>7.5273000000000003</v>
      </c>
      <c r="I155" s="64">
        <f>7.5274 * CHOOSE(CONTROL!$C$22, $C$13, 100%, $E$13)</f>
        <v>7.5274000000000001</v>
      </c>
      <c r="J155" s="64">
        <f>4.028 * CHOOSE(CONTROL!$C$22, $C$13, 100%, $E$13)</f>
        <v>4.0279999999999996</v>
      </c>
      <c r="K155" s="64">
        <f>4.0282 * CHOOSE(CONTROL!$C$22, $C$13, 100%, $E$13)</f>
        <v>4.0282</v>
      </c>
    </row>
    <row r="156" spans="1:11" ht="15">
      <c r="A156" s="13">
        <v>46388</v>
      </c>
      <c r="B156" s="63">
        <f>3.5723 * CHOOSE(CONTROL!$C$22, $C$13, 100%, $E$13)</f>
        <v>3.5722999999999998</v>
      </c>
      <c r="C156" s="63">
        <f>3.5723 * CHOOSE(CONTROL!$C$22, $C$13, 100%, $E$13)</f>
        <v>3.5722999999999998</v>
      </c>
      <c r="D156" s="63">
        <f>3.5845 * CHOOSE(CONTROL!$C$22, $C$13, 100%, $E$13)</f>
        <v>3.5844999999999998</v>
      </c>
      <c r="E156" s="64">
        <f>4.0707 * CHOOSE(CONTROL!$C$22, $C$13, 100%, $E$13)</f>
        <v>4.0707000000000004</v>
      </c>
      <c r="F156" s="64">
        <f>4.0707 * CHOOSE(CONTROL!$C$22, $C$13, 100%, $E$13)</f>
        <v>4.0707000000000004</v>
      </c>
      <c r="G156" s="64">
        <f>4.0708 * CHOOSE(CONTROL!$C$22, $C$13, 100%, $E$13)</f>
        <v>4.0708000000000002</v>
      </c>
      <c r="H156" s="64">
        <f>7.5429* CHOOSE(CONTROL!$C$22, $C$13, 100%, $E$13)</f>
        <v>7.5429000000000004</v>
      </c>
      <c r="I156" s="64">
        <f>7.5431 * CHOOSE(CONTROL!$C$22, $C$13, 100%, $E$13)</f>
        <v>7.5430999999999999</v>
      </c>
      <c r="J156" s="64">
        <f>4.0707 * CHOOSE(CONTROL!$C$22, $C$13, 100%, $E$13)</f>
        <v>4.0707000000000004</v>
      </c>
      <c r="K156" s="64">
        <f>4.0708 * CHOOSE(CONTROL!$C$22, $C$13, 100%, $E$13)</f>
        <v>4.0708000000000002</v>
      </c>
    </row>
    <row r="157" spans="1:11" ht="15">
      <c r="A157" s="13">
        <v>46419</v>
      </c>
      <c r="B157" s="63">
        <f>3.5693 * CHOOSE(CONTROL!$C$22, $C$13, 100%, $E$13)</f>
        <v>3.5693000000000001</v>
      </c>
      <c r="C157" s="63">
        <f>3.5693 * CHOOSE(CONTROL!$C$22, $C$13, 100%, $E$13)</f>
        <v>3.5693000000000001</v>
      </c>
      <c r="D157" s="63">
        <f>3.5815 * CHOOSE(CONTROL!$C$22, $C$13, 100%, $E$13)</f>
        <v>3.5815000000000001</v>
      </c>
      <c r="E157" s="64">
        <f>4.0231 * CHOOSE(CONTROL!$C$22, $C$13, 100%, $E$13)</f>
        <v>4.0231000000000003</v>
      </c>
      <c r="F157" s="64">
        <f>4.0231 * CHOOSE(CONTROL!$C$22, $C$13, 100%, $E$13)</f>
        <v>4.0231000000000003</v>
      </c>
      <c r="G157" s="64">
        <f>4.0233 * CHOOSE(CONTROL!$C$22, $C$13, 100%, $E$13)</f>
        <v>4.0232999999999999</v>
      </c>
      <c r="H157" s="64">
        <f>7.5586* CHOOSE(CONTROL!$C$22, $C$13, 100%, $E$13)</f>
        <v>7.5586000000000002</v>
      </c>
      <c r="I157" s="64">
        <f>7.5588 * CHOOSE(CONTROL!$C$22, $C$13, 100%, $E$13)</f>
        <v>7.5587999999999997</v>
      </c>
      <c r="J157" s="64">
        <f>4.0231 * CHOOSE(CONTROL!$C$22, $C$13, 100%, $E$13)</f>
        <v>4.0231000000000003</v>
      </c>
      <c r="K157" s="64">
        <f>4.0233 * CHOOSE(CONTROL!$C$22, $C$13, 100%, $E$13)</f>
        <v>4.0232999999999999</v>
      </c>
    </row>
    <row r="158" spans="1:11" ht="15">
      <c r="A158" s="13">
        <v>46447</v>
      </c>
      <c r="B158" s="63">
        <f>3.5662 * CHOOSE(CONTROL!$C$22, $C$13, 100%, $E$13)</f>
        <v>3.5661999999999998</v>
      </c>
      <c r="C158" s="63">
        <f>3.5662 * CHOOSE(CONTROL!$C$22, $C$13, 100%, $E$13)</f>
        <v>3.5661999999999998</v>
      </c>
      <c r="D158" s="63">
        <f>3.5785 * CHOOSE(CONTROL!$C$22, $C$13, 100%, $E$13)</f>
        <v>3.5785</v>
      </c>
      <c r="E158" s="64">
        <f>4.0568 * CHOOSE(CONTROL!$C$22, $C$13, 100%, $E$13)</f>
        <v>4.0568</v>
      </c>
      <c r="F158" s="64">
        <f>4.0568 * CHOOSE(CONTROL!$C$22, $C$13, 100%, $E$13)</f>
        <v>4.0568</v>
      </c>
      <c r="G158" s="64">
        <f>4.057 * CHOOSE(CONTROL!$C$22, $C$13, 100%, $E$13)</f>
        <v>4.0570000000000004</v>
      </c>
      <c r="H158" s="64">
        <f>7.5744* CHOOSE(CONTROL!$C$22, $C$13, 100%, $E$13)</f>
        <v>7.5743999999999998</v>
      </c>
      <c r="I158" s="64">
        <f>7.5746 * CHOOSE(CONTROL!$C$22, $C$13, 100%, $E$13)</f>
        <v>7.5746000000000002</v>
      </c>
      <c r="J158" s="64">
        <f>4.0568 * CHOOSE(CONTROL!$C$22, $C$13, 100%, $E$13)</f>
        <v>4.0568</v>
      </c>
      <c r="K158" s="64">
        <f>4.057 * CHOOSE(CONTROL!$C$22, $C$13, 100%, $E$13)</f>
        <v>4.0570000000000004</v>
      </c>
    </row>
    <row r="159" spans="1:11" ht="15">
      <c r="A159" s="13">
        <v>46478</v>
      </c>
      <c r="B159" s="63">
        <f>3.5635 * CHOOSE(CONTROL!$C$22, $C$13, 100%, $E$13)</f>
        <v>3.5634999999999999</v>
      </c>
      <c r="C159" s="63">
        <f>3.5635 * CHOOSE(CONTROL!$C$22, $C$13, 100%, $E$13)</f>
        <v>3.5634999999999999</v>
      </c>
      <c r="D159" s="63">
        <f>3.5758 * CHOOSE(CONTROL!$C$22, $C$13, 100%, $E$13)</f>
        <v>3.5758000000000001</v>
      </c>
      <c r="E159" s="64">
        <f>4.091 * CHOOSE(CONTROL!$C$22, $C$13, 100%, $E$13)</f>
        <v>4.0910000000000002</v>
      </c>
      <c r="F159" s="64">
        <f>4.091 * CHOOSE(CONTROL!$C$22, $C$13, 100%, $E$13)</f>
        <v>4.0910000000000002</v>
      </c>
      <c r="G159" s="64">
        <f>4.0912 * CHOOSE(CONTROL!$C$22, $C$13, 100%, $E$13)</f>
        <v>4.0911999999999997</v>
      </c>
      <c r="H159" s="64">
        <f>7.5902* CHOOSE(CONTROL!$C$22, $C$13, 100%, $E$13)</f>
        <v>7.5902000000000003</v>
      </c>
      <c r="I159" s="64">
        <f>7.5904 * CHOOSE(CONTROL!$C$22, $C$13, 100%, $E$13)</f>
        <v>7.5903999999999998</v>
      </c>
      <c r="J159" s="64">
        <f>4.091 * CHOOSE(CONTROL!$C$22, $C$13, 100%, $E$13)</f>
        <v>4.0910000000000002</v>
      </c>
      <c r="K159" s="64">
        <f>4.0912 * CHOOSE(CONTROL!$C$22, $C$13, 100%, $E$13)</f>
        <v>4.0911999999999997</v>
      </c>
    </row>
    <row r="160" spans="1:11" ht="15">
      <c r="A160" s="13">
        <v>46508</v>
      </c>
      <c r="B160" s="63">
        <f>3.5635 * CHOOSE(CONTROL!$C$22, $C$13, 100%, $E$13)</f>
        <v>3.5634999999999999</v>
      </c>
      <c r="C160" s="63">
        <f>3.5635 * CHOOSE(CONTROL!$C$22, $C$13, 100%, $E$13)</f>
        <v>3.5634999999999999</v>
      </c>
      <c r="D160" s="63">
        <f>3.588 * CHOOSE(CONTROL!$C$22, $C$13, 100%, $E$13)</f>
        <v>3.5880000000000001</v>
      </c>
      <c r="E160" s="64">
        <f>4.1054 * CHOOSE(CONTROL!$C$22, $C$13, 100%, $E$13)</f>
        <v>4.1054000000000004</v>
      </c>
      <c r="F160" s="64">
        <f>4.1054 * CHOOSE(CONTROL!$C$22, $C$13, 100%, $E$13)</f>
        <v>4.1054000000000004</v>
      </c>
      <c r="G160" s="64">
        <f>4.107 * CHOOSE(CONTROL!$C$22, $C$13, 100%, $E$13)</f>
        <v>4.1070000000000002</v>
      </c>
      <c r="H160" s="64">
        <f>7.606* CHOOSE(CONTROL!$C$22, $C$13, 100%, $E$13)</f>
        <v>7.6059999999999999</v>
      </c>
      <c r="I160" s="64">
        <f>7.6076 * CHOOSE(CONTROL!$C$22, $C$13, 100%, $E$13)</f>
        <v>7.6075999999999997</v>
      </c>
      <c r="J160" s="64">
        <f>4.1054 * CHOOSE(CONTROL!$C$22, $C$13, 100%, $E$13)</f>
        <v>4.1054000000000004</v>
      </c>
      <c r="K160" s="64">
        <f>4.107 * CHOOSE(CONTROL!$C$22, $C$13, 100%, $E$13)</f>
        <v>4.1070000000000002</v>
      </c>
    </row>
    <row r="161" spans="1:11" ht="15">
      <c r="A161" s="13">
        <v>46539</v>
      </c>
      <c r="B161" s="63">
        <f>3.5696 * CHOOSE(CONTROL!$C$22, $C$13, 100%, $E$13)</f>
        <v>3.5695999999999999</v>
      </c>
      <c r="C161" s="63">
        <f>3.5696 * CHOOSE(CONTROL!$C$22, $C$13, 100%, $E$13)</f>
        <v>3.5695999999999999</v>
      </c>
      <c r="D161" s="63">
        <f>3.594 * CHOOSE(CONTROL!$C$22, $C$13, 100%, $E$13)</f>
        <v>3.5939999999999999</v>
      </c>
      <c r="E161" s="64">
        <f>4.0953 * CHOOSE(CONTROL!$C$22, $C$13, 100%, $E$13)</f>
        <v>4.0952999999999999</v>
      </c>
      <c r="F161" s="64">
        <f>4.0953 * CHOOSE(CONTROL!$C$22, $C$13, 100%, $E$13)</f>
        <v>4.0952999999999999</v>
      </c>
      <c r="G161" s="64">
        <f>4.0968 * CHOOSE(CONTROL!$C$22, $C$13, 100%, $E$13)</f>
        <v>4.0968</v>
      </c>
      <c r="H161" s="64">
        <f>7.6218* CHOOSE(CONTROL!$C$22, $C$13, 100%, $E$13)</f>
        <v>7.6218000000000004</v>
      </c>
      <c r="I161" s="64">
        <f>7.6234 * CHOOSE(CONTROL!$C$22, $C$13, 100%, $E$13)</f>
        <v>7.6234000000000002</v>
      </c>
      <c r="J161" s="64">
        <f>4.0953 * CHOOSE(CONTROL!$C$22, $C$13, 100%, $E$13)</f>
        <v>4.0952999999999999</v>
      </c>
      <c r="K161" s="64">
        <f>4.0968 * CHOOSE(CONTROL!$C$22, $C$13, 100%, $E$13)</f>
        <v>4.0968</v>
      </c>
    </row>
    <row r="162" spans="1:11" ht="15">
      <c r="A162" s="13">
        <v>46569</v>
      </c>
      <c r="B162" s="63">
        <f>3.6201 * CHOOSE(CONTROL!$C$22, $C$13, 100%, $E$13)</f>
        <v>3.6200999999999999</v>
      </c>
      <c r="C162" s="63">
        <f>3.6201 * CHOOSE(CONTROL!$C$22, $C$13, 100%, $E$13)</f>
        <v>3.6200999999999999</v>
      </c>
      <c r="D162" s="63">
        <f>3.6445 * CHOOSE(CONTROL!$C$22, $C$13, 100%, $E$13)</f>
        <v>3.6444999999999999</v>
      </c>
      <c r="E162" s="64">
        <f>4.1543 * CHOOSE(CONTROL!$C$22, $C$13, 100%, $E$13)</f>
        <v>4.1543000000000001</v>
      </c>
      <c r="F162" s="64">
        <f>4.1543 * CHOOSE(CONTROL!$C$22, $C$13, 100%, $E$13)</f>
        <v>4.1543000000000001</v>
      </c>
      <c r="G162" s="64">
        <f>4.1559 * CHOOSE(CONTROL!$C$22, $C$13, 100%, $E$13)</f>
        <v>4.1558999999999999</v>
      </c>
      <c r="H162" s="64">
        <f>7.6377* CHOOSE(CONTROL!$C$22, $C$13, 100%, $E$13)</f>
        <v>7.6376999999999997</v>
      </c>
      <c r="I162" s="64">
        <f>7.6393 * CHOOSE(CONTROL!$C$22, $C$13, 100%, $E$13)</f>
        <v>7.6393000000000004</v>
      </c>
      <c r="J162" s="64">
        <f>4.1543 * CHOOSE(CONTROL!$C$22, $C$13, 100%, $E$13)</f>
        <v>4.1543000000000001</v>
      </c>
      <c r="K162" s="64">
        <f>4.1559 * CHOOSE(CONTROL!$C$22, $C$13, 100%, $E$13)</f>
        <v>4.1558999999999999</v>
      </c>
    </row>
    <row r="163" spans="1:11" ht="15">
      <c r="A163" s="13">
        <v>46600</v>
      </c>
      <c r="B163" s="63">
        <f>3.6268 * CHOOSE(CONTROL!$C$22, $C$13, 100%, $E$13)</f>
        <v>3.6267999999999998</v>
      </c>
      <c r="C163" s="63">
        <f>3.6268 * CHOOSE(CONTROL!$C$22, $C$13, 100%, $E$13)</f>
        <v>3.6267999999999998</v>
      </c>
      <c r="D163" s="63">
        <f>3.6512 * CHOOSE(CONTROL!$C$22, $C$13, 100%, $E$13)</f>
        <v>3.6511999999999998</v>
      </c>
      <c r="E163" s="64">
        <f>4.1157 * CHOOSE(CONTROL!$C$22, $C$13, 100%, $E$13)</f>
        <v>4.1157000000000004</v>
      </c>
      <c r="F163" s="64">
        <f>4.1157 * CHOOSE(CONTROL!$C$22, $C$13, 100%, $E$13)</f>
        <v>4.1157000000000004</v>
      </c>
      <c r="G163" s="64">
        <f>4.1173 * CHOOSE(CONTROL!$C$22, $C$13, 100%, $E$13)</f>
        <v>4.1173000000000002</v>
      </c>
      <c r="H163" s="64">
        <f>7.6536* CHOOSE(CONTROL!$C$22, $C$13, 100%, $E$13)</f>
        <v>7.6536</v>
      </c>
      <c r="I163" s="64">
        <f>7.6552 * CHOOSE(CONTROL!$C$22, $C$13, 100%, $E$13)</f>
        <v>7.6551999999999998</v>
      </c>
      <c r="J163" s="64">
        <f>4.1157 * CHOOSE(CONTROL!$C$22, $C$13, 100%, $E$13)</f>
        <v>4.1157000000000004</v>
      </c>
      <c r="K163" s="64">
        <f>4.1173 * CHOOSE(CONTROL!$C$22, $C$13, 100%, $E$13)</f>
        <v>4.1173000000000002</v>
      </c>
    </row>
    <row r="164" spans="1:11" ht="15">
      <c r="A164" s="13">
        <v>46631</v>
      </c>
      <c r="B164" s="63">
        <f>3.6237 * CHOOSE(CONTROL!$C$22, $C$13, 100%, $E$13)</f>
        <v>3.6236999999999999</v>
      </c>
      <c r="C164" s="63">
        <f>3.6237 * CHOOSE(CONTROL!$C$22, $C$13, 100%, $E$13)</f>
        <v>3.6236999999999999</v>
      </c>
      <c r="D164" s="63">
        <f>3.6481 * CHOOSE(CONTROL!$C$22, $C$13, 100%, $E$13)</f>
        <v>3.6480999999999999</v>
      </c>
      <c r="E164" s="64">
        <f>4.1088 * CHOOSE(CONTROL!$C$22, $C$13, 100%, $E$13)</f>
        <v>4.1087999999999996</v>
      </c>
      <c r="F164" s="64">
        <f>4.1088 * CHOOSE(CONTROL!$C$22, $C$13, 100%, $E$13)</f>
        <v>4.1087999999999996</v>
      </c>
      <c r="G164" s="64">
        <f>4.1103 * CHOOSE(CONTROL!$C$22, $C$13, 100%, $E$13)</f>
        <v>4.1102999999999996</v>
      </c>
      <c r="H164" s="64">
        <f>7.6696* CHOOSE(CONTROL!$C$22, $C$13, 100%, $E$13)</f>
        <v>7.6696</v>
      </c>
      <c r="I164" s="64">
        <f>7.6711 * CHOOSE(CONTROL!$C$22, $C$13, 100%, $E$13)</f>
        <v>7.6711</v>
      </c>
      <c r="J164" s="64">
        <f>4.1088 * CHOOSE(CONTROL!$C$22, $C$13, 100%, $E$13)</f>
        <v>4.1087999999999996</v>
      </c>
      <c r="K164" s="64">
        <f>4.1103 * CHOOSE(CONTROL!$C$22, $C$13, 100%, $E$13)</f>
        <v>4.1102999999999996</v>
      </c>
    </row>
    <row r="165" spans="1:11" ht="15">
      <c r="A165" s="13">
        <v>46661</v>
      </c>
      <c r="B165" s="63">
        <f>3.6177 * CHOOSE(CONTROL!$C$22, $C$13, 100%, $E$13)</f>
        <v>3.6177000000000001</v>
      </c>
      <c r="C165" s="63">
        <f>3.6177 * CHOOSE(CONTROL!$C$22, $C$13, 100%, $E$13)</f>
        <v>3.6177000000000001</v>
      </c>
      <c r="D165" s="63">
        <f>3.6299 * CHOOSE(CONTROL!$C$22, $C$13, 100%, $E$13)</f>
        <v>3.6299000000000001</v>
      </c>
      <c r="E165" s="64">
        <f>4.1146 * CHOOSE(CONTROL!$C$22, $C$13, 100%, $E$13)</f>
        <v>4.1146000000000003</v>
      </c>
      <c r="F165" s="64">
        <f>4.1146 * CHOOSE(CONTROL!$C$22, $C$13, 100%, $E$13)</f>
        <v>4.1146000000000003</v>
      </c>
      <c r="G165" s="64">
        <f>4.1148 * CHOOSE(CONTROL!$C$22, $C$13, 100%, $E$13)</f>
        <v>4.1147999999999998</v>
      </c>
      <c r="H165" s="64">
        <f>7.6855* CHOOSE(CONTROL!$C$22, $C$13, 100%, $E$13)</f>
        <v>7.6855000000000002</v>
      </c>
      <c r="I165" s="64">
        <f>7.6857 * CHOOSE(CONTROL!$C$22, $C$13, 100%, $E$13)</f>
        <v>7.6856999999999998</v>
      </c>
      <c r="J165" s="64">
        <f>4.1146 * CHOOSE(CONTROL!$C$22, $C$13, 100%, $E$13)</f>
        <v>4.1146000000000003</v>
      </c>
      <c r="K165" s="64">
        <f>4.1148 * CHOOSE(CONTROL!$C$22, $C$13, 100%, $E$13)</f>
        <v>4.1147999999999998</v>
      </c>
    </row>
    <row r="166" spans="1:11" ht="15">
      <c r="A166" s="13">
        <v>46692</v>
      </c>
      <c r="B166" s="63">
        <f>3.6207 * CHOOSE(CONTROL!$C$22, $C$13, 100%, $E$13)</f>
        <v>3.6206999999999998</v>
      </c>
      <c r="C166" s="63">
        <f>3.6207 * CHOOSE(CONTROL!$C$22, $C$13, 100%, $E$13)</f>
        <v>3.6206999999999998</v>
      </c>
      <c r="D166" s="63">
        <f>3.6329 * CHOOSE(CONTROL!$C$22, $C$13, 100%, $E$13)</f>
        <v>3.6328999999999998</v>
      </c>
      <c r="E166" s="64">
        <f>4.1263 * CHOOSE(CONTROL!$C$22, $C$13, 100%, $E$13)</f>
        <v>4.1262999999999996</v>
      </c>
      <c r="F166" s="64">
        <f>4.1263 * CHOOSE(CONTROL!$C$22, $C$13, 100%, $E$13)</f>
        <v>4.1262999999999996</v>
      </c>
      <c r="G166" s="64">
        <f>4.1265 * CHOOSE(CONTROL!$C$22, $C$13, 100%, $E$13)</f>
        <v>4.1265000000000001</v>
      </c>
      <c r="H166" s="64">
        <f>7.7016* CHOOSE(CONTROL!$C$22, $C$13, 100%, $E$13)</f>
        <v>7.7016</v>
      </c>
      <c r="I166" s="64">
        <f>7.7017 * CHOOSE(CONTROL!$C$22, $C$13, 100%, $E$13)</f>
        <v>7.7016999999999998</v>
      </c>
      <c r="J166" s="64">
        <f>4.1263 * CHOOSE(CONTROL!$C$22, $C$13, 100%, $E$13)</f>
        <v>4.1262999999999996</v>
      </c>
      <c r="K166" s="64">
        <f>4.1265 * CHOOSE(CONTROL!$C$22, $C$13, 100%, $E$13)</f>
        <v>4.1265000000000001</v>
      </c>
    </row>
    <row r="167" spans="1:11" ht="15">
      <c r="A167" s="13">
        <v>46722</v>
      </c>
      <c r="B167" s="63">
        <f>3.6207 * CHOOSE(CONTROL!$C$22, $C$13, 100%, $E$13)</f>
        <v>3.6206999999999998</v>
      </c>
      <c r="C167" s="63">
        <f>3.6207 * CHOOSE(CONTROL!$C$22, $C$13, 100%, $E$13)</f>
        <v>3.6206999999999998</v>
      </c>
      <c r="D167" s="63">
        <f>3.6329 * CHOOSE(CONTROL!$C$22, $C$13, 100%, $E$13)</f>
        <v>3.6328999999999998</v>
      </c>
      <c r="E167" s="64">
        <f>4.1023 * CHOOSE(CONTROL!$C$22, $C$13, 100%, $E$13)</f>
        <v>4.1022999999999996</v>
      </c>
      <c r="F167" s="64">
        <f>4.1023 * CHOOSE(CONTROL!$C$22, $C$13, 100%, $E$13)</f>
        <v>4.1022999999999996</v>
      </c>
      <c r="G167" s="64">
        <f>4.1024 * CHOOSE(CONTROL!$C$22, $C$13, 100%, $E$13)</f>
        <v>4.1024000000000003</v>
      </c>
      <c r="H167" s="64">
        <f>7.7176* CHOOSE(CONTROL!$C$22, $C$13, 100%, $E$13)</f>
        <v>7.7176</v>
      </c>
      <c r="I167" s="64">
        <f>7.7178 * CHOOSE(CONTROL!$C$22, $C$13, 100%, $E$13)</f>
        <v>7.7178000000000004</v>
      </c>
      <c r="J167" s="64">
        <f>4.1023 * CHOOSE(CONTROL!$C$22, $C$13, 100%, $E$13)</f>
        <v>4.1022999999999996</v>
      </c>
      <c r="K167" s="64">
        <f>4.1024 * CHOOSE(CONTROL!$C$22, $C$13, 100%, $E$13)</f>
        <v>4.1024000000000003</v>
      </c>
    </row>
    <row r="168" spans="1:11" ht="15">
      <c r="A168" s="13">
        <v>46753</v>
      </c>
      <c r="B168" s="63">
        <f>3.656 * CHOOSE(CONTROL!$C$22, $C$13, 100%, $E$13)</f>
        <v>3.6560000000000001</v>
      </c>
      <c r="C168" s="63">
        <f>3.656 * CHOOSE(CONTROL!$C$22, $C$13, 100%, $E$13)</f>
        <v>3.6560000000000001</v>
      </c>
      <c r="D168" s="63">
        <f>3.6682 * CHOOSE(CONTROL!$C$22, $C$13, 100%, $E$13)</f>
        <v>3.6682000000000001</v>
      </c>
      <c r="E168" s="64">
        <f>4.1535 * CHOOSE(CONTROL!$C$22, $C$13, 100%, $E$13)</f>
        <v>4.1535000000000002</v>
      </c>
      <c r="F168" s="64">
        <f>4.1535 * CHOOSE(CONTROL!$C$22, $C$13, 100%, $E$13)</f>
        <v>4.1535000000000002</v>
      </c>
      <c r="G168" s="64">
        <f>4.1537 * CHOOSE(CONTROL!$C$22, $C$13, 100%, $E$13)</f>
        <v>4.1536999999999997</v>
      </c>
      <c r="H168" s="64">
        <f>7.7337* CHOOSE(CONTROL!$C$22, $C$13, 100%, $E$13)</f>
        <v>7.7336999999999998</v>
      </c>
      <c r="I168" s="64">
        <f>7.7339 * CHOOSE(CONTROL!$C$22, $C$13, 100%, $E$13)</f>
        <v>7.7339000000000002</v>
      </c>
      <c r="J168" s="64">
        <f>4.1535 * CHOOSE(CONTROL!$C$22, $C$13, 100%, $E$13)</f>
        <v>4.1535000000000002</v>
      </c>
      <c r="K168" s="64">
        <f>4.1537 * CHOOSE(CONTROL!$C$22, $C$13, 100%, $E$13)</f>
        <v>4.1536999999999997</v>
      </c>
    </row>
    <row r="169" spans="1:11" ht="15">
      <c r="A169" s="13">
        <v>46784</v>
      </c>
      <c r="B169" s="63">
        <f>3.6529 * CHOOSE(CONTROL!$C$22, $C$13, 100%, $E$13)</f>
        <v>3.6528999999999998</v>
      </c>
      <c r="C169" s="63">
        <f>3.6529 * CHOOSE(CONTROL!$C$22, $C$13, 100%, $E$13)</f>
        <v>3.6528999999999998</v>
      </c>
      <c r="D169" s="63">
        <f>3.6651 * CHOOSE(CONTROL!$C$22, $C$13, 100%, $E$13)</f>
        <v>3.6650999999999998</v>
      </c>
      <c r="E169" s="64">
        <f>4.1048 * CHOOSE(CONTROL!$C$22, $C$13, 100%, $E$13)</f>
        <v>4.1048</v>
      </c>
      <c r="F169" s="64">
        <f>4.1048 * CHOOSE(CONTROL!$C$22, $C$13, 100%, $E$13)</f>
        <v>4.1048</v>
      </c>
      <c r="G169" s="64">
        <f>4.105 * CHOOSE(CONTROL!$C$22, $C$13, 100%, $E$13)</f>
        <v>4.1050000000000004</v>
      </c>
      <c r="H169" s="64">
        <f>7.7498* CHOOSE(CONTROL!$C$22, $C$13, 100%, $E$13)</f>
        <v>7.7497999999999996</v>
      </c>
      <c r="I169" s="64">
        <f>7.75 * CHOOSE(CONTROL!$C$22, $C$13, 100%, $E$13)</f>
        <v>7.75</v>
      </c>
      <c r="J169" s="64">
        <f>4.1048 * CHOOSE(CONTROL!$C$22, $C$13, 100%, $E$13)</f>
        <v>4.1048</v>
      </c>
      <c r="K169" s="64">
        <f>4.105 * CHOOSE(CONTROL!$C$22, $C$13, 100%, $E$13)</f>
        <v>4.1050000000000004</v>
      </c>
    </row>
    <row r="170" spans="1:11" ht="15">
      <c r="A170" s="13">
        <v>46813</v>
      </c>
      <c r="B170" s="63">
        <f>3.6499 * CHOOSE(CONTROL!$C$22, $C$13, 100%, $E$13)</f>
        <v>3.6499000000000001</v>
      </c>
      <c r="C170" s="63">
        <f>3.6499 * CHOOSE(CONTROL!$C$22, $C$13, 100%, $E$13)</f>
        <v>3.6499000000000001</v>
      </c>
      <c r="D170" s="63">
        <f>3.6621 * CHOOSE(CONTROL!$C$22, $C$13, 100%, $E$13)</f>
        <v>3.6621000000000001</v>
      </c>
      <c r="E170" s="64">
        <f>4.1394 * CHOOSE(CONTROL!$C$22, $C$13, 100%, $E$13)</f>
        <v>4.1394000000000002</v>
      </c>
      <c r="F170" s="64">
        <f>4.1394 * CHOOSE(CONTROL!$C$22, $C$13, 100%, $E$13)</f>
        <v>4.1394000000000002</v>
      </c>
      <c r="G170" s="64">
        <f>4.1396 * CHOOSE(CONTROL!$C$22, $C$13, 100%, $E$13)</f>
        <v>4.1395999999999997</v>
      </c>
      <c r="H170" s="64">
        <f>7.7659* CHOOSE(CONTROL!$C$22, $C$13, 100%, $E$13)</f>
        <v>7.7659000000000002</v>
      </c>
      <c r="I170" s="64">
        <f>7.7661 * CHOOSE(CONTROL!$C$22, $C$13, 100%, $E$13)</f>
        <v>7.7660999999999998</v>
      </c>
      <c r="J170" s="64">
        <f>4.1394 * CHOOSE(CONTROL!$C$22, $C$13, 100%, $E$13)</f>
        <v>4.1394000000000002</v>
      </c>
      <c r="K170" s="64">
        <f>4.1396 * CHOOSE(CONTROL!$C$22, $C$13, 100%, $E$13)</f>
        <v>4.1395999999999997</v>
      </c>
    </row>
    <row r="171" spans="1:11" ht="15">
      <c r="A171" s="13">
        <v>46844</v>
      </c>
      <c r="B171" s="63">
        <f>3.6473 * CHOOSE(CONTROL!$C$22, $C$13, 100%, $E$13)</f>
        <v>3.6473</v>
      </c>
      <c r="C171" s="63">
        <f>3.6473 * CHOOSE(CONTROL!$C$22, $C$13, 100%, $E$13)</f>
        <v>3.6473</v>
      </c>
      <c r="D171" s="63">
        <f>3.6595 * CHOOSE(CONTROL!$C$22, $C$13, 100%, $E$13)</f>
        <v>3.6595</v>
      </c>
      <c r="E171" s="64">
        <f>4.1746 * CHOOSE(CONTROL!$C$22, $C$13, 100%, $E$13)</f>
        <v>4.1745999999999999</v>
      </c>
      <c r="F171" s="64">
        <f>4.1746 * CHOOSE(CONTROL!$C$22, $C$13, 100%, $E$13)</f>
        <v>4.1745999999999999</v>
      </c>
      <c r="G171" s="64">
        <f>4.1748 * CHOOSE(CONTROL!$C$22, $C$13, 100%, $E$13)</f>
        <v>4.1748000000000003</v>
      </c>
      <c r="H171" s="64">
        <f>7.7821* CHOOSE(CONTROL!$C$22, $C$13, 100%, $E$13)</f>
        <v>7.7820999999999998</v>
      </c>
      <c r="I171" s="64">
        <f>7.7823 * CHOOSE(CONTROL!$C$22, $C$13, 100%, $E$13)</f>
        <v>7.7823000000000002</v>
      </c>
      <c r="J171" s="64">
        <f>4.1746 * CHOOSE(CONTROL!$C$22, $C$13, 100%, $E$13)</f>
        <v>4.1745999999999999</v>
      </c>
      <c r="K171" s="64">
        <f>4.1748 * CHOOSE(CONTROL!$C$22, $C$13, 100%, $E$13)</f>
        <v>4.1748000000000003</v>
      </c>
    </row>
    <row r="172" spans="1:11" ht="15">
      <c r="A172" s="13">
        <v>46874</v>
      </c>
      <c r="B172" s="63">
        <f>3.6473 * CHOOSE(CONTROL!$C$22, $C$13, 100%, $E$13)</f>
        <v>3.6473</v>
      </c>
      <c r="C172" s="63">
        <f>3.6473 * CHOOSE(CONTROL!$C$22, $C$13, 100%, $E$13)</f>
        <v>3.6473</v>
      </c>
      <c r="D172" s="63">
        <f>3.6717 * CHOOSE(CONTROL!$C$22, $C$13, 100%, $E$13)</f>
        <v>3.6717</v>
      </c>
      <c r="E172" s="64">
        <f>4.1894 * CHOOSE(CONTROL!$C$22, $C$13, 100%, $E$13)</f>
        <v>4.1894</v>
      </c>
      <c r="F172" s="64">
        <f>4.1894 * CHOOSE(CONTROL!$C$22, $C$13, 100%, $E$13)</f>
        <v>4.1894</v>
      </c>
      <c r="G172" s="64">
        <f>4.191 * CHOOSE(CONTROL!$C$22, $C$13, 100%, $E$13)</f>
        <v>4.1909999999999998</v>
      </c>
      <c r="H172" s="64">
        <f>7.7983* CHOOSE(CONTROL!$C$22, $C$13, 100%, $E$13)</f>
        <v>7.7983000000000002</v>
      </c>
      <c r="I172" s="64">
        <f>7.7999 * CHOOSE(CONTROL!$C$22, $C$13, 100%, $E$13)</f>
        <v>7.7999000000000001</v>
      </c>
      <c r="J172" s="64">
        <f>4.1894 * CHOOSE(CONTROL!$C$22, $C$13, 100%, $E$13)</f>
        <v>4.1894</v>
      </c>
      <c r="K172" s="64">
        <f>4.191 * CHOOSE(CONTROL!$C$22, $C$13, 100%, $E$13)</f>
        <v>4.1909999999999998</v>
      </c>
    </row>
    <row r="173" spans="1:11" ht="15">
      <c r="A173" s="13">
        <v>46905</v>
      </c>
      <c r="B173" s="63">
        <f>3.6534 * CHOOSE(CONTROL!$C$22, $C$13, 100%, $E$13)</f>
        <v>3.6534</v>
      </c>
      <c r="C173" s="63">
        <f>3.6534 * CHOOSE(CONTROL!$C$22, $C$13, 100%, $E$13)</f>
        <v>3.6534</v>
      </c>
      <c r="D173" s="63">
        <f>3.6778 * CHOOSE(CONTROL!$C$22, $C$13, 100%, $E$13)</f>
        <v>3.6778</v>
      </c>
      <c r="E173" s="64">
        <f>4.1788 * CHOOSE(CONTROL!$C$22, $C$13, 100%, $E$13)</f>
        <v>4.1787999999999998</v>
      </c>
      <c r="F173" s="64">
        <f>4.1788 * CHOOSE(CONTROL!$C$22, $C$13, 100%, $E$13)</f>
        <v>4.1787999999999998</v>
      </c>
      <c r="G173" s="64">
        <f>4.1804 * CHOOSE(CONTROL!$C$22, $C$13, 100%, $E$13)</f>
        <v>4.1803999999999997</v>
      </c>
      <c r="H173" s="64">
        <f>7.8146* CHOOSE(CONTROL!$C$22, $C$13, 100%, $E$13)</f>
        <v>7.8146000000000004</v>
      </c>
      <c r="I173" s="64">
        <f>7.8161 * CHOOSE(CONTROL!$C$22, $C$13, 100%, $E$13)</f>
        <v>7.8160999999999996</v>
      </c>
      <c r="J173" s="64">
        <f>4.1788 * CHOOSE(CONTROL!$C$22, $C$13, 100%, $E$13)</f>
        <v>4.1787999999999998</v>
      </c>
      <c r="K173" s="64">
        <f>4.1804 * CHOOSE(CONTROL!$C$22, $C$13, 100%, $E$13)</f>
        <v>4.1803999999999997</v>
      </c>
    </row>
    <row r="174" spans="1:11" ht="15">
      <c r="A174" s="13">
        <v>46935</v>
      </c>
      <c r="B174" s="63">
        <f>3.7202 * CHOOSE(CONTROL!$C$22, $C$13, 100%, $E$13)</f>
        <v>3.7202000000000002</v>
      </c>
      <c r="C174" s="63">
        <f>3.7202 * CHOOSE(CONTROL!$C$22, $C$13, 100%, $E$13)</f>
        <v>3.7202000000000002</v>
      </c>
      <c r="D174" s="63">
        <f>3.7446 * CHOOSE(CONTROL!$C$22, $C$13, 100%, $E$13)</f>
        <v>3.7446000000000002</v>
      </c>
      <c r="E174" s="64">
        <f>4.2571 * CHOOSE(CONTROL!$C$22, $C$13, 100%, $E$13)</f>
        <v>4.2571000000000003</v>
      </c>
      <c r="F174" s="64">
        <f>4.2571 * CHOOSE(CONTROL!$C$22, $C$13, 100%, $E$13)</f>
        <v>4.2571000000000003</v>
      </c>
      <c r="G174" s="64">
        <f>4.2586 * CHOOSE(CONTROL!$C$22, $C$13, 100%, $E$13)</f>
        <v>4.2586000000000004</v>
      </c>
      <c r="H174" s="64">
        <f>7.8309* CHOOSE(CONTROL!$C$22, $C$13, 100%, $E$13)</f>
        <v>7.8308999999999997</v>
      </c>
      <c r="I174" s="64">
        <f>7.8324 * CHOOSE(CONTROL!$C$22, $C$13, 100%, $E$13)</f>
        <v>7.8323999999999998</v>
      </c>
      <c r="J174" s="64">
        <f>4.2571 * CHOOSE(CONTROL!$C$22, $C$13, 100%, $E$13)</f>
        <v>4.2571000000000003</v>
      </c>
      <c r="K174" s="64">
        <f>4.2586 * CHOOSE(CONTROL!$C$22, $C$13, 100%, $E$13)</f>
        <v>4.2586000000000004</v>
      </c>
    </row>
    <row r="175" spans="1:11" ht="15">
      <c r="A175" s="13">
        <v>46966</v>
      </c>
      <c r="B175" s="63">
        <f>3.7269 * CHOOSE(CONTROL!$C$22, $C$13, 100%, $E$13)</f>
        <v>3.7269000000000001</v>
      </c>
      <c r="C175" s="63">
        <f>3.7269 * CHOOSE(CONTROL!$C$22, $C$13, 100%, $E$13)</f>
        <v>3.7269000000000001</v>
      </c>
      <c r="D175" s="63">
        <f>3.7513 * CHOOSE(CONTROL!$C$22, $C$13, 100%, $E$13)</f>
        <v>3.7513000000000001</v>
      </c>
      <c r="E175" s="64">
        <f>4.2174 * CHOOSE(CONTROL!$C$22, $C$13, 100%, $E$13)</f>
        <v>4.2173999999999996</v>
      </c>
      <c r="F175" s="64">
        <f>4.2174 * CHOOSE(CONTROL!$C$22, $C$13, 100%, $E$13)</f>
        <v>4.2173999999999996</v>
      </c>
      <c r="G175" s="64">
        <f>4.2189 * CHOOSE(CONTROL!$C$22, $C$13, 100%, $E$13)</f>
        <v>4.2188999999999997</v>
      </c>
      <c r="H175" s="64">
        <f>7.8472* CHOOSE(CONTROL!$C$22, $C$13, 100%, $E$13)</f>
        <v>7.8472</v>
      </c>
      <c r="I175" s="64">
        <f>7.8487 * CHOOSE(CONTROL!$C$22, $C$13, 100%, $E$13)</f>
        <v>7.8487</v>
      </c>
      <c r="J175" s="64">
        <f>4.2174 * CHOOSE(CONTROL!$C$22, $C$13, 100%, $E$13)</f>
        <v>4.2173999999999996</v>
      </c>
      <c r="K175" s="64">
        <f>4.2189 * CHOOSE(CONTROL!$C$22, $C$13, 100%, $E$13)</f>
        <v>4.2188999999999997</v>
      </c>
    </row>
    <row r="176" spans="1:11" ht="15">
      <c r="A176" s="13">
        <v>46997</v>
      </c>
      <c r="B176" s="63">
        <f>3.7239 * CHOOSE(CONTROL!$C$22, $C$13, 100%, $E$13)</f>
        <v>3.7239</v>
      </c>
      <c r="C176" s="63">
        <f>3.7239 * CHOOSE(CONTROL!$C$22, $C$13, 100%, $E$13)</f>
        <v>3.7239</v>
      </c>
      <c r="D176" s="63">
        <f>3.7483 * CHOOSE(CONTROL!$C$22, $C$13, 100%, $E$13)</f>
        <v>3.7483</v>
      </c>
      <c r="E176" s="64">
        <f>4.2103 * CHOOSE(CONTROL!$C$22, $C$13, 100%, $E$13)</f>
        <v>4.2103000000000002</v>
      </c>
      <c r="F176" s="64">
        <f>4.2103 * CHOOSE(CONTROL!$C$22, $C$13, 100%, $E$13)</f>
        <v>4.2103000000000002</v>
      </c>
      <c r="G176" s="64">
        <f>4.2119 * CHOOSE(CONTROL!$C$22, $C$13, 100%, $E$13)</f>
        <v>4.2119</v>
      </c>
      <c r="H176" s="64">
        <f>7.8635* CHOOSE(CONTROL!$C$22, $C$13, 100%, $E$13)</f>
        <v>7.8635000000000002</v>
      </c>
      <c r="I176" s="64">
        <f>7.8651 * CHOOSE(CONTROL!$C$22, $C$13, 100%, $E$13)</f>
        <v>7.8651</v>
      </c>
      <c r="J176" s="64">
        <f>4.2103 * CHOOSE(CONTROL!$C$22, $C$13, 100%, $E$13)</f>
        <v>4.2103000000000002</v>
      </c>
      <c r="K176" s="64">
        <f>4.2119 * CHOOSE(CONTROL!$C$22, $C$13, 100%, $E$13)</f>
        <v>4.2119</v>
      </c>
    </row>
    <row r="177" spans="1:11" ht="15">
      <c r="A177" s="13">
        <v>47027</v>
      </c>
      <c r="B177" s="63">
        <f>3.7182 * CHOOSE(CONTROL!$C$22, $C$13, 100%, $E$13)</f>
        <v>3.7181999999999999</v>
      </c>
      <c r="C177" s="63">
        <f>3.7182 * CHOOSE(CONTROL!$C$22, $C$13, 100%, $E$13)</f>
        <v>3.7181999999999999</v>
      </c>
      <c r="D177" s="63">
        <f>3.7304 * CHOOSE(CONTROL!$C$22, $C$13, 100%, $E$13)</f>
        <v>3.7303999999999999</v>
      </c>
      <c r="E177" s="64">
        <f>4.2166 * CHOOSE(CONTROL!$C$22, $C$13, 100%, $E$13)</f>
        <v>4.2165999999999997</v>
      </c>
      <c r="F177" s="64">
        <f>4.2166 * CHOOSE(CONTROL!$C$22, $C$13, 100%, $E$13)</f>
        <v>4.2165999999999997</v>
      </c>
      <c r="G177" s="64">
        <f>4.2168 * CHOOSE(CONTROL!$C$22, $C$13, 100%, $E$13)</f>
        <v>4.2168000000000001</v>
      </c>
      <c r="H177" s="64">
        <f>7.8799* CHOOSE(CONTROL!$C$22, $C$13, 100%, $E$13)</f>
        <v>7.8799000000000001</v>
      </c>
      <c r="I177" s="64">
        <f>7.8801 * CHOOSE(CONTROL!$C$22, $C$13, 100%, $E$13)</f>
        <v>7.8800999999999997</v>
      </c>
      <c r="J177" s="64">
        <f>4.2166 * CHOOSE(CONTROL!$C$22, $C$13, 100%, $E$13)</f>
        <v>4.2165999999999997</v>
      </c>
      <c r="K177" s="64">
        <f>4.2168 * CHOOSE(CONTROL!$C$22, $C$13, 100%, $E$13)</f>
        <v>4.2168000000000001</v>
      </c>
    </row>
    <row r="178" spans="1:11" ht="15">
      <c r="A178" s="13">
        <v>47058</v>
      </c>
      <c r="B178" s="63">
        <f>3.7212 * CHOOSE(CONTROL!$C$22, $C$13, 100%, $E$13)</f>
        <v>3.7212000000000001</v>
      </c>
      <c r="C178" s="63">
        <f>3.7212 * CHOOSE(CONTROL!$C$22, $C$13, 100%, $E$13)</f>
        <v>3.7212000000000001</v>
      </c>
      <c r="D178" s="63">
        <f>3.7334 * CHOOSE(CONTROL!$C$22, $C$13, 100%, $E$13)</f>
        <v>3.7334000000000001</v>
      </c>
      <c r="E178" s="64">
        <f>4.2286 * CHOOSE(CONTROL!$C$22, $C$13, 100%, $E$13)</f>
        <v>4.2286000000000001</v>
      </c>
      <c r="F178" s="64">
        <f>4.2286 * CHOOSE(CONTROL!$C$22, $C$13, 100%, $E$13)</f>
        <v>4.2286000000000001</v>
      </c>
      <c r="G178" s="64">
        <f>4.2288 * CHOOSE(CONTROL!$C$22, $C$13, 100%, $E$13)</f>
        <v>4.2287999999999997</v>
      </c>
      <c r="H178" s="64">
        <f>7.8963* CHOOSE(CONTROL!$C$22, $C$13, 100%, $E$13)</f>
        <v>7.8963000000000001</v>
      </c>
      <c r="I178" s="64">
        <f>7.8965 * CHOOSE(CONTROL!$C$22, $C$13, 100%, $E$13)</f>
        <v>7.8964999999999996</v>
      </c>
      <c r="J178" s="64">
        <f>4.2286 * CHOOSE(CONTROL!$C$22, $C$13, 100%, $E$13)</f>
        <v>4.2286000000000001</v>
      </c>
      <c r="K178" s="64">
        <f>4.2288 * CHOOSE(CONTROL!$C$22, $C$13, 100%, $E$13)</f>
        <v>4.2287999999999997</v>
      </c>
    </row>
    <row r="179" spans="1:11" ht="15">
      <c r="A179" s="13">
        <v>47088</v>
      </c>
      <c r="B179" s="63">
        <f>3.7212 * CHOOSE(CONTROL!$C$22, $C$13, 100%, $E$13)</f>
        <v>3.7212000000000001</v>
      </c>
      <c r="C179" s="63">
        <f>3.7212 * CHOOSE(CONTROL!$C$22, $C$13, 100%, $E$13)</f>
        <v>3.7212000000000001</v>
      </c>
      <c r="D179" s="63">
        <f>3.7334 * CHOOSE(CONTROL!$C$22, $C$13, 100%, $E$13)</f>
        <v>3.7334000000000001</v>
      </c>
      <c r="E179" s="64">
        <f>4.2039 * CHOOSE(CONTROL!$C$22, $C$13, 100%, $E$13)</f>
        <v>4.2039</v>
      </c>
      <c r="F179" s="64">
        <f>4.2039 * CHOOSE(CONTROL!$C$22, $C$13, 100%, $E$13)</f>
        <v>4.2039</v>
      </c>
      <c r="G179" s="64">
        <f>4.2041 * CHOOSE(CONTROL!$C$22, $C$13, 100%, $E$13)</f>
        <v>4.2041000000000004</v>
      </c>
      <c r="H179" s="64">
        <f>7.9128* CHOOSE(CONTROL!$C$22, $C$13, 100%, $E$13)</f>
        <v>7.9127999999999998</v>
      </c>
      <c r="I179" s="64">
        <f>7.9129 * CHOOSE(CONTROL!$C$22, $C$13, 100%, $E$13)</f>
        <v>7.9128999999999996</v>
      </c>
      <c r="J179" s="64">
        <f>4.2039 * CHOOSE(CONTROL!$C$22, $C$13, 100%, $E$13)</f>
        <v>4.2039</v>
      </c>
      <c r="K179" s="64">
        <f>4.2041 * CHOOSE(CONTROL!$C$22, $C$13, 100%, $E$13)</f>
        <v>4.2041000000000004</v>
      </c>
    </row>
    <row r="180" spans="1:11" ht="15">
      <c r="A180" s="13">
        <v>47119</v>
      </c>
      <c r="B180" s="63">
        <f>3.7543 * CHOOSE(CONTROL!$C$22, $C$13, 100%, $E$13)</f>
        <v>3.7543000000000002</v>
      </c>
      <c r="C180" s="63">
        <f>3.7543 * CHOOSE(CONTROL!$C$22, $C$13, 100%, $E$13)</f>
        <v>3.7543000000000002</v>
      </c>
      <c r="D180" s="63">
        <f>3.7665 * CHOOSE(CONTROL!$C$22, $C$13, 100%, $E$13)</f>
        <v>3.7665000000000002</v>
      </c>
      <c r="E180" s="64">
        <f>4.2617 * CHOOSE(CONTROL!$C$22, $C$13, 100%, $E$13)</f>
        <v>4.2617000000000003</v>
      </c>
      <c r="F180" s="64">
        <f>4.2617 * CHOOSE(CONTROL!$C$22, $C$13, 100%, $E$13)</f>
        <v>4.2617000000000003</v>
      </c>
      <c r="G180" s="64">
        <f>4.2619 * CHOOSE(CONTROL!$C$22, $C$13, 100%, $E$13)</f>
        <v>4.2618999999999998</v>
      </c>
      <c r="H180" s="64">
        <f>7.9293* CHOOSE(CONTROL!$C$22, $C$13, 100%, $E$13)</f>
        <v>7.9292999999999996</v>
      </c>
      <c r="I180" s="64">
        <f>7.9294 * CHOOSE(CONTROL!$C$22, $C$13, 100%, $E$13)</f>
        <v>7.9294000000000002</v>
      </c>
      <c r="J180" s="64">
        <f>4.2617 * CHOOSE(CONTROL!$C$22, $C$13, 100%, $E$13)</f>
        <v>4.2617000000000003</v>
      </c>
      <c r="K180" s="64">
        <f>4.2619 * CHOOSE(CONTROL!$C$22, $C$13, 100%, $E$13)</f>
        <v>4.2618999999999998</v>
      </c>
    </row>
    <row r="181" spans="1:11" ht="15">
      <c r="A181" s="13">
        <v>47150</v>
      </c>
      <c r="B181" s="63">
        <f>3.7513 * CHOOSE(CONTROL!$C$22, $C$13, 100%, $E$13)</f>
        <v>3.7513000000000001</v>
      </c>
      <c r="C181" s="63">
        <f>3.7513 * CHOOSE(CONTROL!$C$22, $C$13, 100%, $E$13)</f>
        <v>3.7513000000000001</v>
      </c>
      <c r="D181" s="63">
        <f>3.7635 * CHOOSE(CONTROL!$C$22, $C$13, 100%, $E$13)</f>
        <v>3.7635000000000001</v>
      </c>
      <c r="E181" s="64">
        <f>4.2118 * CHOOSE(CONTROL!$C$22, $C$13, 100%, $E$13)</f>
        <v>4.2118000000000002</v>
      </c>
      <c r="F181" s="64">
        <f>4.2118 * CHOOSE(CONTROL!$C$22, $C$13, 100%, $E$13)</f>
        <v>4.2118000000000002</v>
      </c>
      <c r="G181" s="64">
        <f>4.212 * CHOOSE(CONTROL!$C$22, $C$13, 100%, $E$13)</f>
        <v>4.2119999999999997</v>
      </c>
      <c r="H181" s="64">
        <f>7.9458* CHOOSE(CONTROL!$C$22, $C$13, 100%, $E$13)</f>
        <v>7.9458000000000002</v>
      </c>
      <c r="I181" s="64">
        <f>7.9459 * CHOOSE(CONTROL!$C$22, $C$13, 100%, $E$13)</f>
        <v>7.9459</v>
      </c>
      <c r="J181" s="64">
        <f>4.2118 * CHOOSE(CONTROL!$C$22, $C$13, 100%, $E$13)</f>
        <v>4.2118000000000002</v>
      </c>
      <c r="K181" s="64">
        <f>4.212 * CHOOSE(CONTROL!$C$22, $C$13, 100%, $E$13)</f>
        <v>4.2119999999999997</v>
      </c>
    </row>
    <row r="182" spans="1:11" ht="15">
      <c r="A182" s="13">
        <v>47178</v>
      </c>
      <c r="B182" s="63">
        <f>3.7482 * CHOOSE(CONTROL!$C$22, $C$13, 100%, $E$13)</f>
        <v>3.7482000000000002</v>
      </c>
      <c r="C182" s="63">
        <f>3.7482 * CHOOSE(CONTROL!$C$22, $C$13, 100%, $E$13)</f>
        <v>3.7482000000000002</v>
      </c>
      <c r="D182" s="63">
        <f>3.7604 * CHOOSE(CONTROL!$C$22, $C$13, 100%, $E$13)</f>
        <v>3.7604000000000002</v>
      </c>
      <c r="E182" s="64">
        <f>4.2474 * CHOOSE(CONTROL!$C$22, $C$13, 100%, $E$13)</f>
        <v>4.2473999999999998</v>
      </c>
      <c r="F182" s="64">
        <f>4.2474 * CHOOSE(CONTROL!$C$22, $C$13, 100%, $E$13)</f>
        <v>4.2473999999999998</v>
      </c>
      <c r="G182" s="64">
        <f>4.2476 * CHOOSE(CONTROL!$C$22, $C$13, 100%, $E$13)</f>
        <v>4.2476000000000003</v>
      </c>
      <c r="H182" s="64">
        <f>7.9623* CHOOSE(CONTROL!$C$22, $C$13, 100%, $E$13)</f>
        <v>7.9622999999999999</v>
      </c>
      <c r="I182" s="64">
        <f>7.9625 * CHOOSE(CONTROL!$C$22, $C$13, 100%, $E$13)</f>
        <v>7.9625000000000004</v>
      </c>
      <c r="J182" s="64">
        <f>4.2474 * CHOOSE(CONTROL!$C$22, $C$13, 100%, $E$13)</f>
        <v>4.2473999999999998</v>
      </c>
      <c r="K182" s="64">
        <f>4.2476 * CHOOSE(CONTROL!$C$22, $C$13, 100%, $E$13)</f>
        <v>4.2476000000000003</v>
      </c>
    </row>
    <row r="183" spans="1:11" ht="15">
      <c r="A183" s="13">
        <v>47209</v>
      </c>
      <c r="B183" s="63">
        <f>3.7457 * CHOOSE(CONTROL!$C$22, $C$13, 100%, $E$13)</f>
        <v>3.7456999999999998</v>
      </c>
      <c r="C183" s="63">
        <f>3.7457 * CHOOSE(CONTROL!$C$22, $C$13, 100%, $E$13)</f>
        <v>3.7456999999999998</v>
      </c>
      <c r="D183" s="63">
        <f>3.7579 * CHOOSE(CONTROL!$C$22, $C$13, 100%, $E$13)</f>
        <v>3.7578999999999998</v>
      </c>
      <c r="E183" s="64">
        <f>4.2836 * CHOOSE(CONTROL!$C$22, $C$13, 100%, $E$13)</f>
        <v>4.2835999999999999</v>
      </c>
      <c r="F183" s="64">
        <f>4.2836 * CHOOSE(CONTROL!$C$22, $C$13, 100%, $E$13)</f>
        <v>4.2835999999999999</v>
      </c>
      <c r="G183" s="64">
        <f>4.2838 * CHOOSE(CONTROL!$C$22, $C$13, 100%, $E$13)</f>
        <v>4.2838000000000003</v>
      </c>
      <c r="H183" s="64">
        <f>7.9789* CHOOSE(CONTROL!$C$22, $C$13, 100%, $E$13)</f>
        <v>7.9789000000000003</v>
      </c>
      <c r="I183" s="64">
        <f>7.9791 * CHOOSE(CONTROL!$C$22, $C$13, 100%, $E$13)</f>
        <v>7.9790999999999999</v>
      </c>
      <c r="J183" s="64">
        <f>4.2836 * CHOOSE(CONTROL!$C$22, $C$13, 100%, $E$13)</f>
        <v>4.2835999999999999</v>
      </c>
      <c r="K183" s="64">
        <f>4.2838 * CHOOSE(CONTROL!$C$22, $C$13, 100%, $E$13)</f>
        <v>4.2838000000000003</v>
      </c>
    </row>
    <row r="184" spans="1:11" ht="15">
      <c r="A184" s="13">
        <v>47239</v>
      </c>
      <c r="B184" s="63">
        <f>3.7457 * CHOOSE(CONTROL!$C$22, $C$13, 100%, $E$13)</f>
        <v>3.7456999999999998</v>
      </c>
      <c r="C184" s="63">
        <f>3.7457 * CHOOSE(CONTROL!$C$22, $C$13, 100%, $E$13)</f>
        <v>3.7456999999999998</v>
      </c>
      <c r="D184" s="63">
        <f>3.7701 * CHOOSE(CONTROL!$C$22, $C$13, 100%, $E$13)</f>
        <v>3.7700999999999998</v>
      </c>
      <c r="E184" s="64">
        <f>4.2988 * CHOOSE(CONTROL!$C$22, $C$13, 100%, $E$13)</f>
        <v>4.2988</v>
      </c>
      <c r="F184" s="64">
        <f>4.2988 * CHOOSE(CONTROL!$C$22, $C$13, 100%, $E$13)</f>
        <v>4.2988</v>
      </c>
      <c r="G184" s="64">
        <f>4.3003 * CHOOSE(CONTROL!$C$22, $C$13, 100%, $E$13)</f>
        <v>4.3003</v>
      </c>
      <c r="H184" s="64">
        <f>7.9955* CHOOSE(CONTROL!$C$22, $C$13, 100%, $E$13)</f>
        <v>7.9954999999999998</v>
      </c>
      <c r="I184" s="64">
        <f>7.9971 * CHOOSE(CONTROL!$C$22, $C$13, 100%, $E$13)</f>
        <v>7.9970999999999997</v>
      </c>
      <c r="J184" s="64">
        <f>4.2988 * CHOOSE(CONTROL!$C$22, $C$13, 100%, $E$13)</f>
        <v>4.2988</v>
      </c>
      <c r="K184" s="64">
        <f>4.3003 * CHOOSE(CONTROL!$C$22, $C$13, 100%, $E$13)</f>
        <v>4.3003</v>
      </c>
    </row>
    <row r="185" spans="1:11" ht="15">
      <c r="A185" s="13">
        <v>47270</v>
      </c>
      <c r="B185" s="63">
        <f>3.7518 * CHOOSE(CONTROL!$C$22, $C$13, 100%, $E$13)</f>
        <v>3.7517999999999998</v>
      </c>
      <c r="C185" s="63">
        <f>3.7518 * CHOOSE(CONTROL!$C$22, $C$13, 100%, $E$13)</f>
        <v>3.7517999999999998</v>
      </c>
      <c r="D185" s="63">
        <f>3.7762 * CHOOSE(CONTROL!$C$22, $C$13, 100%, $E$13)</f>
        <v>3.7761999999999998</v>
      </c>
      <c r="E185" s="64">
        <f>4.2878 * CHOOSE(CONTROL!$C$22, $C$13, 100%, $E$13)</f>
        <v>4.2877999999999998</v>
      </c>
      <c r="F185" s="64">
        <f>4.2878 * CHOOSE(CONTROL!$C$22, $C$13, 100%, $E$13)</f>
        <v>4.2877999999999998</v>
      </c>
      <c r="G185" s="64">
        <f>4.2894 * CHOOSE(CONTROL!$C$22, $C$13, 100%, $E$13)</f>
        <v>4.2893999999999997</v>
      </c>
      <c r="H185" s="64">
        <f>8.0122* CHOOSE(CONTROL!$C$22, $C$13, 100%, $E$13)</f>
        <v>8.0122</v>
      </c>
      <c r="I185" s="64">
        <f>8.0138 * CHOOSE(CONTROL!$C$22, $C$13, 100%, $E$13)</f>
        <v>8.0137999999999998</v>
      </c>
      <c r="J185" s="64">
        <f>4.2878 * CHOOSE(CONTROL!$C$22, $C$13, 100%, $E$13)</f>
        <v>4.2877999999999998</v>
      </c>
      <c r="K185" s="64">
        <f>4.2894 * CHOOSE(CONTROL!$C$22, $C$13, 100%, $E$13)</f>
        <v>4.2893999999999997</v>
      </c>
    </row>
    <row r="186" spans="1:11" ht="15">
      <c r="A186" s="13">
        <v>47300</v>
      </c>
      <c r="B186" s="63">
        <f>3.8127 * CHOOSE(CONTROL!$C$22, $C$13, 100%, $E$13)</f>
        <v>3.8127</v>
      </c>
      <c r="C186" s="63">
        <f>3.8127 * CHOOSE(CONTROL!$C$22, $C$13, 100%, $E$13)</f>
        <v>3.8127</v>
      </c>
      <c r="D186" s="63">
        <f>3.8371 * CHOOSE(CONTROL!$C$22, $C$13, 100%, $E$13)</f>
        <v>3.8371</v>
      </c>
      <c r="E186" s="64">
        <f>4.3812 * CHOOSE(CONTROL!$C$22, $C$13, 100%, $E$13)</f>
        <v>4.3811999999999998</v>
      </c>
      <c r="F186" s="64">
        <f>4.3812 * CHOOSE(CONTROL!$C$22, $C$13, 100%, $E$13)</f>
        <v>4.3811999999999998</v>
      </c>
      <c r="G186" s="64">
        <f>4.3828 * CHOOSE(CONTROL!$C$22, $C$13, 100%, $E$13)</f>
        <v>4.3827999999999996</v>
      </c>
      <c r="H186" s="64">
        <f>8.0289* CHOOSE(CONTROL!$C$22, $C$13, 100%, $E$13)</f>
        <v>8.0289000000000001</v>
      </c>
      <c r="I186" s="64">
        <f>8.0305 * CHOOSE(CONTROL!$C$22, $C$13, 100%, $E$13)</f>
        <v>8.0305</v>
      </c>
      <c r="J186" s="64">
        <f>4.3812 * CHOOSE(CONTROL!$C$22, $C$13, 100%, $E$13)</f>
        <v>4.3811999999999998</v>
      </c>
      <c r="K186" s="64">
        <f>4.3828 * CHOOSE(CONTROL!$C$22, $C$13, 100%, $E$13)</f>
        <v>4.3827999999999996</v>
      </c>
    </row>
    <row r="187" spans="1:11" ht="15">
      <c r="A187" s="13">
        <v>47331</v>
      </c>
      <c r="B187" s="63">
        <f>3.8194 * CHOOSE(CONTROL!$C$22, $C$13, 100%, $E$13)</f>
        <v>3.8193999999999999</v>
      </c>
      <c r="C187" s="63">
        <f>3.8194 * CHOOSE(CONTROL!$C$22, $C$13, 100%, $E$13)</f>
        <v>3.8193999999999999</v>
      </c>
      <c r="D187" s="63">
        <f>3.8438 * CHOOSE(CONTROL!$C$22, $C$13, 100%, $E$13)</f>
        <v>3.8437999999999999</v>
      </c>
      <c r="E187" s="64">
        <f>4.3404 * CHOOSE(CONTROL!$C$22, $C$13, 100%, $E$13)</f>
        <v>4.3403999999999998</v>
      </c>
      <c r="F187" s="64">
        <f>4.3404 * CHOOSE(CONTROL!$C$22, $C$13, 100%, $E$13)</f>
        <v>4.3403999999999998</v>
      </c>
      <c r="G187" s="64">
        <f>4.3419 * CHOOSE(CONTROL!$C$22, $C$13, 100%, $E$13)</f>
        <v>4.3418999999999999</v>
      </c>
      <c r="H187" s="64">
        <f>8.0456* CHOOSE(CONTROL!$C$22, $C$13, 100%, $E$13)</f>
        <v>8.0456000000000003</v>
      </c>
      <c r="I187" s="64">
        <f>8.0472 * CHOOSE(CONTROL!$C$22, $C$13, 100%, $E$13)</f>
        <v>8.0472000000000001</v>
      </c>
      <c r="J187" s="64">
        <f>4.3404 * CHOOSE(CONTROL!$C$22, $C$13, 100%, $E$13)</f>
        <v>4.3403999999999998</v>
      </c>
      <c r="K187" s="64">
        <f>4.3419 * CHOOSE(CONTROL!$C$22, $C$13, 100%, $E$13)</f>
        <v>4.3418999999999999</v>
      </c>
    </row>
    <row r="188" spans="1:11" ht="15">
      <c r="A188" s="13">
        <v>47362</v>
      </c>
      <c r="B188" s="63">
        <f>3.8164 * CHOOSE(CONTROL!$C$22, $C$13, 100%, $E$13)</f>
        <v>3.8163999999999998</v>
      </c>
      <c r="C188" s="63">
        <f>3.8164 * CHOOSE(CONTROL!$C$22, $C$13, 100%, $E$13)</f>
        <v>3.8163999999999998</v>
      </c>
      <c r="D188" s="63">
        <f>3.8408 * CHOOSE(CONTROL!$C$22, $C$13, 100%, $E$13)</f>
        <v>3.8408000000000002</v>
      </c>
      <c r="E188" s="64">
        <f>4.3332 * CHOOSE(CONTROL!$C$22, $C$13, 100%, $E$13)</f>
        <v>4.3331999999999997</v>
      </c>
      <c r="F188" s="64">
        <f>4.3332 * CHOOSE(CONTROL!$C$22, $C$13, 100%, $E$13)</f>
        <v>4.3331999999999997</v>
      </c>
      <c r="G188" s="64">
        <f>4.3348 * CHOOSE(CONTROL!$C$22, $C$13, 100%, $E$13)</f>
        <v>4.3348000000000004</v>
      </c>
      <c r="H188" s="64">
        <f>8.0624* CHOOSE(CONTROL!$C$22, $C$13, 100%, $E$13)</f>
        <v>8.0624000000000002</v>
      </c>
      <c r="I188" s="64">
        <f>8.0639 * CHOOSE(CONTROL!$C$22, $C$13, 100%, $E$13)</f>
        <v>8.0639000000000003</v>
      </c>
      <c r="J188" s="64">
        <f>4.3332 * CHOOSE(CONTROL!$C$22, $C$13, 100%, $E$13)</f>
        <v>4.3331999999999997</v>
      </c>
      <c r="K188" s="64">
        <f>4.3348 * CHOOSE(CONTROL!$C$22, $C$13, 100%, $E$13)</f>
        <v>4.3348000000000004</v>
      </c>
    </row>
    <row r="189" spans="1:11" ht="15">
      <c r="A189" s="13">
        <v>47392</v>
      </c>
      <c r="B189" s="63">
        <f>3.811 * CHOOSE(CONTROL!$C$22, $C$13, 100%, $E$13)</f>
        <v>3.8109999999999999</v>
      </c>
      <c r="C189" s="63">
        <f>3.811 * CHOOSE(CONTROL!$C$22, $C$13, 100%, $E$13)</f>
        <v>3.8109999999999999</v>
      </c>
      <c r="D189" s="63">
        <f>3.8232 * CHOOSE(CONTROL!$C$22, $C$13, 100%, $E$13)</f>
        <v>3.8231999999999999</v>
      </c>
      <c r="E189" s="64">
        <f>4.34 * CHOOSE(CONTROL!$C$22, $C$13, 100%, $E$13)</f>
        <v>4.34</v>
      </c>
      <c r="F189" s="64">
        <f>4.34 * CHOOSE(CONTROL!$C$22, $C$13, 100%, $E$13)</f>
        <v>4.34</v>
      </c>
      <c r="G189" s="64">
        <f>4.3402 * CHOOSE(CONTROL!$C$22, $C$13, 100%, $E$13)</f>
        <v>4.3402000000000003</v>
      </c>
      <c r="H189" s="64">
        <f>8.0792* CHOOSE(CONTROL!$C$22, $C$13, 100%, $E$13)</f>
        <v>8.0792000000000002</v>
      </c>
      <c r="I189" s="64">
        <f>8.0793 * CHOOSE(CONTROL!$C$22, $C$13, 100%, $E$13)</f>
        <v>8.0792999999999999</v>
      </c>
      <c r="J189" s="64">
        <f>4.34 * CHOOSE(CONTROL!$C$22, $C$13, 100%, $E$13)</f>
        <v>4.34</v>
      </c>
      <c r="K189" s="64">
        <f>4.3402 * CHOOSE(CONTROL!$C$22, $C$13, 100%, $E$13)</f>
        <v>4.3402000000000003</v>
      </c>
    </row>
    <row r="190" spans="1:11" ht="15">
      <c r="A190" s="13">
        <v>47423</v>
      </c>
      <c r="B190" s="63">
        <f>3.8141 * CHOOSE(CONTROL!$C$22, $C$13, 100%, $E$13)</f>
        <v>3.8140999999999998</v>
      </c>
      <c r="C190" s="63">
        <f>3.8141 * CHOOSE(CONTROL!$C$22, $C$13, 100%, $E$13)</f>
        <v>3.8140999999999998</v>
      </c>
      <c r="D190" s="63">
        <f>3.8263 * CHOOSE(CONTROL!$C$22, $C$13, 100%, $E$13)</f>
        <v>3.8262999999999998</v>
      </c>
      <c r="E190" s="64">
        <f>4.3522 * CHOOSE(CONTROL!$C$22, $C$13, 100%, $E$13)</f>
        <v>4.3521999999999998</v>
      </c>
      <c r="F190" s="64">
        <f>4.3522 * CHOOSE(CONTROL!$C$22, $C$13, 100%, $E$13)</f>
        <v>4.3521999999999998</v>
      </c>
      <c r="G190" s="64">
        <f>4.3524 * CHOOSE(CONTROL!$C$22, $C$13, 100%, $E$13)</f>
        <v>4.3524000000000003</v>
      </c>
      <c r="H190" s="64">
        <f>8.096* CHOOSE(CONTROL!$C$22, $C$13, 100%, $E$13)</f>
        <v>8.0960000000000001</v>
      </c>
      <c r="I190" s="64">
        <f>8.0962 * CHOOSE(CONTROL!$C$22, $C$13, 100%, $E$13)</f>
        <v>8.0961999999999996</v>
      </c>
      <c r="J190" s="64">
        <f>4.3522 * CHOOSE(CONTROL!$C$22, $C$13, 100%, $E$13)</f>
        <v>4.3521999999999998</v>
      </c>
      <c r="K190" s="64">
        <f>4.3524 * CHOOSE(CONTROL!$C$22, $C$13, 100%, $E$13)</f>
        <v>4.3524000000000003</v>
      </c>
    </row>
    <row r="191" spans="1:11" ht="15">
      <c r="A191" s="13">
        <v>47453</v>
      </c>
      <c r="B191" s="63">
        <f>3.8141 * CHOOSE(CONTROL!$C$22, $C$13, 100%, $E$13)</f>
        <v>3.8140999999999998</v>
      </c>
      <c r="C191" s="63">
        <f>3.8141 * CHOOSE(CONTROL!$C$22, $C$13, 100%, $E$13)</f>
        <v>3.8140999999999998</v>
      </c>
      <c r="D191" s="63">
        <f>3.8263 * CHOOSE(CONTROL!$C$22, $C$13, 100%, $E$13)</f>
        <v>3.8262999999999998</v>
      </c>
      <c r="E191" s="64">
        <f>4.327 * CHOOSE(CONTROL!$C$22, $C$13, 100%, $E$13)</f>
        <v>4.327</v>
      </c>
      <c r="F191" s="64">
        <f>4.327 * CHOOSE(CONTROL!$C$22, $C$13, 100%, $E$13)</f>
        <v>4.327</v>
      </c>
      <c r="G191" s="64">
        <f>4.3271 * CHOOSE(CONTROL!$C$22, $C$13, 100%, $E$13)</f>
        <v>4.3270999999999997</v>
      </c>
      <c r="H191" s="64">
        <f>8.1129* CHOOSE(CONTROL!$C$22, $C$13, 100%, $E$13)</f>
        <v>8.1128999999999998</v>
      </c>
      <c r="I191" s="64">
        <f>8.113 * CHOOSE(CONTROL!$C$22, $C$13, 100%, $E$13)</f>
        <v>8.1129999999999995</v>
      </c>
      <c r="J191" s="64">
        <f>4.327 * CHOOSE(CONTROL!$C$22, $C$13, 100%, $E$13)</f>
        <v>4.327</v>
      </c>
      <c r="K191" s="64">
        <f>4.3271 * CHOOSE(CONTROL!$C$22, $C$13, 100%, $E$13)</f>
        <v>4.3270999999999997</v>
      </c>
    </row>
    <row r="192" spans="1:11" ht="15">
      <c r="A192" s="13">
        <v>47484</v>
      </c>
      <c r="B192" s="63">
        <f>3.85 * CHOOSE(CONTROL!$C$22, $C$13, 100%, $E$13)</f>
        <v>3.85</v>
      </c>
      <c r="C192" s="63">
        <f>3.85 * CHOOSE(CONTROL!$C$22, $C$13, 100%, $E$13)</f>
        <v>3.85</v>
      </c>
      <c r="D192" s="63">
        <f>3.8623 * CHOOSE(CONTROL!$C$22, $C$13, 100%, $E$13)</f>
        <v>3.8622999999999998</v>
      </c>
      <c r="E192" s="64">
        <f>4.3833 * CHOOSE(CONTROL!$C$22, $C$13, 100%, $E$13)</f>
        <v>4.3833000000000002</v>
      </c>
      <c r="F192" s="64">
        <f>4.3833 * CHOOSE(CONTROL!$C$22, $C$13, 100%, $E$13)</f>
        <v>4.3833000000000002</v>
      </c>
      <c r="G192" s="64">
        <f>4.3835 * CHOOSE(CONTROL!$C$22, $C$13, 100%, $E$13)</f>
        <v>4.3834999999999997</v>
      </c>
      <c r="H192" s="64">
        <f>8.1298* CHOOSE(CONTROL!$C$22, $C$13, 100%, $E$13)</f>
        <v>8.1297999999999995</v>
      </c>
      <c r="I192" s="64">
        <f>8.1299 * CHOOSE(CONTROL!$C$22, $C$13, 100%, $E$13)</f>
        <v>8.1298999999999992</v>
      </c>
      <c r="J192" s="64">
        <f>4.3833 * CHOOSE(CONTROL!$C$22, $C$13, 100%, $E$13)</f>
        <v>4.3833000000000002</v>
      </c>
      <c r="K192" s="64">
        <f>4.3835 * CHOOSE(CONTROL!$C$22, $C$13, 100%, $E$13)</f>
        <v>4.3834999999999997</v>
      </c>
    </row>
    <row r="193" spans="1:11" ht="15">
      <c r="A193" s="13">
        <v>47515</v>
      </c>
      <c r="B193" s="63">
        <f>3.847 * CHOOSE(CONTROL!$C$22, $C$13, 100%, $E$13)</f>
        <v>3.847</v>
      </c>
      <c r="C193" s="63">
        <f>3.847 * CHOOSE(CONTROL!$C$22, $C$13, 100%, $E$13)</f>
        <v>3.847</v>
      </c>
      <c r="D193" s="63">
        <f>3.8592 * CHOOSE(CONTROL!$C$22, $C$13, 100%, $E$13)</f>
        <v>3.8592</v>
      </c>
      <c r="E193" s="64">
        <f>4.3322 * CHOOSE(CONTROL!$C$22, $C$13, 100%, $E$13)</f>
        <v>4.3322000000000003</v>
      </c>
      <c r="F193" s="64">
        <f>4.3322 * CHOOSE(CONTROL!$C$22, $C$13, 100%, $E$13)</f>
        <v>4.3322000000000003</v>
      </c>
      <c r="G193" s="64">
        <f>4.3324 * CHOOSE(CONTROL!$C$22, $C$13, 100%, $E$13)</f>
        <v>4.3323999999999998</v>
      </c>
      <c r="H193" s="64">
        <f>8.1467* CHOOSE(CONTROL!$C$22, $C$13, 100%, $E$13)</f>
        <v>8.1466999999999992</v>
      </c>
      <c r="I193" s="64">
        <f>8.1469 * CHOOSE(CONTROL!$C$22, $C$13, 100%, $E$13)</f>
        <v>8.1469000000000005</v>
      </c>
      <c r="J193" s="64">
        <f>4.3322 * CHOOSE(CONTROL!$C$22, $C$13, 100%, $E$13)</f>
        <v>4.3322000000000003</v>
      </c>
      <c r="K193" s="64">
        <f>4.3324 * CHOOSE(CONTROL!$C$22, $C$13, 100%, $E$13)</f>
        <v>4.3323999999999998</v>
      </c>
    </row>
    <row r="194" spans="1:11" ht="15">
      <c r="A194" s="13">
        <v>47543</v>
      </c>
      <c r="B194" s="63">
        <f>3.844 * CHOOSE(CONTROL!$C$22, $C$13, 100%, $E$13)</f>
        <v>3.8439999999999999</v>
      </c>
      <c r="C194" s="63">
        <f>3.844 * CHOOSE(CONTROL!$C$22, $C$13, 100%, $E$13)</f>
        <v>3.8439999999999999</v>
      </c>
      <c r="D194" s="63">
        <f>3.8562 * CHOOSE(CONTROL!$C$22, $C$13, 100%, $E$13)</f>
        <v>3.8561999999999999</v>
      </c>
      <c r="E194" s="64">
        <f>4.3687 * CHOOSE(CONTROL!$C$22, $C$13, 100%, $E$13)</f>
        <v>4.3686999999999996</v>
      </c>
      <c r="F194" s="64">
        <f>4.3687 * CHOOSE(CONTROL!$C$22, $C$13, 100%, $E$13)</f>
        <v>4.3686999999999996</v>
      </c>
      <c r="G194" s="64">
        <f>4.3689 * CHOOSE(CONTROL!$C$22, $C$13, 100%, $E$13)</f>
        <v>4.3689</v>
      </c>
      <c r="H194" s="64">
        <f>8.1637* CHOOSE(CONTROL!$C$22, $C$13, 100%, $E$13)</f>
        <v>8.1637000000000004</v>
      </c>
      <c r="I194" s="64">
        <f>8.1639 * CHOOSE(CONTROL!$C$22, $C$13, 100%, $E$13)</f>
        <v>8.1638999999999999</v>
      </c>
      <c r="J194" s="64">
        <f>4.3687 * CHOOSE(CONTROL!$C$22, $C$13, 100%, $E$13)</f>
        <v>4.3686999999999996</v>
      </c>
      <c r="K194" s="64">
        <f>4.3689 * CHOOSE(CONTROL!$C$22, $C$13, 100%, $E$13)</f>
        <v>4.3689</v>
      </c>
    </row>
    <row r="195" spans="1:11" ht="15">
      <c r="A195" s="13">
        <v>47574</v>
      </c>
      <c r="B195" s="63">
        <f>3.8415 * CHOOSE(CONTROL!$C$22, $C$13, 100%, $E$13)</f>
        <v>3.8414999999999999</v>
      </c>
      <c r="C195" s="63">
        <f>3.8415 * CHOOSE(CONTROL!$C$22, $C$13, 100%, $E$13)</f>
        <v>3.8414999999999999</v>
      </c>
      <c r="D195" s="63">
        <f>3.8538 * CHOOSE(CONTROL!$C$22, $C$13, 100%, $E$13)</f>
        <v>3.8538000000000001</v>
      </c>
      <c r="E195" s="64">
        <f>4.406 * CHOOSE(CONTROL!$C$22, $C$13, 100%, $E$13)</f>
        <v>4.4059999999999997</v>
      </c>
      <c r="F195" s="64">
        <f>4.406 * CHOOSE(CONTROL!$C$22, $C$13, 100%, $E$13)</f>
        <v>4.4059999999999997</v>
      </c>
      <c r="G195" s="64">
        <f>4.4061 * CHOOSE(CONTROL!$C$22, $C$13, 100%, $E$13)</f>
        <v>4.4061000000000003</v>
      </c>
      <c r="H195" s="64">
        <f>8.1807* CHOOSE(CONTROL!$C$22, $C$13, 100%, $E$13)</f>
        <v>8.1806999999999999</v>
      </c>
      <c r="I195" s="64">
        <f>8.1809 * CHOOSE(CONTROL!$C$22, $C$13, 100%, $E$13)</f>
        <v>8.1808999999999994</v>
      </c>
      <c r="J195" s="64">
        <f>4.406 * CHOOSE(CONTROL!$C$22, $C$13, 100%, $E$13)</f>
        <v>4.4059999999999997</v>
      </c>
      <c r="K195" s="64">
        <f>4.4061 * CHOOSE(CONTROL!$C$22, $C$13, 100%, $E$13)</f>
        <v>4.4061000000000003</v>
      </c>
    </row>
    <row r="196" spans="1:11" ht="15">
      <c r="A196" s="13">
        <v>47604</v>
      </c>
      <c r="B196" s="63">
        <f>3.8415 * CHOOSE(CONTROL!$C$22, $C$13, 100%, $E$13)</f>
        <v>3.8414999999999999</v>
      </c>
      <c r="C196" s="63">
        <f>3.8415 * CHOOSE(CONTROL!$C$22, $C$13, 100%, $E$13)</f>
        <v>3.8414999999999999</v>
      </c>
      <c r="D196" s="63">
        <f>3.866 * CHOOSE(CONTROL!$C$22, $C$13, 100%, $E$13)</f>
        <v>3.8660000000000001</v>
      </c>
      <c r="E196" s="64">
        <f>4.4215 * CHOOSE(CONTROL!$C$22, $C$13, 100%, $E$13)</f>
        <v>4.4215</v>
      </c>
      <c r="F196" s="64">
        <f>4.4215 * CHOOSE(CONTROL!$C$22, $C$13, 100%, $E$13)</f>
        <v>4.4215</v>
      </c>
      <c r="G196" s="64">
        <f>4.4231 * CHOOSE(CONTROL!$C$22, $C$13, 100%, $E$13)</f>
        <v>4.4230999999999998</v>
      </c>
      <c r="H196" s="64">
        <f>8.1977* CHOOSE(CONTROL!$C$22, $C$13, 100%, $E$13)</f>
        <v>8.1976999999999993</v>
      </c>
      <c r="I196" s="64">
        <f>8.1993 * CHOOSE(CONTROL!$C$22, $C$13, 100%, $E$13)</f>
        <v>8.1992999999999991</v>
      </c>
      <c r="J196" s="64">
        <f>4.4215 * CHOOSE(CONTROL!$C$22, $C$13, 100%, $E$13)</f>
        <v>4.4215</v>
      </c>
      <c r="K196" s="64">
        <f>4.4231 * CHOOSE(CONTROL!$C$22, $C$13, 100%, $E$13)</f>
        <v>4.4230999999999998</v>
      </c>
    </row>
    <row r="197" spans="1:11" ht="15">
      <c r="A197" s="13">
        <v>47635</v>
      </c>
      <c r="B197" s="63">
        <f>3.8476 * CHOOSE(CONTROL!$C$22, $C$13, 100%, $E$13)</f>
        <v>3.8475999999999999</v>
      </c>
      <c r="C197" s="63">
        <f>3.8476 * CHOOSE(CONTROL!$C$22, $C$13, 100%, $E$13)</f>
        <v>3.8475999999999999</v>
      </c>
      <c r="D197" s="63">
        <f>3.872 * CHOOSE(CONTROL!$C$22, $C$13, 100%, $E$13)</f>
        <v>3.8719999999999999</v>
      </c>
      <c r="E197" s="64">
        <f>4.4102 * CHOOSE(CONTROL!$C$22, $C$13, 100%, $E$13)</f>
        <v>4.4101999999999997</v>
      </c>
      <c r="F197" s="64">
        <f>4.4102 * CHOOSE(CONTROL!$C$22, $C$13, 100%, $E$13)</f>
        <v>4.4101999999999997</v>
      </c>
      <c r="G197" s="64">
        <f>4.4118 * CHOOSE(CONTROL!$C$22, $C$13, 100%, $E$13)</f>
        <v>4.4118000000000004</v>
      </c>
      <c r="H197" s="64">
        <f>8.2148* CHOOSE(CONTROL!$C$22, $C$13, 100%, $E$13)</f>
        <v>8.2148000000000003</v>
      </c>
      <c r="I197" s="64">
        <f>8.2164 * CHOOSE(CONTROL!$C$22, $C$13, 100%, $E$13)</f>
        <v>8.2164000000000001</v>
      </c>
      <c r="J197" s="64">
        <f>4.4102 * CHOOSE(CONTROL!$C$22, $C$13, 100%, $E$13)</f>
        <v>4.4101999999999997</v>
      </c>
      <c r="K197" s="64">
        <f>4.4118 * CHOOSE(CONTROL!$C$22, $C$13, 100%, $E$13)</f>
        <v>4.4118000000000004</v>
      </c>
    </row>
    <row r="198" spans="1:11" ht="15">
      <c r="A198" s="13">
        <v>47665</v>
      </c>
      <c r="B198" s="63">
        <f>3.915 * CHOOSE(CONTROL!$C$22, $C$13, 100%, $E$13)</f>
        <v>3.915</v>
      </c>
      <c r="C198" s="63">
        <f>3.915 * CHOOSE(CONTROL!$C$22, $C$13, 100%, $E$13)</f>
        <v>3.915</v>
      </c>
      <c r="D198" s="63">
        <f>3.9395 * CHOOSE(CONTROL!$C$22, $C$13, 100%, $E$13)</f>
        <v>3.9394999999999998</v>
      </c>
      <c r="E198" s="64">
        <f>4.4986 * CHOOSE(CONTROL!$C$22, $C$13, 100%, $E$13)</f>
        <v>4.4985999999999997</v>
      </c>
      <c r="F198" s="64">
        <f>4.4986 * CHOOSE(CONTROL!$C$22, $C$13, 100%, $E$13)</f>
        <v>4.4985999999999997</v>
      </c>
      <c r="G198" s="64">
        <f>4.5002 * CHOOSE(CONTROL!$C$22, $C$13, 100%, $E$13)</f>
        <v>4.5002000000000004</v>
      </c>
      <c r="H198" s="64">
        <f>8.2319* CHOOSE(CONTROL!$C$22, $C$13, 100%, $E$13)</f>
        <v>8.2318999999999996</v>
      </c>
      <c r="I198" s="64">
        <f>8.2335 * CHOOSE(CONTROL!$C$22, $C$13, 100%, $E$13)</f>
        <v>8.2334999999999994</v>
      </c>
      <c r="J198" s="64">
        <f>4.4986 * CHOOSE(CONTROL!$C$22, $C$13, 100%, $E$13)</f>
        <v>4.4985999999999997</v>
      </c>
      <c r="K198" s="64">
        <f>4.5002 * CHOOSE(CONTROL!$C$22, $C$13, 100%, $E$13)</f>
        <v>4.5002000000000004</v>
      </c>
    </row>
    <row r="199" spans="1:11" ht="15">
      <c r="A199" s="13">
        <v>47696</v>
      </c>
      <c r="B199" s="63">
        <f>3.9217 * CHOOSE(CONTROL!$C$22, $C$13, 100%, $E$13)</f>
        <v>3.9217</v>
      </c>
      <c r="C199" s="63">
        <f>3.9217 * CHOOSE(CONTROL!$C$22, $C$13, 100%, $E$13)</f>
        <v>3.9217</v>
      </c>
      <c r="D199" s="63">
        <f>3.9461 * CHOOSE(CONTROL!$C$22, $C$13, 100%, $E$13)</f>
        <v>3.9460999999999999</v>
      </c>
      <c r="E199" s="64">
        <f>4.4566 * CHOOSE(CONTROL!$C$22, $C$13, 100%, $E$13)</f>
        <v>4.4565999999999999</v>
      </c>
      <c r="F199" s="64">
        <f>4.4566 * CHOOSE(CONTROL!$C$22, $C$13, 100%, $E$13)</f>
        <v>4.4565999999999999</v>
      </c>
      <c r="G199" s="64">
        <f>4.4582 * CHOOSE(CONTROL!$C$22, $C$13, 100%, $E$13)</f>
        <v>4.4581999999999997</v>
      </c>
      <c r="H199" s="64">
        <f>8.2491* CHOOSE(CONTROL!$C$22, $C$13, 100%, $E$13)</f>
        <v>8.2491000000000003</v>
      </c>
      <c r="I199" s="64">
        <f>8.2506 * CHOOSE(CONTROL!$C$22, $C$13, 100%, $E$13)</f>
        <v>8.2506000000000004</v>
      </c>
      <c r="J199" s="64">
        <f>4.4566 * CHOOSE(CONTROL!$C$22, $C$13, 100%, $E$13)</f>
        <v>4.4565999999999999</v>
      </c>
      <c r="K199" s="64">
        <f>4.4582 * CHOOSE(CONTROL!$C$22, $C$13, 100%, $E$13)</f>
        <v>4.4581999999999997</v>
      </c>
    </row>
    <row r="200" spans="1:11" ht="15">
      <c r="A200" s="13">
        <v>47727</v>
      </c>
      <c r="B200" s="63">
        <f>3.9187 * CHOOSE(CONTROL!$C$22, $C$13, 100%, $E$13)</f>
        <v>3.9186999999999999</v>
      </c>
      <c r="C200" s="63">
        <f>3.9187 * CHOOSE(CONTROL!$C$22, $C$13, 100%, $E$13)</f>
        <v>3.9186999999999999</v>
      </c>
      <c r="D200" s="63">
        <f>3.9431 * CHOOSE(CONTROL!$C$22, $C$13, 100%, $E$13)</f>
        <v>3.9430999999999998</v>
      </c>
      <c r="E200" s="64">
        <f>4.4493 * CHOOSE(CONTROL!$C$22, $C$13, 100%, $E$13)</f>
        <v>4.4493</v>
      </c>
      <c r="F200" s="64">
        <f>4.4493 * CHOOSE(CONTROL!$C$22, $C$13, 100%, $E$13)</f>
        <v>4.4493</v>
      </c>
      <c r="G200" s="64">
        <f>4.4509 * CHOOSE(CONTROL!$C$22, $C$13, 100%, $E$13)</f>
        <v>4.4508999999999999</v>
      </c>
      <c r="H200" s="64">
        <f>8.2663* CHOOSE(CONTROL!$C$22, $C$13, 100%, $E$13)</f>
        <v>8.2662999999999993</v>
      </c>
      <c r="I200" s="64">
        <f>8.2678 * CHOOSE(CONTROL!$C$22, $C$13, 100%, $E$13)</f>
        <v>8.2677999999999994</v>
      </c>
      <c r="J200" s="64">
        <f>4.4493 * CHOOSE(CONTROL!$C$22, $C$13, 100%, $E$13)</f>
        <v>4.4493</v>
      </c>
      <c r="K200" s="64">
        <f>4.4509 * CHOOSE(CONTROL!$C$22, $C$13, 100%, $E$13)</f>
        <v>4.4508999999999999</v>
      </c>
    </row>
    <row r="201" spans="1:11" ht="15">
      <c r="A201" s="13">
        <v>47757</v>
      </c>
      <c r="B201" s="63">
        <f>3.9137 * CHOOSE(CONTROL!$C$22, $C$13, 100%, $E$13)</f>
        <v>3.9137</v>
      </c>
      <c r="C201" s="63">
        <f>3.9137 * CHOOSE(CONTROL!$C$22, $C$13, 100%, $E$13)</f>
        <v>3.9137</v>
      </c>
      <c r="D201" s="63">
        <f>3.9259 * CHOOSE(CONTROL!$C$22, $C$13, 100%, $E$13)</f>
        <v>3.9258999999999999</v>
      </c>
      <c r="E201" s="64">
        <f>4.4566 * CHOOSE(CONTROL!$C$22, $C$13, 100%, $E$13)</f>
        <v>4.4565999999999999</v>
      </c>
      <c r="F201" s="64">
        <f>4.4566 * CHOOSE(CONTROL!$C$22, $C$13, 100%, $E$13)</f>
        <v>4.4565999999999999</v>
      </c>
      <c r="G201" s="64">
        <f>4.4568 * CHOOSE(CONTROL!$C$22, $C$13, 100%, $E$13)</f>
        <v>4.4568000000000003</v>
      </c>
      <c r="H201" s="64">
        <f>8.2835* CHOOSE(CONTROL!$C$22, $C$13, 100%, $E$13)</f>
        <v>8.2835000000000001</v>
      </c>
      <c r="I201" s="64">
        <f>8.2837 * CHOOSE(CONTROL!$C$22, $C$13, 100%, $E$13)</f>
        <v>8.2836999999999996</v>
      </c>
      <c r="J201" s="64">
        <f>4.4566 * CHOOSE(CONTROL!$C$22, $C$13, 100%, $E$13)</f>
        <v>4.4565999999999999</v>
      </c>
      <c r="K201" s="64">
        <f>4.4568 * CHOOSE(CONTROL!$C$22, $C$13, 100%, $E$13)</f>
        <v>4.4568000000000003</v>
      </c>
    </row>
    <row r="202" spans="1:11" ht="15">
      <c r="A202" s="13">
        <v>47788</v>
      </c>
      <c r="B202" s="63">
        <f>3.9168 * CHOOSE(CONTROL!$C$22, $C$13, 100%, $E$13)</f>
        <v>3.9167999999999998</v>
      </c>
      <c r="C202" s="63">
        <f>3.9168 * CHOOSE(CONTROL!$C$22, $C$13, 100%, $E$13)</f>
        <v>3.9167999999999998</v>
      </c>
      <c r="D202" s="63">
        <f>3.929 * CHOOSE(CONTROL!$C$22, $C$13, 100%, $E$13)</f>
        <v>3.9289999999999998</v>
      </c>
      <c r="E202" s="64">
        <f>4.4691 * CHOOSE(CONTROL!$C$22, $C$13, 100%, $E$13)</f>
        <v>4.4691000000000001</v>
      </c>
      <c r="F202" s="64">
        <f>4.4691 * CHOOSE(CONTROL!$C$22, $C$13, 100%, $E$13)</f>
        <v>4.4691000000000001</v>
      </c>
      <c r="G202" s="64">
        <f>4.4693 * CHOOSE(CONTROL!$C$22, $C$13, 100%, $E$13)</f>
        <v>4.4692999999999996</v>
      </c>
      <c r="H202" s="64">
        <f>8.3007* CHOOSE(CONTROL!$C$22, $C$13, 100%, $E$13)</f>
        <v>8.3007000000000009</v>
      </c>
      <c r="I202" s="64">
        <f>8.3009 * CHOOSE(CONTROL!$C$22, $C$13, 100%, $E$13)</f>
        <v>8.3009000000000004</v>
      </c>
      <c r="J202" s="64">
        <f>4.4691 * CHOOSE(CONTROL!$C$22, $C$13, 100%, $E$13)</f>
        <v>4.4691000000000001</v>
      </c>
      <c r="K202" s="64">
        <f>4.4693 * CHOOSE(CONTROL!$C$22, $C$13, 100%, $E$13)</f>
        <v>4.4692999999999996</v>
      </c>
    </row>
    <row r="203" spans="1:11" ht="15">
      <c r="A203" s="13">
        <v>47818</v>
      </c>
      <c r="B203" s="63">
        <f>3.9168 * CHOOSE(CONTROL!$C$22, $C$13, 100%, $E$13)</f>
        <v>3.9167999999999998</v>
      </c>
      <c r="C203" s="63">
        <f>3.9168 * CHOOSE(CONTROL!$C$22, $C$13, 100%, $E$13)</f>
        <v>3.9167999999999998</v>
      </c>
      <c r="D203" s="63">
        <f>3.929 * CHOOSE(CONTROL!$C$22, $C$13, 100%, $E$13)</f>
        <v>3.9289999999999998</v>
      </c>
      <c r="E203" s="64">
        <f>4.4432 * CHOOSE(CONTROL!$C$22, $C$13, 100%, $E$13)</f>
        <v>4.4432</v>
      </c>
      <c r="F203" s="64">
        <f>4.4432 * CHOOSE(CONTROL!$C$22, $C$13, 100%, $E$13)</f>
        <v>4.4432</v>
      </c>
      <c r="G203" s="64">
        <f>4.4434 * CHOOSE(CONTROL!$C$22, $C$13, 100%, $E$13)</f>
        <v>4.4433999999999996</v>
      </c>
      <c r="H203" s="64">
        <f>8.318* CHOOSE(CONTROL!$C$22, $C$13, 100%, $E$13)</f>
        <v>8.3179999999999996</v>
      </c>
      <c r="I203" s="64">
        <f>8.3182 * CHOOSE(CONTROL!$C$22, $C$13, 100%, $E$13)</f>
        <v>8.3181999999999992</v>
      </c>
      <c r="J203" s="64">
        <f>4.4432 * CHOOSE(CONTROL!$C$22, $C$13, 100%, $E$13)</f>
        <v>4.4432</v>
      </c>
      <c r="K203" s="64">
        <f>4.4434 * CHOOSE(CONTROL!$C$22, $C$13, 100%, $E$13)</f>
        <v>4.4433999999999996</v>
      </c>
    </row>
    <row r="204" spans="1:11" ht="15">
      <c r="A204" s="13">
        <v>47849</v>
      </c>
      <c r="B204" s="63">
        <f>3.9538 * CHOOSE(CONTROL!$C$22, $C$13, 100%, $E$13)</f>
        <v>3.9538000000000002</v>
      </c>
      <c r="C204" s="63">
        <f>3.9538 * CHOOSE(CONTROL!$C$22, $C$13, 100%, $E$13)</f>
        <v>3.9538000000000002</v>
      </c>
      <c r="D204" s="63">
        <f>3.966 * CHOOSE(CONTROL!$C$22, $C$13, 100%, $E$13)</f>
        <v>3.9660000000000002</v>
      </c>
      <c r="E204" s="64">
        <f>4.5104 * CHOOSE(CONTROL!$C$22, $C$13, 100%, $E$13)</f>
        <v>4.5103999999999997</v>
      </c>
      <c r="F204" s="64">
        <f>4.5104 * CHOOSE(CONTROL!$C$22, $C$13, 100%, $E$13)</f>
        <v>4.5103999999999997</v>
      </c>
      <c r="G204" s="64">
        <f>4.5106 * CHOOSE(CONTROL!$C$22, $C$13, 100%, $E$13)</f>
        <v>4.5106000000000002</v>
      </c>
      <c r="H204" s="64">
        <f>8.3354* CHOOSE(CONTROL!$C$22, $C$13, 100%, $E$13)</f>
        <v>8.3353999999999999</v>
      </c>
      <c r="I204" s="64">
        <f>8.3355 * CHOOSE(CONTROL!$C$22, $C$13, 100%, $E$13)</f>
        <v>8.3354999999999997</v>
      </c>
      <c r="J204" s="64">
        <f>4.5104 * CHOOSE(CONTROL!$C$22, $C$13, 100%, $E$13)</f>
        <v>4.5103999999999997</v>
      </c>
      <c r="K204" s="64">
        <f>4.5106 * CHOOSE(CONTROL!$C$22, $C$13, 100%, $E$13)</f>
        <v>4.5106000000000002</v>
      </c>
    </row>
    <row r="205" spans="1:11" ht="15">
      <c r="A205" s="13">
        <v>47880</v>
      </c>
      <c r="B205" s="63">
        <f>3.9507 * CHOOSE(CONTROL!$C$22, $C$13, 100%, $E$13)</f>
        <v>3.9506999999999999</v>
      </c>
      <c r="C205" s="63">
        <f>3.9507 * CHOOSE(CONTROL!$C$22, $C$13, 100%, $E$13)</f>
        <v>3.9506999999999999</v>
      </c>
      <c r="D205" s="63">
        <f>3.963 * CHOOSE(CONTROL!$C$22, $C$13, 100%, $E$13)</f>
        <v>3.9630000000000001</v>
      </c>
      <c r="E205" s="64">
        <f>4.4581 * CHOOSE(CONTROL!$C$22, $C$13, 100%, $E$13)</f>
        <v>4.4581</v>
      </c>
      <c r="F205" s="64">
        <f>4.4581 * CHOOSE(CONTROL!$C$22, $C$13, 100%, $E$13)</f>
        <v>4.4581</v>
      </c>
      <c r="G205" s="64">
        <f>4.4582 * CHOOSE(CONTROL!$C$22, $C$13, 100%, $E$13)</f>
        <v>4.4581999999999997</v>
      </c>
      <c r="H205" s="64">
        <f>8.3527* CHOOSE(CONTROL!$C$22, $C$13, 100%, $E$13)</f>
        <v>8.3527000000000005</v>
      </c>
      <c r="I205" s="64">
        <f>8.3529 * CHOOSE(CONTROL!$C$22, $C$13, 100%, $E$13)</f>
        <v>8.3529</v>
      </c>
      <c r="J205" s="64">
        <f>4.4581 * CHOOSE(CONTROL!$C$22, $C$13, 100%, $E$13)</f>
        <v>4.4581</v>
      </c>
      <c r="K205" s="64">
        <f>4.4582 * CHOOSE(CONTROL!$C$22, $C$13, 100%, $E$13)</f>
        <v>4.4581999999999997</v>
      </c>
    </row>
    <row r="206" spans="1:11" ht="15">
      <c r="A206" s="13">
        <v>47908</v>
      </c>
      <c r="B206" s="63">
        <f>3.9477 * CHOOSE(CONTROL!$C$22, $C$13, 100%, $E$13)</f>
        <v>3.9477000000000002</v>
      </c>
      <c r="C206" s="63">
        <f>3.9477 * CHOOSE(CONTROL!$C$22, $C$13, 100%, $E$13)</f>
        <v>3.9477000000000002</v>
      </c>
      <c r="D206" s="63">
        <f>3.9599 * CHOOSE(CONTROL!$C$22, $C$13, 100%, $E$13)</f>
        <v>3.9599000000000002</v>
      </c>
      <c r="E206" s="64">
        <f>4.4956 * CHOOSE(CONTROL!$C$22, $C$13, 100%, $E$13)</f>
        <v>4.4955999999999996</v>
      </c>
      <c r="F206" s="64">
        <f>4.4956 * CHOOSE(CONTROL!$C$22, $C$13, 100%, $E$13)</f>
        <v>4.4955999999999996</v>
      </c>
      <c r="G206" s="64">
        <f>4.4957 * CHOOSE(CONTROL!$C$22, $C$13, 100%, $E$13)</f>
        <v>4.4957000000000003</v>
      </c>
      <c r="H206" s="64">
        <f>8.3701* CHOOSE(CONTROL!$C$22, $C$13, 100%, $E$13)</f>
        <v>8.3701000000000008</v>
      </c>
      <c r="I206" s="64">
        <f>8.3703 * CHOOSE(CONTROL!$C$22, $C$13, 100%, $E$13)</f>
        <v>8.3703000000000003</v>
      </c>
      <c r="J206" s="64">
        <f>4.4956 * CHOOSE(CONTROL!$C$22, $C$13, 100%, $E$13)</f>
        <v>4.4955999999999996</v>
      </c>
      <c r="K206" s="64">
        <f>4.4957 * CHOOSE(CONTROL!$C$22, $C$13, 100%, $E$13)</f>
        <v>4.4957000000000003</v>
      </c>
    </row>
    <row r="207" spans="1:11" ht="15">
      <c r="A207" s="13">
        <v>47939</v>
      </c>
      <c r="B207" s="63">
        <f>3.9454 * CHOOSE(CONTROL!$C$22, $C$13, 100%, $E$13)</f>
        <v>3.9453999999999998</v>
      </c>
      <c r="C207" s="63">
        <f>3.9454 * CHOOSE(CONTROL!$C$22, $C$13, 100%, $E$13)</f>
        <v>3.9453999999999998</v>
      </c>
      <c r="D207" s="63">
        <f>3.9576 * CHOOSE(CONTROL!$C$22, $C$13, 100%, $E$13)</f>
        <v>3.9575999999999998</v>
      </c>
      <c r="E207" s="64">
        <f>4.5339 * CHOOSE(CONTROL!$C$22, $C$13, 100%, $E$13)</f>
        <v>4.5339</v>
      </c>
      <c r="F207" s="64">
        <f>4.5339 * CHOOSE(CONTROL!$C$22, $C$13, 100%, $E$13)</f>
        <v>4.5339</v>
      </c>
      <c r="G207" s="64">
        <f>4.5341 * CHOOSE(CONTROL!$C$22, $C$13, 100%, $E$13)</f>
        <v>4.5340999999999996</v>
      </c>
      <c r="H207" s="64">
        <f>8.3876* CHOOSE(CONTROL!$C$22, $C$13, 100%, $E$13)</f>
        <v>8.3876000000000008</v>
      </c>
      <c r="I207" s="64">
        <f>8.3877 * CHOOSE(CONTROL!$C$22, $C$13, 100%, $E$13)</f>
        <v>8.3877000000000006</v>
      </c>
      <c r="J207" s="64">
        <f>4.5339 * CHOOSE(CONTROL!$C$22, $C$13, 100%, $E$13)</f>
        <v>4.5339</v>
      </c>
      <c r="K207" s="64">
        <f>4.5341 * CHOOSE(CONTROL!$C$22, $C$13, 100%, $E$13)</f>
        <v>4.5340999999999996</v>
      </c>
    </row>
    <row r="208" spans="1:11" ht="15">
      <c r="A208" s="13">
        <v>47969</v>
      </c>
      <c r="B208" s="63">
        <f>3.9454 * CHOOSE(CONTROL!$C$22, $C$13, 100%, $E$13)</f>
        <v>3.9453999999999998</v>
      </c>
      <c r="C208" s="63">
        <f>3.9454 * CHOOSE(CONTROL!$C$22, $C$13, 100%, $E$13)</f>
        <v>3.9453999999999998</v>
      </c>
      <c r="D208" s="63">
        <f>3.9698 * CHOOSE(CONTROL!$C$22, $C$13, 100%, $E$13)</f>
        <v>3.9698000000000002</v>
      </c>
      <c r="E208" s="64">
        <f>4.5498 * CHOOSE(CONTROL!$C$22, $C$13, 100%, $E$13)</f>
        <v>4.5498000000000003</v>
      </c>
      <c r="F208" s="64">
        <f>4.5498 * CHOOSE(CONTROL!$C$22, $C$13, 100%, $E$13)</f>
        <v>4.5498000000000003</v>
      </c>
      <c r="G208" s="64">
        <f>4.5514 * CHOOSE(CONTROL!$C$22, $C$13, 100%, $E$13)</f>
        <v>4.5514000000000001</v>
      </c>
      <c r="H208" s="64">
        <f>8.405* CHOOSE(CONTROL!$C$22, $C$13, 100%, $E$13)</f>
        <v>8.4049999999999994</v>
      </c>
      <c r="I208" s="64">
        <f>8.4066 * CHOOSE(CONTROL!$C$22, $C$13, 100%, $E$13)</f>
        <v>8.4065999999999992</v>
      </c>
      <c r="J208" s="64">
        <f>4.5498 * CHOOSE(CONTROL!$C$22, $C$13, 100%, $E$13)</f>
        <v>4.5498000000000003</v>
      </c>
      <c r="K208" s="64">
        <f>4.5514 * CHOOSE(CONTROL!$C$22, $C$13, 100%, $E$13)</f>
        <v>4.5514000000000001</v>
      </c>
    </row>
    <row r="209" spans="1:11" ht="15">
      <c r="A209" s="13">
        <v>48000</v>
      </c>
      <c r="B209" s="63">
        <f>3.9515 * CHOOSE(CONTROL!$C$22, $C$13, 100%, $E$13)</f>
        <v>3.9514999999999998</v>
      </c>
      <c r="C209" s="63">
        <f>3.9515 * CHOOSE(CONTROL!$C$22, $C$13, 100%, $E$13)</f>
        <v>3.9514999999999998</v>
      </c>
      <c r="D209" s="63">
        <f>3.9759 * CHOOSE(CONTROL!$C$22, $C$13, 100%, $E$13)</f>
        <v>3.9759000000000002</v>
      </c>
      <c r="E209" s="64">
        <f>4.5381 * CHOOSE(CONTROL!$C$22, $C$13, 100%, $E$13)</f>
        <v>4.5381</v>
      </c>
      <c r="F209" s="64">
        <f>4.5381 * CHOOSE(CONTROL!$C$22, $C$13, 100%, $E$13)</f>
        <v>4.5381</v>
      </c>
      <c r="G209" s="64">
        <f>4.5397 * CHOOSE(CONTROL!$C$22, $C$13, 100%, $E$13)</f>
        <v>4.5396999999999998</v>
      </c>
      <c r="H209" s="64">
        <f>8.4226* CHOOSE(CONTROL!$C$22, $C$13, 100%, $E$13)</f>
        <v>8.4225999999999992</v>
      </c>
      <c r="I209" s="64">
        <f>8.4241 * CHOOSE(CONTROL!$C$22, $C$13, 100%, $E$13)</f>
        <v>8.4240999999999993</v>
      </c>
      <c r="J209" s="64">
        <f>4.5381 * CHOOSE(CONTROL!$C$22, $C$13, 100%, $E$13)</f>
        <v>4.5381</v>
      </c>
      <c r="K209" s="64">
        <f>4.5397 * CHOOSE(CONTROL!$C$22, $C$13, 100%, $E$13)</f>
        <v>4.5396999999999998</v>
      </c>
    </row>
    <row r="210" spans="1:11" ht="15">
      <c r="A210" s="13">
        <v>48030</v>
      </c>
      <c r="B210" s="63">
        <f>4.021 * CHOOSE(CONTROL!$C$22, $C$13, 100%, $E$13)</f>
        <v>4.0209999999999999</v>
      </c>
      <c r="C210" s="63">
        <f>4.021 * CHOOSE(CONTROL!$C$22, $C$13, 100%, $E$13)</f>
        <v>4.0209999999999999</v>
      </c>
      <c r="D210" s="63">
        <f>4.0454 * CHOOSE(CONTROL!$C$22, $C$13, 100%, $E$13)</f>
        <v>4.0453999999999999</v>
      </c>
      <c r="E210" s="64">
        <f>4.6515 * CHOOSE(CONTROL!$C$22, $C$13, 100%, $E$13)</f>
        <v>4.6515000000000004</v>
      </c>
      <c r="F210" s="64">
        <f>4.6515 * CHOOSE(CONTROL!$C$22, $C$13, 100%, $E$13)</f>
        <v>4.6515000000000004</v>
      </c>
      <c r="G210" s="64">
        <f>4.653 * CHOOSE(CONTROL!$C$22, $C$13, 100%, $E$13)</f>
        <v>4.6529999999999996</v>
      </c>
      <c r="H210" s="64">
        <f>8.4401* CHOOSE(CONTROL!$C$22, $C$13, 100%, $E$13)</f>
        <v>8.4400999999999993</v>
      </c>
      <c r="I210" s="64">
        <f>8.4417 * CHOOSE(CONTROL!$C$22, $C$13, 100%, $E$13)</f>
        <v>8.4417000000000009</v>
      </c>
      <c r="J210" s="64">
        <f>4.6515 * CHOOSE(CONTROL!$C$22, $C$13, 100%, $E$13)</f>
        <v>4.6515000000000004</v>
      </c>
      <c r="K210" s="64">
        <f>4.653 * CHOOSE(CONTROL!$C$22, $C$13, 100%, $E$13)</f>
        <v>4.6529999999999996</v>
      </c>
    </row>
    <row r="211" spans="1:11" ht="15">
      <c r="A211" s="13">
        <v>48061</v>
      </c>
      <c r="B211" s="63">
        <f>4.0277 * CHOOSE(CONTROL!$C$22, $C$13, 100%, $E$13)</f>
        <v>4.0277000000000003</v>
      </c>
      <c r="C211" s="63">
        <f>4.0277 * CHOOSE(CONTROL!$C$22, $C$13, 100%, $E$13)</f>
        <v>4.0277000000000003</v>
      </c>
      <c r="D211" s="63">
        <f>4.0521 * CHOOSE(CONTROL!$C$22, $C$13, 100%, $E$13)</f>
        <v>4.0521000000000003</v>
      </c>
      <c r="E211" s="64">
        <f>4.6083 * CHOOSE(CONTROL!$C$22, $C$13, 100%, $E$13)</f>
        <v>4.6082999999999998</v>
      </c>
      <c r="F211" s="64">
        <f>4.6083 * CHOOSE(CONTROL!$C$22, $C$13, 100%, $E$13)</f>
        <v>4.6082999999999998</v>
      </c>
      <c r="G211" s="64">
        <f>4.6098 * CHOOSE(CONTROL!$C$22, $C$13, 100%, $E$13)</f>
        <v>4.6097999999999999</v>
      </c>
      <c r="H211" s="64">
        <f>8.4577* CHOOSE(CONTROL!$C$22, $C$13, 100%, $E$13)</f>
        <v>8.4577000000000009</v>
      </c>
      <c r="I211" s="64">
        <f>8.4592 * CHOOSE(CONTROL!$C$22, $C$13, 100%, $E$13)</f>
        <v>8.4591999999999992</v>
      </c>
      <c r="J211" s="64">
        <f>4.6083 * CHOOSE(CONTROL!$C$22, $C$13, 100%, $E$13)</f>
        <v>4.6082999999999998</v>
      </c>
      <c r="K211" s="64">
        <f>4.6098 * CHOOSE(CONTROL!$C$22, $C$13, 100%, $E$13)</f>
        <v>4.6097999999999999</v>
      </c>
    </row>
    <row r="212" spans="1:11" ht="15">
      <c r="A212" s="13">
        <v>48092</v>
      </c>
      <c r="B212" s="63">
        <f>4.0246 * CHOOSE(CONTROL!$C$22, $C$13, 100%, $E$13)</f>
        <v>4.0246000000000004</v>
      </c>
      <c r="C212" s="63">
        <f>4.0246 * CHOOSE(CONTROL!$C$22, $C$13, 100%, $E$13)</f>
        <v>4.0246000000000004</v>
      </c>
      <c r="D212" s="63">
        <f>4.049 * CHOOSE(CONTROL!$C$22, $C$13, 100%, $E$13)</f>
        <v>4.0490000000000004</v>
      </c>
      <c r="E212" s="64">
        <f>4.6008 * CHOOSE(CONTROL!$C$22, $C$13, 100%, $E$13)</f>
        <v>4.6007999999999996</v>
      </c>
      <c r="F212" s="64">
        <f>4.6008 * CHOOSE(CONTROL!$C$22, $C$13, 100%, $E$13)</f>
        <v>4.6007999999999996</v>
      </c>
      <c r="G212" s="64">
        <f>4.6024 * CHOOSE(CONTROL!$C$22, $C$13, 100%, $E$13)</f>
        <v>4.6024000000000003</v>
      </c>
      <c r="H212" s="64">
        <f>8.4753* CHOOSE(CONTROL!$C$22, $C$13, 100%, $E$13)</f>
        <v>8.4753000000000007</v>
      </c>
      <c r="I212" s="64">
        <f>8.4769 * CHOOSE(CONTROL!$C$22, $C$13, 100%, $E$13)</f>
        <v>8.4769000000000005</v>
      </c>
      <c r="J212" s="64">
        <f>4.6008 * CHOOSE(CONTROL!$C$22, $C$13, 100%, $E$13)</f>
        <v>4.6007999999999996</v>
      </c>
      <c r="K212" s="64">
        <f>4.6024 * CHOOSE(CONTROL!$C$22, $C$13, 100%, $E$13)</f>
        <v>4.6024000000000003</v>
      </c>
    </row>
    <row r="213" spans="1:11" ht="15">
      <c r="A213" s="13">
        <v>48122</v>
      </c>
      <c r="B213" s="63">
        <f>4.02 * CHOOSE(CONTROL!$C$22, $C$13, 100%, $E$13)</f>
        <v>4.0199999999999996</v>
      </c>
      <c r="C213" s="63">
        <f>4.02 * CHOOSE(CONTROL!$C$22, $C$13, 100%, $E$13)</f>
        <v>4.0199999999999996</v>
      </c>
      <c r="D213" s="63">
        <f>4.0322 * CHOOSE(CONTROL!$C$22, $C$13, 100%, $E$13)</f>
        <v>4.0321999999999996</v>
      </c>
      <c r="E213" s="64">
        <f>4.6087 * CHOOSE(CONTROL!$C$22, $C$13, 100%, $E$13)</f>
        <v>4.6086999999999998</v>
      </c>
      <c r="F213" s="64">
        <f>4.6087 * CHOOSE(CONTROL!$C$22, $C$13, 100%, $E$13)</f>
        <v>4.6086999999999998</v>
      </c>
      <c r="G213" s="64">
        <f>4.6089 * CHOOSE(CONTROL!$C$22, $C$13, 100%, $E$13)</f>
        <v>4.6089000000000002</v>
      </c>
      <c r="H213" s="64">
        <f>8.493* CHOOSE(CONTROL!$C$22, $C$13, 100%, $E$13)</f>
        <v>8.4930000000000003</v>
      </c>
      <c r="I213" s="64">
        <f>8.4931 * CHOOSE(CONTROL!$C$22, $C$13, 100%, $E$13)</f>
        <v>8.4931000000000001</v>
      </c>
      <c r="J213" s="64">
        <f>4.6087 * CHOOSE(CONTROL!$C$22, $C$13, 100%, $E$13)</f>
        <v>4.6086999999999998</v>
      </c>
      <c r="K213" s="64">
        <f>4.6089 * CHOOSE(CONTROL!$C$22, $C$13, 100%, $E$13)</f>
        <v>4.6089000000000002</v>
      </c>
    </row>
    <row r="214" spans="1:11" ht="15">
      <c r="A214" s="13">
        <v>48153</v>
      </c>
      <c r="B214" s="63">
        <f>4.0231 * CHOOSE(CONTROL!$C$22, $C$13, 100%, $E$13)</f>
        <v>4.0231000000000003</v>
      </c>
      <c r="C214" s="63">
        <f>4.0231 * CHOOSE(CONTROL!$C$22, $C$13, 100%, $E$13)</f>
        <v>4.0231000000000003</v>
      </c>
      <c r="D214" s="63">
        <f>4.0353 * CHOOSE(CONTROL!$C$22, $C$13, 100%, $E$13)</f>
        <v>4.0353000000000003</v>
      </c>
      <c r="E214" s="64">
        <f>4.6214 * CHOOSE(CONTROL!$C$22, $C$13, 100%, $E$13)</f>
        <v>4.6214000000000004</v>
      </c>
      <c r="F214" s="64">
        <f>4.6214 * CHOOSE(CONTROL!$C$22, $C$13, 100%, $E$13)</f>
        <v>4.6214000000000004</v>
      </c>
      <c r="G214" s="64">
        <f>4.6216 * CHOOSE(CONTROL!$C$22, $C$13, 100%, $E$13)</f>
        <v>4.6215999999999999</v>
      </c>
      <c r="H214" s="64">
        <f>8.5107* CHOOSE(CONTROL!$C$22, $C$13, 100%, $E$13)</f>
        <v>8.5106999999999999</v>
      </c>
      <c r="I214" s="64">
        <f>8.5108 * CHOOSE(CONTROL!$C$22, $C$13, 100%, $E$13)</f>
        <v>8.5107999999999997</v>
      </c>
      <c r="J214" s="64">
        <f>4.6214 * CHOOSE(CONTROL!$C$22, $C$13, 100%, $E$13)</f>
        <v>4.6214000000000004</v>
      </c>
      <c r="K214" s="64">
        <f>4.6216 * CHOOSE(CONTROL!$C$22, $C$13, 100%, $E$13)</f>
        <v>4.6215999999999999</v>
      </c>
    </row>
    <row r="215" spans="1:11" ht="15">
      <c r="A215" s="13">
        <v>48183</v>
      </c>
      <c r="B215" s="63">
        <f>4.0231 * CHOOSE(CONTROL!$C$22, $C$13, 100%, $E$13)</f>
        <v>4.0231000000000003</v>
      </c>
      <c r="C215" s="63">
        <f>4.0231 * CHOOSE(CONTROL!$C$22, $C$13, 100%, $E$13)</f>
        <v>4.0231000000000003</v>
      </c>
      <c r="D215" s="63">
        <f>4.0353 * CHOOSE(CONTROL!$C$22, $C$13, 100%, $E$13)</f>
        <v>4.0353000000000003</v>
      </c>
      <c r="E215" s="64">
        <f>4.5948 * CHOOSE(CONTROL!$C$22, $C$13, 100%, $E$13)</f>
        <v>4.5948000000000002</v>
      </c>
      <c r="F215" s="64">
        <f>4.5948 * CHOOSE(CONTROL!$C$22, $C$13, 100%, $E$13)</f>
        <v>4.5948000000000002</v>
      </c>
      <c r="G215" s="64">
        <f>4.595 * CHOOSE(CONTROL!$C$22, $C$13, 100%, $E$13)</f>
        <v>4.5949999999999998</v>
      </c>
      <c r="H215" s="64">
        <f>8.5284* CHOOSE(CONTROL!$C$22, $C$13, 100%, $E$13)</f>
        <v>8.5283999999999995</v>
      </c>
      <c r="I215" s="64">
        <f>8.5286 * CHOOSE(CONTROL!$C$22, $C$13, 100%, $E$13)</f>
        <v>8.5286000000000008</v>
      </c>
      <c r="J215" s="64">
        <f>4.5948 * CHOOSE(CONTROL!$C$22, $C$13, 100%, $E$13)</f>
        <v>4.5948000000000002</v>
      </c>
      <c r="K215" s="64">
        <f>4.595 * CHOOSE(CONTROL!$C$22, $C$13, 100%, $E$13)</f>
        <v>4.5949999999999998</v>
      </c>
    </row>
    <row r="216" spans="1:11" ht="15">
      <c r="A216" s="13">
        <v>48214</v>
      </c>
      <c r="B216" s="63">
        <f>4.0668 * CHOOSE(CONTROL!$C$22, $C$13, 100%, $E$13)</f>
        <v>4.0667999999999997</v>
      </c>
      <c r="C216" s="63">
        <f>4.0668 * CHOOSE(CONTROL!$C$22, $C$13, 100%, $E$13)</f>
        <v>4.0667999999999997</v>
      </c>
      <c r="D216" s="63">
        <f>4.079 * CHOOSE(CONTROL!$C$22, $C$13, 100%, $E$13)</f>
        <v>4.0789999999999997</v>
      </c>
      <c r="E216" s="64">
        <f>4.6594 * CHOOSE(CONTROL!$C$22, $C$13, 100%, $E$13)</f>
        <v>4.6593999999999998</v>
      </c>
      <c r="F216" s="64">
        <f>4.6594 * CHOOSE(CONTROL!$C$22, $C$13, 100%, $E$13)</f>
        <v>4.6593999999999998</v>
      </c>
      <c r="G216" s="64">
        <f>4.6595 * CHOOSE(CONTROL!$C$22, $C$13, 100%, $E$13)</f>
        <v>4.6595000000000004</v>
      </c>
      <c r="H216" s="64">
        <f>8.5462* CHOOSE(CONTROL!$C$22, $C$13, 100%, $E$13)</f>
        <v>8.5462000000000007</v>
      </c>
      <c r="I216" s="64">
        <f>8.5463 * CHOOSE(CONTROL!$C$22, $C$13, 100%, $E$13)</f>
        <v>8.5463000000000005</v>
      </c>
      <c r="J216" s="64">
        <f>4.6594 * CHOOSE(CONTROL!$C$22, $C$13, 100%, $E$13)</f>
        <v>4.6593999999999998</v>
      </c>
      <c r="K216" s="64">
        <f>4.6595 * CHOOSE(CONTROL!$C$22, $C$13, 100%, $E$13)</f>
        <v>4.6595000000000004</v>
      </c>
    </row>
    <row r="217" spans="1:11" ht="15">
      <c r="A217" s="13">
        <v>48245</v>
      </c>
      <c r="B217" s="63">
        <f>4.0637 * CHOOSE(CONTROL!$C$22, $C$13, 100%, $E$13)</f>
        <v>4.0636999999999999</v>
      </c>
      <c r="C217" s="63">
        <f>4.0637 * CHOOSE(CONTROL!$C$22, $C$13, 100%, $E$13)</f>
        <v>4.0636999999999999</v>
      </c>
      <c r="D217" s="63">
        <f>4.076 * CHOOSE(CONTROL!$C$22, $C$13, 100%, $E$13)</f>
        <v>4.0759999999999996</v>
      </c>
      <c r="E217" s="64">
        <f>4.6056 * CHOOSE(CONTROL!$C$22, $C$13, 100%, $E$13)</f>
        <v>4.6055999999999999</v>
      </c>
      <c r="F217" s="64">
        <f>4.6056 * CHOOSE(CONTROL!$C$22, $C$13, 100%, $E$13)</f>
        <v>4.6055999999999999</v>
      </c>
      <c r="G217" s="64">
        <f>4.6058 * CHOOSE(CONTROL!$C$22, $C$13, 100%, $E$13)</f>
        <v>4.6058000000000003</v>
      </c>
      <c r="H217" s="64">
        <f>8.564* CHOOSE(CONTROL!$C$22, $C$13, 100%, $E$13)</f>
        <v>8.5640000000000001</v>
      </c>
      <c r="I217" s="64">
        <f>8.5641 * CHOOSE(CONTROL!$C$22, $C$13, 100%, $E$13)</f>
        <v>8.5640999999999998</v>
      </c>
      <c r="J217" s="64">
        <f>4.6056 * CHOOSE(CONTROL!$C$22, $C$13, 100%, $E$13)</f>
        <v>4.6055999999999999</v>
      </c>
      <c r="K217" s="64">
        <f>4.6058 * CHOOSE(CONTROL!$C$22, $C$13, 100%, $E$13)</f>
        <v>4.6058000000000003</v>
      </c>
    </row>
    <row r="218" spans="1:11" ht="15">
      <c r="A218" s="13">
        <v>48274</v>
      </c>
      <c r="B218" s="63">
        <f>4.0607 * CHOOSE(CONTROL!$C$22, $C$13, 100%, $E$13)</f>
        <v>4.0606999999999998</v>
      </c>
      <c r="C218" s="63">
        <f>4.0607 * CHOOSE(CONTROL!$C$22, $C$13, 100%, $E$13)</f>
        <v>4.0606999999999998</v>
      </c>
      <c r="D218" s="63">
        <f>4.0729 * CHOOSE(CONTROL!$C$22, $C$13, 100%, $E$13)</f>
        <v>4.0728999999999997</v>
      </c>
      <c r="E218" s="64">
        <f>4.6442 * CHOOSE(CONTROL!$C$22, $C$13, 100%, $E$13)</f>
        <v>4.6441999999999997</v>
      </c>
      <c r="F218" s="64">
        <f>4.6442 * CHOOSE(CONTROL!$C$22, $C$13, 100%, $E$13)</f>
        <v>4.6441999999999997</v>
      </c>
      <c r="G218" s="64">
        <f>4.6444 * CHOOSE(CONTROL!$C$22, $C$13, 100%, $E$13)</f>
        <v>4.6444000000000001</v>
      </c>
      <c r="H218" s="64">
        <f>8.5818* CHOOSE(CONTROL!$C$22, $C$13, 100%, $E$13)</f>
        <v>8.5817999999999994</v>
      </c>
      <c r="I218" s="64">
        <f>8.582 * CHOOSE(CONTROL!$C$22, $C$13, 100%, $E$13)</f>
        <v>8.5820000000000007</v>
      </c>
      <c r="J218" s="64">
        <f>4.6442 * CHOOSE(CONTROL!$C$22, $C$13, 100%, $E$13)</f>
        <v>4.6441999999999997</v>
      </c>
      <c r="K218" s="64">
        <f>4.6444 * CHOOSE(CONTROL!$C$22, $C$13, 100%, $E$13)</f>
        <v>4.6444000000000001</v>
      </c>
    </row>
    <row r="219" spans="1:11" ht="15">
      <c r="A219" s="13">
        <v>48305</v>
      </c>
      <c r="B219" s="63">
        <f>4.0585 * CHOOSE(CONTROL!$C$22, $C$13, 100%, $E$13)</f>
        <v>4.0585000000000004</v>
      </c>
      <c r="C219" s="63">
        <f>4.0585 * CHOOSE(CONTROL!$C$22, $C$13, 100%, $E$13)</f>
        <v>4.0585000000000004</v>
      </c>
      <c r="D219" s="63">
        <f>4.0707 * CHOOSE(CONTROL!$C$22, $C$13, 100%, $E$13)</f>
        <v>4.0707000000000004</v>
      </c>
      <c r="E219" s="64">
        <f>4.6837 * CHOOSE(CONTROL!$C$22, $C$13, 100%, $E$13)</f>
        <v>4.6837</v>
      </c>
      <c r="F219" s="64">
        <f>4.6837 * CHOOSE(CONTROL!$C$22, $C$13, 100%, $E$13)</f>
        <v>4.6837</v>
      </c>
      <c r="G219" s="64">
        <f>4.6838 * CHOOSE(CONTROL!$C$22, $C$13, 100%, $E$13)</f>
        <v>4.6837999999999997</v>
      </c>
      <c r="H219" s="64">
        <f>8.5997* CHOOSE(CONTROL!$C$22, $C$13, 100%, $E$13)</f>
        <v>8.5997000000000003</v>
      </c>
      <c r="I219" s="64">
        <f>8.5999 * CHOOSE(CONTROL!$C$22, $C$13, 100%, $E$13)</f>
        <v>8.5998999999999999</v>
      </c>
      <c r="J219" s="64">
        <f>4.6837 * CHOOSE(CONTROL!$C$22, $C$13, 100%, $E$13)</f>
        <v>4.6837</v>
      </c>
      <c r="K219" s="64">
        <f>4.6838 * CHOOSE(CONTROL!$C$22, $C$13, 100%, $E$13)</f>
        <v>4.6837999999999997</v>
      </c>
    </row>
    <row r="220" spans="1:11" ht="15">
      <c r="A220" s="13">
        <v>48335</v>
      </c>
      <c r="B220" s="63">
        <f>4.0585 * CHOOSE(CONTROL!$C$22, $C$13, 100%, $E$13)</f>
        <v>4.0585000000000004</v>
      </c>
      <c r="C220" s="63">
        <f>4.0585 * CHOOSE(CONTROL!$C$22, $C$13, 100%, $E$13)</f>
        <v>4.0585000000000004</v>
      </c>
      <c r="D220" s="63">
        <f>4.0829 * CHOOSE(CONTROL!$C$22, $C$13, 100%, $E$13)</f>
        <v>4.0829000000000004</v>
      </c>
      <c r="E220" s="64">
        <f>4.7 * CHOOSE(CONTROL!$C$22, $C$13, 100%, $E$13)</f>
        <v>4.7</v>
      </c>
      <c r="F220" s="64">
        <f>4.7 * CHOOSE(CONTROL!$C$22, $C$13, 100%, $E$13)</f>
        <v>4.7</v>
      </c>
      <c r="G220" s="64">
        <f>4.7016 * CHOOSE(CONTROL!$C$22, $C$13, 100%, $E$13)</f>
        <v>4.7016</v>
      </c>
      <c r="H220" s="64">
        <f>8.6176* CHOOSE(CONTROL!$C$22, $C$13, 100%, $E$13)</f>
        <v>8.6175999999999995</v>
      </c>
      <c r="I220" s="64">
        <f>8.6192 * CHOOSE(CONTROL!$C$22, $C$13, 100%, $E$13)</f>
        <v>8.6191999999999993</v>
      </c>
      <c r="J220" s="64">
        <f>4.7 * CHOOSE(CONTROL!$C$22, $C$13, 100%, $E$13)</f>
        <v>4.7</v>
      </c>
      <c r="K220" s="64">
        <f>4.7016 * CHOOSE(CONTROL!$C$22, $C$13, 100%, $E$13)</f>
        <v>4.7016</v>
      </c>
    </row>
    <row r="221" spans="1:11" ht="15">
      <c r="A221" s="13">
        <v>48366</v>
      </c>
      <c r="B221" s="63">
        <f>4.0646 * CHOOSE(CONTROL!$C$22, $C$13, 100%, $E$13)</f>
        <v>4.0646000000000004</v>
      </c>
      <c r="C221" s="63">
        <f>4.0646 * CHOOSE(CONTROL!$C$22, $C$13, 100%, $E$13)</f>
        <v>4.0646000000000004</v>
      </c>
      <c r="D221" s="63">
        <f>4.089 * CHOOSE(CONTROL!$C$22, $C$13, 100%, $E$13)</f>
        <v>4.0890000000000004</v>
      </c>
      <c r="E221" s="64">
        <f>4.6879 * CHOOSE(CONTROL!$C$22, $C$13, 100%, $E$13)</f>
        <v>4.6879</v>
      </c>
      <c r="F221" s="64">
        <f>4.6879 * CHOOSE(CONTROL!$C$22, $C$13, 100%, $E$13)</f>
        <v>4.6879</v>
      </c>
      <c r="G221" s="64">
        <f>4.6895 * CHOOSE(CONTROL!$C$22, $C$13, 100%, $E$13)</f>
        <v>4.6894999999999998</v>
      </c>
      <c r="H221" s="64">
        <f>8.6355* CHOOSE(CONTROL!$C$22, $C$13, 100%, $E$13)</f>
        <v>8.6355000000000004</v>
      </c>
      <c r="I221" s="64">
        <f>8.6371 * CHOOSE(CONTROL!$C$22, $C$13, 100%, $E$13)</f>
        <v>8.6371000000000002</v>
      </c>
      <c r="J221" s="64">
        <f>4.6879 * CHOOSE(CONTROL!$C$22, $C$13, 100%, $E$13)</f>
        <v>4.6879</v>
      </c>
      <c r="K221" s="64">
        <f>4.6895 * CHOOSE(CONTROL!$C$22, $C$13, 100%, $E$13)</f>
        <v>4.6894999999999998</v>
      </c>
    </row>
    <row r="222" spans="1:11" ht="15">
      <c r="A222" s="13">
        <v>48396</v>
      </c>
      <c r="B222" s="63">
        <f>4.1497 * CHOOSE(CONTROL!$C$22, $C$13, 100%, $E$13)</f>
        <v>4.1497000000000002</v>
      </c>
      <c r="C222" s="63">
        <f>4.1497 * CHOOSE(CONTROL!$C$22, $C$13, 100%, $E$13)</f>
        <v>4.1497000000000002</v>
      </c>
      <c r="D222" s="63">
        <f>4.1741 * CHOOSE(CONTROL!$C$22, $C$13, 100%, $E$13)</f>
        <v>4.1741000000000001</v>
      </c>
      <c r="E222" s="64">
        <f>4.7922 * CHOOSE(CONTROL!$C$22, $C$13, 100%, $E$13)</f>
        <v>4.7922000000000002</v>
      </c>
      <c r="F222" s="64">
        <f>4.7922 * CHOOSE(CONTROL!$C$22, $C$13, 100%, $E$13)</f>
        <v>4.7922000000000002</v>
      </c>
      <c r="G222" s="64">
        <f>4.7937 * CHOOSE(CONTROL!$C$22, $C$13, 100%, $E$13)</f>
        <v>4.7937000000000003</v>
      </c>
      <c r="H222" s="64">
        <f>8.6535* CHOOSE(CONTROL!$C$22, $C$13, 100%, $E$13)</f>
        <v>8.6534999999999993</v>
      </c>
      <c r="I222" s="64">
        <f>8.6551 * CHOOSE(CONTROL!$C$22, $C$13, 100%, $E$13)</f>
        <v>8.6550999999999991</v>
      </c>
      <c r="J222" s="64">
        <f>4.7922 * CHOOSE(CONTROL!$C$22, $C$13, 100%, $E$13)</f>
        <v>4.7922000000000002</v>
      </c>
      <c r="K222" s="64">
        <f>4.7937 * CHOOSE(CONTROL!$C$22, $C$13, 100%, $E$13)</f>
        <v>4.7937000000000003</v>
      </c>
    </row>
    <row r="223" spans="1:11" ht="15">
      <c r="A223" s="13">
        <v>48427</v>
      </c>
      <c r="B223" s="63">
        <f>4.1564 * CHOOSE(CONTROL!$C$22, $C$13, 100%, $E$13)</f>
        <v>4.1563999999999997</v>
      </c>
      <c r="C223" s="63">
        <f>4.1564 * CHOOSE(CONTROL!$C$22, $C$13, 100%, $E$13)</f>
        <v>4.1563999999999997</v>
      </c>
      <c r="D223" s="63">
        <f>4.1808 * CHOOSE(CONTROL!$C$22, $C$13, 100%, $E$13)</f>
        <v>4.1807999999999996</v>
      </c>
      <c r="E223" s="64">
        <f>4.7477 * CHOOSE(CONTROL!$C$22, $C$13, 100%, $E$13)</f>
        <v>4.7477</v>
      </c>
      <c r="F223" s="64">
        <f>4.7477 * CHOOSE(CONTROL!$C$22, $C$13, 100%, $E$13)</f>
        <v>4.7477</v>
      </c>
      <c r="G223" s="64">
        <f>4.7492 * CHOOSE(CONTROL!$C$22, $C$13, 100%, $E$13)</f>
        <v>4.7492000000000001</v>
      </c>
      <c r="H223" s="64">
        <f>8.6716* CHOOSE(CONTROL!$C$22, $C$13, 100%, $E$13)</f>
        <v>8.6715999999999998</v>
      </c>
      <c r="I223" s="64">
        <f>8.6731 * CHOOSE(CONTROL!$C$22, $C$13, 100%, $E$13)</f>
        <v>8.6730999999999998</v>
      </c>
      <c r="J223" s="64">
        <f>4.7477 * CHOOSE(CONTROL!$C$22, $C$13, 100%, $E$13)</f>
        <v>4.7477</v>
      </c>
      <c r="K223" s="64">
        <f>4.7492 * CHOOSE(CONTROL!$C$22, $C$13, 100%, $E$13)</f>
        <v>4.7492000000000001</v>
      </c>
    </row>
    <row r="224" spans="1:11" ht="15">
      <c r="A224" s="13">
        <v>48458</v>
      </c>
      <c r="B224" s="63">
        <f>4.1533 * CHOOSE(CONTROL!$C$22, $C$13, 100%, $E$13)</f>
        <v>4.1532999999999998</v>
      </c>
      <c r="C224" s="63">
        <f>4.1533 * CHOOSE(CONTROL!$C$22, $C$13, 100%, $E$13)</f>
        <v>4.1532999999999998</v>
      </c>
      <c r="D224" s="63">
        <f>4.1777 * CHOOSE(CONTROL!$C$22, $C$13, 100%, $E$13)</f>
        <v>4.1776999999999997</v>
      </c>
      <c r="E224" s="64">
        <f>4.7401 * CHOOSE(CONTROL!$C$22, $C$13, 100%, $E$13)</f>
        <v>4.7401</v>
      </c>
      <c r="F224" s="64">
        <f>4.7401 * CHOOSE(CONTROL!$C$22, $C$13, 100%, $E$13)</f>
        <v>4.7401</v>
      </c>
      <c r="G224" s="64">
        <f>4.7417 * CHOOSE(CONTROL!$C$22, $C$13, 100%, $E$13)</f>
        <v>4.7416999999999998</v>
      </c>
      <c r="H224" s="64">
        <f>8.6896* CHOOSE(CONTROL!$C$22, $C$13, 100%, $E$13)</f>
        <v>8.6896000000000004</v>
      </c>
      <c r="I224" s="64">
        <f>8.6912 * CHOOSE(CONTROL!$C$22, $C$13, 100%, $E$13)</f>
        <v>8.6912000000000003</v>
      </c>
      <c r="J224" s="64">
        <f>4.7401 * CHOOSE(CONTROL!$C$22, $C$13, 100%, $E$13)</f>
        <v>4.7401</v>
      </c>
      <c r="K224" s="64">
        <f>4.7417 * CHOOSE(CONTROL!$C$22, $C$13, 100%, $E$13)</f>
        <v>4.7416999999999998</v>
      </c>
    </row>
    <row r="225" spans="1:11" ht="15">
      <c r="A225" s="13">
        <v>48488</v>
      </c>
      <c r="B225" s="63">
        <f>4.1491 * CHOOSE(CONTROL!$C$22, $C$13, 100%, $E$13)</f>
        <v>4.1490999999999998</v>
      </c>
      <c r="C225" s="63">
        <f>4.1491 * CHOOSE(CONTROL!$C$22, $C$13, 100%, $E$13)</f>
        <v>4.1490999999999998</v>
      </c>
      <c r="D225" s="63">
        <f>4.1613 * CHOOSE(CONTROL!$C$22, $C$13, 100%, $E$13)</f>
        <v>4.1612999999999998</v>
      </c>
      <c r="E225" s="64">
        <f>4.7485 * CHOOSE(CONTROL!$C$22, $C$13, 100%, $E$13)</f>
        <v>4.7484999999999999</v>
      </c>
      <c r="F225" s="64">
        <f>4.7485 * CHOOSE(CONTROL!$C$22, $C$13, 100%, $E$13)</f>
        <v>4.7484999999999999</v>
      </c>
      <c r="G225" s="64">
        <f>4.7487 * CHOOSE(CONTROL!$C$22, $C$13, 100%, $E$13)</f>
        <v>4.7487000000000004</v>
      </c>
      <c r="H225" s="64">
        <f>8.7077* CHOOSE(CONTROL!$C$22, $C$13, 100%, $E$13)</f>
        <v>8.7077000000000009</v>
      </c>
      <c r="I225" s="64">
        <f>8.7079 * CHOOSE(CONTROL!$C$22, $C$13, 100%, $E$13)</f>
        <v>8.7079000000000004</v>
      </c>
      <c r="J225" s="64">
        <f>4.7485 * CHOOSE(CONTROL!$C$22, $C$13, 100%, $E$13)</f>
        <v>4.7484999999999999</v>
      </c>
      <c r="K225" s="64">
        <f>4.7487 * CHOOSE(CONTROL!$C$22, $C$13, 100%, $E$13)</f>
        <v>4.7487000000000004</v>
      </c>
    </row>
    <row r="226" spans="1:11" ht="15">
      <c r="A226" s="13">
        <v>48519</v>
      </c>
      <c r="B226" s="63">
        <f>4.1522 * CHOOSE(CONTROL!$C$22, $C$13, 100%, $E$13)</f>
        <v>4.1521999999999997</v>
      </c>
      <c r="C226" s="63">
        <f>4.1522 * CHOOSE(CONTROL!$C$22, $C$13, 100%, $E$13)</f>
        <v>4.1521999999999997</v>
      </c>
      <c r="D226" s="63">
        <f>4.1644 * CHOOSE(CONTROL!$C$22, $C$13, 100%, $E$13)</f>
        <v>4.1643999999999997</v>
      </c>
      <c r="E226" s="64">
        <f>4.7616 * CHOOSE(CONTROL!$C$22, $C$13, 100%, $E$13)</f>
        <v>4.7615999999999996</v>
      </c>
      <c r="F226" s="64">
        <f>4.7616 * CHOOSE(CONTROL!$C$22, $C$13, 100%, $E$13)</f>
        <v>4.7615999999999996</v>
      </c>
      <c r="G226" s="64">
        <f>4.7617 * CHOOSE(CONTROL!$C$22, $C$13, 100%, $E$13)</f>
        <v>4.7617000000000003</v>
      </c>
      <c r="H226" s="64">
        <f>8.7259* CHOOSE(CONTROL!$C$22, $C$13, 100%, $E$13)</f>
        <v>8.7258999999999993</v>
      </c>
      <c r="I226" s="64">
        <f>8.7261 * CHOOSE(CONTROL!$C$22, $C$13, 100%, $E$13)</f>
        <v>8.7261000000000006</v>
      </c>
      <c r="J226" s="64">
        <f>4.7616 * CHOOSE(CONTROL!$C$22, $C$13, 100%, $E$13)</f>
        <v>4.7615999999999996</v>
      </c>
      <c r="K226" s="64">
        <f>4.7617 * CHOOSE(CONTROL!$C$22, $C$13, 100%, $E$13)</f>
        <v>4.7617000000000003</v>
      </c>
    </row>
    <row r="227" spans="1:11" ht="15">
      <c r="A227" s="13">
        <v>48549</v>
      </c>
      <c r="B227" s="63">
        <f>4.1522 * CHOOSE(CONTROL!$C$22, $C$13, 100%, $E$13)</f>
        <v>4.1521999999999997</v>
      </c>
      <c r="C227" s="63">
        <f>4.1522 * CHOOSE(CONTROL!$C$22, $C$13, 100%, $E$13)</f>
        <v>4.1521999999999997</v>
      </c>
      <c r="D227" s="63">
        <f>4.1644 * CHOOSE(CONTROL!$C$22, $C$13, 100%, $E$13)</f>
        <v>4.1643999999999997</v>
      </c>
      <c r="E227" s="64">
        <f>4.7343 * CHOOSE(CONTROL!$C$22, $C$13, 100%, $E$13)</f>
        <v>4.7343000000000002</v>
      </c>
      <c r="F227" s="64">
        <f>4.7343 * CHOOSE(CONTROL!$C$22, $C$13, 100%, $E$13)</f>
        <v>4.7343000000000002</v>
      </c>
      <c r="G227" s="64">
        <f>4.7344 * CHOOSE(CONTROL!$C$22, $C$13, 100%, $E$13)</f>
        <v>4.7343999999999999</v>
      </c>
      <c r="H227" s="64">
        <f>8.7441* CHOOSE(CONTROL!$C$22, $C$13, 100%, $E$13)</f>
        <v>8.7440999999999995</v>
      </c>
      <c r="I227" s="64">
        <f>8.7442 * CHOOSE(CONTROL!$C$22, $C$13, 100%, $E$13)</f>
        <v>8.7441999999999993</v>
      </c>
      <c r="J227" s="64">
        <f>4.7343 * CHOOSE(CONTROL!$C$22, $C$13, 100%, $E$13)</f>
        <v>4.7343000000000002</v>
      </c>
      <c r="K227" s="64">
        <f>4.7344 * CHOOSE(CONTROL!$C$22, $C$13, 100%, $E$13)</f>
        <v>4.7343999999999999</v>
      </c>
    </row>
    <row r="228" spans="1:11" ht="15">
      <c r="A228" s="13">
        <v>48580</v>
      </c>
      <c r="B228" s="63">
        <f>4.1941 * CHOOSE(CONTROL!$C$22, $C$13, 100%, $E$13)</f>
        <v>4.1940999999999997</v>
      </c>
      <c r="C228" s="63">
        <f>4.1941 * CHOOSE(CONTROL!$C$22, $C$13, 100%, $E$13)</f>
        <v>4.1940999999999997</v>
      </c>
      <c r="D228" s="63">
        <f>4.2063 * CHOOSE(CONTROL!$C$22, $C$13, 100%, $E$13)</f>
        <v>4.2062999999999997</v>
      </c>
      <c r="E228" s="64">
        <f>4.8032 * CHOOSE(CONTROL!$C$22, $C$13, 100%, $E$13)</f>
        <v>4.8032000000000004</v>
      </c>
      <c r="F228" s="64">
        <f>4.8032 * CHOOSE(CONTROL!$C$22, $C$13, 100%, $E$13)</f>
        <v>4.8032000000000004</v>
      </c>
      <c r="G228" s="64">
        <f>4.8033 * CHOOSE(CONTROL!$C$22, $C$13, 100%, $E$13)</f>
        <v>4.8033000000000001</v>
      </c>
      <c r="H228" s="64">
        <f>8.7623* CHOOSE(CONTROL!$C$22, $C$13, 100%, $E$13)</f>
        <v>8.7622999999999998</v>
      </c>
      <c r="I228" s="64">
        <f>8.7624 * CHOOSE(CONTROL!$C$22, $C$13, 100%, $E$13)</f>
        <v>8.7623999999999995</v>
      </c>
      <c r="J228" s="64">
        <f>4.8032 * CHOOSE(CONTROL!$C$22, $C$13, 100%, $E$13)</f>
        <v>4.8032000000000004</v>
      </c>
      <c r="K228" s="64">
        <f>4.8033 * CHOOSE(CONTROL!$C$22, $C$13, 100%, $E$13)</f>
        <v>4.8033000000000001</v>
      </c>
    </row>
    <row r="229" spans="1:11" ht="15">
      <c r="A229" s="13">
        <v>48611</v>
      </c>
      <c r="B229" s="63">
        <f>4.191 * CHOOSE(CONTROL!$C$22, $C$13, 100%, $E$13)</f>
        <v>4.1909999999999998</v>
      </c>
      <c r="C229" s="63">
        <f>4.191 * CHOOSE(CONTROL!$C$22, $C$13, 100%, $E$13)</f>
        <v>4.1909999999999998</v>
      </c>
      <c r="D229" s="63">
        <f>4.2032 * CHOOSE(CONTROL!$C$22, $C$13, 100%, $E$13)</f>
        <v>4.2031999999999998</v>
      </c>
      <c r="E229" s="64">
        <f>4.7481 * CHOOSE(CONTROL!$C$22, $C$13, 100%, $E$13)</f>
        <v>4.7481</v>
      </c>
      <c r="F229" s="64">
        <f>4.7481 * CHOOSE(CONTROL!$C$22, $C$13, 100%, $E$13)</f>
        <v>4.7481</v>
      </c>
      <c r="G229" s="64">
        <f>4.7483 * CHOOSE(CONTROL!$C$22, $C$13, 100%, $E$13)</f>
        <v>4.7483000000000004</v>
      </c>
      <c r="H229" s="64">
        <f>8.7805* CHOOSE(CONTROL!$C$22, $C$13, 100%, $E$13)</f>
        <v>8.7805</v>
      </c>
      <c r="I229" s="64">
        <f>8.7807 * CHOOSE(CONTROL!$C$22, $C$13, 100%, $E$13)</f>
        <v>8.7806999999999995</v>
      </c>
      <c r="J229" s="64">
        <f>4.7481 * CHOOSE(CONTROL!$C$22, $C$13, 100%, $E$13)</f>
        <v>4.7481</v>
      </c>
      <c r="K229" s="64">
        <f>4.7483 * CHOOSE(CONTROL!$C$22, $C$13, 100%, $E$13)</f>
        <v>4.7483000000000004</v>
      </c>
    </row>
    <row r="230" spans="1:11" ht="15">
      <c r="A230" s="13">
        <v>48639</v>
      </c>
      <c r="B230" s="63">
        <f>4.188 * CHOOSE(CONTROL!$C$22, $C$13, 100%, $E$13)</f>
        <v>4.1879999999999997</v>
      </c>
      <c r="C230" s="63">
        <f>4.188 * CHOOSE(CONTROL!$C$22, $C$13, 100%, $E$13)</f>
        <v>4.1879999999999997</v>
      </c>
      <c r="D230" s="63">
        <f>4.2002 * CHOOSE(CONTROL!$C$22, $C$13, 100%, $E$13)</f>
        <v>4.2001999999999997</v>
      </c>
      <c r="E230" s="64">
        <f>4.7877 * CHOOSE(CONTROL!$C$22, $C$13, 100%, $E$13)</f>
        <v>4.7877000000000001</v>
      </c>
      <c r="F230" s="64">
        <f>4.7877 * CHOOSE(CONTROL!$C$22, $C$13, 100%, $E$13)</f>
        <v>4.7877000000000001</v>
      </c>
      <c r="G230" s="64">
        <f>4.7879 * CHOOSE(CONTROL!$C$22, $C$13, 100%, $E$13)</f>
        <v>4.7878999999999996</v>
      </c>
      <c r="H230" s="64">
        <f>8.7988* CHOOSE(CONTROL!$C$22, $C$13, 100%, $E$13)</f>
        <v>8.7988</v>
      </c>
      <c r="I230" s="64">
        <f>8.799 * CHOOSE(CONTROL!$C$22, $C$13, 100%, $E$13)</f>
        <v>8.7989999999999995</v>
      </c>
      <c r="J230" s="64">
        <f>4.7877 * CHOOSE(CONTROL!$C$22, $C$13, 100%, $E$13)</f>
        <v>4.7877000000000001</v>
      </c>
      <c r="K230" s="64">
        <f>4.7879 * CHOOSE(CONTROL!$C$22, $C$13, 100%, $E$13)</f>
        <v>4.7878999999999996</v>
      </c>
    </row>
    <row r="231" spans="1:11" ht="15">
      <c r="A231" s="13">
        <v>48670</v>
      </c>
      <c r="B231" s="63">
        <f>4.1858 * CHOOSE(CONTROL!$C$22, $C$13, 100%, $E$13)</f>
        <v>4.1858000000000004</v>
      </c>
      <c r="C231" s="63">
        <f>4.1858 * CHOOSE(CONTROL!$C$22, $C$13, 100%, $E$13)</f>
        <v>4.1858000000000004</v>
      </c>
      <c r="D231" s="63">
        <f>4.1981 * CHOOSE(CONTROL!$C$22, $C$13, 100%, $E$13)</f>
        <v>4.1981000000000002</v>
      </c>
      <c r="E231" s="64">
        <f>4.8283 * CHOOSE(CONTROL!$C$22, $C$13, 100%, $E$13)</f>
        <v>4.8282999999999996</v>
      </c>
      <c r="F231" s="64">
        <f>4.8283 * CHOOSE(CONTROL!$C$22, $C$13, 100%, $E$13)</f>
        <v>4.8282999999999996</v>
      </c>
      <c r="G231" s="64">
        <f>4.8285 * CHOOSE(CONTROL!$C$22, $C$13, 100%, $E$13)</f>
        <v>4.8285</v>
      </c>
      <c r="H231" s="64">
        <f>8.8171* CHOOSE(CONTROL!$C$22, $C$13, 100%, $E$13)</f>
        <v>8.8170999999999999</v>
      </c>
      <c r="I231" s="64">
        <f>8.8173 * CHOOSE(CONTROL!$C$22, $C$13, 100%, $E$13)</f>
        <v>8.8172999999999995</v>
      </c>
      <c r="J231" s="64">
        <f>4.8283 * CHOOSE(CONTROL!$C$22, $C$13, 100%, $E$13)</f>
        <v>4.8282999999999996</v>
      </c>
      <c r="K231" s="64">
        <f>4.8285 * CHOOSE(CONTROL!$C$22, $C$13, 100%, $E$13)</f>
        <v>4.8285</v>
      </c>
    </row>
    <row r="232" spans="1:11" ht="15">
      <c r="A232" s="13">
        <v>48700</v>
      </c>
      <c r="B232" s="63">
        <f>4.1858 * CHOOSE(CONTROL!$C$22, $C$13, 100%, $E$13)</f>
        <v>4.1858000000000004</v>
      </c>
      <c r="C232" s="63">
        <f>4.1858 * CHOOSE(CONTROL!$C$22, $C$13, 100%, $E$13)</f>
        <v>4.1858000000000004</v>
      </c>
      <c r="D232" s="63">
        <f>4.2103 * CHOOSE(CONTROL!$C$22, $C$13, 100%, $E$13)</f>
        <v>4.2103000000000002</v>
      </c>
      <c r="E232" s="64">
        <f>4.8452 * CHOOSE(CONTROL!$C$22, $C$13, 100%, $E$13)</f>
        <v>4.8452000000000002</v>
      </c>
      <c r="F232" s="64">
        <f>4.8452 * CHOOSE(CONTROL!$C$22, $C$13, 100%, $E$13)</f>
        <v>4.8452000000000002</v>
      </c>
      <c r="G232" s="64">
        <f>4.8467 * CHOOSE(CONTROL!$C$22, $C$13, 100%, $E$13)</f>
        <v>4.8467000000000002</v>
      </c>
      <c r="H232" s="64">
        <f>8.8355* CHOOSE(CONTROL!$C$22, $C$13, 100%, $E$13)</f>
        <v>8.8354999999999997</v>
      </c>
      <c r="I232" s="64">
        <f>8.8371 * CHOOSE(CONTROL!$C$22, $C$13, 100%, $E$13)</f>
        <v>8.8370999999999995</v>
      </c>
      <c r="J232" s="64">
        <f>4.8452 * CHOOSE(CONTROL!$C$22, $C$13, 100%, $E$13)</f>
        <v>4.8452000000000002</v>
      </c>
      <c r="K232" s="64">
        <f>4.8467 * CHOOSE(CONTROL!$C$22, $C$13, 100%, $E$13)</f>
        <v>4.8467000000000002</v>
      </c>
    </row>
    <row r="233" spans="1:11" ht="15">
      <c r="A233" s="13">
        <v>48731</v>
      </c>
      <c r="B233" s="63">
        <f>4.1919 * CHOOSE(CONTROL!$C$22, $C$13, 100%, $E$13)</f>
        <v>4.1919000000000004</v>
      </c>
      <c r="C233" s="63">
        <f>4.1919 * CHOOSE(CONTROL!$C$22, $C$13, 100%, $E$13)</f>
        <v>4.1919000000000004</v>
      </c>
      <c r="D233" s="63">
        <f>4.2164 * CHOOSE(CONTROL!$C$22, $C$13, 100%, $E$13)</f>
        <v>4.2164000000000001</v>
      </c>
      <c r="E233" s="64">
        <f>4.8326 * CHOOSE(CONTROL!$C$22, $C$13, 100%, $E$13)</f>
        <v>4.8326000000000002</v>
      </c>
      <c r="F233" s="64">
        <f>4.8326 * CHOOSE(CONTROL!$C$22, $C$13, 100%, $E$13)</f>
        <v>4.8326000000000002</v>
      </c>
      <c r="G233" s="64">
        <f>4.8341 * CHOOSE(CONTROL!$C$22, $C$13, 100%, $E$13)</f>
        <v>4.8341000000000003</v>
      </c>
      <c r="H233" s="64">
        <f>8.8539* CHOOSE(CONTROL!$C$22, $C$13, 100%, $E$13)</f>
        <v>8.8538999999999994</v>
      </c>
      <c r="I233" s="64">
        <f>8.8555 * CHOOSE(CONTROL!$C$22, $C$13, 100%, $E$13)</f>
        <v>8.8554999999999993</v>
      </c>
      <c r="J233" s="64">
        <f>4.8326 * CHOOSE(CONTROL!$C$22, $C$13, 100%, $E$13)</f>
        <v>4.8326000000000002</v>
      </c>
      <c r="K233" s="64">
        <f>4.8341 * CHOOSE(CONTROL!$C$22, $C$13, 100%, $E$13)</f>
        <v>4.8341000000000003</v>
      </c>
    </row>
    <row r="234" spans="1:11" ht="15">
      <c r="A234" s="13">
        <v>48761</v>
      </c>
      <c r="B234" s="63">
        <f>4.2719 * CHOOSE(CONTROL!$C$22, $C$13, 100%, $E$13)</f>
        <v>4.2718999999999996</v>
      </c>
      <c r="C234" s="63">
        <f>4.2719 * CHOOSE(CONTROL!$C$22, $C$13, 100%, $E$13)</f>
        <v>4.2718999999999996</v>
      </c>
      <c r="D234" s="63">
        <f>4.2964 * CHOOSE(CONTROL!$C$22, $C$13, 100%, $E$13)</f>
        <v>4.2964000000000002</v>
      </c>
      <c r="E234" s="64">
        <f>4.9466 * CHOOSE(CONTROL!$C$22, $C$13, 100%, $E$13)</f>
        <v>4.9466000000000001</v>
      </c>
      <c r="F234" s="64">
        <f>4.9466 * CHOOSE(CONTROL!$C$22, $C$13, 100%, $E$13)</f>
        <v>4.9466000000000001</v>
      </c>
      <c r="G234" s="64">
        <f>4.9482 * CHOOSE(CONTROL!$C$22, $C$13, 100%, $E$13)</f>
        <v>4.9481999999999999</v>
      </c>
      <c r="H234" s="64">
        <f>8.8724* CHOOSE(CONTROL!$C$22, $C$13, 100%, $E$13)</f>
        <v>8.8724000000000007</v>
      </c>
      <c r="I234" s="64">
        <f>8.8739 * CHOOSE(CONTROL!$C$22, $C$13, 100%, $E$13)</f>
        <v>8.8739000000000008</v>
      </c>
      <c r="J234" s="64">
        <f>4.9466 * CHOOSE(CONTROL!$C$22, $C$13, 100%, $E$13)</f>
        <v>4.9466000000000001</v>
      </c>
      <c r="K234" s="64">
        <f>4.9482 * CHOOSE(CONTROL!$C$22, $C$13, 100%, $E$13)</f>
        <v>4.9481999999999999</v>
      </c>
    </row>
    <row r="235" spans="1:11" ht="15">
      <c r="A235" s="13">
        <v>48792</v>
      </c>
      <c r="B235" s="63">
        <f>4.2786 * CHOOSE(CONTROL!$C$22, $C$13, 100%, $E$13)</f>
        <v>4.2786</v>
      </c>
      <c r="C235" s="63">
        <f>4.2786 * CHOOSE(CONTROL!$C$22, $C$13, 100%, $E$13)</f>
        <v>4.2786</v>
      </c>
      <c r="D235" s="63">
        <f>4.3031 * CHOOSE(CONTROL!$C$22, $C$13, 100%, $E$13)</f>
        <v>4.3030999999999997</v>
      </c>
      <c r="E235" s="64">
        <f>4.9008 * CHOOSE(CONTROL!$C$22, $C$13, 100%, $E$13)</f>
        <v>4.9008000000000003</v>
      </c>
      <c r="F235" s="64">
        <f>4.9008 * CHOOSE(CONTROL!$C$22, $C$13, 100%, $E$13)</f>
        <v>4.9008000000000003</v>
      </c>
      <c r="G235" s="64">
        <f>4.9024 * CHOOSE(CONTROL!$C$22, $C$13, 100%, $E$13)</f>
        <v>4.9024000000000001</v>
      </c>
      <c r="H235" s="64">
        <f>8.8909* CHOOSE(CONTROL!$C$22, $C$13, 100%, $E$13)</f>
        <v>8.8909000000000002</v>
      </c>
      <c r="I235" s="64">
        <f>8.8924 * CHOOSE(CONTROL!$C$22, $C$13, 100%, $E$13)</f>
        <v>8.8924000000000003</v>
      </c>
      <c r="J235" s="64">
        <f>4.9008 * CHOOSE(CONTROL!$C$22, $C$13, 100%, $E$13)</f>
        <v>4.9008000000000003</v>
      </c>
      <c r="K235" s="64">
        <f>4.9024 * CHOOSE(CONTROL!$C$22, $C$13, 100%, $E$13)</f>
        <v>4.9024000000000001</v>
      </c>
    </row>
    <row r="236" spans="1:11" ht="15">
      <c r="A236" s="13">
        <v>48823</v>
      </c>
      <c r="B236" s="63">
        <f>4.2756 * CHOOSE(CONTROL!$C$22, $C$13, 100%, $E$13)</f>
        <v>4.2755999999999998</v>
      </c>
      <c r="C236" s="63">
        <f>4.2756 * CHOOSE(CONTROL!$C$22, $C$13, 100%, $E$13)</f>
        <v>4.2755999999999998</v>
      </c>
      <c r="D236" s="63">
        <f>4.3 * CHOOSE(CONTROL!$C$22, $C$13, 100%, $E$13)</f>
        <v>4.3</v>
      </c>
      <c r="E236" s="64">
        <f>4.8931 * CHOOSE(CONTROL!$C$22, $C$13, 100%, $E$13)</f>
        <v>4.8930999999999996</v>
      </c>
      <c r="F236" s="64">
        <f>4.8931 * CHOOSE(CONTROL!$C$22, $C$13, 100%, $E$13)</f>
        <v>4.8930999999999996</v>
      </c>
      <c r="G236" s="64">
        <f>4.8947 * CHOOSE(CONTROL!$C$22, $C$13, 100%, $E$13)</f>
        <v>4.8947000000000003</v>
      </c>
      <c r="H236" s="64">
        <f>8.9094* CHOOSE(CONTROL!$C$22, $C$13, 100%, $E$13)</f>
        <v>8.9093999999999998</v>
      </c>
      <c r="I236" s="64">
        <f>8.9109 * CHOOSE(CONTROL!$C$22, $C$13, 100%, $E$13)</f>
        <v>8.9108999999999998</v>
      </c>
      <c r="J236" s="64">
        <f>4.8931 * CHOOSE(CONTROL!$C$22, $C$13, 100%, $E$13)</f>
        <v>4.8930999999999996</v>
      </c>
      <c r="K236" s="64">
        <f>4.8947 * CHOOSE(CONTROL!$C$22, $C$13, 100%, $E$13)</f>
        <v>4.8947000000000003</v>
      </c>
    </row>
    <row r="237" spans="1:11" ht="15">
      <c r="A237" s="13">
        <v>48853</v>
      </c>
      <c r="B237" s="63">
        <f>4.2718 * CHOOSE(CONTROL!$C$22, $C$13, 100%, $E$13)</f>
        <v>4.2717999999999998</v>
      </c>
      <c r="C237" s="63">
        <f>4.2718 * CHOOSE(CONTROL!$C$22, $C$13, 100%, $E$13)</f>
        <v>4.2717999999999998</v>
      </c>
      <c r="D237" s="63">
        <f>4.284 * CHOOSE(CONTROL!$C$22, $C$13, 100%, $E$13)</f>
        <v>4.2839999999999998</v>
      </c>
      <c r="E237" s="64">
        <f>4.9021 * CHOOSE(CONTROL!$C$22, $C$13, 100%, $E$13)</f>
        <v>4.9020999999999999</v>
      </c>
      <c r="F237" s="64">
        <f>4.9021 * CHOOSE(CONTROL!$C$22, $C$13, 100%, $E$13)</f>
        <v>4.9020999999999999</v>
      </c>
      <c r="G237" s="64">
        <f>4.9023 * CHOOSE(CONTROL!$C$22, $C$13, 100%, $E$13)</f>
        <v>4.9023000000000003</v>
      </c>
      <c r="H237" s="64">
        <f>8.9279* CHOOSE(CONTROL!$C$22, $C$13, 100%, $E$13)</f>
        <v>8.9278999999999993</v>
      </c>
      <c r="I237" s="64">
        <f>8.9281 * CHOOSE(CONTROL!$C$22, $C$13, 100%, $E$13)</f>
        <v>8.9281000000000006</v>
      </c>
      <c r="J237" s="64">
        <f>4.9021 * CHOOSE(CONTROL!$C$22, $C$13, 100%, $E$13)</f>
        <v>4.9020999999999999</v>
      </c>
      <c r="K237" s="64">
        <f>4.9023 * CHOOSE(CONTROL!$C$22, $C$13, 100%, $E$13)</f>
        <v>4.9023000000000003</v>
      </c>
    </row>
    <row r="238" spans="1:11" ht="15">
      <c r="A238" s="13">
        <v>48884</v>
      </c>
      <c r="B238" s="63">
        <f>4.2748 * CHOOSE(CONTROL!$C$22, $C$13, 100%, $E$13)</f>
        <v>4.2747999999999999</v>
      </c>
      <c r="C238" s="63">
        <f>4.2748 * CHOOSE(CONTROL!$C$22, $C$13, 100%, $E$13)</f>
        <v>4.2747999999999999</v>
      </c>
      <c r="D238" s="63">
        <f>4.287 * CHOOSE(CONTROL!$C$22, $C$13, 100%, $E$13)</f>
        <v>4.2869999999999999</v>
      </c>
      <c r="E238" s="64">
        <f>4.9154 * CHOOSE(CONTROL!$C$22, $C$13, 100%, $E$13)</f>
        <v>4.9154</v>
      </c>
      <c r="F238" s="64">
        <f>4.9154 * CHOOSE(CONTROL!$C$22, $C$13, 100%, $E$13)</f>
        <v>4.9154</v>
      </c>
      <c r="G238" s="64">
        <f>4.9156 * CHOOSE(CONTROL!$C$22, $C$13, 100%, $E$13)</f>
        <v>4.9156000000000004</v>
      </c>
      <c r="H238" s="64">
        <f>8.9465* CHOOSE(CONTROL!$C$22, $C$13, 100%, $E$13)</f>
        <v>8.9465000000000003</v>
      </c>
      <c r="I238" s="64">
        <f>8.9467 * CHOOSE(CONTROL!$C$22, $C$13, 100%, $E$13)</f>
        <v>8.9466999999999999</v>
      </c>
      <c r="J238" s="64">
        <f>4.9154 * CHOOSE(CONTROL!$C$22, $C$13, 100%, $E$13)</f>
        <v>4.9154</v>
      </c>
      <c r="K238" s="64">
        <f>4.9156 * CHOOSE(CONTROL!$C$22, $C$13, 100%, $E$13)</f>
        <v>4.9156000000000004</v>
      </c>
    </row>
    <row r="239" spans="1:11" ht="15">
      <c r="A239" s="13">
        <v>48914</v>
      </c>
      <c r="B239" s="63">
        <f>4.2748 * CHOOSE(CONTROL!$C$22, $C$13, 100%, $E$13)</f>
        <v>4.2747999999999999</v>
      </c>
      <c r="C239" s="63">
        <f>4.2748 * CHOOSE(CONTROL!$C$22, $C$13, 100%, $E$13)</f>
        <v>4.2747999999999999</v>
      </c>
      <c r="D239" s="63">
        <f>4.287 * CHOOSE(CONTROL!$C$22, $C$13, 100%, $E$13)</f>
        <v>4.2869999999999999</v>
      </c>
      <c r="E239" s="64">
        <f>4.8874 * CHOOSE(CONTROL!$C$22, $C$13, 100%, $E$13)</f>
        <v>4.8874000000000004</v>
      </c>
      <c r="F239" s="64">
        <f>4.8874 * CHOOSE(CONTROL!$C$22, $C$13, 100%, $E$13)</f>
        <v>4.8874000000000004</v>
      </c>
      <c r="G239" s="64">
        <f>4.8876 * CHOOSE(CONTROL!$C$22, $C$13, 100%, $E$13)</f>
        <v>4.8875999999999999</v>
      </c>
      <c r="H239" s="64">
        <f>8.9652* CHOOSE(CONTROL!$C$22, $C$13, 100%, $E$13)</f>
        <v>8.9651999999999994</v>
      </c>
      <c r="I239" s="64">
        <f>8.9654 * CHOOSE(CONTROL!$C$22, $C$13, 100%, $E$13)</f>
        <v>8.9654000000000007</v>
      </c>
      <c r="J239" s="64">
        <f>4.8874 * CHOOSE(CONTROL!$C$22, $C$13, 100%, $E$13)</f>
        <v>4.8874000000000004</v>
      </c>
      <c r="K239" s="64">
        <f>4.8876 * CHOOSE(CONTROL!$C$22, $C$13, 100%, $E$13)</f>
        <v>4.8875999999999999</v>
      </c>
    </row>
    <row r="240" spans="1:11" ht="15">
      <c r="A240" s="13">
        <v>48945</v>
      </c>
      <c r="B240" s="63">
        <f>4.32 * CHOOSE(CONTROL!$C$22, $C$13, 100%, $E$13)</f>
        <v>4.32</v>
      </c>
      <c r="C240" s="63">
        <f>4.32 * CHOOSE(CONTROL!$C$22, $C$13, 100%, $E$13)</f>
        <v>4.32</v>
      </c>
      <c r="D240" s="63">
        <f>4.3322 * CHOOSE(CONTROL!$C$22, $C$13, 100%, $E$13)</f>
        <v>4.3322000000000003</v>
      </c>
      <c r="E240" s="64">
        <f>4.957 * CHOOSE(CONTROL!$C$22, $C$13, 100%, $E$13)</f>
        <v>4.9569999999999999</v>
      </c>
      <c r="F240" s="64">
        <f>4.957 * CHOOSE(CONTROL!$C$22, $C$13, 100%, $E$13)</f>
        <v>4.9569999999999999</v>
      </c>
      <c r="G240" s="64">
        <f>4.9572 * CHOOSE(CONTROL!$C$22, $C$13, 100%, $E$13)</f>
        <v>4.9572000000000003</v>
      </c>
      <c r="H240" s="64">
        <f>8.9839* CHOOSE(CONTROL!$C$22, $C$13, 100%, $E$13)</f>
        <v>8.9839000000000002</v>
      </c>
      <c r="I240" s="64">
        <f>8.984 * CHOOSE(CONTROL!$C$22, $C$13, 100%, $E$13)</f>
        <v>8.984</v>
      </c>
      <c r="J240" s="64">
        <f>4.957 * CHOOSE(CONTROL!$C$22, $C$13, 100%, $E$13)</f>
        <v>4.9569999999999999</v>
      </c>
      <c r="K240" s="64">
        <f>4.9572 * CHOOSE(CONTROL!$C$22, $C$13, 100%, $E$13)</f>
        <v>4.9572000000000003</v>
      </c>
    </row>
    <row r="241" spans="1:11" ht="15">
      <c r="A241" s="13">
        <v>48976</v>
      </c>
      <c r="B241" s="63">
        <f>4.3169 * CHOOSE(CONTROL!$C$22, $C$13, 100%, $E$13)</f>
        <v>4.3169000000000004</v>
      </c>
      <c r="C241" s="63">
        <f>4.3169 * CHOOSE(CONTROL!$C$22, $C$13, 100%, $E$13)</f>
        <v>4.3169000000000004</v>
      </c>
      <c r="D241" s="63">
        <f>4.3291 * CHOOSE(CONTROL!$C$22, $C$13, 100%, $E$13)</f>
        <v>4.3291000000000004</v>
      </c>
      <c r="E241" s="64">
        <f>4.9005 * CHOOSE(CONTROL!$C$22, $C$13, 100%, $E$13)</f>
        <v>4.9005000000000001</v>
      </c>
      <c r="F241" s="64">
        <f>4.9005 * CHOOSE(CONTROL!$C$22, $C$13, 100%, $E$13)</f>
        <v>4.9005000000000001</v>
      </c>
      <c r="G241" s="64">
        <f>4.9007 * CHOOSE(CONTROL!$C$22, $C$13, 100%, $E$13)</f>
        <v>4.9006999999999996</v>
      </c>
      <c r="H241" s="64">
        <f>9.0026* CHOOSE(CONTROL!$C$22, $C$13, 100%, $E$13)</f>
        <v>9.0025999999999993</v>
      </c>
      <c r="I241" s="64">
        <f>9.0027 * CHOOSE(CONTROL!$C$22, $C$13, 100%, $E$13)</f>
        <v>9.0027000000000008</v>
      </c>
      <c r="J241" s="64">
        <f>4.9005 * CHOOSE(CONTROL!$C$22, $C$13, 100%, $E$13)</f>
        <v>4.9005000000000001</v>
      </c>
      <c r="K241" s="64">
        <f>4.9007 * CHOOSE(CONTROL!$C$22, $C$13, 100%, $E$13)</f>
        <v>4.9006999999999996</v>
      </c>
    </row>
    <row r="242" spans="1:11" ht="15">
      <c r="A242" s="13">
        <v>49004</v>
      </c>
      <c r="B242" s="63">
        <f>4.3139 * CHOOSE(CONTROL!$C$22, $C$13, 100%, $E$13)</f>
        <v>4.3139000000000003</v>
      </c>
      <c r="C242" s="63">
        <f>4.3139 * CHOOSE(CONTROL!$C$22, $C$13, 100%, $E$13)</f>
        <v>4.3139000000000003</v>
      </c>
      <c r="D242" s="63">
        <f>4.3261 * CHOOSE(CONTROL!$C$22, $C$13, 100%, $E$13)</f>
        <v>4.3261000000000003</v>
      </c>
      <c r="E242" s="64">
        <f>4.9413 * CHOOSE(CONTROL!$C$22, $C$13, 100%, $E$13)</f>
        <v>4.9413</v>
      </c>
      <c r="F242" s="64">
        <f>4.9413 * CHOOSE(CONTROL!$C$22, $C$13, 100%, $E$13)</f>
        <v>4.9413</v>
      </c>
      <c r="G242" s="64">
        <f>4.9414 * CHOOSE(CONTROL!$C$22, $C$13, 100%, $E$13)</f>
        <v>4.9413999999999998</v>
      </c>
      <c r="H242" s="64">
        <f>9.0213* CHOOSE(CONTROL!$C$22, $C$13, 100%, $E$13)</f>
        <v>9.0213000000000001</v>
      </c>
      <c r="I242" s="64">
        <f>9.0215 * CHOOSE(CONTROL!$C$22, $C$13, 100%, $E$13)</f>
        <v>9.0214999999999996</v>
      </c>
      <c r="J242" s="64">
        <f>4.9413 * CHOOSE(CONTROL!$C$22, $C$13, 100%, $E$13)</f>
        <v>4.9413</v>
      </c>
      <c r="K242" s="64">
        <f>4.9414 * CHOOSE(CONTROL!$C$22, $C$13, 100%, $E$13)</f>
        <v>4.9413999999999998</v>
      </c>
    </row>
    <row r="243" spans="1:11" ht="15">
      <c r="A243" s="13">
        <v>49035</v>
      </c>
      <c r="B243" s="63">
        <f>4.3119 * CHOOSE(CONTROL!$C$22, $C$13, 100%, $E$13)</f>
        <v>4.3118999999999996</v>
      </c>
      <c r="C243" s="63">
        <f>4.3119 * CHOOSE(CONTROL!$C$22, $C$13, 100%, $E$13)</f>
        <v>4.3118999999999996</v>
      </c>
      <c r="D243" s="63">
        <f>4.3241 * CHOOSE(CONTROL!$C$22, $C$13, 100%, $E$13)</f>
        <v>4.3240999999999996</v>
      </c>
      <c r="E243" s="64">
        <f>4.9831 * CHOOSE(CONTROL!$C$22, $C$13, 100%, $E$13)</f>
        <v>4.9831000000000003</v>
      </c>
      <c r="F243" s="64">
        <f>4.9831 * CHOOSE(CONTROL!$C$22, $C$13, 100%, $E$13)</f>
        <v>4.9831000000000003</v>
      </c>
      <c r="G243" s="64">
        <f>4.9833 * CHOOSE(CONTROL!$C$22, $C$13, 100%, $E$13)</f>
        <v>4.9832999999999998</v>
      </c>
      <c r="H243" s="64">
        <f>9.0401* CHOOSE(CONTROL!$C$22, $C$13, 100%, $E$13)</f>
        <v>9.0401000000000007</v>
      </c>
      <c r="I243" s="64">
        <f>9.0403 * CHOOSE(CONTROL!$C$22, $C$13, 100%, $E$13)</f>
        <v>9.0403000000000002</v>
      </c>
      <c r="J243" s="64">
        <f>4.9831 * CHOOSE(CONTROL!$C$22, $C$13, 100%, $E$13)</f>
        <v>4.9831000000000003</v>
      </c>
      <c r="K243" s="64">
        <f>4.9833 * CHOOSE(CONTROL!$C$22, $C$13, 100%, $E$13)</f>
        <v>4.9832999999999998</v>
      </c>
    </row>
    <row r="244" spans="1:11" ht="15">
      <c r="A244" s="13">
        <v>49065</v>
      </c>
      <c r="B244" s="63">
        <f>4.3119 * CHOOSE(CONTROL!$C$22, $C$13, 100%, $E$13)</f>
        <v>4.3118999999999996</v>
      </c>
      <c r="C244" s="63">
        <f>4.3119 * CHOOSE(CONTROL!$C$22, $C$13, 100%, $E$13)</f>
        <v>4.3118999999999996</v>
      </c>
      <c r="D244" s="63">
        <f>4.3363 * CHOOSE(CONTROL!$C$22, $C$13, 100%, $E$13)</f>
        <v>4.3362999999999996</v>
      </c>
      <c r="E244" s="64">
        <f>5.0004 * CHOOSE(CONTROL!$C$22, $C$13, 100%, $E$13)</f>
        <v>5.0004</v>
      </c>
      <c r="F244" s="64">
        <f>5.0004 * CHOOSE(CONTROL!$C$22, $C$13, 100%, $E$13)</f>
        <v>5.0004</v>
      </c>
      <c r="G244" s="64">
        <f>5.0019 * CHOOSE(CONTROL!$C$22, $C$13, 100%, $E$13)</f>
        <v>5.0019</v>
      </c>
      <c r="H244" s="64">
        <f>9.059* CHOOSE(CONTROL!$C$22, $C$13, 100%, $E$13)</f>
        <v>9.0589999999999993</v>
      </c>
      <c r="I244" s="64">
        <f>9.0605 * CHOOSE(CONTROL!$C$22, $C$13, 100%, $E$13)</f>
        <v>9.0604999999999993</v>
      </c>
      <c r="J244" s="64">
        <f>5.0004 * CHOOSE(CONTROL!$C$22, $C$13, 100%, $E$13)</f>
        <v>5.0004</v>
      </c>
      <c r="K244" s="64">
        <f>5.0019 * CHOOSE(CONTROL!$C$22, $C$13, 100%, $E$13)</f>
        <v>5.0019</v>
      </c>
    </row>
    <row r="245" spans="1:11" ht="15">
      <c r="A245" s="13">
        <v>49096</v>
      </c>
      <c r="B245" s="63">
        <f>4.3179 * CHOOSE(CONTROL!$C$22, $C$13, 100%, $E$13)</f>
        <v>4.3178999999999998</v>
      </c>
      <c r="C245" s="63">
        <f>4.3179 * CHOOSE(CONTROL!$C$22, $C$13, 100%, $E$13)</f>
        <v>4.3178999999999998</v>
      </c>
      <c r="D245" s="63">
        <f>4.3424 * CHOOSE(CONTROL!$C$22, $C$13, 100%, $E$13)</f>
        <v>4.3423999999999996</v>
      </c>
      <c r="E245" s="64">
        <f>4.9873 * CHOOSE(CONTROL!$C$22, $C$13, 100%, $E$13)</f>
        <v>4.9873000000000003</v>
      </c>
      <c r="F245" s="64">
        <f>4.9873 * CHOOSE(CONTROL!$C$22, $C$13, 100%, $E$13)</f>
        <v>4.9873000000000003</v>
      </c>
      <c r="G245" s="64">
        <f>4.9889 * CHOOSE(CONTROL!$C$22, $C$13, 100%, $E$13)</f>
        <v>4.9889000000000001</v>
      </c>
      <c r="H245" s="64">
        <f>9.0778* CHOOSE(CONTROL!$C$22, $C$13, 100%, $E$13)</f>
        <v>9.0777999999999999</v>
      </c>
      <c r="I245" s="64">
        <f>9.0794 * CHOOSE(CONTROL!$C$22, $C$13, 100%, $E$13)</f>
        <v>9.0793999999999997</v>
      </c>
      <c r="J245" s="64">
        <f>4.9873 * CHOOSE(CONTROL!$C$22, $C$13, 100%, $E$13)</f>
        <v>4.9873000000000003</v>
      </c>
      <c r="K245" s="64">
        <f>4.9889 * CHOOSE(CONTROL!$C$22, $C$13, 100%, $E$13)</f>
        <v>4.9889000000000001</v>
      </c>
    </row>
    <row r="246" spans="1:11" ht="15">
      <c r="A246" s="13">
        <v>49126</v>
      </c>
      <c r="B246" s="63">
        <f>4.4051 * CHOOSE(CONTROL!$C$22, $C$13, 100%, $E$13)</f>
        <v>4.4051</v>
      </c>
      <c r="C246" s="63">
        <f>4.4051 * CHOOSE(CONTROL!$C$22, $C$13, 100%, $E$13)</f>
        <v>4.4051</v>
      </c>
      <c r="D246" s="63">
        <f>4.4296 * CHOOSE(CONTROL!$C$22, $C$13, 100%, $E$13)</f>
        <v>4.4295999999999998</v>
      </c>
      <c r="E246" s="64">
        <f>5.1009 * CHOOSE(CONTROL!$C$22, $C$13, 100%, $E$13)</f>
        <v>5.1009000000000002</v>
      </c>
      <c r="F246" s="64">
        <f>5.1009 * CHOOSE(CONTROL!$C$22, $C$13, 100%, $E$13)</f>
        <v>5.1009000000000002</v>
      </c>
      <c r="G246" s="64">
        <f>5.1025 * CHOOSE(CONTROL!$C$22, $C$13, 100%, $E$13)</f>
        <v>5.1025</v>
      </c>
      <c r="H246" s="64">
        <f>9.0967* CHOOSE(CONTROL!$C$22, $C$13, 100%, $E$13)</f>
        <v>9.0967000000000002</v>
      </c>
      <c r="I246" s="64">
        <f>9.0983 * CHOOSE(CONTROL!$C$22, $C$13, 100%, $E$13)</f>
        <v>9.0983000000000001</v>
      </c>
      <c r="J246" s="64">
        <f>5.1009 * CHOOSE(CONTROL!$C$22, $C$13, 100%, $E$13)</f>
        <v>5.1009000000000002</v>
      </c>
      <c r="K246" s="64">
        <f>5.1025 * CHOOSE(CONTROL!$C$22, $C$13, 100%, $E$13)</f>
        <v>5.1025</v>
      </c>
    </row>
    <row r="247" spans="1:11" ht="15">
      <c r="A247" s="13">
        <v>49157</v>
      </c>
      <c r="B247" s="63">
        <f>4.4118 * CHOOSE(CONTROL!$C$22, $C$13, 100%, $E$13)</f>
        <v>4.4118000000000004</v>
      </c>
      <c r="C247" s="63">
        <f>4.4118 * CHOOSE(CONTROL!$C$22, $C$13, 100%, $E$13)</f>
        <v>4.4118000000000004</v>
      </c>
      <c r="D247" s="63">
        <f>4.4362 * CHOOSE(CONTROL!$C$22, $C$13, 100%, $E$13)</f>
        <v>4.4362000000000004</v>
      </c>
      <c r="E247" s="64">
        <f>5.0538 * CHOOSE(CONTROL!$C$22, $C$13, 100%, $E$13)</f>
        <v>5.0537999999999998</v>
      </c>
      <c r="F247" s="64">
        <f>5.0538 * CHOOSE(CONTROL!$C$22, $C$13, 100%, $E$13)</f>
        <v>5.0537999999999998</v>
      </c>
      <c r="G247" s="64">
        <f>5.0553 * CHOOSE(CONTROL!$C$22, $C$13, 100%, $E$13)</f>
        <v>5.0552999999999999</v>
      </c>
      <c r="H247" s="64">
        <f>9.1157* CHOOSE(CONTROL!$C$22, $C$13, 100%, $E$13)</f>
        <v>9.1157000000000004</v>
      </c>
      <c r="I247" s="64">
        <f>9.1173 * CHOOSE(CONTROL!$C$22, $C$13, 100%, $E$13)</f>
        <v>9.1173000000000002</v>
      </c>
      <c r="J247" s="64">
        <f>5.0538 * CHOOSE(CONTROL!$C$22, $C$13, 100%, $E$13)</f>
        <v>5.0537999999999998</v>
      </c>
      <c r="K247" s="64">
        <f>5.0553 * CHOOSE(CONTROL!$C$22, $C$13, 100%, $E$13)</f>
        <v>5.0552999999999999</v>
      </c>
    </row>
    <row r="248" spans="1:11" ht="15">
      <c r="A248" s="13">
        <v>49188</v>
      </c>
      <c r="B248" s="63">
        <f>4.4088 * CHOOSE(CONTROL!$C$22, $C$13, 100%, $E$13)</f>
        <v>4.4088000000000003</v>
      </c>
      <c r="C248" s="63">
        <f>4.4088 * CHOOSE(CONTROL!$C$22, $C$13, 100%, $E$13)</f>
        <v>4.4088000000000003</v>
      </c>
      <c r="D248" s="63">
        <f>4.4332 * CHOOSE(CONTROL!$C$22, $C$13, 100%, $E$13)</f>
        <v>4.4332000000000003</v>
      </c>
      <c r="E248" s="64">
        <f>5.0459 * CHOOSE(CONTROL!$C$22, $C$13, 100%, $E$13)</f>
        <v>5.0458999999999996</v>
      </c>
      <c r="F248" s="64">
        <f>5.0459 * CHOOSE(CONTROL!$C$22, $C$13, 100%, $E$13)</f>
        <v>5.0458999999999996</v>
      </c>
      <c r="G248" s="64">
        <f>5.0475 * CHOOSE(CONTROL!$C$22, $C$13, 100%, $E$13)</f>
        <v>5.0475000000000003</v>
      </c>
      <c r="H248" s="64">
        <f>9.1347* CHOOSE(CONTROL!$C$22, $C$13, 100%, $E$13)</f>
        <v>9.1347000000000005</v>
      </c>
      <c r="I248" s="64">
        <f>9.1362 * CHOOSE(CONTROL!$C$22, $C$13, 100%, $E$13)</f>
        <v>9.1362000000000005</v>
      </c>
      <c r="J248" s="64">
        <f>5.0459 * CHOOSE(CONTROL!$C$22, $C$13, 100%, $E$13)</f>
        <v>5.0458999999999996</v>
      </c>
      <c r="K248" s="64">
        <f>5.0475 * CHOOSE(CONTROL!$C$22, $C$13, 100%, $E$13)</f>
        <v>5.0475000000000003</v>
      </c>
    </row>
    <row r="249" spans="1:11" ht="15">
      <c r="A249" s="13">
        <v>49218</v>
      </c>
      <c r="B249" s="63">
        <f>4.4054 * CHOOSE(CONTROL!$C$22, $C$13, 100%, $E$13)</f>
        <v>4.4054000000000002</v>
      </c>
      <c r="C249" s="63">
        <f>4.4054 * CHOOSE(CONTROL!$C$22, $C$13, 100%, $E$13)</f>
        <v>4.4054000000000002</v>
      </c>
      <c r="D249" s="63">
        <f>4.4176 * CHOOSE(CONTROL!$C$22, $C$13, 100%, $E$13)</f>
        <v>4.4176000000000002</v>
      </c>
      <c r="E249" s="64">
        <f>5.0555 * CHOOSE(CONTROL!$C$22, $C$13, 100%, $E$13)</f>
        <v>5.0555000000000003</v>
      </c>
      <c r="F249" s="64">
        <f>5.0555 * CHOOSE(CONTROL!$C$22, $C$13, 100%, $E$13)</f>
        <v>5.0555000000000003</v>
      </c>
      <c r="G249" s="64">
        <f>5.0557 * CHOOSE(CONTROL!$C$22, $C$13, 100%, $E$13)</f>
        <v>5.0556999999999999</v>
      </c>
      <c r="H249" s="64">
        <f>9.1537* CHOOSE(CONTROL!$C$22, $C$13, 100%, $E$13)</f>
        <v>9.1537000000000006</v>
      </c>
      <c r="I249" s="64">
        <f>9.1539 * CHOOSE(CONTROL!$C$22, $C$13, 100%, $E$13)</f>
        <v>9.1539000000000001</v>
      </c>
      <c r="J249" s="64">
        <f>5.0555 * CHOOSE(CONTROL!$C$22, $C$13, 100%, $E$13)</f>
        <v>5.0555000000000003</v>
      </c>
      <c r="K249" s="64">
        <f>5.0557 * CHOOSE(CONTROL!$C$22, $C$13, 100%, $E$13)</f>
        <v>5.0556999999999999</v>
      </c>
    </row>
    <row r="250" spans="1:11" ht="15">
      <c r="A250" s="13">
        <v>49249</v>
      </c>
      <c r="B250" s="63">
        <f>4.4084 * CHOOSE(CONTROL!$C$22, $C$13, 100%, $E$13)</f>
        <v>4.4084000000000003</v>
      </c>
      <c r="C250" s="63">
        <f>4.4084 * CHOOSE(CONTROL!$C$22, $C$13, 100%, $E$13)</f>
        <v>4.4084000000000003</v>
      </c>
      <c r="D250" s="63">
        <f>4.4206 * CHOOSE(CONTROL!$C$22, $C$13, 100%, $E$13)</f>
        <v>4.4206000000000003</v>
      </c>
      <c r="E250" s="64">
        <f>5.0691 * CHOOSE(CONTROL!$C$22, $C$13, 100%, $E$13)</f>
        <v>5.0690999999999997</v>
      </c>
      <c r="F250" s="64">
        <f>5.0691 * CHOOSE(CONTROL!$C$22, $C$13, 100%, $E$13)</f>
        <v>5.0690999999999997</v>
      </c>
      <c r="G250" s="64">
        <f>5.0693 * CHOOSE(CONTROL!$C$22, $C$13, 100%, $E$13)</f>
        <v>5.0693000000000001</v>
      </c>
      <c r="H250" s="64">
        <f>9.1728* CHOOSE(CONTROL!$C$22, $C$13, 100%, $E$13)</f>
        <v>9.1728000000000005</v>
      </c>
      <c r="I250" s="64">
        <f>9.173 * CHOOSE(CONTROL!$C$22, $C$13, 100%, $E$13)</f>
        <v>9.173</v>
      </c>
      <c r="J250" s="64">
        <f>5.0691 * CHOOSE(CONTROL!$C$22, $C$13, 100%, $E$13)</f>
        <v>5.0690999999999997</v>
      </c>
      <c r="K250" s="64">
        <f>5.0693 * CHOOSE(CONTROL!$C$22, $C$13, 100%, $E$13)</f>
        <v>5.0693000000000001</v>
      </c>
    </row>
    <row r="251" spans="1:11" ht="15">
      <c r="A251" s="13">
        <v>49279</v>
      </c>
      <c r="B251" s="63">
        <f>4.4084 * CHOOSE(CONTROL!$C$22, $C$13, 100%, $E$13)</f>
        <v>4.4084000000000003</v>
      </c>
      <c r="C251" s="63">
        <f>4.4084 * CHOOSE(CONTROL!$C$22, $C$13, 100%, $E$13)</f>
        <v>4.4084000000000003</v>
      </c>
      <c r="D251" s="63">
        <f>4.4206 * CHOOSE(CONTROL!$C$22, $C$13, 100%, $E$13)</f>
        <v>4.4206000000000003</v>
      </c>
      <c r="E251" s="64">
        <f>5.0404 * CHOOSE(CONTROL!$C$22, $C$13, 100%, $E$13)</f>
        <v>5.0404</v>
      </c>
      <c r="F251" s="64">
        <f>5.0404 * CHOOSE(CONTROL!$C$22, $C$13, 100%, $E$13)</f>
        <v>5.0404</v>
      </c>
      <c r="G251" s="64">
        <f>5.0405 * CHOOSE(CONTROL!$C$22, $C$13, 100%, $E$13)</f>
        <v>5.0404999999999998</v>
      </c>
      <c r="H251" s="64">
        <f>9.1919* CHOOSE(CONTROL!$C$22, $C$13, 100%, $E$13)</f>
        <v>9.1919000000000004</v>
      </c>
      <c r="I251" s="64">
        <f>9.1921 * CHOOSE(CONTROL!$C$22, $C$13, 100%, $E$13)</f>
        <v>9.1920999999999999</v>
      </c>
      <c r="J251" s="64">
        <f>5.0404 * CHOOSE(CONTROL!$C$22, $C$13, 100%, $E$13)</f>
        <v>5.0404</v>
      </c>
      <c r="K251" s="64">
        <f>5.0405 * CHOOSE(CONTROL!$C$22, $C$13, 100%, $E$13)</f>
        <v>5.0404999999999998</v>
      </c>
    </row>
    <row r="252" spans="1:11" ht="15">
      <c r="A252" s="13">
        <v>49310</v>
      </c>
      <c r="B252" s="63">
        <f>4.4493 * CHOOSE(CONTROL!$C$22, $C$13, 100%, $E$13)</f>
        <v>4.4493</v>
      </c>
      <c r="C252" s="63">
        <f>4.4493 * CHOOSE(CONTROL!$C$22, $C$13, 100%, $E$13)</f>
        <v>4.4493</v>
      </c>
      <c r="D252" s="63">
        <f>4.4615 * CHOOSE(CONTROL!$C$22, $C$13, 100%, $E$13)</f>
        <v>4.4615</v>
      </c>
      <c r="E252" s="64">
        <f>5.1042 * CHOOSE(CONTROL!$C$22, $C$13, 100%, $E$13)</f>
        <v>5.1041999999999996</v>
      </c>
      <c r="F252" s="64">
        <f>5.1042 * CHOOSE(CONTROL!$C$22, $C$13, 100%, $E$13)</f>
        <v>5.1041999999999996</v>
      </c>
      <c r="G252" s="64">
        <f>5.1043 * CHOOSE(CONTROL!$C$22, $C$13, 100%, $E$13)</f>
        <v>5.1043000000000003</v>
      </c>
      <c r="H252" s="64">
        <f>9.211* CHOOSE(CONTROL!$C$22, $C$13, 100%, $E$13)</f>
        <v>9.2110000000000003</v>
      </c>
      <c r="I252" s="64">
        <f>9.2112 * CHOOSE(CONTROL!$C$22, $C$13, 100%, $E$13)</f>
        <v>9.2111999999999998</v>
      </c>
      <c r="J252" s="64">
        <f>5.1042 * CHOOSE(CONTROL!$C$22, $C$13, 100%, $E$13)</f>
        <v>5.1041999999999996</v>
      </c>
      <c r="K252" s="64">
        <f>5.1043 * CHOOSE(CONTROL!$C$22, $C$13, 100%, $E$13)</f>
        <v>5.1043000000000003</v>
      </c>
    </row>
    <row r="253" spans="1:11" ht="15">
      <c r="A253" s="13">
        <v>49341</v>
      </c>
      <c r="B253" s="63">
        <f>4.4463 * CHOOSE(CONTROL!$C$22, $C$13, 100%, $E$13)</f>
        <v>4.4462999999999999</v>
      </c>
      <c r="C253" s="63">
        <f>4.4463 * CHOOSE(CONTROL!$C$22, $C$13, 100%, $E$13)</f>
        <v>4.4462999999999999</v>
      </c>
      <c r="D253" s="63">
        <f>4.4585 * CHOOSE(CONTROL!$C$22, $C$13, 100%, $E$13)</f>
        <v>4.4584999999999999</v>
      </c>
      <c r="E253" s="64">
        <f>5.0462 * CHOOSE(CONTROL!$C$22, $C$13, 100%, $E$13)</f>
        <v>5.0461999999999998</v>
      </c>
      <c r="F253" s="64">
        <f>5.0462 * CHOOSE(CONTROL!$C$22, $C$13, 100%, $E$13)</f>
        <v>5.0461999999999998</v>
      </c>
      <c r="G253" s="64">
        <f>5.0464 * CHOOSE(CONTROL!$C$22, $C$13, 100%, $E$13)</f>
        <v>5.0464000000000002</v>
      </c>
      <c r="H253" s="64">
        <f>9.2302* CHOOSE(CONTROL!$C$22, $C$13, 100%, $E$13)</f>
        <v>9.2302</v>
      </c>
      <c r="I253" s="64">
        <f>9.2304 * CHOOSE(CONTROL!$C$22, $C$13, 100%, $E$13)</f>
        <v>9.2303999999999995</v>
      </c>
      <c r="J253" s="64">
        <f>5.0462 * CHOOSE(CONTROL!$C$22, $C$13, 100%, $E$13)</f>
        <v>5.0461999999999998</v>
      </c>
      <c r="K253" s="64">
        <f>5.0464 * CHOOSE(CONTROL!$C$22, $C$13, 100%, $E$13)</f>
        <v>5.0464000000000002</v>
      </c>
    </row>
    <row r="254" spans="1:11" ht="15">
      <c r="A254" s="13">
        <v>49369</v>
      </c>
      <c r="B254" s="63">
        <f>4.4432 * CHOOSE(CONTROL!$C$22, $C$13, 100%, $E$13)</f>
        <v>4.4432</v>
      </c>
      <c r="C254" s="63">
        <f>4.4432 * CHOOSE(CONTROL!$C$22, $C$13, 100%, $E$13)</f>
        <v>4.4432</v>
      </c>
      <c r="D254" s="63">
        <f>4.4554 * CHOOSE(CONTROL!$C$22, $C$13, 100%, $E$13)</f>
        <v>4.4554</v>
      </c>
      <c r="E254" s="64">
        <f>5.0881 * CHOOSE(CONTROL!$C$22, $C$13, 100%, $E$13)</f>
        <v>5.0880999999999998</v>
      </c>
      <c r="F254" s="64">
        <f>5.0881 * CHOOSE(CONTROL!$C$22, $C$13, 100%, $E$13)</f>
        <v>5.0880999999999998</v>
      </c>
      <c r="G254" s="64">
        <f>5.0883 * CHOOSE(CONTROL!$C$22, $C$13, 100%, $E$13)</f>
        <v>5.0883000000000003</v>
      </c>
      <c r="H254" s="64">
        <f>9.2495* CHOOSE(CONTROL!$C$22, $C$13, 100%, $E$13)</f>
        <v>9.2494999999999994</v>
      </c>
      <c r="I254" s="64">
        <f>9.2496 * CHOOSE(CONTROL!$C$22, $C$13, 100%, $E$13)</f>
        <v>9.2495999999999992</v>
      </c>
      <c r="J254" s="64">
        <f>5.0881 * CHOOSE(CONTROL!$C$22, $C$13, 100%, $E$13)</f>
        <v>5.0880999999999998</v>
      </c>
      <c r="K254" s="64">
        <f>5.0883 * CHOOSE(CONTROL!$C$22, $C$13, 100%, $E$13)</f>
        <v>5.0883000000000003</v>
      </c>
    </row>
    <row r="255" spans="1:11" ht="15">
      <c r="A255" s="13">
        <v>49400</v>
      </c>
      <c r="B255" s="63">
        <f>4.4413 * CHOOSE(CONTROL!$C$22, $C$13, 100%, $E$13)</f>
        <v>4.4413</v>
      </c>
      <c r="C255" s="63">
        <f>4.4413 * CHOOSE(CONTROL!$C$22, $C$13, 100%, $E$13)</f>
        <v>4.4413</v>
      </c>
      <c r="D255" s="63">
        <f>4.4535 * CHOOSE(CONTROL!$C$22, $C$13, 100%, $E$13)</f>
        <v>4.4535</v>
      </c>
      <c r="E255" s="64">
        <f>5.1311 * CHOOSE(CONTROL!$C$22, $C$13, 100%, $E$13)</f>
        <v>5.1311</v>
      </c>
      <c r="F255" s="64">
        <f>5.1311 * CHOOSE(CONTROL!$C$22, $C$13, 100%, $E$13)</f>
        <v>5.1311</v>
      </c>
      <c r="G255" s="64">
        <f>5.1313 * CHOOSE(CONTROL!$C$22, $C$13, 100%, $E$13)</f>
        <v>5.1313000000000004</v>
      </c>
      <c r="H255" s="64">
        <f>9.2687* CHOOSE(CONTROL!$C$22, $C$13, 100%, $E$13)</f>
        <v>9.2687000000000008</v>
      </c>
      <c r="I255" s="64">
        <f>9.2689 * CHOOSE(CONTROL!$C$22, $C$13, 100%, $E$13)</f>
        <v>9.2689000000000004</v>
      </c>
      <c r="J255" s="64">
        <f>5.1311 * CHOOSE(CONTROL!$C$22, $C$13, 100%, $E$13)</f>
        <v>5.1311</v>
      </c>
      <c r="K255" s="64">
        <f>5.1313 * CHOOSE(CONTROL!$C$22, $C$13, 100%, $E$13)</f>
        <v>5.1313000000000004</v>
      </c>
    </row>
    <row r="256" spans="1:11" ht="15">
      <c r="A256" s="13">
        <v>49430</v>
      </c>
      <c r="B256" s="63">
        <f>4.4413 * CHOOSE(CONTROL!$C$22, $C$13, 100%, $E$13)</f>
        <v>4.4413</v>
      </c>
      <c r="C256" s="63">
        <f>4.4413 * CHOOSE(CONTROL!$C$22, $C$13, 100%, $E$13)</f>
        <v>4.4413</v>
      </c>
      <c r="D256" s="63">
        <f>4.4657 * CHOOSE(CONTROL!$C$22, $C$13, 100%, $E$13)</f>
        <v>4.4657</v>
      </c>
      <c r="E256" s="64">
        <f>5.1489 * CHOOSE(CONTROL!$C$22, $C$13, 100%, $E$13)</f>
        <v>5.1489000000000003</v>
      </c>
      <c r="F256" s="64">
        <f>5.1489 * CHOOSE(CONTROL!$C$22, $C$13, 100%, $E$13)</f>
        <v>5.1489000000000003</v>
      </c>
      <c r="G256" s="64">
        <f>5.1504 * CHOOSE(CONTROL!$C$22, $C$13, 100%, $E$13)</f>
        <v>5.1504000000000003</v>
      </c>
      <c r="H256" s="64">
        <f>9.288* CHOOSE(CONTROL!$C$22, $C$13, 100%, $E$13)</f>
        <v>9.2880000000000003</v>
      </c>
      <c r="I256" s="64">
        <f>9.2896 * CHOOSE(CONTROL!$C$22, $C$13, 100%, $E$13)</f>
        <v>9.2896000000000001</v>
      </c>
      <c r="J256" s="64">
        <f>5.1489 * CHOOSE(CONTROL!$C$22, $C$13, 100%, $E$13)</f>
        <v>5.1489000000000003</v>
      </c>
      <c r="K256" s="64">
        <f>5.1504 * CHOOSE(CONTROL!$C$22, $C$13, 100%, $E$13)</f>
        <v>5.1504000000000003</v>
      </c>
    </row>
    <row r="257" spans="1:11" ht="15">
      <c r="A257" s="13">
        <v>49461</v>
      </c>
      <c r="B257" s="63">
        <f>4.4474 * CHOOSE(CONTROL!$C$22, $C$13, 100%, $E$13)</f>
        <v>4.4474</v>
      </c>
      <c r="C257" s="63">
        <f>4.4474 * CHOOSE(CONTROL!$C$22, $C$13, 100%, $E$13)</f>
        <v>4.4474</v>
      </c>
      <c r="D257" s="63">
        <f>4.4718 * CHOOSE(CONTROL!$C$22, $C$13, 100%, $E$13)</f>
        <v>4.4718</v>
      </c>
      <c r="E257" s="64">
        <f>5.1354 * CHOOSE(CONTROL!$C$22, $C$13, 100%, $E$13)</f>
        <v>5.1353999999999997</v>
      </c>
      <c r="F257" s="64">
        <f>5.1354 * CHOOSE(CONTROL!$C$22, $C$13, 100%, $E$13)</f>
        <v>5.1353999999999997</v>
      </c>
      <c r="G257" s="64">
        <f>5.137 * CHOOSE(CONTROL!$C$22, $C$13, 100%, $E$13)</f>
        <v>5.1369999999999996</v>
      </c>
      <c r="H257" s="64">
        <f>9.3074* CHOOSE(CONTROL!$C$22, $C$13, 100%, $E$13)</f>
        <v>9.3073999999999995</v>
      </c>
      <c r="I257" s="64">
        <f>9.309 * CHOOSE(CONTROL!$C$22, $C$13, 100%, $E$13)</f>
        <v>9.3089999999999993</v>
      </c>
      <c r="J257" s="64">
        <f>5.1354 * CHOOSE(CONTROL!$C$22, $C$13, 100%, $E$13)</f>
        <v>5.1353999999999997</v>
      </c>
      <c r="K257" s="64">
        <f>5.137 * CHOOSE(CONTROL!$C$22, $C$13, 100%, $E$13)</f>
        <v>5.1369999999999996</v>
      </c>
    </row>
    <row r="258" spans="1:11" ht="15">
      <c r="A258" s="13">
        <v>49491</v>
      </c>
      <c r="B258" s="63">
        <f>4.5237 * CHOOSE(CONTROL!$C$22, $C$13, 100%, $E$13)</f>
        <v>4.5236999999999998</v>
      </c>
      <c r="C258" s="63">
        <f>4.5237 * CHOOSE(CONTROL!$C$22, $C$13, 100%, $E$13)</f>
        <v>4.5236999999999998</v>
      </c>
      <c r="D258" s="63">
        <f>4.5482 * CHOOSE(CONTROL!$C$22, $C$13, 100%, $E$13)</f>
        <v>4.5481999999999996</v>
      </c>
      <c r="E258" s="64">
        <f>5.2334 * CHOOSE(CONTROL!$C$22, $C$13, 100%, $E$13)</f>
        <v>5.2333999999999996</v>
      </c>
      <c r="F258" s="64">
        <f>5.2334 * CHOOSE(CONTROL!$C$22, $C$13, 100%, $E$13)</f>
        <v>5.2333999999999996</v>
      </c>
      <c r="G258" s="64">
        <f>5.235 * CHOOSE(CONTROL!$C$22, $C$13, 100%, $E$13)</f>
        <v>5.2350000000000003</v>
      </c>
      <c r="H258" s="64">
        <f>9.3268* CHOOSE(CONTROL!$C$22, $C$13, 100%, $E$13)</f>
        <v>9.3268000000000004</v>
      </c>
      <c r="I258" s="64">
        <f>9.3283 * CHOOSE(CONTROL!$C$22, $C$13, 100%, $E$13)</f>
        <v>9.3283000000000005</v>
      </c>
      <c r="J258" s="64">
        <f>5.2334 * CHOOSE(CONTROL!$C$22, $C$13, 100%, $E$13)</f>
        <v>5.2333999999999996</v>
      </c>
      <c r="K258" s="64">
        <f>5.235 * CHOOSE(CONTROL!$C$22, $C$13, 100%, $E$13)</f>
        <v>5.2350000000000003</v>
      </c>
    </row>
    <row r="259" spans="1:11" ht="15">
      <c r="A259" s="13">
        <v>49522</v>
      </c>
      <c r="B259" s="63">
        <f>4.5304 * CHOOSE(CONTROL!$C$22, $C$13, 100%, $E$13)</f>
        <v>4.5304000000000002</v>
      </c>
      <c r="C259" s="63">
        <f>4.5304 * CHOOSE(CONTROL!$C$22, $C$13, 100%, $E$13)</f>
        <v>4.5304000000000002</v>
      </c>
      <c r="D259" s="63">
        <f>4.5549 * CHOOSE(CONTROL!$C$22, $C$13, 100%, $E$13)</f>
        <v>4.5548999999999999</v>
      </c>
      <c r="E259" s="64">
        <f>5.1849 * CHOOSE(CONTROL!$C$22, $C$13, 100%, $E$13)</f>
        <v>5.1848999999999998</v>
      </c>
      <c r="F259" s="64">
        <f>5.1849 * CHOOSE(CONTROL!$C$22, $C$13, 100%, $E$13)</f>
        <v>5.1848999999999998</v>
      </c>
      <c r="G259" s="64">
        <f>5.1864 * CHOOSE(CONTROL!$C$22, $C$13, 100%, $E$13)</f>
        <v>5.1863999999999999</v>
      </c>
      <c r="H259" s="64">
        <f>9.3462* CHOOSE(CONTROL!$C$22, $C$13, 100%, $E$13)</f>
        <v>9.3461999999999996</v>
      </c>
      <c r="I259" s="64">
        <f>9.3478 * CHOOSE(CONTROL!$C$22, $C$13, 100%, $E$13)</f>
        <v>9.3477999999999994</v>
      </c>
      <c r="J259" s="64">
        <f>5.1849 * CHOOSE(CONTROL!$C$22, $C$13, 100%, $E$13)</f>
        <v>5.1848999999999998</v>
      </c>
      <c r="K259" s="64">
        <f>5.1864 * CHOOSE(CONTROL!$C$22, $C$13, 100%, $E$13)</f>
        <v>5.1863999999999999</v>
      </c>
    </row>
    <row r="260" spans="1:11" ht="15">
      <c r="A260" s="13">
        <v>49553</v>
      </c>
      <c r="B260" s="63">
        <f>4.5274 * CHOOSE(CONTROL!$C$22, $C$13, 100%, $E$13)</f>
        <v>4.5274000000000001</v>
      </c>
      <c r="C260" s="63">
        <f>4.5274 * CHOOSE(CONTROL!$C$22, $C$13, 100%, $E$13)</f>
        <v>4.5274000000000001</v>
      </c>
      <c r="D260" s="63">
        <f>4.5518 * CHOOSE(CONTROL!$C$22, $C$13, 100%, $E$13)</f>
        <v>4.5518000000000001</v>
      </c>
      <c r="E260" s="64">
        <f>5.1768 * CHOOSE(CONTROL!$C$22, $C$13, 100%, $E$13)</f>
        <v>5.1768000000000001</v>
      </c>
      <c r="F260" s="64">
        <f>5.1768 * CHOOSE(CONTROL!$C$22, $C$13, 100%, $E$13)</f>
        <v>5.1768000000000001</v>
      </c>
      <c r="G260" s="64">
        <f>5.1784 * CHOOSE(CONTROL!$C$22, $C$13, 100%, $E$13)</f>
        <v>5.1783999999999999</v>
      </c>
      <c r="H260" s="64">
        <f>9.3657* CHOOSE(CONTROL!$C$22, $C$13, 100%, $E$13)</f>
        <v>9.3657000000000004</v>
      </c>
      <c r="I260" s="64">
        <f>9.3672 * CHOOSE(CONTROL!$C$22, $C$13, 100%, $E$13)</f>
        <v>9.3672000000000004</v>
      </c>
      <c r="J260" s="64">
        <f>5.1768 * CHOOSE(CONTROL!$C$22, $C$13, 100%, $E$13)</f>
        <v>5.1768000000000001</v>
      </c>
      <c r="K260" s="64">
        <f>5.1784 * CHOOSE(CONTROL!$C$22, $C$13, 100%, $E$13)</f>
        <v>5.1783999999999999</v>
      </c>
    </row>
    <row r="261" spans="1:11" ht="15">
      <c r="A261" s="13">
        <v>49583</v>
      </c>
      <c r="B261" s="63">
        <f>4.5244 * CHOOSE(CONTROL!$C$22, $C$13, 100%, $E$13)</f>
        <v>4.5244</v>
      </c>
      <c r="C261" s="63">
        <f>4.5244 * CHOOSE(CONTROL!$C$22, $C$13, 100%, $E$13)</f>
        <v>4.5244</v>
      </c>
      <c r="D261" s="63">
        <f>4.5366 * CHOOSE(CONTROL!$C$22, $C$13, 100%, $E$13)</f>
        <v>4.5366</v>
      </c>
      <c r="E261" s="64">
        <f>5.1871 * CHOOSE(CONTROL!$C$22, $C$13, 100%, $E$13)</f>
        <v>5.1871</v>
      </c>
      <c r="F261" s="64">
        <f>5.1871 * CHOOSE(CONTROL!$C$22, $C$13, 100%, $E$13)</f>
        <v>5.1871</v>
      </c>
      <c r="G261" s="64">
        <f>5.1872 * CHOOSE(CONTROL!$C$22, $C$13, 100%, $E$13)</f>
        <v>5.1871999999999998</v>
      </c>
      <c r="H261" s="64">
        <f>9.3852* CHOOSE(CONTROL!$C$22, $C$13, 100%, $E$13)</f>
        <v>9.3851999999999993</v>
      </c>
      <c r="I261" s="64">
        <f>9.3854 * CHOOSE(CONTROL!$C$22, $C$13, 100%, $E$13)</f>
        <v>9.3854000000000006</v>
      </c>
      <c r="J261" s="64">
        <f>5.1871 * CHOOSE(CONTROL!$C$22, $C$13, 100%, $E$13)</f>
        <v>5.1871</v>
      </c>
      <c r="K261" s="64">
        <f>5.1872 * CHOOSE(CONTROL!$C$22, $C$13, 100%, $E$13)</f>
        <v>5.1871999999999998</v>
      </c>
    </row>
    <row r="262" spans="1:11" ht="15">
      <c r="A262" s="13">
        <v>49614</v>
      </c>
      <c r="B262" s="63">
        <f>4.5275 * CHOOSE(CONTROL!$C$22, $C$13, 100%, $E$13)</f>
        <v>4.5274999999999999</v>
      </c>
      <c r="C262" s="63">
        <f>4.5275 * CHOOSE(CONTROL!$C$22, $C$13, 100%, $E$13)</f>
        <v>4.5274999999999999</v>
      </c>
      <c r="D262" s="63">
        <f>4.5397 * CHOOSE(CONTROL!$C$22, $C$13, 100%, $E$13)</f>
        <v>4.5396999999999998</v>
      </c>
      <c r="E262" s="64">
        <f>5.201 * CHOOSE(CONTROL!$C$22, $C$13, 100%, $E$13)</f>
        <v>5.2009999999999996</v>
      </c>
      <c r="F262" s="64">
        <f>5.201 * CHOOSE(CONTROL!$C$22, $C$13, 100%, $E$13)</f>
        <v>5.2009999999999996</v>
      </c>
      <c r="G262" s="64">
        <f>5.2012 * CHOOSE(CONTROL!$C$22, $C$13, 100%, $E$13)</f>
        <v>5.2012</v>
      </c>
      <c r="H262" s="64">
        <f>9.4047* CHOOSE(CONTROL!$C$22, $C$13, 100%, $E$13)</f>
        <v>9.4047000000000001</v>
      </c>
      <c r="I262" s="64">
        <f>9.4049 * CHOOSE(CONTROL!$C$22, $C$13, 100%, $E$13)</f>
        <v>9.4048999999999996</v>
      </c>
      <c r="J262" s="64">
        <f>5.201 * CHOOSE(CONTROL!$C$22, $C$13, 100%, $E$13)</f>
        <v>5.2009999999999996</v>
      </c>
      <c r="K262" s="64">
        <f>5.2012 * CHOOSE(CONTROL!$C$22, $C$13, 100%, $E$13)</f>
        <v>5.2012</v>
      </c>
    </row>
    <row r="263" spans="1:11" ht="15">
      <c r="A263" s="13">
        <v>49644</v>
      </c>
      <c r="B263" s="63">
        <f>4.5275 * CHOOSE(CONTROL!$C$22, $C$13, 100%, $E$13)</f>
        <v>4.5274999999999999</v>
      </c>
      <c r="C263" s="63">
        <f>4.5275 * CHOOSE(CONTROL!$C$22, $C$13, 100%, $E$13)</f>
        <v>4.5274999999999999</v>
      </c>
      <c r="D263" s="63">
        <f>4.5397 * CHOOSE(CONTROL!$C$22, $C$13, 100%, $E$13)</f>
        <v>4.5396999999999998</v>
      </c>
      <c r="E263" s="64">
        <f>5.1715 * CHOOSE(CONTROL!$C$22, $C$13, 100%, $E$13)</f>
        <v>5.1715</v>
      </c>
      <c r="F263" s="64">
        <f>5.1715 * CHOOSE(CONTROL!$C$22, $C$13, 100%, $E$13)</f>
        <v>5.1715</v>
      </c>
      <c r="G263" s="64">
        <f>5.1716 * CHOOSE(CONTROL!$C$22, $C$13, 100%, $E$13)</f>
        <v>5.1715999999999998</v>
      </c>
      <c r="H263" s="64">
        <f>9.4243* CHOOSE(CONTROL!$C$22, $C$13, 100%, $E$13)</f>
        <v>9.4243000000000006</v>
      </c>
      <c r="I263" s="64">
        <f>9.4245 * CHOOSE(CONTROL!$C$22, $C$13, 100%, $E$13)</f>
        <v>9.4245000000000001</v>
      </c>
      <c r="J263" s="64">
        <f>5.1715 * CHOOSE(CONTROL!$C$22, $C$13, 100%, $E$13)</f>
        <v>5.1715</v>
      </c>
      <c r="K263" s="64">
        <f>5.1716 * CHOOSE(CONTROL!$C$22, $C$13, 100%, $E$13)</f>
        <v>5.1715999999999998</v>
      </c>
    </row>
    <row r="264" spans="1:11" ht="15">
      <c r="A264" s="13">
        <v>49675</v>
      </c>
      <c r="B264" s="63">
        <f>4.5704 * CHOOSE(CONTROL!$C$22, $C$13, 100%, $E$13)</f>
        <v>4.5704000000000002</v>
      </c>
      <c r="C264" s="63">
        <f>4.5704 * CHOOSE(CONTROL!$C$22, $C$13, 100%, $E$13)</f>
        <v>4.5704000000000002</v>
      </c>
      <c r="D264" s="63">
        <f>4.5826 * CHOOSE(CONTROL!$C$22, $C$13, 100%, $E$13)</f>
        <v>4.5826000000000002</v>
      </c>
      <c r="E264" s="64">
        <f>5.2414 * CHOOSE(CONTROL!$C$22, $C$13, 100%, $E$13)</f>
        <v>5.2413999999999996</v>
      </c>
      <c r="F264" s="64">
        <f>5.2414 * CHOOSE(CONTROL!$C$22, $C$13, 100%, $E$13)</f>
        <v>5.2413999999999996</v>
      </c>
      <c r="G264" s="64">
        <f>5.2415 * CHOOSE(CONTROL!$C$22, $C$13, 100%, $E$13)</f>
        <v>5.2415000000000003</v>
      </c>
      <c r="H264" s="64">
        <f>9.444* CHOOSE(CONTROL!$C$22, $C$13, 100%, $E$13)</f>
        <v>9.4440000000000008</v>
      </c>
      <c r="I264" s="64">
        <f>9.4442 * CHOOSE(CONTROL!$C$22, $C$13, 100%, $E$13)</f>
        <v>9.4442000000000004</v>
      </c>
      <c r="J264" s="64">
        <f>5.2414 * CHOOSE(CONTROL!$C$22, $C$13, 100%, $E$13)</f>
        <v>5.2413999999999996</v>
      </c>
      <c r="K264" s="64">
        <f>5.2415 * CHOOSE(CONTROL!$C$22, $C$13, 100%, $E$13)</f>
        <v>5.2415000000000003</v>
      </c>
    </row>
    <row r="265" spans="1:11" ht="15">
      <c r="A265" s="13">
        <v>49706</v>
      </c>
      <c r="B265" s="63">
        <f>4.5673 * CHOOSE(CONTROL!$C$22, $C$13, 100%, $E$13)</f>
        <v>4.5673000000000004</v>
      </c>
      <c r="C265" s="63">
        <f>4.5673 * CHOOSE(CONTROL!$C$22, $C$13, 100%, $E$13)</f>
        <v>4.5673000000000004</v>
      </c>
      <c r="D265" s="63">
        <f>4.5796 * CHOOSE(CONTROL!$C$22, $C$13, 100%, $E$13)</f>
        <v>4.5796000000000001</v>
      </c>
      <c r="E265" s="64">
        <f>5.1819 * CHOOSE(CONTROL!$C$22, $C$13, 100%, $E$13)</f>
        <v>5.1818999999999997</v>
      </c>
      <c r="F265" s="64">
        <f>5.1819 * CHOOSE(CONTROL!$C$22, $C$13, 100%, $E$13)</f>
        <v>5.1818999999999997</v>
      </c>
      <c r="G265" s="64">
        <f>5.182 * CHOOSE(CONTROL!$C$22, $C$13, 100%, $E$13)</f>
        <v>5.1820000000000004</v>
      </c>
      <c r="H265" s="64">
        <f>9.4636* CHOOSE(CONTROL!$C$22, $C$13, 100%, $E$13)</f>
        <v>9.4635999999999996</v>
      </c>
      <c r="I265" s="64">
        <f>9.4638 * CHOOSE(CONTROL!$C$22, $C$13, 100%, $E$13)</f>
        <v>9.4638000000000009</v>
      </c>
      <c r="J265" s="64">
        <f>5.1819 * CHOOSE(CONTROL!$C$22, $C$13, 100%, $E$13)</f>
        <v>5.1818999999999997</v>
      </c>
      <c r="K265" s="64">
        <f>5.182 * CHOOSE(CONTROL!$C$22, $C$13, 100%, $E$13)</f>
        <v>5.1820000000000004</v>
      </c>
    </row>
    <row r="266" spans="1:11" ht="15">
      <c r="A266" s="13">
        <v>49735</v>
      </c>
      <c r="B266" s="63">
        <f>4.5643 * CHOOSE(CONTROL!$C$22, $C$13, 100%, $E$13)</f>
        <v>4.5643000000000002</v>
      </c>
      <c r="C266" s="63">
        <f>4.5643 * CHOOSE(CONTROL!$C$22, $C$13, 100%, $E$13)</f>
        <v>4.5643000000000002</v>
      </c>
      <c r="D266" s="63">
        <f>4.5765 * CHOOSE(CONTROL!$C$22, $C$13, 100%, $E$13)</f>
        <v>4.5765000000000002</v>
      </c>
      <c r="E266" s="64">
        <f>5.225 * CHOOSE(CONTROL!$C$22, $C$13, 100%, $E$13)</f>
        <v>5.2249999999999996</v>
      </c>
      <c r="F266" s="64">
        <f>5.225 * CHOOSE(CONTROL!$C$22, $C$13, 100%, $E$13)</f>
        <v>5.2249999999999996</v>
      </c>
      <c r="G266" s="64">
        <f>5.2251 * CHOOSE(CONTROL!$C$22, $C$13, 100%, $E$13)</f>
        <v>5.2251000000000003</v>
      </c>
      <c r="H266" s="64">
        <f>9.4834* CHOOSE(CONTROL!$C$22, $C$13, 100%, $E$13)</f>
        <v>9.4833999999999996</v>
      </c>
      <c r="I266" s="64">
        <f>9.4835 * CHOOSE(CONTROL!$C$22, $C$13, 100%, $E$13)</f>
        <v>9.4834999999999994</v>
      </c>
      <c r="J266" s="64">
        <f>5.225 * CHOOSE(CONTROL!$C$22, $C$13, 100%, $E$13)</f>
        <v>5.2249999999999996</v>
      </c>
      <c r="K266" s="64">
        <f>5.2251 * CHOOSE(CONTROL!$C$22, $C$13, 100%, $E$13)</f>
        <v>5.2251000000000003</v>
      </c>
    </row>
    <row r="267" spans="1:11" ht="15">
      <c r="A267" s="13">
        <v>49766</v>
      </c>
      <c r="B267" s="63">
        <f>4.5625 * CHOOSE(CONTROL!$C$22, $C$13, 100%, $E$13)</f>
        <v>4.5625</v>
      </c>
      <c r="C267" s="63">
        <f>4.5625 * CHOOSE(CONTROL!$C$22, $C$13, 100%, $E$13)</f>
        <v>4.5625</v>
      </c>
      <c r="D267" s="63">
        <f>4.5747 * CHOOSE(CONTROL!$C$22, $C$13, 100%, $E$13)</f>
        <v>4.5747</v>
      </c>
      <c r="E267" s="64">
        <f>5.2693 * CHOOSE(CONTROL!$C$22, $C$13, 100%, $E$13)</f>
        <v>5.2693000000000003</v>
      </c>
      <c r="F267" s="64">
        <f>5.2693 * CHOOSE(CONTROL!$C$22, $C$13, 100%, $E$13)</f>
        <v>5.2693000000000003</v>
      </c>
      <c r="G267" s="64">
        <f>5.2695 * CHOOSE(CONTROL!$C$22, $C$13, 100%, $E$13)</f>
        <v>5.2694999999999999</v>
      </c>
      <c r="H267" s="64">
        <f>9.5031* CHOOSE(CONTROL!$C$22, $C$13, 100%, $E$13)</f>
        <v>9.5030999999999999</v>
      </c>
      <c r="I267" s="64">
        <f>9.5033 * CHOOSE(CONTROL!$C$22, $C$13, 100%, $E$13)</f>
        <v>9.5032999999999994</v>
      </c>
      <c r="J267" s="64">
        <f>5.2693 * CHOOSE(CONTROL!$C$22, $C$13, 100%, $E$13)</f>
        <v>5.2693000000000003</v>
      </c>
      <c r="K267" s="64">
        <f>5.2695 * CHOOSE(CONTROL!$C$22, $C$13, 100%, $E$13)</f>
        <v>5.2694999999999999</v>
      </c>
    </row>
    <row r="268" spans="1:11" ht="15">
      <c r="A268" s="13">
        <v>49796</v>
      </c>
      <c r="B268" s="63">
        <f>4.5625 * CHOOSE(CONTROL!$C$22, $C$13, 100%, $E$13)</f>
        <v>4.5625</v>
      </c>
      <c r="C268" s="63">
        <f>4.5625 * CHOOSE(CONTROL!$C$22, $C$13, 100%, $E$13)</f>
        <v>4.5625</v>
      </c>
      <c r="D268" s="63">
        <f>4.5869 * CHOOSE(CONTROL!$C$22, $C$13, 100%, $E$13)</f>
        <v>4.5869</v>
      </c>
      <c r="E268" s="64">
        <f>5.2875 * CHOOSE(CONTROL!$C$22, $C$13, 100%, $E$13)</f>
        <v>5.2874999999999996</v>
      </c>
      <c r="F268" s="64">
        <f>5.2875 * CHOOSE(CONTROL!$C$22, $C$13, 100%, $E$13)</f>
        <v>5.2874999999999996</v>
      </c>
      <c r="G268" s="64">
        <f>5.2891 * CHOOSE(CONTROL!$C$22, $C$13, 100%, $E$13)</f>
        <v>5.2891000000000004</v>
      </c>
      <c r="H268" s="64">
        <f>9.5229* CHOOSE(CONTROL!$C$22, $C$13, 100%, $E$13)</f>
        <v>9.5228999999999999</v>
      </c>
      <c r="I268" s="64">
        <f>9.5245 * CHOOSE(CONTROL!$C$22, $C$13, 100%, $E$13)</f>
        <v>9.5244999999999997</v>
      </c>
      <c r="J268" s="64">
        <f>5.2875 * CHOOSE(CONTROL!$C$22, $C$13, 100%, $E$13)</f>
        <v>5.2874999999999996</v>
      </c>
      <c r="K268" s="64">
        <f>5.2891 * CHOOSE(CONTROL!$C$22, $C$13, 100%, $E$13)</f>
        <v>5.2891000000000004</v>
      </c>
    </row>
    <row r="269" spans="1:11" ht="15">
      <c r="A269" s="13">
        <v>49827</v>
      </c>
      <c r="B269" s="63">
        <f>4.5686 * CHOOSE(CONTROL!$C$22, $C$13, 100%, $E$13)</f>
        <v>4.5686</v>
      </c>
      <c r="C269" s="63">
        <f>4.5686 * CHOOSE(CONTROL!$C$22, $C$13, 100%, $E$13)</f>
        <v>4.5686</v>
      </c>
      <c r="D269" s="63">
        <f>4.593 * CHOOSE(CONTROL!$C$22, $C$13, 100%, $E$13)</f>
        <v>4.593</v>
      </c>
      <c r="E269" s="64">
        <f>5.2735 * CHOOSE(CONTROL!$C$22, $C$13, 100%, $E$13)</f>
        <v>5.2735000000000003</v>
      </c>
      <c r="F269" s="64">
        <f>5.2735 * CHOOSE(CONTROL!$C$22, $C$13, 100%, $E$13)</f>
        <v>5.2735000000000003</v>
      </c>
      <c r="G269" s="64">
        <f>5.2751 * CHOOSE(CONTROL!$C$22, $C$13, 100%, $E$13)</f>
        <v>5.2751000000000001</v>
      </c>
      <c r="H269" s="64">
        <f>9.5428* CHOOSE(CONTROL!$C$22, $C$13, 100%, $E$13)</f>
        <v>9.5427999999999997</v>
      </c>
      <c r="I269" s="64">
        <f>9.5443 * CHOOSE(CONTROL!$C$22, $C$13, 100%, $E$13)</f>
        <v>9.5442999999999998</v>
      </c>
      <c r="J269" s="64">
        <f>5.2735 * CHOOSE(CONTROL!$C$22, $C$13, 100%, $E$13)</f>
        <v>5.2735000000000003</v>
      </c>
      <c r="K269" s="64">
        <f>5.2751 * CHOOSE(CONTROL!$C$22, $C$13, 100%, $E$13)</f>
        <v>5.2751000000000001</v>
      </c>
    </row>
    <row r="270" spans="1:11" ht="15">
      <c r="A270" s="13">
        <v>49857</v>
      </c>
      <c r="B270" s="63">
        <f>4.6492 * CHOOSE(CONTROL!$C$22, $C$13, 100%, $E$13)</f>
        <v>4.6492000000000004</v>
      </c>
      <c r="C270" s="63">
        <f>4.6492 * CHOOSE(CONTROL!$C$22, $C$13, 100%, $E$13)</f>
        <v>4.6492000000000004</v>
      </c>
      <c r="D270" s="63">
        <f>4.6736 * CHOOSE(CONTROL!$C$22, $C$13, 100%, $E$13)</f>
        <v>4.6736000000000004</v>
      </c>
      <c r="E270" s="64">
        <f>5.3842 * CHOOSE(CONTROL!$C$22, $C$13, 100%, $E$13)</f>
        <v>5.3841999999999999</v>
      </c>
      <c r="F270" s="64">
        <f>5.3842 * CHOOSE(CONTROL!$C$22, $C$13, 100%, $E$13)</f>
        <v>5.3841999999999999</v>
      </c>
      <c r="G270" s="64">
        <f>5.3858 * CHOOSE(CONTROL!$C$22, $C$13, 100%, $E$13)</f>
        <v>5.3857999999999997</v>
      </c>
      <c r="H270" s="64">
        <f>9.5626* CHOOSE(CONTROL!$C$22, $C$13, 100%, $E$13)</f>
        <v>9.5625999999999998</v>
      </c>
      <c r="I270" s="64">
        <f>9.5642 * CHOOSE(CONTROL!$C$22, $C$13, 100%, $E$13)</f>
        <v>9.5641999999999996</v>
      </c>
      <c r="J270" s="64">
        <f>5.3842 * CHOOSE(CONTROL!$C$22, $C$13, 100%, $E$13)</f>
        <v>5.3841999999999999</v>
      </c>
      <c r="K270" s="64">
        <f>5.3858 * CHOOSE(CONTROL!$C$22, $C$13, 100%, $E$13)</f>
        <v>5.3857999999999997</v>
      </c>
    </row>
    <row r="271" spans="1:11" ht="15">
      <c r="A271" s="13">
        <v>49888</v>
      </c>
      <c r="B271" s="63">
        <f>4.6559 * CHOOSE(CONTROL!$C$22, $C$13, 100%, $E$13)</f>
        <v>4.6558999999999999</v>
      </c>
      <c r="C271" s="63">
        <f>4.6559 * CHOOSE(CONTROL!$C$22, $C$13, 100%, $E$13)</f>
        <v>4.6558999999999999</v>
      </c>
      <c r="D271" s="63">
        <f>4.6803 * CHOOSE(CONTROL!$C$22, $C$13, 100%, $E$13)</f>
        <v>4.6802999999999999</v>
      </c>
      <c r="E271" s="64">
        <f>5.3342 * CHOOSE(CONTROL!$C$22, $C$13, 100%, $E$13)</f>
        <v>5.3342000000000001</v>
      </c>
      <c r="F271" s="64">
        <f>5.3342 * CHOOSE(CONTROL!$C$22, $C$13, 100%, $E$13)</f>
        <v>5.3342000000000001</v>
      </c>
      <c r="G271" s="64">
        <f>5.3358 * CHOOSE(CONTROL!$C$22, $C$13, 100%, $E$13)</f>
        <v>5.3357999999999999</v>
      </c>
      <c r="H271" s="64">
        <f>9.5826* CHOOSE(CONTROL!$C$22, $C$13, 100%, $E$13)</f>
        <v>9.5825999999999993</v>
      </c>
      <c r="I271" s="64">
        <f>9.5841 * CHOOSE(CONTROL!$C$22, $C$13, 100%, $E$13)</f>
        <v>9.5840999999999994</v>
      </c>
      <c r="J271" s="64">
        <f>5.3342 * CHOOSE(CONTROL!$C$22, $C$13, 100%, $E$13)</f>
        <v>5.3342000000000001</v>
      </c>
      <c r="K271" s="64">
        <f>5.3358 * CHOOSE(CONTROL!$C$22, $C$13, 100%, $E$13)</f>
        <v>5.3357999999999999</v>
      </c>
    </row>
    <row r="272" spans="1:11" ht="15">
      <c r="A272" s="13">
        <v>49919</v>
      </c>
      <c r="B272" s="63">
        <f>4.6528 * CHOOSE(CONTROL!$C$22, $C$13, 100%, $E$13)</f>
        <v>4.6528</v>
      </c>
      <c r="C272" s="63">
        <f>4.6528 * CHOOSE(CONTROL!$C$22, $C$13, 100%, $E$13)</f>
        <v>4.6528</v>
      </c>
      <c r="D272" s="63">
        <f>4.6773 * CHOOSE(CONTROL!$C$22, $C$13, 100%, $E$13)</f>
        <v>4.6772999999999998</v>
      </c>
      <c r="E272" s="64">
        <f>5.326 * CHOOSE(CONTROL!$C$22, $C$13, 100%, $E$13)</f>
        <v>5.3259999999999996</v>
      </c>
      <c r="F272" s="64">
        <f>5.326 * CHOOSE(CONTROL!$C$22, $C$13, 100%, $E$13)</f>
        <v>5.3259999999999996</v>
      </c>
      <c r="G272" s="64">
        <f>5.3276 * CHOOSE(CONTROL!$C$22, $C$13, 100%, $E$13)</f>
        <v>5.3276000000000003</v>
      </c>
      <c r="H272" s="64">
        <f>9.6025* CHOOSE(CONTROL!$C$22, $C$13, 100%, $E$13)</f>
        <v>9.6024999999999991</v>
      </c>
      <c r="I272" s="64">
        <f>9.6041 * CHOOSE(CONTROL!$C$22, $C$13, 100%, $E$13)</f>
        <v>9.6041000000000007</v>
      </c>
      <c r="J272" s="64">
        <f>5.326 * CHOOSE(CONTROL!$C$22, $C$13, 100%, $E$13)</f>
        <v>5.3259999999999996</v>
      </c>
      <c r="K272" s="64">
        <f>5.3276 * CHOOSE(CONTROL!$C$22, $C$13, 100%, $E$13)</f>
        <v>5.3276000000000003</v>
      </c>
    </row>
    <row r="273" spans="1:11" ht="15">
      <c r="A273" s="13">
        <v>49949</v>
      </c>
      <c r="B273" s="63">
        <f>4.6503 * CHOOSE(CONTROL!$C$22, $C$13, 100%, $E$13)</f>
        <v>4.6502999999999997</v>
      </c>
      <c r="C273" s="63">
        <f>4.6503 * CHOOSE(CONTROL!$C$22, $C$13, 100%, $E$13)</f>
        <v>4.6502999999999997</v>
      </c>
      <c r="D273" s="63">
        <f>4.6625 * CHOOSE(CONTROL!$C$22, $C$13, 100%, $E$13)</f>
        <v>4.6624999999999996</v>
      </c>
      <c r="E273" s="64">
        <f>5.3369 * CHOOSE(CONTROL!$C$22, $C$13, 100%, $E$13)</f>
        <v>5.3369</v>
      </c>
      <c r="F273" s="64">
        <f>5.3369 * CHOOSE(CONTROL!$C$22, $C$13, 100%, $E$13)</f>
        <v>5.3369</v>
      </c>
      <c r="G273" s="64">
        <f>5.3371 * CHOOSE(CONTROL!$C$22, $C$13, 100%, $E$13)</f>
        <v>5.3371000000000004</v>
      </c>
      <c r="H273" s="64">
        <f>9.6225* CHOOSE(CONTROL!$C$22, $C$13, 100%, $E$13)</f>
        <v>9.6225000000000005</v>
      </c>
      <c r="I273" s="64">
        <f>9.6227 * CHOOSE(CONTROL!$C$22, $C$13, 100%, $E$13)</f>
        <v>9.6227</v>
      </c>
      <c r="J273" s="64">
        <f>5.3369 * CHOOSE(CONTROL!$C$22, $C$13, 100%, $E$13)</f>
        <v>5.3369</v>
      </c>
      <c r="K273" s="64">
        <f>5.3371 * CHOOSE(CONTROL!$C$22, $C$13, 100%, $E$13)</f>
        <v>5.3371000000000004</v>
      </c>
    </row>
    <row r="274" spans="1:11" ht="15">
      <c r="A274" s="13">
        <v>49980</v>
      </c>
      <c r="B274" s="63">
        <f>4.6533 * CHOOSE(CONTROL!$C$22, $C$13, 100%, $E$13)</f>
        <v>4.6532999999999998</v>
      </c>
      <c r="C274" s="63">
        <f>4.6533 * CHOOSE(CONTROL!$C$22, $C$13, 100%, $E$13)</f>
        <v>4.6532999999999998</v>
      </c>
      <c r="D274" s="63">
        <f>4.6655 * CHOOSE(CONTROL!$C$22, $C$13, 100%, $E$13)</f>
        <v>4.6654999999999998</v>
      </c>
      <c r="E274" s="64">
        <f>5.3512 * CHOOSE(CONTROL!$C$22, $C$13, 100%, $E$13)</f>
        <v>5.3512000000000004</v>
      </c>
      <c r="F274" s="64">
        <f>5.3512 * CHOOSE(CONTROL!$C$22, $C$13, 100%, $E$13)</f>
        <v>5.3512000000000004</v>
      </c>
      <c r="G274" s="64">
        <f>5.3513 * CHOOSE(CONTROL!$C$22, $C$13, 100%, $E$13)</f>
        <v>5.3513000000000002</v>
      </c>
      <c r="H274" s="64">
        <f>9.6426* CHOOSE(CONTROL!$C$22, $C$13, 100%, $E$13)</f>
        <v>9.6425999999999998</v>
      </c>
      <c r="I274" s="64">
        <f>9.6428 * CHOOSE(CONTROL!$C$22, $C$13, 100%, $E$13)</f>
        <v>9.6427999999999994</v>
      </c>
      <c r="J274" s="64">
        <f>5.3512 * CHOOSE(CONTROL!$C$22, $C$13, 100%, $E$13)</f>
        <v>5.3512000000000004</v>
      </c>
      <c r="K274" s="64">
        <f>5.3513 * CHOOSE(CONTROL!$C$22, $C$13, 100%, $E$13)</f>
        <v>5.3513000000000002</v>
      </c>
    </row>
    <row r="275" spans="1:11" ht="15">
      <c r="A275" s="13">
        <v>50010</v>
      </c>
      <c r="B275" s="63">
        <f>4.6533 * CHOOSE(CONTROL!$C$22, $C$13, 100%, $E$13)</f>
        <v>4.6532999999999998</v>
      </c>
      <c r="C275" s="63">
        <f>4.6533 * CHOOSE(CONTROL!$C$22, $C$13, 100%, $E$13)</f>
        <v>4.6532999999999998</v>
      </c>
      <c r="D275" s="63">
        <f>4.6655 * CHOOSE(CONTROL!$C$22, $C$13, 100%, $E$13)</f>
        <v>4.6654999999999998</v>
      </c>
      <c r="E275" s="64">
        <f>5.3208 * CHOOSE(CONTROL!$C$22, $C$13, 100%, $E$13)</f>
        <v>5.3208000000000002</v>
      </c>
      <c r="F275" s="64">
        <f>5.3208 * CHOOSE(CONTROL!$C$22, $C$13, 100%, $E$13)</f>
        <v>5.3208000000000002</v>
      </c>
      <c r="G275" s="64">
        <f>5.321 * CHOOSE(CONTROL!$C$22, $C$13, 100%, $E$13)</f>
        <v>5.3209999999999997</v>
      </c>
      <c r="H275" s="64">
        <f>9.6627* CHOOSE(CONTROL!$C$22, $C$13, 100%, $E$13)</f>
        <v>9.6626999999999992</v>
      </c>
      <c r="I275" s="64">
        <f>9.6628 * CHOOSE(CONTROL!$C$22, $C$13, 100%, $E$13)</f>
        <v>9.6628000000000007</v>
      </c>
      <c r="J275" s="64">
        <f>5.3208 * CHOOSE(CONTROL!$C$22, $C$13, 100%, $E$13)</f>
        <v>5.3208000000000002</v>
      </c>
      <c r="K275" s="64">
        <f>5.321 * CHOOSE(CONTROL!$C$22, $C$13, 100%, $E$13)</f>
        <v>5.3209999999999997</v>
      </c>
    </row>
    <row r="276" spans="1:11" ht="15">
      <c r="A276" s="13">
        <v>50041</v>
      </c>
      <c r="B276" s="63">
        <f>4.6966 * CHOOSE(CONTROL!$C$22, $C$13, 100%, $E$13)</f>
        <v>4.6966000000000001</v>
      </c>
      <c r="C276" s="63">
        <f>4.6966 * CHOOSE(CONTROL!$C$22, $C$13, 100%, $E$13)</f>
        <v>4.6966000000000001</v>
      </c>
      <c r="D276" s="63">
        <f>4.7088 * CHOOSE(CONTROL!$C$22, $C$13, 100%, $E$13)</f>
        <v>4.7088000000000001</v>
      </c>
      <c r="E276" s="64">
        <f>5.3901 * CHOOSE(CONTROL!$C$22, $C$13, 100%, $E$13)</f>
        <v>5.3901000000000003</v>
      </c>
      <c r="F276" s="64">
        <f>5.3901 * CHOOSE(CONTROL!$C$22, $C$13, 100%, $E$13)</f>
        <v>5.3901000000000003</v>
      </c>
      <c r="G276" s="64">
        <f>5.3903 * CHOOSE(CONTROL!$C$22, $C$13, 100%, $E$13)</f>
        <v>5.3902999999999999</v>
      </c>
      <c r="H276" s="64">
        <f>9.6828* CHOOSE(CONTROL!$C$22, $C$13, 100%, $E$13)</f>
        <v>9.6828000000000003</v>
      </c>
      <c r="I276" s="64">
        <f>9.683 * CHOOSE(CONTROL!$C$22, $C$13, 100%, $E$13)</f>
        <v>9.6829999999999998</v>
      </c>
      <c r="J276" s="64">
        <f>5.3901 * CHOOSE(CONTROL!$C$22, $C$13, 100%, $E$13)</f>
        <v>5.3901000000000003</v>
      </c>
      <c r="K276" s="64">
        <f>5.3903 * CHOOSE(CONTROL!$C$22, $C$13, 100%, $E$13)</f>
        <v>5.3902999999999999</v>
      </c>
    </row>
    <row r="277" spans="1:11" ht="15">
      <c r="A277" s="13">
        <v>50072</v>
      </c>
      <c r="B277" s="63">
        <f>4.6936 * CHOOSE(CONTROL!$C$22, $C$13, 100%, $E$13)</f>
        <v>4.6936</v>
      </c>
      <c r="C277" s="63">
        <f>4.6936 * CHOOSE(CONTROL!$C$22, $C$13, 100%, $E$13)</f>
        <v>4.6936</v>
      </c>
      <c r="D277" s="63">
        <f>4.7058 * CHOOSE(CONTROL!$C$22, $C$13, 100%, $E$13)</f>
        <v>4.7058</v>
      </c>
      <c r="E277" s="64">
        <f>5.3291 * CHOOSE(CONTROL!$C$22, $C$13, 100%, $E$13)</f>
        <v>5.3291000000000004</v>
      </c>
      <c r="F277" s="64">
        <f>5.3291 * CHOOSE(CONTROL!$C$22, $C$13, 100%, $E$13)</f>
        <v>5.3291000000000004</v>
      </c>
      <c r="G277" s="64">
        <f>5.3293 * CHOOSE(CONTROL!$C$22, $C$13, 100%, $E$13)</f>
        <v>5.3292999999999999</v>
      </c>
      <c r="H277" s="64">
        <f>9.703* CHOOSE(CONTROL!$C$22, $C$13, 100%, $E$13)</f>
        <v>9.7029999999999994</v>
      </c>
      <c r="I277" s="64">
        <f>9.7031 * CHOOSE(CONTROL!$C$22, $C$13, 100%, $E$13)</f>
        <v>9.7030999999999992</v>
      </c>
      <c r="J277" s="64">
        <f>5.3291 * CHOOSE(CONTROL!$C$22, $C$13, 100%, $E$13)</f>
        <v>5.3291000000000004</v>
      </c>
      <c r="K277" s="64">
        <f>5.3293 * CHOOSE(CONTROL!$C$22, $C$13, 100%, $E$13)</f>
        <v>5.3292999999999999</v>
      </c>
    </row>
    <row r="278" spans="1:11" ht="15">
      <c r="A278" s="13">
        <v>50100</v>
      </c>
      <c r="B278" s="63">
        <f>4.6905 * CHOOSE(CONTROL!$C$22, $C$13, 100%, $E$13)</f>
        <v>4.6905000000000001</v>
      </c>
      <c r="C278" s="63">
        <f>4.6905 * CHOOSE(CONTROL!$C$22, $C$13, 100%, $E$13)</f>
        <v>4.6905000000000001</v>
      </c>
      <c r="D278" s="63">
        <f>4.7027 * CHOOSE(CONTROL!$C$22, $C$13, 100%, $E$13)</f>
        <v>4.7027000000000001</v>
      </c>
      <c r="E278" s="64">
        <f>5.3734 * CHOOSE(CONTROL!$C$22, $C$13, 100%, $E$13)</f>
        <v>5.3734000000000002</v>
      </c>
      <c r="F278" s="64">
        <f>5.3734 * CHOOSE(CONTROL!$C$22, $C$13, 100%, $E$13)</f>
        <v>5.3734000000000002</v>
      </c>
      <c r="G278" s="64">
        <f>5.3736 * CHOOSE(CONTROL!$C$22, $C$13, 100%, $E$13)</f>
        <v>5.3735999999999997</v>
      </c>
      <c r="H278" s="64">
        <f>9.7232* CHOOSE(CONTROL!$C$22, $C$13, 100%, $E$13)</f>
        <v>9.7232000000000003</v>
      </c>
      <c r="I278" s="64">
        <f>9.7234 * CHOOSE(CONTROL!$C$22, $C$13, 100%, $E$13)</f>
        <v>9.7233999999999998</v>
      </c>
      <c r="J278" s="64">
        <f>5.3734 * CHOOSE(CONTROL!$C$22, $C$13, 100%, $E$13)</f>
        <v>5.3734000000000002</v>
      </c>
      <c r="K278" s="64">
        <f>5.3736 * CHOOSE(CONTROL!$C$22, $C$13, 100%, $E$13)</f>
        <v>5.3735999999999997</v>
      </c>
    </row>
    <row r="279" spans="1:11" ht="15">
      <c r="A279" s="13">
        <v>50131</v>
      </c>
      <c r="B279" s="63">
        <f>4.6888 * CHOOSE(CONTROL!$C$22, $C$13, 100%, $E$13)</f>
        <v>4.6887999999999996</v>
      </c>
      <c r="C279" s="63">
        <f>4.6888 * CHOOSE(CONTROL!$C$22, $C$13, 100%, $E$13)</f>
        <v>4.6887999999999996</v>
      </c>
      <c r="D279" s="63">
        <f>4.701 * CHOOSE(CONTROL!$C$22, $C$13, 100%, $E$13)</f>
        <v>4.7009999999999996</v>
      </c>
      <c r="E279" s="64">
        <f>5.4191 * CHOOSE(CONTROL!$C$22, $C$13, 100%, $E$13)</f>
        <v>5.4191000000000003</v>
      </c>
      <c r="F279" s="64">
        <f>5.4191 * CHOOSE(CONTROL!$C$22, $C$13, 100%, $E$13)</f>
        <v>5.4191000000000003</v>
      </c>
      <c r="G279" s="64">
        <f>5.4192 * CHOOSE(CONTROL!$C$22, $C$13, 100%, $E$13)</f>
        <v>5.4192</v>
      </c>
      <c r="H279" s="64">
        <f>9.7434* CHOOSE(CONTROL!$C$22, $C$13, 100%, $E$13)</f>
        <v>9.7433999999999994</v>
      </c>
      <c r="I279" s="64">
        <f>9.7436 * CHOOSE(CONTROL!$C$22, $C$13, 100%, $E$13)</f>
        <v>9.7436000000000007</v>
      </c>
      <c r="J279" s="64">
        <f>5.4191 * CHOOSE(CONTROL!$C$22, $C$13, 100%, $E$13)</f>
        <v>5.4191000000000003</v>
      </c>
      <c r="K279" s="64">
        <f>5.4192 * CHOOSE(CONTROL!$C$22, $C$13, 100%, $E$13)</f>
        <v>5.4192</v>
      </c>
    </row>
    <row r="280" spans="1:11" ht="15">
      <c r="A280" s="13">
        <v>50161</v>
      </c>
      <c r="B280" s="63">
        <f>4.6888 * CHOOSE(CONTROL!$C$22, $C$13, 100%, $E$13)</f>
        <v>4.6887999999999996</v>
      </c>
      <c r="C280" s="63">
        <f>4.6888 * CHOOSE(CONTROL!$C$22, $C$13, 100%, $E$13)</f>
        <v>4.6887999999999996</v>
      </c>
      <c r="D280" s="63">
        <f>4.7133 * CHOOSE(CONTROL!$C$22, $C$13, 100%, $E$13)</f>
        <v>4.7133000000000003</v>
      </c>
      <c r="E280" s="64">
        <f>5.4378 * CHOOSE(CONTROL!$C$22, $C$13, 100%, $E$13)</f>
        <v>5.4378000000000002</v>
      </c>
      <c r="F280" s="64">
        <f>5.4378 * CHOOSE(CONTROL!$C$22, $C$13, 100%, $E$13)</f>
        <v>5.4378000000000002</v>
      </c>
      <c r="G280" s="64">
        <f>5.4393 * CHOOSE(CONTROL!$C$22, $C$13, 100%, $E$13)</f>
        <v>5.4393000000000002</v>
      </c>
      <c r="H280" s="64">
        <f>9.7637* CHOOSE(CONTROL!$C$22, $C$13, 100%, $E$13)</f>
        <v>9.7637</v>
      </c>
      <c r="I280" s="64">
        <f>9.7653 * CHOOSE(CONTROL!$C$22, $C$13, 100%, $E$13)</f>
        <v>9.7652999999999999</v>
      </c>
      <c r="J280" s="64">
        <f>5.4378 * CHOOSE(CONTROL!$C$22, $C$13, 100%, $E$13)</f>
        <v>5.4378000000000002</v>
      </c>
      <c r="K280" s="64">
        <f>5.4393 * CHOOSE(CONTROL!$C$22, $C$13, 100%, $E$13)</f>
        <v>5.4393000000000002</v>
      </c>
    </row>
    <row r="281" spans="1:11" ht="15">
      <c r="A281" s="13">
        <v>50192</v>
      </c>
      <c r="B281" s="63">
        <f>4.6949 * CHOOSE(CONTROL!$C$22, $C$13, 100%, $E$13)</f>
        <v>4.6948999999999996</v>
      </c>
      <c r="C281" s="63">
        <f>4.6949 * CHOOSE(CONTROL!$C$22, $C$13, 100%, $E$13)</f>
        <v>4.6948999999999996</v>
      </c>
      <c r="D281" s="63">
        <f>4.7193 * CHOOSE(CONTROL!$C$22, $C$13, 100%, $E$13)</f>
        <v>4.7192999999999996</v>
      </c>
      <c r="E281" s="64">
        <f>5.4233 * CHOOSE(CONTROL!$C$22, $C$13, 100%, $E$13)</f>
        <v>5.4233000000000002</v>
      </c>
      <c r="F281" s="64">
        <f>5.4233 * CHOOSE(CONTROL!$C$22, $C$13, 100%, $E$13)</f>
        <v>5.4233000000000002</v>
      </c>
      <c r="G281" s="64">
        <f>5.4249 * CHOOSE(CONTROL!$C$22, $C$13, 100%, $E$13)</f>
        <v>5.4249000000000001</v>
      </c>
      <c r="H281" s="64">
        <f>9.7841* CHOOSE(CONTROL!$C$22, $C$13, 100%, $E$13)</f>
        <v>9.7841000000000005</v>
      </c>
      <c r="I281" s="64">
        <f>9.7856 * CHOOSE(CONTROL!$C$22, $C$13, 100%, $E$13)</f>
        <v>9.7856000000000005</v>
      </c>
      <c r="J281" s="64">
        <f>5.4233 * CHOOSE(CONTROL!$C$22, $C$13, 100%, $E$13)</f>
        <v>5.4233000000000002</v>
      </c>
      <c r="K281" s="64">
        <f>5.4249 * CHOOSE(CONTROL!$C$22, $C$13, 100%, $E$13)</f>
        <v>5.4249000000000001</v>
      </c>
    </row>
    <row r="282" spans="1:11" ht="15">
      <c r="A282" s="13">
        <v>50222</v>
      </c>
      <c r="B282" s="63">
        <f>4.7758 * CHOOSE(CONTROL!$C$22, $C$13, 100%, $E$13)</f>
        <v>4.7758000000000003</v>
      </c>
      <c r="C282" s="63">
        <f>4.7758 * CHOOSE(CONTROL!$C$22, $C$13, 100%, $E$13)</f>
        <v>4.7758000000000003</v>
      </c>
      <c r="D282" s="63">
        <f>4.8002 * CHOOSE(CONTROL!$C$22, $C$13, 100%, $E$13)</f>
        <v>4.8002000000000002</v>
      </c>
      <c r="E282" s="64">
        <f>5.5312 * CHOOSE(CONTROL!$C$22, $C$13, 100%, $E$13)</f>
        <v>5.5312000000000001</v>
      </c>
      <c r="F282" s="64">
        <f>5.5312 * CHOOSE(CONTROL!$C$22, $C$13, 100%, $E$13)</f>
        <v>5.5312000000000001</v>
      </c>
      <c r="G282" s="64">
        <f>5.5328 * CHOOSE(CONTROL!$C$22, $C$13, 100%, $E$13)</f>
        <v>5.5327999999999999</v>
      </c>
      <c r="H282" s="64">
        <f>9.8045* CHOOSE(CONTROL!$C$22, $C$13, 100%, $E$13)</f>
        <v>9.8045000000000009</v>
      </c>
      <c r="I282" s="64">
        <f>9.806 * CHOOSE(CONTROL!$C$22, $C$13, 100%, $E$13)</f>
        <v>9.8059999999999992</v>
      </c>
      <c r="J282" s="64">
        <f>5.5312 * CHOOSE(CONTROL!$C$22, $C$13, 100%, $E$13)</f>
        <v>5.5312000000000001</v>
      </c>
      <c r="K282" s="64">
        <f>5.5328 * CHOOSE(CONTROL!$C$22, $C$13, 100%, $E$13)</f>
        <v>5.5327999999999999</v>
      </c>
    </row>
    <row r="283" spans="1:11" ht="15">
      <c r="A283" s="13">
        <v>50253</v>
      </c>
      <c r="B283" s="63">
        <f>4.7825 * CHOOSE(CONTROL!$C$22, $C$13, 100%, $E$13)</f>
        <v>4.7824999999999998</v>
      </c>
      <c r="C283" s="63">
        <f>4.7825 * CHOOSE(CONTROL!$C$22, $C$13, 100%, $E$13)</f>
        <v>4.7824999999999998</v>
      </c>
      <c r="D283" s="63">
        <f>4.8069 * CHOOSE(CONTROL!$C$22, $C$13, 100%, $E$13)</f>
        <v>4.8068999999999997</v>
      </c>
      <c r="E283" s="64">
        <f>5.4797 * CHOOSE(CONTROL!$C$22, $C$13, 100%, $E$13)</f>
        <v>5.4797000000000002</v>
      </c>
      <c r="F283" s="64">
        <f>5.4797 * CHOOSE(CONTROL!$C$22, $C$13, 100%, $E$13)</f>
        <v>5.4797000000000002</v>
      </c>
      <c r="G283" s="64">
        <f>5.4813 * CHOOSE(CONTROL!$C$22, $C$13, 100%, $E$13)</f>
        <v>5.4813000000000001</v>
      </c>
      <c r="H283" s="64">
        <f>9.8249* CHOOSE(CONTROL!$C$22, $C$13, 100%, $E$13)</f>
        <v>9.8248999999999995</v>
      </c>
      <c r="I283" s="64">
        <f>9.8265 * CHOOSE(CONTROL!$C$22, $C$13, 100%, $E$13)</f>
        <v>9.8264999999999993</v>
      </c>
      <c r="J283" s="64">
        <f>5.4797 * CHOOSE(CONTROL!$C$22, $C$13, 100%, $E$13)</f>
        <v>5.4797000000000002</v>
      </c>
      <c r="K283" s="64">
        <f>5.4813 * CHOOSE(CONTROL!$C$22, $C$13, 100%, $E$13)</f>
        <v>5.4813000000000001</v>
      </c>
    </row>
    <row r="284" spans="1:11" ht="15">
      <c r="A284" s="13">
        <v>50284</v>
      </c>
      <c r="B284" s="63">
        <f>4.7794 * CHOOSE(CONTROL!$C$22, $C$13, 100%, $E$13)</f>
        <v>4.7793999999999999</v>
      </c>
      <c r="C284" s="63">
        <f>4.7794 * CHOOSE(CONTROL!$C$22, $C$13, 100%, $E$13)</f>
        <v>4.7793999999999999</v>
      </c>
      <c r="D284" s="63">
        <f>4.8039 * CHOOSE(CONTROL!$C$22, $C$13, 100%, $E$13)</f>
        <v>4.8038999999999996</v>
      </c>
      <c r="E284" s="64">
        <f>5.4714 * CHOOSE(CONTROL!$C$22, $C$13, 100%, $E$13)</f>
        <v>5.4714</v>
      </c>
      <c r="F284" s="64">
        <f>5.4714 * CHOOSE(CONTROL!$C$22, $C$13, 100%, $E$13)</f>
        <v>5.4714</v>
      </c>
      <c r="G284" s="64">
        <f>5.4729 * CHOOSE(CONTROL!$C$22, $C$13, 100%, $E$13)</f>
        <v>5.4729000000000001</v>
      </c>
      <c r="H284" s="64">
        <f>9.8454* CHOOSE(CONTROL!$C$22, $C$13, 100%, $E$13)</f>
        <v>9.8453999999999997</v>
      </c>
      <c r="I284" s="64">
        <f>9.8469 * CHOOSE(CONTROL!$C$22, $C$13, 100%, $E$13)</f>
        <v>9.8468999999999998</v>
      </c>
      <c r="J284" s="64">
        <f>5.4714 * CHOOSE(CONTROL!$C$22, $C$13, 100%, $E$13)</f>
        <v>5.4714</v>
      </c>
      <c r="K284" s="64">
        <f>5.4729 * CHOOSE(CONTROL!$C$22, $C$13, 100%, $E$13)</f>
        <v>5.4729000000000001</v>
      </c>
    </row>
    <row r="285" spans="1:11" ht="15">
      <c r="A285" s="13">
        <v>50314</v>
      </c>
      <c r="B285" s="63">
        <f>4.7773 * CHOOSE(CONTROL!$C$22, $C$13, 100%, $E$13)</f>
        <v>4.7773000000000003</v>
      </c>
      <c r="C285" s="63">
        <f>4.7773 * CHOOSE(CONTROL!$C$22, $C$13, 100%, $E$13)</f>
        <v>4.7773000000000003</v>
      </c>
      <c r="D285" s="63">
        <f>4.7895 * CHOOSE(CONTROL!$C$22, $C$13, 100%, $E$13)</f>
        <v>4.7895000000000003</v>
      </c>
      <c r="E285" s="64">
        <f>5.4829 * CHOOSE(CONTROL!$C$22, $C$13, 100%, $E$13)</f>
        <v>5.4828999999999999</v>
      </c>
      <c r="F285" s="64">
        <f>5.4829 * CHOOSE(CONTROL!$C$22, $C$13, 100%, $E$13)</f>
        <v>5.4828999999999999</v>
      </c>
      <c r="G285" s="64">
        <f>5.4831 * CHOOSE(CONTROL!$C$22, $C$13, 100%, $E$13)</f>
        <v>5.4831000000000003</v>
      </c>
      <c r="H285" s="64">
        <f>9.8659* CHOOSE(CONTROL!$C$22, $C$13, 100%, $E$13)</f>
        <v>9.8658999999999999</v>
      </c>
      <c r="I285" s="64">
        <f>9.866 * CHOOSE(CONTROL!$C$22, $C$13, 100%, $E$13)</f>
        <v>9.8659999999999997</v>
      </c>
      <c r="J285" s="64">
        <f>5.4829 * CHOOSE(CONTROL!$C$22, $C$13, 100%, $E$13)</f>
        <v>5.4828999999999999</v>
      </c>
      <c r="K285" s="64">
        <f>5.4831 * CHOOSE(CONTROL!$C$22, $C$13, 100%, $E$13)</f>
        <v>5.4831000000000003</v>
      </c>
    </row>
    <row r="286" spans="1:11" ht="15">
      <c r="A286" s="13">
        <v>50345</v>
      </c>
      <c r="B286" s="63">
        <f>4.7804 * CHOOSE(CONTROL!$C$22, $C$13, 100%, $E$13)</f>
        <v>4.7804000000000002</v>
      </c>
      <c r="C286" s="63">
        <f>4.7804 * CHOOSE(CONTROL!$C$22, $C$13, 100%, $E$13)</f>
        <v>4.7804000000000002</v>
      </c>
      <c r="D286" s="63">
        <f>4.7926 * CHOOSE(CONTROL!$C$22, $C$13, 100%, $E$13)</f>
        <v>4.7926000000000002</v>
      </c>
      <c r="E286" s="64">
        <f>5.4975 * CHOOSE(CONTROL!$C$22, $C$13, 100%, $E$13)</f>
        <v>5.4974999999999996</v>
      </c>
      <c r="F286" s="64">
        <f>5.4975 * CHOOSE(CONTROL!$C$22, $C$13, 100%, $E$13)</f>
        <v>5.4974999999999996</v>
      </c>
      <c r="G286" s="64">
        <f>5.4977 * CHOOSE(CONTROL!$C$22, $C$13, 100%, $E$13)</f>
        <v>5.4977</v>
      </c>
      <c r="H286" s="64">
        <f>9.8864* CHOOSE(CONTROL!$C$22, $C$13, 100%, $E$13)</f>
        <v>9.8864000000000001</v>
      </c>
      <c r="I286" s="64">
        <f>9.8866 * CHOOSE(CONTROL!$C$22, $C$13, 100%, $E$13)</f>
        <v>9.8865999999999996</v>
      </c>
      <c r="J286" s="64">
        <f>5.4975 * CHOOSE(CONTROL!$C$22, $C$13, 100%, $E$13)</f>
        <v>5.4974999999999996</v>
      </c>
      <c r="K286" s="64">
        <f>5.4977 * CHOOSE(CONTROL!$C$22, $C$13, 100%, $E$13)</f>
        <v>5.4977</v>
      </c>
    </row>
    <row r="287" spans="1:11" ht="15">
      <c r="A287" s="13">
        <v>50375</v>
      </c>
      <c r="B287" s="63">
        <f>4.7804 * CHOOSE(CONTROL!$C$22, $C$13, 100%, $E$13)</f>
        <v>4.7804000000000002</v>
      </c>
      <c r="C287" s="63">
        <f>4.7804 * CHOOSE(CONTROL!$C$22, $C$13, 100%, $E$13)</f>
        <v>4.7804000000000002</v>
      </c>
      <c r="D287" s="63">
        <f>4.7926 * CHOOSE(CONTROL!$C$22, $C$13, 100%, $E$13)</f>
        <v>4.7926000000000002</v>
      </c>
      <c r="E287" s="64">
        <f>5.4663 * CHOOSE(CONTROL!$C$22, $C$13, 100%, $E$13)</f>
        <v>5.4663000000000004</v>
      </c>
      <c r="F287" s="64">
        <f>5.4663 * CHOOSE(CONTROL!$C$22, $C$13, 100%, $E$13)</f>
        <v>5.4663000000000004</v>
      </c>
      <c r="G287" s="64">
        <f>5.4665 * CHOOSE(CONTROL!$C$22, $C$13, 100%, $E$13)</f>
        <v>5.4664999999999999</v>
      </c>
      <c r="H287" s="64">
        <f>9.907* CHOOSE(CONTROL!$C$22, $C$13, 100%, $E$13)</f>
        <v>9.907</v>
      </c>
      <c r="I287" s="64">
        <f>9.9072 * CHOOSE(CONTROL!$C$22, $C$13, 100%, $E$13)</f>
        <v>9.9071999999999996</v>
      </c>
      <c r="J287" s="64">
        <f>5.4663 * CHOOSE(CONTROL!$C$22, $C$13, 100%, $E$13)</f>
        <v>5.4663000000000004</v>
      </c>
      <c r="K287" s="64">
        <f>5.4665 * CHOOSE(CONTROL!$C$22, $C$13, 100%, $E$13)</f>
        <v>5.4664999999999999</v>
      </c>
    </row>
    <row r="288" spans="1:11" ht="15">
      <c r="A288" s="13">
        <v>50406</v>
      </c>
      <c r="B288" s="63">
        <f>4.8249 * CHOOSE(CONTROL!$C$22, $C$13, 100%, $E$13)</f>
        <v>4.8249000000000004</v>
      </c>
      <c r="C288" s="63">
        <f>4.8249 * CHOOSE(CONTROL!$C$22, $C$13, 100%, $E$13)</f>
        <v>4.8249000000000004</v>
      </c>
      <c r="D288" s="63">
        <f>4.8371 * CHOOSE(CONTROL!$C$22, $C$13, 100%, $E$13)</f>
        <v>4.8371000000000004</v>
      </c>
      <c r="E288" s="64">
        <f>5.5383 * CHOOSE(CONTROL!$C$22, $C$13, 100%, $E$13)</f>
        <v>5.5382999999999996</v>
      </c>
      <c r="F288" s="64">
        <f>5.5383 * CHOOSE(CONTROL!$C$22, $C$13, 100%, $E$13)</f>
        <v>5.5382999999999996</v>
      </c>
      <c r="G288" s="64">
        <f>5.5385 * CHOOSE(CONTROL!$C$22, $C$13, 100%, $E$13)</f>
        <v>5.5385</v>
      </c>
      <c r="H288" s="64">
        <f>9.9277* CHOOSE(CONTROL!$C$22, $C$13, 100%, $E$13)</f>
        <v>9.9276999999999997</v>
      </c>
      <c r="I288" s="64">
        <f>9.9278 * CHOOSE(CONTROL!$C$22, $C$13, 100%, $E$13)</f>
        <v>9.9277999999999995</v>
      </c>
      <c r="J288" s="64">
        <f>5.5383 * CHOOSE(CONTROL!$C$22, $C$13, 100%, $E$13)</f>
        <v>5.5382999999999996</v>
      </c>
      <c r="K288" s="64">
        <f>5.5385 * CHOOSE(CONTROL!$C$22, $C$13, 100%, $E$13)</f>
        <v>5.5385</v>
      </c>
    </row>
    <row r="289" spans="1:11" ht="15">
      <c r="A289" s="13">
        <v>50437</v>
      </c>
      <c r="B289" s="63">
        <f>4.8219 * CHOOSE(CONTROL!$C$22, $C$13, 100%, $E$13)</f>
        <v>4.8219000000000003</v>
      </c>
      <c r="C289" s="63">
        <f>4.8219 * CHOOSE(CONTROL!$C$22, $C$13, 100%, $E$13)</f>
        <v>4.8219000000000003</v>
      </c>
      <c r="D289" s="63">
        <f>4.8341 * CHOOSE(CONTROL!$C$22, $C$13, 100%, $E$13)</f>
        <v>4.8341000000000003</v>
      </c>
      <c r="E289" s="64">
        <f>5.4757 * CHOOSE(CONTROL!$C$22, $C$13, 100%, $E$13)</f>
        <v>5.4756999999999998</v>
      </c>
      <c r="F289" s="64">
        <f>5.4757 * CHOOSE(CONTROL!$C$22, $C$13, 100%, $E$13)</f>
        <v>5.4756999999999998</v>
      </c>
      <c r="G289" s="64">
        <f>5.4759 * CHOOSE(CONTROL!$C$22, $C$13, 100%, $E$13)</f>
        <v>5.4759000000000002</v>
      </c>
      <c r="H289" s="64">
        <f>9.9483* CHOOSE(CONTROL!$C$22, $C$13, 100%, $E$13)</f>
        <v>9.9482999999999997</v>
      </c>
      <c r="I289" s="64">
        <f>9.9485 * CHOOSE(CONTROL!$C$22, $C$13, 100%, $E$13)</f>
        <v>9.9484999999999992</v>
      </c>
      <c r="J289" s="64">
        <f>5.4757 * CHOOSE(CONTROL!$C$22, $C$13, 100%, $E$13)</f>
        <v>5.4756999999999998</v>
      </c>
      <c r="K289" s="64">
        <f>5.4759 * CHOOSE(CONTROL!$C$22, $C$13, 100%, $E$13)</f>
        <v>5.4759000000000002</v>
      </c>
    </row>
    <row r="290" spans="1:11" ht="15">
      <c r="A290" s="13">
        <v>50465</v>
      </c>
      <c r="B290" s="63">
        <f>4.8188 * CHOOSE(CONTROL!$C$22, $C$13, 100%, $E$13)</f>
        <v>4.8188000000000004</v>
      </c>
      <c r="C290" s="63">
        <f>4.8188 * CHOOSE(CONTROL!$C$22, $C$13, 100%, $E$13)</f>
        <v>4.8188000000000004</v>
      </c>
      <c r="D290" s="63">
        <f>4.831 * CHOOSE(CONTROL!$C$22, $C$13, 100%, $E$13)</f>
        <v>4.8310000000000004</v>
      </c>
      <c r="E290" s="64">
        <f>5.5212 * CHOOSE(CONTROL!$C$22, $C$13, 100%, $E$13)</f>
        <v>5.5212000000000003</v>
      </c>
      <c r="F290" s="64">
        <f>5.5212 * CHOOSE(CONTROL!$C$22, $C$13, 100%, $E$13)</f>
        <v>5.5212000000000003</v>
      </c>
      <c r="G290" s="64">
        <f>5.5214 * CHOOSE(CONTROL!$C$22, $C$13, 100%, $E$13)</f>
        <v>5.5213999999999999</v>
      </c>
      <c r="H290" s="64">
        <f>9.9691* CHOOSE(CONTROL!$C$22, $C$13, 100%, $E$13)</f>
        <v>9.9690999999999992</v>
      </c>
      <c r="I290" s="64">
        <f>9.9692 * CHOOSE(CONTROL!$C$22, $C$13, 100%, $E$13)</f>
        <v>9.9692000000000007</v>
      </c>
      <c r="J290" s="64">
        <f>5.5212 * CHOOSE(CONTROL!$C$22, $C$13, 100%, $E$13)</f>
        <v>5.5212000000000003</v>
      </c>
      <c r="K290" s="64">
        <f>5.5214 * CHOOSE(CONTROL!$C$22, $C$13, 100%, $E$13)</f>
        <v>5.5213999999999999</v>
      </c>
    </row>
    <row r="291" spans="1:11" ht="15">
      <c r="A291" s="13">
        <v>50496</v>
      </c>
      <c r="B291" s="63">
        <f>4.8172 * CHOOSE(CONTROL!$C$22, $C$13, 100%, $E$13)</f>
        <v>4.8171999999999997</v>
      </c>
      <c r="C291" s="63">
        <f>4.8172 * CHOOSE(CONTROL!$C$22, $C$13, 100%, $E$13)</f>
        <v>4.8171999999999997</v>
      </c>
      <c r="D291" s="63">
        <f>4.8294 * CHOOSE(CONTROL!$C$22, $C$13, 100%, $E$13)</f>
        <v>4.8293999999999997</v>
      </c>
      <c r="E291" s="64">
        <f>5.5682 * CHOOSE(CONTROL!$C$22, $C$13, 100%, $E$13)</f>
        <v>5.5682</v>
      </c>
      <c r="F291" s="64">
        <f>5.5682 * CHOOSE(CONTROL!$C$22, $C$13, 100%, $E$13)</f>
        <v>5.5682</v>
      </c>
      <c r="G291" s="64">
        <f>5.5684 * CHOOSE(CONTROL!$C$22, $C$13, 100%, $E$13)</f>
        <v>5.5683999999999996</v>
      </c>
      <c r="H291" s="64">
        <f>9.9898* CHOOSE(CONTROL!$C$22, $C$13, 100%, $E$13)</f>
        <v>9.9898000000000007</v>
      </c>
      <c r="I291" s="64">
        <f>9.99 * CHOOSE(CONTROL!$C$22, $C$13, 100%, $E$13)</f>
        <v>9.99</v>
      </c>
      <c r="J291" s="64">
        <f>5.5682 * CHOOSE(CONTROL!$C$22, $C$13, 100%, $E$13)</f>
        <v>5.5682</v>
      </c>
      <c r="K291" s="64">
        <f>5.5684 * CHOOSE(CONTROL!$C$22, $C$13, 100%, $E$13)</f>
        <v>5.5683999999999996</v>
      </c>
    </row>
    <row r="292" spans="1:11" ht="15">
      <c r="A292" s="13">
        <v>50526</v>
      </c>
      <c r="B292" s="63">
        <f>4.8172 * CHOOSE(CONTROL!$C$22, $C$13, 100%, $E$13)</f>
        <v>4.8171999999999997</v>
      </c>
      <c r="C292" s="63">
        <f>4.8172 * CHOOSE(CONTROL!$C$22, $C$13, 100%, $E$13)</f>
        <v>4.8171999999999997</v>
      </c>
      <c r="D292" s="63">
        <f>4.8417 * CHOOSE(CONTROL!$C$22, $C$13, 100%, $E$13)</f>
        <v>4.8417000000000003</v>
      </c>
      <c r="E292" s="64">
        <f>5.5874 * CHOOSE(CONTROL!$C$22, $C$13, 100%, $E$13)</f>
        <v>5.5873999999999997</v>
      </c>
      <c r="F292" s="64">
        <f>5.5874 * CHOOSE(CONTROL!$C$22, $C$13, 100%, $E$13)</f>
        <v>5.5873999999999997</v>
      </c>
      <c r="G292" s="64">
        <f>5.589 * CHOOSE(CONTROL!$C$22, $C$13, 100%, $E$13)</f>
        <v>5.5890000000000004</v>
      </c>
      <c r="H292" s="64">
        <f>10.0107* CHOOSE(CONTROL!$C$22, $C$13, 100%, $E$13)</f>
        <v>10.0107</v>
      </c>
      <c r="I292" s="64">
        <f>10.0122 * CHOOSE(CONTROL!$C$22, $C$13, 100%, $E$13)</f>
        <v>10.0122</v>
      </c>
      <c r="J292" s="64">
        <f>5.5874 * CHOOSE(CONTROL!$C$22, $C$13, 100%, $E$13)</f>
        <v>5.5873999999999997</v>
      </c>
      <c r="K292" s="64">
        <f>5.589 * CHOOSE(CONTROL!$C$22, $C$13, 100%, $E$13)</f>
        <v>5.5890000000000004</v>
      </c>
    </row>
    <row r="293" spans="1:11" ht="15">
      <c r="A293" s="13">
        <v>50557</v>
      </c>
      <c r="B293" s="63">
        <f>4.8233 * CHOOSE(CONTROL!$C$22, $C$13, 100%, $E$13)</f>
        <v>4.8232999999999997</v>
      </c>
      <c r="C293" s="63">
        <f>4.8233 * CHOOSE(CONTROL!$C$22, $C$13, 100%, $E$13)</f>
        <v>4.8232999999999997</v>
      </c>
      <c r="D293" s="63">
        <f>4.8477 * CHOOSE(CONTROL!$C$22, $C$13, 100%, $E$13)</f>
        <v>4.8476999999999997</v>
      </c>
      <c r="E293" s="64">
        <f>5.5724 * CHOOSE(CONTROL!$C$22, $C$13, 100%, $E$13)</f>
        <v>5.5724</v>
      </c>
      <c r="F293" s="64">
        <f>5.5724 * CHOOSE(CONTROL!$C$22, $C$13, 100%, $E$13)</f>
        <v>5.5724</v>
      </c>
      <c r="G293" s="64">
        <f>5.574 * CHOOSE(CONTROL!$C$22, $C$13, 100%, $E$13)</f>
        <v>5.5739999999999998</v>
      </c>
      <c r="H293" s="64">
        <f>10.0315* CHOOSE(CONTROL!$C$22, $C$13, 100%, $E$13)</f>
        <v>10.031499999999999</v>
      </c>
      <c r="I293" s="64">
        <f>10.0331 * CHOOSE(CONTROL!$C$22, $C$13, 100%, $E$13)</f>
        <v>10.033099999999999</v>
      </c>
      <c r="J293" s="64">
        <f>5.5724 * CHOOSE(CONTROL!$C$22, $C$13, 100%, $E$13)</f>
        <v>5.5724</v>
      </c>
      <c r="K293" s="64">
        <f>5.574 * CHOOSE(CONTROL!$C$22, $C$13, 100%, $E$13)</f>
        <v>5.5739999999999998</v>
      </c>
    </row>
    <row r="294" spans="1:11" ht="15">
      <c r="A294" s="13">
        <v>50587</v>
      </c>
      <c r="B294" s="63">
        <f>4.9066 * CHOOSE(CONTROL!$C$22, $C$13, 100%, $E$13)</f>
        <v>4.9066000000000001</v>
      </c>
      <c r="C294" s="63">
        <f>4.9066 * CHOOSE(CONTROL!$C$22, $C$13, 100%, $E$13)</f>
        <v>4.9066000000000001</v>
      </c>
      <c r="D294" s="63">
        <f>4.931 * CHOOSE(CONTROL!$C$22, $C$13, 100%, $E$13)</f>
        <v>4.931</v>
      </c>
      <c r="E294" s="64">
        <f>5.6862 * CHOOSE(CONTROL!$C$22, $C$13, 100%, $E$13)</f>
        <v>5.6862000000000004</v>
      </c>
      <c r="F294" s="64">
        <f>5.6862 * CHOOSE(CONTROL!$C$22, $C$13, 100%, $E$13)</f>
        <v>5.6862000000000004</v>
      </c>
      <c r="G294" s="64">
        <f>5.6877 * CHOOSE(CONTROL!$C$22, $C$13, 100%, $E$13)</f>
        <v>5.6877000000000004</v>
      </c>
      <c r="H294" s="64">
        <f>10.0524* CHOOSE(CONTROL!$C$22, $C$13, 100%, $E$13)</f>
        <v>10.0524</v>
      </c>
      <c r="I294" s="64">
        <f>10.054 * CHOOSE(CONTROL!$C$22, $C$13, 100%, $E$13)</f>
        <v>10.054</v>
      </c>
      <c r="J294" s="64">
        <f>5.6862 * CHOOSE(CONTROL!$C$22, $C$13, 100%, $E$13)</f>
        <v>5.6862000000000004</v>
      </c>
      <c r="K294" s="64">
        <f>5.6877 * CHOOSE(CONTROL!$C$22, $C$13, 100%, $E$13)</f>
        <v>5.6877000000000004</v>
      </c>
    </row>
    <row r="295" spans="1:11" ht="15">
      <c r="A295" s="13">
        <v>50618</v>
      </c>
      <c r="B295" s="63">
        <f>4.9133 * CHOOSE(CONTROL!$C$22, $C$13, 100%, $E$13)</f>
        <v>4.9132999999999996</v>
      </c>
      <c r="C295" s="63">
        <f>4.9133 * CHOOSE(CONTROL!$C$22, $C$13, 100%, $E$13)</f>
        <v>4.9132999999999996</v>
      </c>
      <c r="D295" s="63">
        <f>4.9377 * CHOOSE(CONTROL!$C$22, $C$13, 100%, $E$13)</f>
        <v>4.9377000000000004</v>
      </c>
      <c r="E295" s="64">
        <f>5.6332 * CHOOSE(CONTROL!$C$22, $C$13, 100%, $E$13)</f>
        <v>5.6332000000000004</v>
      </c>
      <c r="F295" s="64">
        <f>5.6332 * CHOOSE(CONTROL!$C$22, $C$13, 100%, $E$13)</f>
        <v>5.6332000000000004</v>
      </c>
      <c r="G295" s="64">
        <f>5.6348 * CHOOSE(CONTROL!$C$22, $C$13, 100%, $E$13)</f>
        <v>5.6348000000000003</v>
      </c>
      <c r="H295" s="64">
        <f>10.0733* CHOOSE(CONTROL!$C$22, $C$13, 100%, $E$13)</f>
        <v>10.0733</v>
      </c>
      <c r="I295" s="64">
        <f>10.0749 * CHOOSE(CONTROL!$C$22, $C$13, 100%, $E$13)</f>
        <v>10.0749</v>
      </c>
      <c r="J295" s="64">
        <f>5.6332 * CHOOSE(CONTROL!$C$22, $C$13, 100%, $E$13)</f>
        <v>5.6332000000000004</v>
      </c>
      <c r="K295" s="64">
        <f>5.6348 * CHOOSE(CONTROL!$C$22, $C$13, 100%, $E$13)</f>
        <v>5.6348000000000003</v>
      </c>
    </row>
    <row r="296" spans="1:11" ht="15">
      <c r="A296" s="13">
        <v>50649</v>
      </c>
      <c r="B296" s="63">
        <f>4.9102 * CHOOSE(CONTROL!$C$22, $C$13, 100%, $E$13)</f>
        <v>4.9101999999999997</v>
      </c>
      <c r="C296" s="63">
        <f>4.9102 * CHOOSE(CONTROL!$C$22, $C$13, 100%, $E$13)</f>
        <v>4.9101999999999997</v>
      </c>
      <c r="D296" s="63">
        <f>4.9347 * CHOOSE(CONTROL!$C$22, $C$13, 100%, $E$13)</f>
        <v>4.9347000000000003</v>
      </c>
      <c r="E296" s="64">
        <f>5.6247 * CHOOSE(CONTROL!$C$22, $C$13, 100%, $E$13)</f>
        <v>5.6246999999999998</v>
      </c>
      <c r="F296" s="64">
        <f>5.6247 * CHOOSE(CONTROL!$C$22, $C$13, 100%, $E$13)</f>
        <v>5.6246999999999998</v>
      </c>
      <c r="G296" s="64">
        <f>5.6263 * CHOOSE(CONTROL!$C$22, $C$13, 100%, $E$13)</f>
        <v>5.6262999999999996</v>
      </c>
      <c r="H296" s="64">
        <f>10.0943* CHOOSE(CONTROL!$C$22, $C$13, 100%, $E$13)</f>
        <v>10.0943</v>
      </c>
      <c r="I296" s="64">
        <f>10.0959 * CHOOSE(CONTROL!$C$22, $C$13, 100%, $E$13)</f>
        <v>10.0959</v>
      </c>
      <c r="J296" s="64">
        <f>5.6247 * CHOOSE(CONTROL!$C$22, $C$13, 100%, $E$13)</f>
        <v>5.6246999999999998</v>
      </c>
      <c r="K296" s="64">
        <f>5.6263 * CHOOSE(CONTROL!$C$22, $C$13, 100%, $E$13)</f>
        <v>5.6262999999999996</v>
      </c>
    </row>
    <row r="297" spans="1:11" ht="15">
      <c r="A297" s="13">
        <v>50679</v>
      </c>
      <c r="B297" s="63">
        <f>4.9086 * CHOOSE(CONTROL!$C$22, $C$13, 100%, $E$13)</f>
        <v>4.9085999999999999</v>
      </c>
      <c r="C297" s="63">
        <f>4.9086 * CHOOSE(CONTROL!$C$22, $C$13, 100%, $E$13)</f>
        <v>4.9085999999999999</v>
      </c>
      <c r="D297" s="63">
        <f>4.9208 * CHOOSE(CONTROL!$C$22, $C$13, 100%, $E$13)</f>
        <v>4.9207999999999998</v>
      </c>
      <c r="E297" s="64">
        <f>5.6369 * CHOOSE(CONTROL!$C$22, $C$13, 100%, $E$13)</f>
        <v>5.6368999999999998</v>
      </c>
      <c r="F297" s="64">
        <f>5.6369 * CHOOSE(CONTROL!$C$22, $C$13, 100%, $E$13)</f>
        <v>5.6368999999999998</v>
      </c>
      <c r="G297" s="64">
        <f>5.6371 * CHOOSE(CONTROL!$C$22, $C$13, 100%, $E$13)</f>
        <v>5.6371000000000002</v>
      </c>
      <c r="H297" s="64">
        <f>10.1154* CHOOSE(CONTROL!$C$22, $C$13, 100%, $E$13)</f>
        <v>10.115399999999999</v>
      </c>
      <c r="I297" s="64">
        <f>10.1155 * CHOOSE(CONTROL!$C$22, $C$13, 100%, $E$13)</f>
        <v>10.115500000000001</v>
      </c>
      <c r="J297" s="64">
        <f>5.6369 * CHOOSE(CONTROL!$C$22, $C$13, 100%, $E$13)</f>
        <v>5.6368999999999998</v>
      </c>
      <c r="K297" s="64">
        <f>5.6371 * CHOOSE(CONTROL!$C$22, $C$13, 100%, $E$13)</f>
        <v>5.6371000000000002</v>
      </c>
    </row>
    <row r="298" spans="1:11" ht="15">
      <c r="A298" s="13">
        <v>50710</v>
      </c>
      <c r="B298" s="63">
        <f>4.9116 * CHOOSE(CONTROL!$C$22, $C$13, 100%, $E$13)</f>
        <v>4.9116</v>
      </c>
      <c r="C298" s="63">
        <f>4.9116 * CHOOSE(CONTROL!$C$22, $C$13, 100%, $E$13)</f>
        <v>4.9116</v>
      </c>
      <c r="D298" s="63">
        <f>4.9238 * CHOOSE(CONTROL!$C$22, $C$13, 100%, $E$13)</f>
        <v>4.9238</v>
      </c>
      <c r="E298" s="64">
        <f>5.6518 * CHOOSE(CONTROL!$C$22, $C$13, 100%, $E$13)</f>
        <v>5.6517999999999997</v>
      </c>
      <c r="F298" s="64">
        <f>5.6518 * CHOOSE(CONTROL!$C$22, $C$13, 100%, $E$13)</f>
        <v>5.6517999999999997</v>
      </c>
      <c r="G298" s="64">
        <f>5.652 * CHOOSE(CONTROL!$C$22, $C$13, 100%, $E$13)</f>
        <v>5.6520000000000001</v>
      </c>
      <c r="H298" s="64">
        <f>10.1364* CHOOSE(CONTROL!$C$22, $C$13, 100%, $E$13)</f>
        <v>10.1364</v>
      </c>
      <c r="I298" s="64">
        <f>10.1366 * CHOOSE(CONTROL!$C$22, $C$13, 100%, $E$13)</f>
        <v>10.1366</v>
      </c>
      <c r="J298" s="64">
        <f>5.6518 * CHOOSE(CONTROL!$C$22, $C$13, 100%, $E$13)</f>
        <v>5.6517999999999997</v>
      </c>
      <c r="K298" s="64">
        <f>5.652 * CHOOSE(CONTROL!$C$22, $C$13, 100%, $E$13)</f>
        <v>5.6520000000000001</v>
      </c>
    </row>
    <row r="299" spans="1:11" ht="15">
      <c r="A299" s="13">
        <v>50740</v>
      </c>
      <c r="B299" s="63">
        <f>4.9116 * CHOOSE(CONTROL!$C$22, $C$13, 100%, $E$13)</f>
        <v>4.9116</v>
      </c>
      <c r="C299" s="63">
        <f>4.9116 * CHOOSE(CONTROL!$C$22, $C$13, 100%, $E$13)</f>
        <v>4.9116</v>
      </c>
      <c r="D299" s="63">
        <f>4.9238 * CHOOSE(CONTROL!$C$22, $C$13, 100%, $E$13)</f>
        <v>4.9238</v>
      </c>
      <c r="E299" s="64">
        <f>5.6369 * CHOOSE(CONTROL!$C$22, $C$13, 100%, $E$13)</f>
        <v>5.6368999999999998</v>
      </c>
      <c r="F299" s="64">
        <f>5.6369 * CHOOSE(CONTROL!$C$22, $C$13, 100%, $E$13)</f>
        <v>5.6368999999999998</v>
      </c>
      <c r="G299" s="64">
        <f>5.6371 * CHOOSE(CONTROL!$C$22, $C$13, 100%, $E$13)</f>
        <v>5.6371000000000002</v>
      </c>
      <c r="H299" s="64">
        <f>10.1576* CHOOSE(CONTROL!$C$22, $C$13, 100%, $E$13)</f>
        <v>10.1576</v>
      </c>
      <c r="I299" s="64">
        <f>10.1577 * CHOOSE(CONTROL!$C$22, $C$13, 100%, $E$13)</f>
        <v>10.1577</v>
      </c>
      <c r="J299" s="64">
        <f>5.6369 * CHOOSE(CONTROL!$C$22, $C$13, 100%, $E$13)</f>
        <v>5.6368999999999998</v>
      </c>
      <c r="K299" s="64">
        <f>5.6371 * CHOOSE(CONTROL!$C$22, $C$13, 100%, $E$13)</f>
        <v>5.6371000000000002</v>
      </c>
    </row>
    <row r="300" spans="1:11" ht="15">
      <c r="A300" s="13">
        <v>50771</v>
      </c>
      <c r="B300" s="63">
        <f>4.9579 * CHOOSE(CONTROL!$C$22, $C$13, 100%, $E$13)</f>
        <v>4.9579000000000004</v>
      </c>
      <c r="C300" s="63">
        <f>4.9579 * CHOOSE(CONTROL!$C$22, $C$13, 100%, $E$13)</f>
        <v>4.9579000000000004</v>
      </c>
      <c r="D300" s="63">
        <f>4.9701 * CHOOSE(CONTROL!$C$22, $C$13, 100%, $E$13)</f>
        <v>4.9701000000000004</v>
      </c>
      <c r="E300" s="64">
        <f>5.6938 * CHOOSE(CONTROL!$C$22, $C$13, 100%, $E$13)</f>
        <v>5.6938000000000004</v>
      </c>
      <c r="F300" s="64">
        <f>5.6938 * CHOOSE(CONTROL!$C$22, $C$13, 100%, $E$13)</f>
        <v>5.6938000000000004</v>
      </c>
      <c r="G300" s="64">
        <f>5.6939 * CHOOSE(CONTROL!$C$22, $C$13, 100%, $E$13)</f>
        <v>5.6939000000000002</v>
      </c>
      <c r="H300" s="64">
        <f>10.1787* CHOOSE(CONTROL!$C$22, $C$13, 100%, $E$13)</f>
        <v>10.178699999999999</v>
      </c>
      <c r="I300" s="64">
        <f>10.1789 * CHOOSE(CONTROL!$C$22, $C$13, 100%, $E$13)</f>
        <v>10.178900000000001</v>
      </c>
      <c r="J300" s="64">
        <f>5.6938 * CHOOSE(CONTROL!$C$22, $C$13, 100%, $E$13)</f>
        <v>5.6938000000000004</v>
      </c>
      <c r="K300" s="64">
        <f>5.6939 * CHOOSE(CONTROL!$C$22, $C$13, 100%, $E$13)</f>
        <v>5.6939000000000002</v>
      </c>
    </row>
    <row r="301" spans="1:11" ht="15">
      <c r="A301" s="13">
        <v>50802</v>
      </c>
      <c r="B301" s="63">
        <f>4.9549 * CHOOSE(CONTROL!$C$22, $C$13, 100%, $E$13)</f>
        <v>4.9549000000000003</v>
      </c>
      <c r="C301" s="63">
        <f>4.9549 * CHOOSE(CONTROL!$C$22, $C$13, 100%, $E$13)</f>
        <v>4.9549000000000003</v>
      </c>
      <c r="D301" s="63">
        <f>4.9671 * CHOOSE(CONTROL!$C$22, $C$13, 100%, $E$13)</f>
        <v>4.9671000000000003</v>
      </c>
      <c r="E301" s="64">
        <f>5.6295 * CHOOSE(CONTROL!$C$22, $C$13, 100%, $E$13)</f>
        <v>5.6295000000000002</v>
      </c>
      <c r="F301" s="64">
        <f>5.6295 * CHOOSE(CONTROL!$C$22, $C$13, 100%, $E$13)</f>
        <v>5.6295000000000002</v>
      </c>
      <c r="G301" s="64">
        <f>5.6297 * CHOOSE(CONTROL!$C$22, $C$13, 100%, $E$13)</f>
        <v>5.6296999999999997</v>
      </c>
      <c r="H301" s="64">
        <f>10.1999* CHOOSE(CONTROL!$C$22, $C$13, 100%, $E$13)</f>
        <v>10.1999</v>
      </c>
      <c r="I301" s="64">
        <f>10.2001 * CHOOSE(CONTROL!$C$22, $C$13, 100%, $E$13)</f>
        <v>10.200100000000001</v>
      </c>
      <c r="J301" s="64">
        <f>5.6295 * CHOOSE(CONTROL!$C$22, $C$13, 100%, $E$13)</f>
        <v>5.6295000000000002</v>
      </c>
      <c r="K301" s="64">
        <f>5.6297 * CHOOSE(CONTROL!$C$22, $C$13, 100%, $E$13)</f>
        <v>5.6296999999999997</v>
      </c>
    </row>
    <row r="302" spans="1:11" ht="15">
      <c r="A302" s="13">
        <v>50830</v>
      </c>
      <c r="B302" s="63">
        <f>4.9518 * CHOOSE(CONTROL!$C$22, $C$13, 100%, $E$13)</f>
        <v>4.9518000000000004</v>
      </c>
      <c r="C302" s="63">
        <f>4.9518 * CHOOSE(CONTROL!$C$22, $C$13, 100%, $E$13)</f>
        <v>4.9518000000000004</v>
      </c>
      <c r="D302" s="63">
        <f>4.9641 * CHOOSE(CONTROL!$C$22, $C$13, 100%, $E$13)</f>
        <v>4.9641000000000002</v>
      </c>
      <c r="E302" s="64">
        <f>5.6764 * CHOOSE(CONTROL!$C$22, $C$13, 100%, $E$13)</f>
        <v>5.6764000000000001</v>
      </c>
      <c r="F302" s="64">
        <f>5.6764 * CHOOSE(CONTROL!$C$22, $C$13, 100%, $E$13)</f>
        <v>5.6764000000000001</v>
      </c>
      <c r="G302" s="64">
        <f>5.6766 * CHOOSE(CONTROL!$C$22, $C$13, 100%, $E$13)</f>
        <v>5.6765999999999996</v>
      </c>
      <c r="H302" s="64">
        <f>10.2212* CHOOSE(CONTROL!$C$22, $C$13, 100%, $E$13)</f>
        <v>10.2212</v>
      </c>
      <c r="I302" s="64">
        <f>10.2213 * CHOOSE(CONTROL!$C$22, $C$13, 100%, $E$13)</f>
        <v>10.221299999999999</v>
      </c>
      <c r="J302" s="64">
        <f>5.6764 * CHOOSE(CONTROL!$C$22, $C$13, 100%, $E$13)</f>
        <v>5.6764000000000001</v>
      </c>
      <c r="K302" s="64">
        <f>5.6766 * CHOOSE(CONTROL!$C$22, $C$13, 100%, $E$13)</f>
        <v>5.6765999999999996</v>
      </c>
    </row>
    <row r="303" spans="1:11" ht="15">
      <c r="A303" s="13">
        <v>50861</v>
      </c>
      <c r="B303" s="63">
        <f>4.9504 * CHOOSE(CONTROL!$C$22, $C$13, 100%, $E$13)</f>
        <v>4.9504000000000001</v>
      </c>
      <c r="C303" s="63">
        <f>4.9504 * CHOOSE(CONTROL!$C$22, $C$13, 100%, $E$13)</f>
        <v>4.9504000000000001</v>
      </c>
      <c r="D303" s="63">
        <f>4.9626 * CHOOSE(CONTROL!$C$22, $C$13, 100%, $E$13)</f>
        <v>4.9626000000000001</v>
      </c>
      <c r="E303" s="64">
        <f>5.7247 * CHOOSE(CONTROL!$C$22, $C$13, 100%, $E$13)</f>
        <v>5.7247000000000003</v>
      </c>
      <c r="F303" s="64">
        <f>5.7247 * CHOOSE(CONTROL!$C$22, $C$13, 100%, $E$13)</f>
        <v>5.7247000000000003</v>
      </c>
      <c r="G303" s="64">
        <f>5.7249 * CHOOSE(CONTROL!$C$22, $C$13, 100%, $E$13)</f>
        <v>5.7248999999999999</v>
      </c>
      <c r="H303" s="64">
        <f>10.2425* CHOOSE(CONTROL!$C$22, $C$13, 100%, $E$13)</f>
        <v>10.2425</v>
      </c>
      <c r="I303" s="64">
        <f>10.2426 * CHOOSE(CONTROL!$C$22, $C$13, 100%, $E$13)</f>
        <v>10.242599999999999</v>
      </c>
      <c r="J303" s="64">
        <f>5.7247 * CHOOSE(CONTROL!$C$22, $C$13, 100%, $E$13)</f>
        <v>5.7247000000000003</v>
      </c>
      <c r="K303" s="64">
        <f>5.7249 * CHOOSE(CONTROL!$C$22, $C$13, 100%, $E$13)</f>
        <v>5.7248999999999999</v>
      </c>
    </row>
    <row r="304" spans="1:11" ht="15">
      <c r="A304" s="13">
        <v>50891</v>
      </c>
      <c r="B304" s="63">
        <f>4.9504 * CHOOSE(CONTROL!$C$22, $C$13, 100%, $E$13)</f>
        <v>4.9504000000000001</v>
      </c>
      <c r="C304" s="63">
        <f>4.9504 * CHOOSE(CONTROL!$C$22, $C$13, 100%, $E$13)</f>
        <v>4.9504000000000001</v>
      </c>
      <c r="D304" s="63">
        <f>4.9748 * CHOOSE(CONTROL!$C$22, $C$13, 100%, $E$13)</f>
        <v>4.9748000000000001</v>
      </c>
      <c r="E304" s="64">
        <f>5.7445 * CHOOSE(CONTROL!$C$22, $C$13, 100%, $E$13)</f>
        <v>5.7445000000000004</v>
      </c>
      <c r="F304" s="64">
        <f>5.7445 * CHOOSE(CONTROL!$C$22, $C$13, 100%, $E$13)</f>
        <v>5.7445000000000004</v>
      </c>
      <c r="G304" s="64">
        <f>5.746 * CHOOSE(CONTROL!$C$22, $C$13, 100%, $E$13)</f>
        <v>5.7460000000000004</v>
      </c>
      <c r="H304" s="64">
        <f>10.2638* CHOOSE(CONTROL!$C$22, $C$13, 100%, $E$13)</f>
        <v>10.2638</v>
      </c>
      <c r="I304" s="64">
        <f>10.2654 * CHOOSE(CONTROL!$C$22, $C$13, 100%, $E$13)</f>
        <v>10.2654</v>
      </c>
      <c r="J304" s="64">
        <f>5.7445 * CHOOSE(CONTROL!$C$22, $C$13, 100%, $E$13)</f>
        <v>5.7445000000000004</v>
      </c>
      <c r="K304" s="64">
        <f>5.746 * CHOOSE(CONTROL!$C$22, $C$13, 100%, $E$13)</f>
        <v>5.7460000000000004</v>
      </c>
    </row>
    <row r="305" spans="1:11" ht="15">
      <c r="A305" s="13">
        <v>50922</v>
      </c>
      <c r="B305" s="63">
        <f>4.9565 * CHOOSE(CONTROL!$C$22, $C$13, 100%, $E$13)</f>
        <v>4.9565000000000001</v>
      </c>
      <c r="C305" s="63">
        <f>4.9565 * CHOOSE(CONTROL!$C$22, $C$13, 100%, $E$13)</f>
        <v>4.9565000000000001</v>
      </c>
      <c r="D305" s="63">
        <f>4.9809 * CHOOSE(CONTROL!$C$22, $C$13, 100%, $E$13)</f>
        <v>4.9809000000000001</v>
      </c>
      <c r="E305" s="64">
        <f>5.729 * CHOOSE(CONTROL!$C$22, $C$13, 100%, $E$13)</f>
        <v>5.7290000000000001</v>
      </c>
      <c r="F305" s="64">
        <f>5.729 * CHOOSE(CONTROL!$C$22, $C$13, 100%, $E$13)</f>
        <v>5.7290000000000001</v>
      </c>
      <c r="G305" s="64">
        <f>5.7305 * CHOOSE(CONTROL!$C$22, $C$13, 100%, $E$13)</f>
        <v>5.7305000000000001</v>
      </c>
      <c r="H305" s="64">
        <f>10.2852* CHOOSE(CONTROL!$C$22, $C$13, 100%, $E$13)</f>
        <v>10.2852</v>
      </c>
      <c r="I305" s="64">
        <f>10.2868 * CHOOSE(CONTROL!$C$22, $C$13, 100%, $E$13)</f>
        <v>10.286799999999999</v>
      </c>
      <c r="J305" s="64">
        <f>5.729 * CHOOSE(CONTROL!$C$22, $C$13, 100%, $E$13)</f>
        <v>5.7290000000000001</v>
      </c>
      <c r="K305" s="64">
        <f>5.7305 * CHOOSE(CONTROL!$C$22, $C$13, 100%, $E$13)</f>
        <v>5.7305000000000001</v>
      </c>
    </row>
    <row r="306" spans="1:11" ht="15">
      <c r="A306" s="13">
        <v>50952</v>
      </c>
      <c r="B306" s="63">
        <f>5.043 * CHOOSE(CONTROL!$C$22, $C$13, 100%, $E$13)</f>
        <v>5.0430000000000001</v>
      </c>
      <c r="C306" s="63">
        <f>5.043 * CHOOSE(CONTROL!$C$22, $C$13, 100%, $E$13)</f>
        <v>5.0430000000000001</v>
      </c>
      <c r="D306" s="63">
        <f>5.0675 * CHOOSE(CONTROL!$C$22, $C$13, 100%, $E$13)</f>
        <v>5.0674999999999999</v>
      </c>
      <c r="E306" s="64">
        <f>5.8439 * CHOOSE(CONTROL!$C$22, $C$13, 100%, $E$13)</f>
        <v>5.8438999999999997</v>
      </c>
      <c r="F306" s="64">
        <f>5.8439 * CHOOSE(CONTROL!$C$22, $C$13, 100%, $E$13)</f>
        <v>5.8438999999999997</v>
      </c>
      <c r="G306" s="64">
        <f>5.8455 * CHOOSE(CONTROL!$C$22, $C$13, 100%, $E$13)</f>
        <v>5.8455000000000004</v>
      </c>
      <c r="H306" s="64">
        <f>10.3066* CHOOSE(CONTROL!$C$22, $C$13, 100%, $E$13)</f>
        <v>10.3066</v>
      </c>
      <c r="I306" s="64">
        <f>10.3082 * CHOOSE(CONTROL!$C$22, $C$13, 100%, $E$13)</f>
        <v>10.308199999999999</v>
      </c>
      <c r="J306" s="64">
        <f>5.8439 * CHOOSE(CONTROL!$C$22, $C$13, 100%, $E$13)</f>
        <v>5.8438999999999997</v>
      </c>
      <c r="K306" s="64">
        <f>5.8455 * CHOOSE(CONTROL!$C$22, $C$13, 100%, $E$13)</f>
        <v>5.8455000000000004</v>
      </c>
    </row>
    <row r="307" spans="1:11" ht="15">
      <c r="A307" s="13">
        <v>50983</v>
      </c>
      <c r="B307" s="63">
        <f>5.0497 * CHOOSE(CONTROL!$C$22, $C$13, 100%, $E$13)</f>
        <v>5.0496999999999996</v>
      </c>
      <c r="C307" s="63">
        <f>5.0497 * CHOOSE(CONTROL!$C$22, $C$13, 100%, $E$13)</f>
        <v>5.0496999999999996</v>
      </c>
      <c r="D307" s="63">
        <f>5.0741 * CHOOSE(CONTROL!$C$22, $C$13, 100%, $E$13)</f>
        <v>5.0740999999999996</v>
      </c>
      <c r="E307" s="64">
        <f>5.7894 * CHOOSE(CONTROL!$C$22, $C$13, 100%, $E$13)</f>
        <v>5.7893999999999997</v>
      </c>
      <c r="F307" s="64">
        <f>5.7894 * CHOOSE(CONTROL!$C$22, $C$13, 100%, $E$13)</f>
        <v>5.7893999999999997</v>
      </c>
      <c r="G307" s="64">
        <f>5.791 * CHOOSE(CONTROL!$C$22, $C$13, 100%, $E$13)</f>
        <v>5.7910000000000004</v>
      </c>
      <c r="H307" s="64">
        <f>10.3281* CHOOSE(CONTROL!$C$22, $C$13, 100%, $E$13)</f>
        <v>10.328099999999999</v>
      </c>
      <c r="I307" s="64">
        <f>10.3297 * CHOOSE(CONTROL!$C$22, $C$13, 100%, $E$13)</f>
        <v>10.329700000000001</v>
      </c>
      <c r="J307" s="64">
        <f>5.7894 * CHOOSE(CONTROL!$C$22, $C$13, 100%, $E$13)</f>
        <v>5.7893999999999997</v>
      </c>
      <c r="K307" s="64">
        <f>5.791 * CHOOSE(CONTROL!$C$22, $C$13, 100%, $E$13)</f>
        <v>5.7910000000000004</v>
      </c>
    </row>
    <row r="308" spans="1:11" ht="15">
      <c r="A308" s="13">
        <v>51014</v>
      </c>
      <c r="B308" s="63">
        <f>5.0467 * CHOOSE(CONTROL!$C$22, $C$13, 100%, $E$13)</f>
        <v>5.0467000000000004</v>
      </c>
      <c r="C308" s="63">
        <f>5.0467 * CHOOSE(CONTROL!$C$22, $C$13, 100%, $E$13)</f>
        <v>5.0467000000000004</v>
      </c>
      <c r="D308" s="63">
        <f>5.0711 * CHOOSE(CONTROL!$C$22, $C$13, 100%, $E$13)</f>
        <v>5.0711000000000004</v>
      </c>
      <c r="E308" s="64">
        <f>5.7807 * CHOOSE(CONTROL!$C$22, $C$13, 100%, $E$13)</f>
        <v>5.7807000000000004</v>
      </c>
      <c r="F308" s="64">
        <f>5.7807 * CHOOSE(CONTROL!$C$22, $C$13, 100%, $E$13)</f>
        <v>5.7807000000000004</v>
      </c>
      <c r="G308" s="64">
        <f>5.7823 * CHOOSE(CONTROL!$C$22, $C$13, 100%, $E$13)</f>
        <v>5.7823000000000002</v>
      </c>
      <c r="H308" s="64">
        <f>10.3496* CHOOSE(CONTROL!$C$22, $C$13, 100%, $E$13)</f>
        <v>10.349600000000001</v>
      </c>
      <c r="I308" s="64">
        <f>10.3512 * CHOOSE(CONTROL!$C$22, $C$13, 100%, $E$13)</f>
        <v>10.3512</v>
      </c>
      <c r="J308" s="64">
        <f>5.7807 * CHOOSE(CONTROL!$C$22, $C$13, 100%, $E$13)</f>
        <v>5.7807000000000004</v>
      </c>
      <c r="K308" s="64">
        <f>5.7823 * CHOOSE(CONTROL!$C$22, $C$13, 100%, $E$13)</f>
        <v>5.7823000000000002</v>
      </c>
    </row>
    <row r="309" spans="1:11" ht="15">
      <c r="A309" s="13">
        <v>51044</v>
      </c>
      <c r="B309" s="63">
        <f>5.0455 * CHOOSE(CONTROL!$C$22, $C$13, 100%, $E$13)</f>
        <v>5.0454999999999997</v>
      </c>
      <c r="C309" s="63">
        <f>5.0455 * CHOOSE(CONTROL!$C$22, $C$13, 100%, $E$13)</f>
        <v>5.0454999999999997</v>
      </c>
      <c r="D309" s="63">
        <f>5.0577 * CHOOSE(CONTROL!$C$22, $C$13, 100%, $E$13)</f>
        <v>5.0576999999999996</v>
      </c>
      <c r="E309" s="64">
        <f>5.7936 * CHOOSE(CONTROL!$C$22, $C$13, 100%, $E$13)</f>
        <v>5.7935999999999996</v>
      </c>
      <c r="F309" s="64">
        <f>5.7936 * CHOOSE(CONTROL!$C$22, $C$13, 100%, $E$13)</f>
        <v>5.7935999999999996</v>
      </c>
      <c r="G309" s="64">
        <f>5.7938 * CHOOSE(CONTROL!$C$22, $C$13, 100%, $E$13)</f>
        <v>5.7938000000000001</v>
      </c>
      <c r="H309" s="64">
        <f>10.3712* CHOOSE(CONTROL!$C$22, $C$13, 100%, $E$13)</f>
        <v>10.3712</v>
      </c>
      <c r="I309" s="64">
        <f>10.3713 * CHOOSE(CONTROL!$C$22, $C$13, 100%, $E$13)</f>
        <v>10.3713</v>
      </c>
      <c r="J309" s="64">
        <f>5.7936 * CHOOSE(CONTROL!$C$22, $C$13, 100%, $E$13)</f>
        <v>5.7935999999999996</v>
      </c>
      <c r="K309" s="64">
        <f>5.7938 * CHOOSE(CONTROL!$C$22, $C$13, 100%, $E$13)</f>
        <v>5.7938000000000001</v>
      </c>
    </row>
    <row r="310" spans="1:11" ht="15">
      <c r="A310" s="13">
        <v>51075</v>
      </c>
      <c r="B310" s="63">
        <f>5.0485 * CHOOSE(CONTROL!$C$22, $C$13, 100%, $E$13)</f>
        <v>5.0484999999999998</v>
      </c>
      <c r="C310" s="63">
        <f>5.0485 * CHOOSE(CONTROL!$C$22, $C$13, 100%, $E$13)</f>
        <v>5.0484999999999998</v>
      </c>
      <c r="D310" s="63">
        <f>5.0607 * CHOOSE(CONTROL!$C$22, $C$13, 100%, $E$13)</f>
        <v>5.0606999999999998</v>
      </c>
      <c r="E310" s="64">
        <f>5.8089 * CHOOSE(CONTROL!$C$22, $C$13, 100%, $E$13)</f>
        <v>5.8089000000000004</v>
      </c>
      <c r="F310" s="64">
        <f>5.8089 * CHOOSE(CONTROL!$C$22, $C$13, 100%, $E$13)</f>
        <v>5.8089000000000004</v>
      </c>
      <c r="G310" s="64">
        <f>5.809 * CHOOSE(CONTROL!$C$22, $C$13, 100%, $E$13)</f>
        <v>5.8090000000000002</v>
      </c>
      <c r="H310" s="64">
        <f>10.3928* CHOOSE(CONTROL!$C$22, $C$13, 100%, $E$13)</f>
        <v>10.392799999999999</v>
      </c>
      <c r="I310" s="64">
        <f>10.3929 * CHOOSE(CONTROL!$C$22, $C$13, 100%, $E$13)</f>
        <v>10.392899999999999</v>
      </c>
      <c r="J310" s="64">
        <f>5.8089 * CHOOSE(CONTROL!$C$22, $C$13, 100%, $E$13)</f>
        <v>5.8089000000000004</v>
      </c>
      <c r="K310" s="64">
        <f>5.809 * CHOOSE(CONTROL!$C$22, $C$13, 100%, $E$13)</f>
        <v>5.8090000000000002</v>
      </c>
    </row>
    <row r="311" spans="1:11" ht="15">
      <c r="A311" s="13">
        <v>51105</v>
      </c>
      <c r="B311" s="63">
        <f>5.0485 * CHOOSE(CONTROL!$C$22, $C$13, 100%, $E$13)</f>
        <v>5.0484999999999998</v>
      </c>
      <c r="C311" s="63">
        <f>5.0485 * CHOOSE(CONTROL!$C$22, $C$13, 100%, $E$13)</f>
        <v>5.0484999999999998</v>
      </c>
      <c r="D311" s="63">
        <f>5.0607 * CHOOSE(CONTROL!$C$22, $C$13, 100%, $E$13)</f>
        <v>5.0606999999999998</v>
      </c>
      <c r="E311" s="64">
        <f>5.776 * CHOOSE(CONTROL!$C$22, $C$13, 100%, $E$13)</f>
        <v>5.7759999999999998</v>
      </c>
      <c r="F311" s="64">
        <f>5.776 * CHOOSE(CONTROL!$C$22, $C$13, 100%, $E$13)</f>
        <v>5.7759999999999998</v>
      </c>
      <c r="G311" s="64">
        <f>5.7762 * CHOOSE(CONTROL!$C$22, $C$13, 100%, $E$13)</f>
        <v>5.7762000000000002</v>
      </c>
      <c r="H311" s="64">
        <f>10.4144* CHOOSE(CONTROL!$C$22, $C$13, 100%, $E$13)</f>
        <v>10.414400000000001</v>
      </c>
      <c r="I311" s="64">
        <f>10.4146 * CHOOSE(CONTROL!$C$22, $C$13, 100%, $E$13)</f>
        <v>10.4146</v>
      </c>
      <c r="J311" s="64">
        <f>5.776 * CHOOSE(CONTROL!$C$22, $C$13, 100%, $E$13)</f>
        <v>5.7759999999999998</v>
      </c>
      <c r="K311" s="64">
        <f>5.7762 * CHOOSE(CONTROL!$C$22, $C$13, 100%, $E$13)</f>
        <v>5.7762000000000002</v>
      </c>
    </row>
    <row r="312" spans="1:11" ht="15">
      <c r="A312" s="13">
        <v>51136</v>
      </c>
      <c r="B312" s="63">
        <f>5.0944 * CHOOSE(CONTROL!$C$22, $C$13, 100%, $E$13)</f>
        <v>5.0944000000000003</v>
      </c>
      <c r="C312" s="63">
        <f>5.0944 * CHOOSE(CONTROL!$C$22, $C$13, 100%, $E$13)</f>
        <v>5.0944000000000003</v>
      </c>
      <c r="D312" s="63">
        <f>5.1066 * CHOOSE(CONTROL!$C$22, $C$13, 100%, $E$13)</f>
        <v>5.1066000000000003</v>
      </c>
      <c r="E312" s="64">
        <f>5.8526 * CHOOSE(CONTROL!$C$22, $C$13, 100%, $E$13)</f>
        <v>5.8525999999999998</v>
      </c>
      <c r="F312" s="64">
        <f>5.8526 * CHOOSE(CONTROL!$C$22, $C$13, 100%, $E$13)</f>
        <v>5.8525999999999998</v>
      </c>
      <c r="G312" s="64">
        <f>5.8528 * CHOOSE(CONTROL!$C$22, $C$13, 100%, $E$13)</f>
        <v>5.8528000000000002</v>
      </c>
      <c r="H312" s="64">
        <f>10.4361* CHOOSE(CONTROL!$C$22, $C$13, 100%, $E$13)</f>
        <v>10.4361</v>
      </c>
      <c r="I312" s="64">
        <f>10.4363 * CHOOSE(CONTROL!$C$22, $C$13, 100%, $E$13)</f>
        <v>10.436299999999999</v>
      </c>
      <c r="J312" s="64">
        <f>5.8526 * CHOOSE(CONTROL!$C$22, $C$13, 100%, $E$13)</f>
        <v>5.8525999999999998</v>
      </c>
      <c r="K312" s="64">
        <f>5.8528 * CHOOSE(CONTROL!$C$22, $C$13, 100%, $E$13)</f>
        <v>5.8528000000000002</v>
      </c>
    </row>
    <row r="313" spans="1:11" ht="15">
      <c r="A313" s="13">
        <v>51167</v>
      </c>
      <c r="B313" s="63">
        <f>5.0913 * CHOOSE(CONTROL!$C$22, $C$13, 100%, $E$13)</f>
        <v>5.0913000000000004</v>
      </c>
      <c r="C313" s="63">
        <f>5.0913 * CHOOSE(CONTROL!$C$22, $C$13, 100%, $E$13)</f>
        <v>5.0913000000000004</v>
      </c>
      <c r="D313" s="63">
        <f>5.1035 * CHOOSE(CONTROL!$C$22, $C$13, 100%, $E$13)</f>
        <v>5.1035000000000004</v>
      </c>
      <c r="E313" s="64">
        <f>5.7866 * CHOOSE(CONTROL!$C$22, $C$13, 100%, $E$13)</f>
        <v>5.7866</v>
      </c>
      <c r="F313" s="64">
        <f>5.7866 * CHOOSE(CONTROL!$C$22, $C$13, 100%, $E$13)</f>
        <v>5.7866</v>
      </c>
      <c r="G313" s="64">
        <f>5.7868 * CHOOSE(CONTROL!$C$22, $C$13, 100%, $E$13)</f>
        <v>5.7868000000000004</v>
      </c>
      <c r="H313" s="64">
        <f>10.4579* CHOOSE(CONTROL!$C$22, $C$13, 100%, $E$13)</f>
        <v>10.4579</v>
      </c>
      <c r="I313" s="64">
        <f>10.458 * CHOOSE(CONTROL!$C$22, $C$13, 100%, $E$13)</f>
        <v>10.458</v>
      </c>
      <c r="J313" s="64">
        <f>5.7866 * CHOOSE(CONTROL!$C$22, $C$13, 100%, $E$13)</f>
        <v>5.7866</v>
      </c>
      <c r="K313" s="64">
        <f>5.7868 * CHOOSE(CONTROL!$C$22, $C$13, 100%, $E$13)</f>
        <v>5.7868000000000004</v>
      </c>
    </row>
    <row r="314" spans="1:11" ht="15">
      <c r="A314" s="13">
        <v>51196</v>
      </c>
      <c r="B314" s="63">
        <f>5.0883 * CHOOSE(CONTROL!$C$22, $C$13, 100%, $E$13)</f>
        <v>5.0883000000000003</v>
      </c>
      <c r="C314" s="63">
        <f>5.0883 * CHOOSE(CONTROL!$C$22, $C$13, 100%, $E$13)</f>
        <v>5.0883000000000003</v>
      </c>
      <c r="D314" s="63">
        <f>5.1005 * CHOOSE(CONTROL!$C$22, $C$13, 100%, $E$13)</f>
        <v>5.1005000000000003</v>
      </c>
      <c r="E314" s="64">
        <f>5.8349 * CHOOSE(CONTROL!$C$22, $C$13, 100%, $E$13)</f>
        <v>5.8349000000000002</v>
      </c>
      <c r="F314" s="64">
        <f>5.8349 * CHOOSE(CONTROL!$C$22, $C$13, 100%, $E$13)</f>
        <v>5.8349000000000002</v>
      </c>
      <c r="G314" s="64">
        <f>5.835 * CHOOSE(CONTROL!$C$22, $C$13, 100%, $E$13)</f>
        <v>5.835</v>
      </c>
      <c r="H314" s="64">
        <f>10.4796* CHOOSE(CONTROL!$C$22, $C$13, 100%, $E$13)</f>
        <v>10.4796</v>
      </c>
      <c r="I314" s="64">
        <f>10.4798 * CHOOSE(CONTROL!$C$22, $C$13, 100%, $E$13)</f>
        <v>10.479799999999999</v>
      </c>
      <c r="J314" s="64">
        <f>5.8349 * CHOOSE(CONTROL!$C$22, $C$13, 100%, $E$13)</f>
        <v>5.8349000000000002</v>
      </c>
      <c r="K314" s="64">
        <f>5.835 * CHOOSE(CONTROL!$C$22, $C$13, 100%, $E$13)</f>
        <v>5.835</v>
      </c>
    </row>
    <row r="315" spans="1:11" ht="15">
      <c r="A315" s="13">
        <v>51227</v>
      </c>
      <c r="B315" s="63">
        <f>5.0869 * CHOOSE(CONTROL!$C$22, $C$13, 100%, $E$13)</f>
        <v>5.0869</v>
      </c>
      <c r="C315" s="63">
        <f>5.0869 * CHOOSE(CONTROL!$C$22, $C$13, 100%, $E$13)</f>
        <v>5.0869</v>
      </c>
      <c r="D315" s="63">
        <f>5.0992 * CHOOSE(CONTROL!$C$22, $C$13, 100%, $E$13)</f>
        <v>5.0991999999999997</v>
      </c>
      <c r="E315" s="64">
        <f>5.8847 * CHOOSE(CONTROL!$C$22, $C$13, 100%, $E$13)</f>
        <v>5.8846999999999996</v>
      </c>
      <c r="F315" s="64">
        <f>5.8847 * CHOOSE(CONTROL!$C$22, $C$13, 100%, $E$13)</f>
        <v>5.8846999999999996</v>
      </c>
      <c r="G315" s="64">
        <f>5.8849 * CHOOSE(CONTROL!$C$22, $C$13, 100%, $E$13)</f>
        <v>5.8849</v>
      </c>
      <c r="H315" s="64">
        <f>10.5015* CHOOSE(CONTROL!$C$22, $C$13, 100%, $E$13)</f>
        <v>10.5015</v>
      </c>
      <c r="I315" s="64">
        <f>10.5017 * CHOOSE(CONTROL!$C$22, $C$13, 100%, $E$13)</f>
        <v>10.5017</v>
      </c>
      <c r="J315" s="64">
        <f>5.8847 * CHOOSE(CONTROL!$C$22, $C$13, 100%, $E$13)</f>
        <v>5.8846999999999996</v>
      </c>
      <c r="K315" s="64">
        <f>5.8849 * CHOOSE(CONTROL!$C$22, $C$13, 100%, $E$13)</f>
        <v>5.8849</v>
      </c>
    </row>
    <row r="316" spans="1:11" ht="15">
      <c r="A316" s="13">
        <v>51257</v>
      </c>
      <c r="B316" s="63">
        <f>5.0869 * CHOOSE(CONTROL!$C$22, $C$13, 100%, $E$13)</f>
        <v>5.0869</v>
      </c>
      <c r="C316" s="63">
        <f>5.0869 * CHOOSE(CONTROL!$C$22, $C$13, 100%, $E$13)</f>
        <v>5.0869</v>
      </c>
      <c r="D316" s="63">
        <f>5.1114 * CHOOSE(CONTROL!$C$22, $C$13, 100%, $E$13)</f>
        <v>5.1113999999999997</v>
      </c>
      <c r="E316" s="64">
        <f>5.905 * CHOOSE(CONTROL!$C$22, $C$13, 100%, $E$13)</f>
        <v>5.9050000000000002</v>
      </c>
      <c r="F316" s="64">
        <f>5.905 * CHOOSE(CONTROL!$C$22, $C$13, 100%, $E$13)</f>
        <v>5.9050000000000002</v>
      </c>
      <c r="G316" s="64">
        <f>5.9066 * CHOOSE(CONTROL!$C$22, $C$13, 100%, $E$13)</f>
        <v>5.9066000000000001</v>
      </c>
      <c r="H316" s="64">
        <f>10.5234* CHOOSE(CONTROL!$C$22, $C$13, 100%, $E$13)</f>
        <v>10.523400000000001</v>
      </c>
      <c r="I316" s="64">
        <f>10.5249 * CHOOSE(CONTROL!$C$22, $C$13, 100%, $E$13)</f>
        <v>10.524900000000001</v>
      </c>
      <c r="J316" s="64">
        <f>5.905 * CHOOSE(CONTROL!$C$22, $C$13, 100%, $E$13)</f>
        <v>5.9050000000000002</v>
      </c>
      <c r="K316" s="64">
        <f>5.9066 * CHOOSE(CONTROL!$C$22, $C$13, 100%, $E$13)</f>
        <v>5.9066000000000001</v>
      </c>
    </row>
    <row r="317" spans="1:11" ht="15">
      <c r="A317" s="13">
        <v>51288</v>
      </c>
      <c r="B317" s="63">
        <f>5.093 * CHOOSE(CONTROL!$C$22, $C$13, 100%, $E$13)</f>
        <v>5.093</v>
      </c>
      <c r="C317" s="63">
        <f>5.093 * CHOOSE(CONTROL!$C$22, $C$13, 100%, $E$13)</f>
        <v>5.093</v>
      </c>
      <c r="D317" s="63">
        <f>5.1174 * CHOOSE(CONTROL!$C$22, $C$13, 100%, $E$13)</f>
        <v>5.1173999999999999</v>
      </c>
      <c r="E317" s="64">
        <f>5.889 * CHOOSE(CONTROL!$C$22, $C$13, 100%, $E$13)</f>
        <v>5.8890000000000002</v>
      </c>
      <c r="F317" s="64">
        <f>5.889 * CHOOSE(CONTROL!$C$22, $C$13, 100%, $E$13)</f>
        <v>5.8890000000000002</v>
      </c>
      <c r="G317" s="64">
        <f>5.8905 * CHOOSE(CONTROL!$C$22, $C$13, 100%, $E$13)</f>
        <v>5.8905000000000003</v>
      </c>
      <c r="H317" s="64">
        <f>10.5453* CHOOSE(CONTROL!$C$22, $C$13, 100%, $E$13)</f>
        <v>10.545299999999999</v>
      </c>
      <c r="I317" s="64">
        <f>10.5468 * CHOOSE(CONTROL!$C$22, $C$13, 100%, $E$13)</f>
        <v>10.546799999999999</v>
      </c>
      <c r="J317" s="64">
        <f>5.889 * CHOOSE(CONTROL!$C$22, $C$13, 100%, $E$13)</f>
        <v>5.8890000000000002</v>
      </c>
      <c r="K317" s="64">
        <f>5.8905 * CHOOSE(CONTROL!$C$22, $C$13, 100%, $E$13)</f>
        <v>5.8905000000000003</v>
      </c>
    </row>
    <row r="318" spans="1:11" ht="15">
      <c r="A318" s="13">
        <v>51318</v>
      </c>
      <c r="B318" s="63">
        <f>5.1785 * CHOOSE(CONTROL!$C$22, $C$13, 100%, $E$13)</f>
        <v>5.1784999999999997</v>
      </c>
      <c r="C318" s="63">
        <f>5.1785 * CHOOSE(CONTROL!$C$22, $C$13, 100%, $E$13)</f>
        <v>5.1784999999999997</v>
      </c>
      <c r="D318" s="63">
        <f>5.203 * CHOOSE(CONTROL!$C$22, $C$13, 100%, $E$13)</f>
        <v>5.2030000000000003</v>
      </c>
      <c r="E318" s="64">
        <f>6.0078 * CHOOSE(CONTROL!$C$22, $C$13, 100%, $E$13)</f>
        <v>6.0077999999999996</v>
      </c>
      <c r="F318" s="64">
        <f>6.0078 * CHOOSE(CONTROL!$C$22, $C$13, 100%, $E$13)</f>
        <v>6.0077999999999996</v>
      </c>
      <c r="G318" s="64">
        <f>6.0093 * CHOOSE(CONTROL!$C$22, $C$13, 100%, $E$13)</f>
        <v>6.0092999999999996</v>
      </c>
      <c r="H318" s="64">
        <f>10.5673* CHOOSE(CONTROL!$C$22, $C$13, 100%, $E$13)</f>
        <v>10.567299999999999</v>
      </c>
      <c r="I318" s="64">
        <f>10.5688 * CHOOSE(CONTROL!$C$22, $C$13, 100%, $E$13)</f>
        <v>10.5688</v>
      </c>
      <c r="J318" s="64">
        <f>6.0078 * CHOOSE(CONTROL!$C$22, $C$13, 100%, $E$13)</f>
        <v>6.0077999999999996</v>
      </c>
      <c r="K318" s="64">
        <f>6.0093 * CHOOSE(CONTROL!$C$22, $C$13, 100%, $E$13)</f>
        <v>6.0092999999999996</v>
      </c>
    </row>
    <row r="319" spans="1:11" ht="15">
      <c r="A319" s="13">
        <v>51349</v>
      </c>
      <c r="B319" s="63">
        <f>5.1852 * CHOOSE(CONTROL!$C$22, $C$13, 100%, $E$13)</f>
        <v>5.1852</v>
      </c>
      <c r="C319" s="63">
        <f>5.1852 * CHOOSE(CONTROL!$C$22, $C$13, 100%, $E$13)</f>
        <v>5.1852</v>
      </c>
      <c r="D319" s="63">
        <f>5.2096 * CHOOSE(CONTROL!$C$22, $C$13, 100%, $E$13)</f>
        <v>5.2096</v>
      </c>
      <c r="E319" s="64">
        <f>5.9516 * CHOOSE(CONTROL!$C$22, $C$13, 100%, $E$13)</f>
        <v>5.9516</v>
      </c>
      <c r="F319" s="64">
        <f>5.9516 * CHOOSE(CONTROL!$C$22, $C$13, 100%, $E$13)</f>
        <v>5.9516</v>
      </c>
      <c r="G319" s="64">
        <f>5.9532 * CHOOSE(CONTROL!$C$22, $C$13, 100%, $E$13)</f>
        <v>5.9531999999999998</v>
      </c>
      <c r="H319" s="64">
        <f>10.5893* CHOOSE(CONTROL!$C$22, $C$13, 100%, $E$13)</f>
        <v>10.5893</v>
      </c>
      <c r="I319" s="64">
        <f>10.5908 * CHOOSE(CONTROL!$C$22, $C$13, 100%, $E$13)</f>
        <v>10.5908</v>
      </c>
      <c r="J319" s="64">
        <f>5.9516 * CHOOSE(CONTROL!$C$22, $C$13, 100%, $E$13)</f>
        <v>5.9516</v>
      </c>
      <c r="K319" s="64">
        <f>5.9532 * CHOOSE(CONTROL!$C$22, $C$13, 100%, $E$13)</f>
        <v>5.9531999999999998</v>
      </c>
    </row>
    <row r="320" spans="1:11" ht="15">
      <c r="A320" s="13">
        <v>51380</v>
      </c>
      <c r="B320" s="63">
        <f>5.1822 * CHOOSE(CONTROL!$C$22, $C$13, 100%, $E$13)</f>
        <v>5.1821999999999999</v>
      </c>
      <c r="C320" s="63">
        <f>5.1822 * CHOOSE(CONTROL!$C$22, $C$13, 100%, $E$13)</f>
        <v>5.1821999999999999</v>
      </c>
      <c r="D320" s="63">
        <f>5.2066 * CHOOSE(CONTROL!$C$22, $C$13, 100%, $E$13)</f>
        <v>5.2065999999999999</v>
      </c>
      <c r="E320" s="64">
        <f>5.9427 * CHOOSE(CONTROL!$C$22, $C$13, 100%, $E$13)</f>
        <v>5.9427000000000003</v>
      </c>
      <c r="F320" s="64">
        <f>5.9427 * CHOOSE(CONTROL!$C$22, $C$13, 100%, $E$13)</f>
        <v>5.9427000000000003</v>
      </c>
      <c r="G320" s="64">
        <f>5.9443 * CHOOSE(CONTROL!$C$22, $C$13, 100%, $E$13)</f>
        <v>5.9443000000000001</v>
      </c>
      <c r="H320" s="64">
        <f>10.6113* CHOOSE(CONTROL!$C$22, $C$13, 100%, $E$13)</f>
        <v>10.6113</v>
      </c>
      <c r="I320" s="64">
        <f>10.6129 * CHOOSE(CONTROL!$C$22, $C$13, 100%, $E$13)</f>
        <v>10.6129</v>
      </c>
      <c r="J320" s="64">
        <f>5.9427 * CHOOSE(CONTROL!$C$22, $C$13, 100%, $E$13)</f>
        <v>5.9427000000000003</v>
      </c>
      <c r="K320" s="64">
        <f>5.9443 * CHOOSE(CONTROL!$C$22, $C$13, 100%, $E$13)</f>
        <v>5.9443000000000001</v>
      </c>
    </row>
    <row r="321" spans="1:11" ht="15">
      <c r="A321" s="13">
        <v>51410</v>
      </c>
      <c r="B321" s="63">
        <f>5.1814 * CHOOSE(CONTROL!$C$22, $C$13, 100%, $E$13)</f>
        <v>5.1814</v>
      </c>
      <c r="C321" s="63">
        <f>5.1814 * CHOOSE(CONTROL!$C$22, $C$13, 100%, $E$13)</f>
        <v>5.1814</v>
      </c>
      <c r="D321" s="63">
        <f>5.1936 * CHOOSE(CONTROL!$C$22, $C$13, 100%, $E$13)</f>
        <v>5.1936</v>
      </c>
      <c r="E321" s="64">
        <f>5.9563 * CHOOSE(CONTROL!$C$22, $C$13, 100%, $E$13)</f>
        <v>5.9562999999999997</v>
      </c>
      <c r="F321" s="64">
        <f>5.9563 * CHOOSE(CONTROL!$C$22, $C$13, 100%, $E$13)</f>
        <v>5.9562999999999997</v>
      </c>
      <c r="G321" s="64">
        <f>5.9565 * CHOOSE(CONTROL!$C$22, $C$13, 100%, $E$13)</f>
        <v>5.9565000000000001</v>
      </c>
      <c r="H321" s="64">
        <f>10.6334* CHOOSE(CONTROL!$C$22, $C$13, 100%, $E$13)</f>
        <v>10.6334</v>
      </c>
      <c r="I321" s="64">
        <f>10.6336 * CHOOSE(CONTROL!$C$22, $C$13, 100%, $E$13)</f>
        <v>10.633599999999999</v>
      </c>
      <c r="J321" s="64">
        <f>5.9563 * CHOOSE(CONTROL!$C$22, $C$13, 100%, $E$13)</f>
        <v>5.9562999999999997</v>
      </c>
      <c r="K321" s="64">
        <f>5.9565 * CHOOSE(CONTROL!$C$22, $C$13, 100%, $E$13)</f>
        <v>5.9565000000000001</v>
      </c>
    </row>
    <row r="322" spans="1:11" ht="15">
      <c r="A322" s="13">
        <v>51441</v>
      </c>
      <c r="B322" s="63">
        <f>5.1845 * CHOOSE(CONTROL!$C$22, $C$13, 100%, $E$13)</f>
        <v>5.1844999999999999</v>
      </c>
      <c r="C322" s="63">
        <f>5.1845 * CHOOSE(CONTROL!$C$22, $C$13, 100%, $E$13)</f>
        <v>5.1844999999999999</v>
      </c>
      <c r="D322" s="63">
        <f>5.1967 * CHOOSE(CONTROL!$C$22, $C$13, 100%, $E$13)</f>
        <v>5.1966999999999999</v>
      </c>
      <c r="E322" s="64">
        <f>5.972 * CHOOSE(CONTROL!$C$22, $C$13, 100%, $E$13)</f>
        <v>5.9720000000000004</v>
      </c>
      <c r="F322" s="64">
        <f>5.972 * CHOOSE(CONTROL!$C$22, $C$13, 100%, $E$13)</f>
        <v>5.9720000000000004</v>
      </c>
      <c r="G322" s="64">
        <f>5.9722 * CHOOSE(CONTROL!$C$22, $C$13, 100%, $E$13)</f>
        <v>5.9722</v>
      </c>
      <c r="H322" s="64">
        <f>10.6556* CHOOSE(CONTROL!$C$22, $C$13, 100%, $E$13)</f>
        <v>10.6556</v>
      </c>
      <c r="I322" s="64">
        <f>10.6558 * CHOOSE(CONTROL!$C$22, $C$13, 100%, $E$13)</f>
        <v>10.655799999999999</v>
      </c>
      <c r="J322" s="64">
        <f>5.972 * CHOOSE(CONTROL!$C$22, $C$13, 100%, $E$13)</f>
        <v>5.9720000000000004</v>
      </c>
      <c r="K322" s="64">
        <f>5.9722 * CHOOSE(CONTROL!$C$22, $C$13, 100%, $E$13)</f>
        <v>5.9722</v>
      </c>
    </row>
    <row r="323" spans="1:11" ht="15">
      <c r="A323" s="13">
        <v>51471</v>
      </c>
      <c r="B323" s="63">
        <f>5.1845 * CHOOSE(CONTROL!$C$22, $C$13, 100%, $E$13)</f>
        <v>5.1844999999999999</v>
      </c>
      <c r="C323" s="63">
        <f>5.1845 * CHOOSE(CONTROL!$C$22, $C$13, 100%, $E$13)</f>
        <v>5.1844999999999999</v>
      </c>
      <c r="D323" s="63">
        <f>5.1967 * CHOOSE(CONTROL!$C$22, $C$13, 100%, $E$13)</f>
        <v>5.1966999999999999</v>
      </c>
      <c r="E323" s="64">
        <f>5.9382 * CHOOSE(CONTROL!$C$22, $C$13, 100%, $E$13)</f>
        <v>5.9382000000000001</v>
      </c>
      <c r="F323" s="64">
        <f>5.9382 * CHOOSE(CONTROL!$C$22, $C$13, 100%, $E$13)</f>
        <v>5.9382000000000001</v>
      </c>
      <c r="G323" s="64">
        <f>5.9384 * CHOOSE(CONTROL!$C$22, $C$13, 100%, $E$13)</f>
        <v>5.9383999999999997</v>
      </c>
      <c r="H323" s="64">
        <f>10.6778* CHOOSE(CONTROL!$C$22, $C$13, 100%, $E$13)</f>
        <v>10.6778</v>
      </c>
      <c r="I323" s="64">
        <f>10.678 * CHOOSE(CONTROL!$C$22, $C$13, 100%, $E$13)</f>
        <v>10.678000000000001</v>
      </c>
      <c r="J323" s="64">
        <f>5.9382 * CHOOSE(CONTROL!$C$22, $C$13, 100%, $E$13)</f>
        <v>5.9382000000000001</v>
      </c>
      <c r="K323" s="64">
        <f>5.9384 * CHOOSE(CONTROL!$C$22, $C$13, 100%, $E$13)</f>
        <v>5.9383999999999997</v>
      </c>
    </row>
    <row r="324" spans="1:11" ht="15">
      <c r="A324" s="13">
        <v>51502</v>
      </c>
      <c r="B324" s="63">
        <f>5.2322 * CHOOSE(CONTROL!$C$22, $C$13, 100%, $E$13)</f>
        <v>5.2321999999999997</v>
      </c>
      <c r="C324" s="63">
        <f>5.2322 * CHOOSE(CONTROL!$C$22, $C$13, 100%, $E$13)</f>
        <v>5.2321999999999997</v>
      </c>
      <c r="D324" s="63">
        <f>5.2445 * CHOOSE(CONTROL!$C$22, $C$13, 100%, $E$13)</f>
        <v>5.2445000000000004</v>
      </c>
      <c r="E324" s="64">
        <f>6.0167 * CHOOSE(CONTROL!$C$22, $C$13, 100%, $E$13)</f>
        <v>6.0167000000000002</v>
      </c>
      <c r="F324" s="64">
        <f>6.0167 * CHOOSE(CONTROL!$C$22, $C$13, 100%, $E$13)</f>
        <v>6.0167000000000002</v>
      </c>
      <c r="G324" s="64">
        <f>6.0168 * CHOOSE(CONTROL!$C$22, $C$13, 100%, $E$13)</f>
        <v>6.0167999999999999</v>
      </c>
      <c r="H324" s="64">
        <f>10.7* CHOOSE(CONTROL!$C$22, $C$13, 100%, $E$13)</f>
        <v>10.7</v>
      </c>
      <c r="I324" s="64">
        <f>10.7002 * CHOOSE(CONTROL!$C$22, $C$13, 100%, $E$13)</f>
        <v>10.700200000000001</v>
      </c>
      <c r="J324" s="64">
        <f>6.0167 * CHOOSE(CONTROL!$C$22, $C$13, 100%, $E$13)</f>
        <v>6.0167000000000002</v>
      </c>
      <c r="K324" s="64">
        <f>6.0168 * CHOOSE(CONTROL!$C$22, $C$13, 100%, $E$13)</f>
        <v>6.0167999999999999</v>
      </c>
    </row>
    <row r="325" spans="1:11" ht="15">
      <c r="A325" s="13">
        <v>51533</v>
      </c>
      <c r="B325" s="63">
        <f>5.2292 * CHOOSE(CONTROL!$C$22, $C$13, 100%, $E$13)</f>
        <v>5.2291999999999996</v>
      </c>
      <c r="C325" s="63">
        <f>5.2292 * CHOOSE(CONTROL!$C$22, $C$13, 100%, $E$13)</f>
        <v>5.2291999999999996</v>
      </c>
      <c r="D325" s="63">
        <f>5.2414 * CHOOSE(CONTROL!$C$22, $C$13, 100%, $E$13)</f>
        <v>5.2413999999999996</v>
      </c>
      <c r="E325" s="64">
        <f>5.9489 * CHOOSE(CONTROL!$C$22, $C$13, 100%, $E$13)</f>
        <v>5.9489000000000001</v>
      </c>
      <c r="F325" s="64">
        <f>5.9489 * CHOOSE(CONTROL!$C$22, $C$13, 100%, $E$13)</f>
        <v>5.9489000000000001</v>
      </c>
      <c r="G325" s="64">
        <f>5.949 * CHOOSE(CONTROL!$C$22, $C$13, 100%, $E$13)</f>
        <v>5.9489999999999998</v>
      </c>
      <c r="H325" s="64">
        <f>10.7223* CHOOSE(CONTROL!$C$22, $C$13, 100%, $E$13)</f>
        <v>10.722300000000001</v>
      </c>
      <c r="I325" s="64">
        <f>10.7225 * CHOOSE(CONTROL!$C$22, $C$13, 100%, $E$13)</f>
        <v>10.7225</v>
      </c>
      <c r="J325" s="64">
        <f>5.9489 * CHOOSE(CONTROL!$C$22, $C$13, 100%, $E$13)</f>
        <v>5.9489000000000001</v>
      </c>
      <c r="K325" s="64">
        <f>5.949 * CHOOSE(CONTROL!$C$22, $C$13, 100%, $E$13)</f>
        <v>5.9489999999999998</v>
      </c>
    </row>
    <row r="326" spans="1:11" ht="15">
      <c r="A326" s="13">
        <v>51561</v>
      </c>
      <c r="B326" s="63">
        <f>5.2262 * CHOOSE(CONTROL!$C$22, $C$13, 100%, $E$13)</f>
        <v>5.2262000000000004</v>
      </c>
      <c r="C326" s="63">
        <f>5.2262 * CHOOSE(CONTROL!$C$22, $C$13, 100%, $E$13)</f>
        <v>5.2262000000000004</v>
      </c>
      <c r="D326" s="63">
        <f>5.2384 * CHOOSE(CONTROL!$C$22, $C$13, 100%, $E$13)</f>
        <v>5.2384000000000004</v>
      </c>
      <c r="E326" s="64">
        <f>5.9985 * CHOOSE(CONTROL!$C$22, $C$13, 100%, $E$13)</f>
        <v>5.9984999999999999</v>
      </c>
      <c r="F326" s="64">
        <f>5.9985 * CHOOSE(CONTROL!$C$22, $C$13, 100%, $E$13)</f>
        <v>5.9984999999999999</v>
      </c>
      <c r="G326" s="64">
        <f>5.9987 * CHOOSE(CONTROL!$C$22, $C$13, 100%, $E$13)</f>
        <v>5.9987000000000004</v>
      </c>
      <c r="H326" s="64">
        <f>10.7447* CHOOSE(CONTROL!$C$22, $C$13, 100%, $E$13)</f>
        <v>10.7447</v>
      </c>
      <c r="I326" s="64">
        <f>10.7448 * CHOOSE(CONTROL!$C$22, $C$13, 100%, $E$13)</f>
        <v>10.7448</v>
      </c>
      <c r="J326" s="64">
        <f>5.9985 * CHOOSE(CONTROL!$C$22, $C$13, 100%, $E$13)</f>
        <v>5.9984999999999999</v>
      </c>
      <c r="K326" s="64">
        <f>5.9987 * CHOOSE(CONTROL!$C$22, $C$13, 100%, $E$13)</f>
        <v>5.9987000000000004</v>
      </c>
    </row>
    <row r="327" spans="1:11" ht="15">
      <c r="A327" s="13">
        <v>51592</v>
      </c>
      <c r="B327" s="63">
        <f>5.2249 * CHOOSE(CONTROL!$C$22, $C$13, 100%, $E$13)</f>
        <v>5.2248999999999999</v>
      </c>
      <c r="C327" s="63">
        <f>5.2249 * CHOOSE(CONTROL!$C$22, $C$13, 100%, $E$13)</f>
        <v>5.2248999999999999</v>
      </c>
      <c r="D327" s="63">
        <f>5.2372 * CHOOSE(CONTROL!$C$22, $C$13, 100%, $E$13)</f>
        <v>5.2371999999999996</v>
      </c>
      <c r="E327" s="64">
        <f>6.0499 * CHOOSE(CONTROL!$C$22, $C$13, 100%, $E$13)</f>
        <v>6.0499000000000001</v>
      </c>
      <c r="F327" s="64">
        <f>6.0499 * CHOOSE(CONTROL!$C$22, $C$13, 100%, $E$13)</f>
        <v>6.0499000000000001</v>
      </c>
      <c r="G327" s="64">
        <f>6.0501 * CHOOSE(CONTROL!$C$22, $C$13, 100%, $E$13)</f>
        <v>6.0500999999999996</v>
      </c>
      <c r="H327" s="64">
        <f>10.767* CHOOSE(CONTROL!$C$22, $C$13, 100%, $E$13)</f>
        <v>10.766999999999999</v>
      </c>
      <c r="I327" s="64">
        <f>10.7672 * CHOOSE(CONTROL!$C$22, $C$13, 100%, $E$13)</f>
        <v>10.767200000000001</v>
      </c>
      <c r="J327" s="64">
        <f>6.0499 * CHOOSE(CONTROL!$C$22, $C$13, 100%, $E$13)</f>
        <v>6.0499000000000001</v>
      </c>
      <c r="K327" s="64">
        <f>6.0501 * CHOOSE(CONTROL!$C$22, $C$13, 100%, $E$13)</f>
        <v>6.0500999999999996</v>
      </c>
    </row>
    <row r="328" spans="1:11" ht="15">
      <c r="A328" s="13">
        <v>51622</v>
      </c>
      <c r="B328" s="63">
        <f>5.2249 * CHOOSE(CONTROL!$C$22, $C$13, 100%, $E$13)</f>
        <v>5.2248999999999999</v>
      </c>
      <c r="C328" s="63">
        <f>5.2249 * CHOOSE(CONTROL!$C$22, $C$13, 100%, $E$13)</f>
        <v>5.2248999999999999</v>
      </c>
      <c r="D328" s="63">
        <f>5.2494 * CHOOSE(CONTROL!$C$22, $C$13, 100%, $E$13)</f>
        <v>5.2493999999999996</v>
      </c>
      <c r="E328" s="64">
        <f>6.0707 * CHOOSE(CONTROL!$C$22, $C$13, 100%, $E$13)</f>
        <v>6.0707000000000004</v>
      </c>
      <c r="F328" s="64">
        <f>6.0707 * CHOOSE(CONTROL!$C$22, $C$13, 100%, $E$13)</f>
        <v>6.0707000000000004</v>
      </c>
      <c r="G328" s="64">
        <f>6.0723 * CHOOSE(CONTROL!$C$22, $C$13, 100%, $E$13)</f>
        <v>6.0723000000000003</v>
      </c>
      <c r="H328" s="64">
        <f>10.7895* CHOOSE(CONTROL!$C$22, $C$13, 100%, $E$13)</f>
        <v>10.7895</v>
      </c>
      <c r="I328" s="64">
        <f>10.791 * CHOOSE(CONTROL!$C$22, $C$13, 100%, $E$13)</f>
        <v>10.791</v>
      </c>
      <c r="J328" s="64">
        <f>6.0707 * CHOOSE(CONTROL!$C$22, $C$13, 100%, $E$13)</f>
        <v>6.0707000000000004</v>
      </c>
      <c r="K328" s="64">
        <f>6.0723 * CHOOSE(CONTROL!$C$22, $C$13, 100%, $E$13)</f>
        <v>6.0723000000000003</v>
      </c>
    </row>
    <row r="329" spans="1:11" ht="15">
      <c r="A329" s="13">
        <v>51653</v>
      </c>
      <c r="B329" s="63">
        <f>5.231 * CHOOSE(CONTROL!$C$22, $C$13, 100%, $E$13)</f>
        <v>5.2309999999999999</v>
      </c>
      <c r="C329" s="63">
        <f>5.231 * CHOOSE(CONTROL!$C$22, $C$13, 100%, $E$13)</f>
        <v>5.2309999999999999</v>
      </c>
      <c r="D329" s="63">
        <f>5.2554 * CHOOSE(CONTROL!$C$22, $C$13, 100%, $E$13)</f>
        <v>5.2553999999999998</v>
      </c>
      <c r="E329" s="64">
        <f>6.0541 * CHOOSE(CONTROL!$C$22, $C$13, 100%, $E$13)</f>
        <v>6.0541</v>
      </c>
      <c r="F329" s="64">
        <f>6.0541 * CHOOSE(CONTROL!$C$22, $C$13, 100%, $E$13)</f>
        <v>6.0541</v>
      </c>
      <c r="G329" s="64">
        <f>6.0557 * CHOOSE(CONTROL!$C$22, $C$13, 100%, $E$13)</f>
        <v>6.0556999999999999</v>
      </c>
      <c r="H329" s="64">
        <f>10.812* CHOOSE(CONTROL!$C$22, $C$13, 100%, $E$13)</f>
        <v>10.811999999999999</v>
      </c>
      <c r="I329" s="64">
        <f>10.8135 * CHOOSE(CONTROL!$C$22, $C$13, 100%, $E$13)</f>
        <v>10.813499999999999</v>
      </c>
      <c r="J329" s="64">
        <f>6.0541 * CHOOSE(CONTROL!$C$22, $C$13, 100%, $E$13)</f>
        <v>6.0541</v>
      </c>
      <c r="K329" s="64">
        <f>6.0557 * CHOOSE(CONTROL!$C$22, $C$13, 100%, $E$13)</f>
        <v>6.0556999999999999</v>
      </c>
    </row>
    <row r="330" spans="1:11" ht="15">
      <c r="A330" s="13">
        <v>51683</v>
      </c>
      <c r="B330" s="63">
        <f>5.3201 * CHOOSE(CONTROL!$C$22, $C$13, 100%, $E$13)</f>
        <v>5.3201000000000001</v>
      </c>
      <c r="C330" s="63">
        <f>5.3201 * CHOOSE(CONTROL!$C$22, $C$13, 100%, $E$13)</f>
        <v>5.3201000000000001</v>
      </c>
      <c r="D330" s="63">
        <f>5.3445 * CHOOSE(CONTROL!$C$22, $C$13, 100%, $E$13)</f>
        <v>5.3445</v>
      </c>
      <c r="E330" s="64">
        <f>6.1755 * CHOOSE(CONTROL!$C$22, $C$13, 100%, $E$13)</f>
        <v>6.1755000000000004</v>
      </c>
      <c r="F330" s="64">
        <f>6.1755 * CHOOSE(CONTROL!$C$22, $C$13, 100%, $E$13)</f>
        <v>6.1755000000000004</v>
      </c>
      <c r="G330" s="64">
        <f>6.1771 * CHOOSE(CONTROL!$C$22, $C$13, 100%, $E$13)</f>
        <v>6.1771000000000003</v>
      </c>
      <c r="H330" s="64">
        <f>10.8345* CHOOSE(CONTROL!$C$22, $C$13, 100%, $E$13)</f>
        <v>10.8345</v>
      </c>
      <c r="I330" s="64">
        <f>10.836 * CHOOSE(CONTROL!$C$22, $C$13, 100%, $E$13)</f>
        <v>10.836</v>
      </c>
      <c r="J330" s="64">
        <f>6.1755 * CHOOSE(CONTROL!$C$22, $C$13, 100%, $E$13)</f>
        <v>6.1755000000000004</v>
      </c>
      <c r="K330" s="64">
        <f>6.1771 * CHOOSE(CONTROL!$C$22, $C$13, 100%, $E$13)</f>
        <v>6.1771000000000003</v>
      </c>
    </row>
    <row r="331" spans="1:11" ht="15">
      <c r="A331" s="13">
        <v>51714</v>
      </c>
      <c r="B331" s="63">
        <f>5.3268 * CHOOSE(CONTROL!$C$22, $C$13, 100%, $E$13)</f>
        <v>5.3268000000000004</v>
      </c>
      <c r="C331" s="63">
        <f>5.3268 * CHOOSE(CONTROL!$C$22, $C$13, 100%, $E$13)</f>
        <v>5.3268000000000004</v>
      </c>
      <c r="D331" s="63">
        <f>5.3512 * CHOOSE(CONTROL!$C$22, $C$13, 100%, $E$13)</f>
        <v>5.3512000000000004</v>
      </c>
      <c r="E331" s="64">
        <f>6.1176 * CHOOSE(CONTROL!$C$22, $C$13, 100%, $E$13)</f>
        <v>6.1176000000000004</v>
      </c>
      <c r="F331" s="64">
        <f>6.1176 * CHOOSE(CONTROL!$C$22, $C$13, 100%, $E$13)</f>
        <v>6.1176000000000004</v>
      </c>
      <c r="G331" s="64">
        <f>6.1192 * CHOOSE(CONTROL!$C$22, $C$13, 100%, $E$13)</f>
        <v>6.1192000000000002</v>
      </c>
      <c r="H331" s="64">
        <f>10.8571* CHOOSE(CONTROL!$C$22, $C$13, 100%, $E$13)</f>
        <v>10.857100000000001</v>
      </c>
      <c r="I331" s="64">
        <f>10.8586 * CHOOSE(CONTROL!$C$22, $C$13, 100%, $E$13)</f>
        <v>10.858599999999999</v>
      </c>
      <c r="J331" s="64">
        <f>6.1176 * CHOOSE(CONTROL!$C$22, $C$13, 100%, $E$13)</f>
        <v>6.1176000000000004</v>
      </c>
      <c r="K331" s="64">
        <f>6.1192 * CHOOSE(CONTROL!$C$22, $C$13, 100%, $E$13)</f>
        <v>6.1192000000000002</v>
      </c>
    </row>
    <row r="332" spans="1:11" ht="15">
      <c r="A332" s="13">
        <v>51745</v>
      </c>
      <c r="B332" s="63">
        <f>5.3237 * CHOOSE(CONTROL!$C$22, $C$13, 100%, $E$13)</f>
        <v>5.3236999999999997</v>
      </c>
      <c r="C332" s="63">
        <f>5.3237 * CHOOSE(CONTROL!$C$22, $C$13, 100%, $E$13)</f>
        <v>5.3236999999999997</v>
      </c>
      <c r="D332" s="63">
        <f>5.3481 * CHOOSE(CONTROL!$C$22, $C$13, 100%, $E$13)</f>
        <v>5.3480999999999996</v>
      </c>
      <c r="E332" s="64">
        <f>6.1085 * CHOOSE(CONTROL!$C$22, $C$13, 100%, $E$13)</f>
        <v>6.1085000000000003</v>
      </c>
      <c r="F332" s="64">
        <f>6.1085 * CHOOSE(CONTROL!$C$22, $C$13, 100%, $E$13)</f>
        <v>6.1085000000000003</v>
      </c>
      <c r="G332" s="64">
        <f>6.1101 * CHOOSE(CONTROL!$C$22, $C$13, 100%, $E$13)</f>
        <v>6.1101000000000001</v>
      </c>
      <c r="H332" s="64">
        <f>10.8797* CHOOSE(CONTROL!$C$22, $C$13, 100%, $E$13)</f>
        <v>10.8797</v>
      </c>
      <c r="I332" s="64">
        <f>10.8812 * CHOOSE(CONTROL!$C$22, $C$13, 100%, $E$13)</f>
        <v>10.8812</v>
      </c>
      <c r="J332" s="64">
        <f>6.1085 * CHOOSE(CONTROL!$C$22, $C$13, 100%, $E$13)</f>
        <v>6.1085000000000003</v>
      </c>
      <c r="K332" s="64">
        <f>6.1101 * CHOOSE(CONTROL!$C$22, $C$13, 100%, $E$13)</f>
        <v>6.1101000000000001</v>
      </c>
    </row>
    <row r="333" spans="1:11" ht="15">
      <c r="A333" s="13">
        <v>51775</v>
      </c>
      <c r="B333" s="63">
        <f>5.3234 * CHOOSE(CONTROL!$C$22, $C$13, 100%, $E$13)</f>
        <v>5.3234000000000004</v>
      </c>
      <c r="C333" s="63">
        <f>5.3234 * CHOOSE(CONTROL!$C$22, $C$13, 100%, $E$13)</f>
        <v>5.3234000000000004</v>
      </c>
      <c r="D333" s="63">
        <f>5.3357 * CHOOSE(CONTROL!$C$22, $C$13, 100%, $E$13)</f>
        <v>5.3357000000000001</v>
      </c>
      <c r="E333" s="64">
        <f>6.1229 * CHOOSE(CONTROL!$C$22, $C$13, 100%, $E$13)</f>
        <v>6.1228999999999996</v>
      </c>
      <c r="F333" s="64">
        <f>6.1229 * CHOOSE(CONTROL!$C$22, $C$13, 100%, $E$13)</f>
        <v>6.1228999999999996</v>
      </c>
      <c r="G333" s="64">
        <f>6.1231 * CHOOSE(CONTROL!$C$22, $C$13, 100%, $E$13)</f>
        <v>6.1231</v>
      </c>
      <c r="H333" s="64">
        <f>10.9023* CHOOSE(CONTROL!$C$22, $C$13, 100%, $E$13)</f>
        <v>10.9023</v>
      </c>
      <c r="I333" s="64">
        <f>10.9025 * CHOOSE(CONTROL!$C$22, $C$13, 100%, $E$13)</f>
        <v>10.9025</v>
      </c>
      <c r="J333" s="64">
        <f>6.1229 * CHOOSE(CONTROL!$C$22, $C$13, 100%, $E$13)</f>
        <v>6.1228999999999996</v>
      </c>
      <c r="K333" s="64">
        <f>6.1231 * CHOOSE(CONTROL!$C$22, $C$13, 100%, $E$13)</f>
        <v>6.1231</v>
      </c>
    </row>
    <row r="334" spans="1:11" ht="15">
      <c r="A334" s="13">
        <v>51806</v>
      </c>
      <c r="B334" s="63">
        <f>5.3265 * CHOOSE(CONTROL!$C$22, $C$13, 100%, $E$13)</f>
        <v>5.3265000000000002</v>
      </c>
      <c r="C334" s="63">
        <f>5.3265 * CHOOSE(CONTROL!$C$22, $C$13, 100%, $E$13)</f>
        <v>5.3265000000000002</v>
      </c>
      <c r="D334" s="63">
        <f>5.3387 * CHOOSE(CONTROL!$C$22, $C$13, 100%, $E$13)</f>
        <v>5.3387000000000002</v>
      </c>
      <c r="E334" s="64">
        <f>6.1389 * CHOOSE(CONTROL!$C$22, $C$13, 100%, $E$13)</f>
        <v>6.1388999999999996</v>
      </c>
      <c r="F334" s="64">
        <f>6.1389 * CHOOSE(CONTROL!$C$22, $C$13, 100%, $E$13)</f>
        <v>6.1388999999999996</v>
      </c>
      <c r="G334" s="64">
        <f>6.1391 * CHOOSE(CONTROL!$C$22, $C$13, 100%, $E$13)</f>
        <v>6.1391</v>
      </c>
      <c r="H334" s="64">
        <f>10.9251* CHOOSE(CONTROL!$C$22, $C$13, 100%, $E$13)</f>
        <v>10.9251</v>
      </c>
      <c r="I334" s="64">
        <f>10.9252 * CHOOSE(CONTROL!$C$22, $C$13, 100%, $E$13)</f>
        <v>10.9252</v>
      </c>
      <c r="J334" s="64">
        <f>6.1389 * CHOOSE(CONTROL!$C$22, $C$13, 100%, $E$13)</f>
        <v>6.1388999999999996</v>
      </c>
      <c r="K334" s="64">
        <f>6.1391 * CHOOSE(CONTROL!$C$22, $C$13, 100%, $E$13)</f>
        <v>6.1391</v>
      </c>
    </row>
    <row r="335" spans="1:11" ht="15">
      <c r="A335" s="13">
        <v>51836</v>
      </c>
      <c r="B335" s="63">
        <f>5.3265 * CHOOSE(CONTROL!$C$22, $C$13, 100%, $E$13)</f>
        <v>5.3265000000000002</v>
      </c>
      <c r="C335" s="63">
        <f>5.3265 * CHOOSE(CONTROL!$C$22, $C$13, 100%, $E$13)</f>
        <v>5.3265000000000002</v>
      </c>
      <c r="D335" s="63">
        <f>5.3387 * CHOOSE(CONTROL!$C$22, $C$13, 100%, $E$13)</f>
        <v>5.3387000000000002</v>
      </c>
      <c r="E335" s="64">
        <f>6.1042 * CHOOSE(CONTROL!$C$22, $C$13, 100%, $E$13)</f>
        <v>6.1041999999999996</v>
      </c>
      <c r="F335" s="64">
        <f>6.1042 * CHOOSE(CONTROL!$C$22, $C$13, 100%, $E$13)</f>
        <v>6.1041999999999996</v>
      </c>
      <c r="G335" s="64">
        <f>6.1044 * CHOOSE(CONTROL!$C$22, $C$13, 100%, $E$13)</f>
        <v>6.1044</v>
      </c>
      <c r="H335" s="64">
        <f>10.9478* CHOOSE(CONTROL!$C$22, $C$13, 100%, $E$13)</f>
        <v>10.947800000000001</v>
      </c>
      <c r="I335" s="64">
        <f>10.948 * CHOOSE(CONTROL!$C$22, $C$13, 100%, $E$13)</f>
        <v>10.948</v>
      </c>
      <c r="J335" s="64">
        <f>6.1042 * CHOOSE(CONTROL!$C$22, $C$13, 100%, $E$13)</f>
        <v>6.1041999999999996</v>
      </c>
      <c r="K335" s="64">
        <f>6.1044 * CHOOSE(CONTROL!$C$22, $C$13, 100%, $E$13)</f>
        <v>6.1044</v>
      </c>
    </row>
    <row r="336" spans="1:11" ht="15">
      <c r="A336" s="13">
        <v>51867</v>
      </c>
      <c r="B336" s="63">
        <f>5.375 * CHOOSE(CONTROL!$C$22, $C$13, 100%, $E$13)</f>
        <v>5.375</v>
      </c>
      <c r="C336" s="63">
        <f>5.375 * CHOOSE(CONTROL!$C$22, $C$13, 100%, $E$13)</f>
        <v>5.375</v>
      </c>
      <c r="D336" s="63">
        <f>5.3873 * CHOOSE(CONTROL!$C$22, $C$13, 100%, $E$13)</f>
        <v>5.3872999999999998</v>
      </c>
      <c r="E336" s="64">
        <f>6.1849 * CHOOSE(CONTROL!$C$22, $C$13, 100%, $E$13)</f>
        <v>6.1848999999999998</v>
      </c>
      <c r="F336" s="64">
        <f>6.1849 * CHOOSE(CONTROL!$C$22, $C$13, 100%, $E$13)</f>
        <v>6.1848999999999998</v>
      </c>
      <c r="G336" s="64">
        <f>6.1851 * CHOOSE(CONTROL!$C$22, $C$13, 100%, $E$13)</f>
        <v>6.1851000000000003</v>
      </c>
      <c r="H336" s="64">
        <f>10.9706* CHOOSE(CONTROL!$C$22, $C$13, 100%, $E$13)</f>
        <v>10.970599999999999</v>
      </c>
      <c r="I336" s="64">
        <f>10.9708 * CHOOSE(CONTROL!$C$22, $C$13, 100%, $E$13)</f>
        <v>10.970800000000001</v>
      </c>
      <c r="J336" s="64">
        <f>6.1849 * CHOOSE(CONTROL!$C$22, $C$13, 100%, $E$13)</f>
        <v>6.1848999999999998</v>
      </c>
      <c r="K336" s="64">
        <f>6.1851 * CHOOSE(CONTROL!$C$22, $C$13, 100%, $E$13)</f>
        <v>6.1851000000000003</v>
      </c>
    </row>
    <row r="337" spans="1:11" ht="15">
      <c r="A337" s="13">
        <v>51898</v>
      </c>
      <c r="B337" s="63">
        <f>5.372 * CHOOSE(CONTROL!$C$22, $C$13, 100%, $E$13)</f>
        <v>5.3719999999999999</v>
      </c>
      <c r="C337" s="63">
        <f>5.372 * CHOOSE(CONTROL!$C$22, $C$13, 100%, $E$13)</f>
        <v>5.3719999999999999</v>
      </c>
      <c r="D337" s="63">
        <f>5.3842 * CHOOSE(CONTROL!$C$22, $C$13, 100%, $E$13)</f>
        <v>5.3841999999999999</v>
      </c>
      <c r="E337" s="64">
        <f>6.1153 * CHOOSE(CONTROL!$C$22, $C$13, 100%, $E$13)</f>
        <v>6.1153000000000004</v>
      </c>
      <c r="F337" s="64">
        <f>6.1153 * CHOOSE(CONTROL!$C$22, $C$13, 100%, $E$13)</f>
        <v>6.1153000000000004</v>
      </c>
      <c r="G337" s="64">
        <f>6.1154 * CHOOSE(CONTROL!$C$22, $C$13, 100%, $E$13)</f>
        <v>6.1154000000000002</v>
      </c>
      <c r="H337" s="64">
        <f>10.9935* CHOOSE(CONTROL!$C$22, $C$13, 100%, $E$13)</f>
        <v>10.993499999999999</v>
      </c>
      <c r="I337" s="64">
        <f>10.9937 * CHOOSE(CONTROL!$C$22, $C$13, 100%, $E$13)</f>
        <v>10.9937</v>
      </c>
      <c r="J337" s="64">
        <f>6.1153 * CHOOSE(CONTROL!$C$22, $C$13, 100%, $E$13)</f>
        <v>6.1153000000000004</v>
      </c>
      <c r="K337" s="64">
        <f>6.1154 * CHOOSE(CONTROL!$C$22, $C$13, 100%, $E$13)</f>
        <v>6.1154000000000002</v>
      </c>
    </row>
    <row r="338" spans="1:11" ht="15">
      <c r="A338" s="13">
        <v>51926</v>
      </c>
      <c r="B338" s="63">
        <f>5.369 * CHOOSE(CONTROL!$C$22, $C$13, 100%, $E$13)</f>
        <v>5.3689999999999998</v>
      </c>
      <c r="C338" s="63">
        <f>5.369 * CHOOSE(CONTROL!$C$22, $C$13, 100%, $E$13)</f>
        <v>5.3689999999999998</v>
      </c>
      <c r="D338" s="63">
        <f>5.3812 * CHOOSE(CONTROL!$C$22, $C$13, 100%, $E$13)</f>
        <v>5.3811999999999998</v>
      </c>
      <c r="E338" s="64">
        <f>6.1664 * CHOOSE(CONTROL!$C$22, $C$13, 100%, $E$13)</f>
        <v>6.1664000000000003</v>
      </c>
      <c r="F338" s="64">
        <f>6.1664 * CHOOSE(CONTROL!$C$22, $C$13, 100%, $E$13)</f>
        <v>6.1664000000000003</v>
      </c>
      <c r="G338" s="64">
        <f>6.1665 * CHOOSE(CONTROL!$C$22, $C$13, 100%, $E$13)</f>
        <v>6.1665000000000001</v>
      </c>
      <c r="H338" s="64">
        <f>11.0164* CHOOSE(CONTROL!$C$22, $C$13, 100%, $E$13)</f>
        <v>11.016400000000001</v>
      </c>
      <c r="I338" s="64">
        <f>11.0166 * CHOOSE(CONTROL!$C$22, $C$13, 100%, $E$13)</f>
        <v>11.0166</v>
      </c>
      <c r="J338" s="64">
        <f>6.1664 * CHOOSE(CONTROL!$C$22, $C$13, 100%, $E$13)</f>
        <v>6.1664000000000003</v>
      </c>
      <c r="K338" s="64">
        <f>6.1665 * CHOOSE(CONTROL!$C$22, $C$13, 100%, $E$13)</f>
        <v>6.1665000000000001</v>
      </c>
    </row>
    <row r="339" spans="1:11" ht="15">
      <c r="A339" s="13">
        <v>51957</v>
      </c>
      <c r="B339" s="63">
        <f>5.3679 * CHOOSE(CONTROL!$C$22, $C$13, 100%, $E$13)</f>
        <v>5.3678999999999997</v>
      </c>
      <c r="C339" s="63">
        <f>5.3679 * CHOOSE(CONTROL!$C$22, $C$13, 100%, $E$13)</f>
        <v>5.3678999999999997</v>
      </c>
      <c r="D339" s="63">
        <f>5.3801 * CHOOSE(CONTROL!$C$22, $C$13, 100%, $E$13)</f>
        <v>5.3800999999999997</v>
      </c>
      <c r="E339" s="64">
        <f>6.2193 * CHOOSE(CONTROL!$C$22, $C$13, 100%, $E$13)</f>
        <v>6.2192999999999996</v>
      </c>
      <c r="F339" s="64">
        <f>6.2193 * CHOOSE(CONTROL!$C$22, $C$13, 100%, $E$13)</f>
        <v>6.2192999999999996</v>
      </c>
      <c r="G339" s="64">
        <f>6.2195 * CHOOSE(CONTROL!$C$22, $C$13, 100%, $E$13)</f>
        <v>6.2195</v>
      </c>
      <c r="H339" s="64">
        <f>11.0393* CHOOSE(CONTROL!$C$22, $C$13, 100%, $E$13)</f>
        <v>11.039300000000001</v>
      </c>
      <c r="I339" s="64">
        <f>11.0395 * CHOOSE(CONTROL!$C$22, $C$13, 100%, $E$13)</f>
        <v>11.0395</v>
      </c>
      <c r="J339" s="64">
        <f>6.2193 * CHOOSE(CONTROL!$C$22, $C$13, 100%, $E$13)</f>
        <v>6.2192999999999996</v>
      </c>
      <c r="K339" s="64">
        <f>6.2195 * CHOOSE(CONTROL!$C$22, $C$13, 100%, $E$13)</f>
        <v>6.2195</v>
      </c>
    </row>
    <row r="340" spans="1:11" ht="15">
      <c r="A340" s="13">
        <v>51987</v>
      </c>
      <c r="B340" s="63">
        <f>5.3679 * CHOOSE(CONTROL!$C$22, $C$13, 100%, $E$13)</f>
        <v>5.3678999999999997</v>
      </c>
      <c r="C340" s="63">
        <f>5.3679 * CHOOSE(CONTROL!$C$22, $C$13, 100%, $E$13)</f>
        <v>5.3678999999999997</v>
      </c>
      <c r="D340" s="63">
        <f>5.3923 * CHOOSE(CONTROL!$C$22, $C$13, 100%, $E$13)</f>
        <v>5.3922999999999996</v>
      </c>
      <c r="E340" s="64">
        <f>6.2407 * CHOOSE(CONTROL!$C$22, $C$13, 100%, $E$13)</f>
        <v>6.2407000000000004</v>
      </c>
      <c r="F340" s="64">
        <f>6.2407 * CHOOSE(CONTROL!$C$22, $C$13, 100%, $E$13)</f>
        <v>6.2407000000000004</v>
      </c>
      <c r="G340" s="64">
        <f>6.2423 * CHOOSE(CONTROL!$C$22, $C$13, 100%, $E$13)</f>
        <v>6.2423000000000002</v>
      </c>
      <c r="H340" s="64">
        <f>11.0623* CHOOSE(CONTROL!$C$22, $C$13, 100%, $E$13)</f>
        <v>11.0623</v>
      </c>
      <c r="I340" s="64">
        <f>11.0639 * CHOOSE(CONTROL!$C$22, $C$13, 100%, $E$13)</f>
        <v>11.0639</v>
      </c>
      <c r="J340" s="64">
        <f>6.2407 * CHOOSE(CONTROL!$C$22, $C$13, 100%, $E$13)</f>
        <v>6.2407000000000004</v>
      </c>
      <c r="K340" s="64">
        <f>6.2423 * CHOOSE(CONTROL!$C$22, $C$13, 100%, $E$13)</f>
        <v>6.2423000000000002</v>
      </c>
    </row>
    <row r="341" spans="1:11" ht="15">
      <c r="A341" s="13">
        <v>52018</v>
      </c>
      <c r="B341" s="63">
        <f>5.3739 * CHOOSE(CONTROL!$C$22, $C$13, 100%, $E$13)</f>
        <v>5.3738999999999999</v>
      </c>
      <c r="C341" s="63">
        <f>5.3739 * CHOOSE(CONTROL!$C$22, $C$13, 100%, $E$13)</f>
        <v>5.3738999999999999</v>
      </c>
      <c r="D341" s="63">
        <f>5.3984 * CHOOSE(CONTROL!$C$22, $C$13, 100%, $E$13)</f>
        <v>5.3983999999999996</v>
      </c>
      <c r="E341" s="64">
        <f>6.2235 * CHOOSE(CONTROL!$C$22, $C$13, 100%, $E$13)</f>
        <v>6.2234999999999996</v>
      </c>
      <c r="F341" s="64">
        <f>6.2235 * CHOOSE(CONTROL!$C$22, $C$13, 100%, $E$13)</f>
        <v>6.2234999999999996</v>
      </c>
      <c r="G341" s="64">
        <f>6.2251 * CHOOSE(CONTROL!$C$22, $C$13, 100%, $E$13)</f>
        <v>6.2251000000000003</v>
      </c>
      <c r="H341" s="64">
        <f>11.0854* CHOOSE(CONTROL!$C$22, $C$13, 100%, $E$13)</f>
        <v>11.0854</v>
      </c>
      <c r="I341" s="64">
        <f>11.0869 * CHOOSE(CONTROL!$C$22, $C$13, 100%, $E$13)</f>
        <v>11.0869</v>
      </c>
      <c r="J341" s="64">
        <f>6.2235 * CHOOSE(CONTROL!$C$22, $C$13, 100%, $E$13)</f>
        <v>6.2234999999999996</v>
      </c>
      <c r="K341" s="64">
        <f>6.2251 * CHOOSE(CONTROL!$C$22, $C$13, 100%, $E$13)</f>
        <v>6.2251000000000003</v>
      </c>
    </row>
    <row r="342" spans="1:11" ht="15">
      <c r="A342" s="13">
        <v>52048</v>
      </c>
      <c r="B342" s="63">
        <f>5.4644 * CHOOSE(CONTROL!$C$22, $C$13, 100%, $E$13)</f>
        <v>5.4644000000000004</v>
      </c>
      <c r="C342" s="63">
        <f>5.4644 * CHOOSE(CONTROL!$C$22, $C$13, 100%, $E$13)</f>
        <v>5.4644000000000004</v>
      </c>
      <c r="D342" s="63">
        <f>5.4888 * CHOOSE(CONTROL!$C$22, $C$13, 100%, $E$13)</f>
        <v>5.4888000000000003</v>
      </c>
      <c r="E342" s="64">
        <f>6.3483 * CHOOSE(CONTROL!$C$22, $C$13, 100%, $E$13)</f>
        <v>6.3483000000000001</v>
      </c>
      <c r="F342" s="64">
        <f>6.3483 * CHOOSE(CONTROL!$C$22, $C$13, 100%, $E$13)</f>
        <v>6.3483000000000001</v>
      </c>
      <c r="G342" s="64">
        <f>6.3499 * CHOOSE(CONTROL!$C$22, $C$13, 100%, $E$13)</f>
        <v>6.3498999999999999</v>
      </c>
      <c r="H342" s="64">
        <f>11.1085* CHOOSE(CONTROL!$C$22, $C$13, 100%, $E$13)</f>
        <v>11.108499999999999</v>
      </c>
      <c r="I342" s="64">
        <f>11.11 * CHOOSE(CONTROL!$C$22, $C$13, 100%, $E$13)</f>
        <v>11.11</v>
      </c>
      <c r="J342" s="64">
        <f>6.3483 * CHOOSE(CONTROL!$C$22, $C$13, 100%, $E$13)</f>
        <v>6.3483000000000001</v>
      </c>
      <c r="K342" s="64">
        <f>6.3499 * CHOOSE(CONTROL!$C$22, $C$13, 100%, $E$13)</f>
        <v>6.3498999999999999</v>
      </c>
    </row>
    <row r="343" spans="1:11" ht="15">
      <c r="A343" s="13">
        <v>52079</v>
      </c>
      <c r="B343" s="63">
        <f>5.4711 * CHOOSE(CONTROL!$C$22, $C$13, 100%, $E$13)</f>
        <v>5.4710999999999999</v>
      </c>
      <c r="C343" s="63">
        <f>5.4711 * CHOOSE(CONTROL!$C$22, $C$13, 100%, $E$13)</f>
        <v>5.4710999999999999</v>
      </c>
      <c r="D343" s="63">
        <f>5.4955 * CHOOSE(CONTROL!$C$22, $C$13, 100%, $E$13)</f>
        <v>5.4954999999999998</v>
      </c>
      <c r="E343" s="64">
        <f>6.2886 * CHOOSE(CONTROL!$C$22, $C$13, 100%, $E$13)</f>
        <v>6.2885999999999997</v>
      </c>
      <c r="F343" s="64">
        <f>6.2886 * CHOOSE(CONTROL!$C$22, $C$13, 100%, $E$13)</f>
        <v>6.2885999999999997</v>
      </c>
      <c r="G343" s="64">
        <f>6.2902 * CHOOSE(CONTROL!$C$22, $C$13, 100%, $E$13)</f>
        <v>6.2901999999999996</v>
      </c>
      <c r="H343" s="64">
        <f>11.1316* CHOOSE(CONTROL!$C$22, $C$13, 100%, $E$13)</f>
        <v>11.131600000000001</v>
      </c>
      <c r="I343" s="64">
        <f>11.1332 * CHOOSE(CONTROL!$C$22, $C$13, 100%, $E$13)</f>
        <v>11.1332</v>
      </c>
      <c r="J343" s="64">
        <f>6.2886 * CHOOSE(CONTROL!$C$22, $C$13, 100%, $E$13)</f>
        <v>6.2885999999999997</v>
      </c>
      <c r="K343" s="64">
        <f>6.2902 * CHOOSE(CONTROL!$C$22, $C$13, 100%, $E$13)</f>
        <v>6.2901999999999996</v>
      </c>
    </row>
    <row r="344" spans="1:11" ht="15">
      <c r="A344" s="13">
        <v>52110</v>
      </c>
      <c r="B344" s="63">
        <f>5.468 * CHOOSE(CONTROL!$C$22, $C$13, 100%, $E$13)</f>
        <v>5.468</v>
      </c>
      <c r="C344" s="63">
        <f>5.468 * CHOOSE(CONTROL!$C$22, $C$13, 100%, $E$13)</f>
        <v>5.468</v>
      </c>
      <c r="D344" s="63">
        <f>5.4924 * CHOOSE(CONTROL!$C$22, $C$13, 100%, $E$13)</f>
        <v>5.4923999999999999</v>
      </c>
      <c r="E344" s="64">
        <f>6.2794 * CHOOSE(CONTROL!$C$22, $C$13, 100%, $E$13)</f>
        <v>6.2793999999999999</v>
      </c>
      <c r="F344" s="64">
        <f>6.2794 * CHOOSE(CONTROL!$C$22, $C$13, 100%, $E$13)</f>
        <v>6.2793999999999999</v>
      </c>
      <c r="G344" s="64">
        <f>6.2809 * CHOOSE(CONTROL!$C$22, $C$13, 100%, $E$13)</f>
        <v>6.2808999999999999</v>
      </c>
      <c r="H344" s="64">
        <f>11.1548* CHOOSE(CONTROL!$C$22, $C$13, 100%, $E$13)</f>
        <v>11.1548</v>
      </c>
      <c r="I344" s="64">
        <f>11.1564 * CHOOSE(CONTROL!$C$22, $C$13, 100%, $E$13)</f>
        <v>11.1564</v>
      </c>
      <c r="J344" s="64">
        <f>6.2794 * CHOOSE(CONTROL!$C$22, $C$13, 100%, $E$13)</f>
        <v>6.2793999999999999</v>
      </c>
      <c r="K344" s="64">
        <f>6.2809 * CHOOSE(CONTROL!$C$22, $C$13, 100%, $E$13)</f>
        <v>6.2808999999999999</v>
      </c>
    </row>
    <row r="345" spans="1:11" ht="15">
      <c r="A345" s="13">
        <v>52140</v>
      </c>
      <c r="B345" s="63">
        <f>5.4682 * CHOOSE(CONTROL!$C$22, $C$13, 100%, $E$13)</f>
        <v>5.4682000000000004</v>
      </c>
      <c r="C345" s="63">
        <f>5.4682 * CHOOSE(CONTROL!$C$22, $C$13, 100%, $E$13)</f>
        <v>5.4682000000000004</v>
      </c>
      <c r="D345" s="63">
        <f>5.4804 * CHOOSE(CONTROL!$C$22, $C$13, 100%, $E$13)</f>
        <v>5.4804000000000004</v>
      </c>
      <c r="E345" s="64">
        <f>6.2945 * CHOOSE(CONTROL!$C$22, $C$13, 100%, $E$13)</f>
        <v>6.2945000000000002</v>
      </c>
      <c r="F345" s="64">
        <f>6.2945 * CHOOSE(CONTROL!$C$22, $C$13, 100%, $E$13)</f>
        <v>6.2945000000000002</v>
      </c>
      <c r="G345" s="64">
        <f>6.2947 * CHOOSE(CONTROL!$C$22, $C$13, 100%, $E$13)</f>
        <v>6.2946999999999997</v>
      </c>
      <c r="H345" s="64">
        <f>11.178* CHOOSE(CONTROL!$C$22, $C$13, 100%, $E$13)</f>
        <v>11.178000000000001</v>
      </c>
      <c r="I345" s="64">
        <f>11.1782 * CHOOSE(CONTROL!$C$22, $C$13, 100%, $E$13)</f>
        <v>11.1782</v>
      </c>
      <c r="J345" s="64">
        <f>6.2945 * CHOOSE(CONTROL!$C$22, $C$13, 100%, $E$13)</f>
        <v>6.2945000000000002</v>
      </c>
      <c r="K345" s="64">
        <f>6.2947 * CHOOSE(CONTROL!$C$22, $C$13, 100%, $E$13)</f>
        <v>6.2946999999999997</v>
      </c>
    </row>
    <row r="346" spans="1:11" ht="15">
      <c r="A346" s="13">
        <v>52171</v>
      </c>
      <c r="B346" s="63">
        <f>5.4713 * CHOOSE(CONTROL!$C$22, $C$13, 100%, $E$13)</f>
        <v>5.4713000000000003</v>
      </c>
      <c r="C346" s="63">
        <f>5.4713 * CHOOSE(CONTROL!$C$22, $C$13, 100%, $E$13)</f>
        <v>5.4713000000000003</v>
      </c>
      <c r="D346" s="63">
        <f>5.4835 * CHOOSE(CONTROL!$C$22, $C$13, 100%, $E$13)</f>
        <v>5.4835000000000003</v>
      </c>
      <c r="E346" s="64">
        <f>6.311 * CHOOSE(CONTROL!$C$22, $C$13, 100%, $E$13)</f>
        <v>6.3109999999999999</v>
      </c>
      <c r="F346" s="64">
        <f>6.311 * CHOOSE(CONTROL!$C$22, $C$13, 100%, $E$13)</f>
        <v>6.3109999999999999</v>
      </c>
      <c r="G346" s="64">
        <f>6.3111 * CHOOSE(CONTROL!$C$22, $C$13, 100%, $E$13)</f>
        <v>6.3110999999999997</v>
      </c>
      <c r="H346" s="64">
        <f>11.2013* CHOOSE(CONTROL!$C$22, $C$13, 100%, $E$13)</f>
        <v>11.2013</v>
      </c>
      <c r="I346" s="64">
        <f>11.2015 * CHOOSE(CONTROL!$C$22, $C$13, 100%, $E$13)</f>
        <v>11.201499999999999</v>
      </c>
      <c r="J346" s="64">
        <f>6.311 * CHOOSE(CONTROL!$C$22, $C$13, 100%, $E$13)</f>
        <v>6.3109999999999999</v>
      </c>
      <c r="K346" s="64">
        <f>6.3111 * CHOOSE(CONTROL!$C$22, $C$13, 100%, $E$13)</f>
        <v>6.3110999999999997</v>
      </c>
    </row>
    <row r="347" spans="1:11" ht="15">
      <c r="A347" s="13">
        <v>52201</v>
      </c>
      <c r="B347" s="63">
        <f>5.4713 * CHOOSE(CONTROL!$C$22, $C$13, 100%, $E$13)</f>
        <v>5.4713000000000003</v>
      </c>
      <c r="C347" s="63">
        <f>5.4713 * CHOOSE(CONTROL!$C$22, $C$13, 100%, $E$13)</f>
        <v>5.4713000000000003</v>
      </c>
      <c r="D347" s="63">
        <f>5.4835 * CHOOSE(CONTROL!$C$22, $C$13, 100%, $E$13)</f>
        <v>5.4835000000000003</v>
      </c>
      <c r="E347" s="64">
        <f>6.2752 * CHOOSE(CONTROL!$C$22, $C$13, 100%, $E$13)</f>
        <v>6.2751999999999999</v>
      </c>
      <c r="F347" s="64">
        <f>6.2752 * CHOOSE(CONTROL!$C$22, $C$13, 100%, $E$13)</f>
        <v>6.2751999999999999</v>
      </c>
      <c r="G347" s="64">
        <f>6.2754 * CHOOSE(CONTROL!$C$22, $C$13, 100%, $E$13)</f>
        <v>6.2754000000000003</v>
      </c>
      <c r="H347" s="64">
        <f>11.2247* CHOOSE(CONTROL!$C$22, $C$13, 100%, $E$13)</f>
        <v>11.2247</v>
      </c>
      <c r="I347" s="64">
        <f>11.2248 * CHOOSE(CONTROL!$C$22, $C$13, 100%, $E$13)</f>
        <v>11.2248</v>
      </c>
      <c r="J347" s="64">
        <f>6.2752 * CHOOSE(CONTROL!$C$22, $C$13, 100%, $E$13)</f>
        <v>6.2751999999999999</v>
      </c>
      <c r="K347" s="64">
        <f>6.2754 * CHOOSE(CONTROL!$C$22, $C$13, 100%, $E$13)</f>
        <v>6.2754000000000003</v>
      </c>
    </row>
    <row r="348" spans="1:11" ht="15">
      <c r="A348" s="13">
        <v>52232</v>
      </c>
      <c r="B348" s="63">
        <f>5.5212 * CHOOSE(CONTROL!$C$22, $C$13, 100%, $E$13)</f>
        <v>5.5212000000000003</v>
      </c>
      <c r="C348" s="63">
        <f>5.5212 * CHOOSE(CONTROL!$C$22, $C$13, 100%, $E$13)</f>
        <v>5.5212000000000003</v>
      </c>
      <c r="D348" s="63">
        <f>5.5334 * CHOOSE(CONTROL!$C$22, $C$13, 100%, $E$13)</f>
        <v>5.5334000000000003</v>
      </c>
      <c r="E348" s="64">
        <f>6.358 * CHOOSE(CONTROL!$C$22, $C$13, 100%, $E$13)</f>
        <v>6.3579999999999997</v>
      </c>
      <c r="F348" s="64">
        <f>6.358 * CHOOSE(CONTROL!$C$22, $C$13, 100%, $E$13)</f>
        <v>6.3579999999999997</v>
      </c>
      <c r="G348" s="64">
        <f>6.3582 * CHOOSE(CONTROL!$C$22, $C$13, 100%, $E$13)</f>
        <v>6.3582000000000001</v>
      </c>
      <c r="H348" s="64">
        <f>11.2481* CHOOSE(CONTROL!$C$22, $C$13, 100%, $E$13)</f>
        <v>11.248100000000001</v>
      </c>
      <c r="I348" s="64">
        <f>11.2482 * CHOOSE(CONTROL!$C$22, $C$13, 100%, $E$13)</f>
        <v>11.248200000000001</v>
      </c>
      <c r="J348" s="64">
        <f>6.358 * CHOOSE(CONTROL!$C$22, $C$13, 100%, $E$13)</f>
        <v>6.3579999999999997</v>
      </c>
      <c r="K348" s="64">
        <f>6.3582 * CHOOSE(CONTROL!$C$22, $C$13, 100%, $E$13)</f>
        <v>6.3582000000000001</v>
      </c>
    </row>
    <row r="349" spans="1:11" ht="15">
      <c r="A349" s="13">
        <v>52263</v>
      </c>
      <c r="B349" s="63">
        <f>5.5182 * CHOOSE(CONTROL!$C$22, $C$13, 100%, $E$13)</f>
        <v>5.5182000000000002</v>
      </c>
      <c r="C349" s="63">
        <f>5.5182 * CHOOSE(CONTROL!$C$22, $C$13, 100%, $E$13)</f>
        <v>5.5182000000000002</v>
      </c>
      <c r="D349" s="63">
        <f>5.5304 * CHOOSE(CONTROL!$C$22, $C$13, 100%, $E$13)</f>
        <v>5.5304000000000002</v>
      </c>
      <c r="E349" s="64">
        <f>6.2865 * CHOOSE(CONTROL!$C$22, $C$13, 100%, $E$13)</f>
        <v>6.2865000000000002</v>
      </c>
      <c r="F349" s="64">
        <f>6.2865 * CHOOSE(CONTROL!$C$22, $C$13, 100%, $E$13)</f>
        <v>6.2865000000000002</v>
      </c>
      <c r="G349" s="64">
        <f>6.2867 * CHOOSE(CONTROL!$C$22, $C$13, 100%, $E$13)</f>
        <v>6.2866999999999997</v>
      </c>
      <c r="H349" s="64">
        <f>11.2715* CHOOSE(CONTROL!$C$22, $C$13, 100%, $E$13)</f>
        <v>11.2715</v>
      </c>
      <c r="I349" s="64">
        <f>11.2717 * CHOOSE(CONTROL!$C$22, $C$13, 100%, $E$13)</f>
        <v>11.271699999999999</v>
      </c>
      <c r="J349" s="64">
        <f>6.2865 * CHOOSE(CONTROL!$C$22, $C$13, 100%, $E$13)</f>
        <v>6.2865000000000002</v>
      </c>
      <c r="K349" s="64">
        <f>6.2867 * CHOOSE(CONTROL!$C$22, $C$13, 100%, $E$13)</f>
        <v>6.2866999999999997</v>
      </c>
    </row>
    <row r="350" spans="1:11" ht="15">
      <c r="A350" s="13">
        <v>52291</v>
      </c>
      <c r="B350" s="63">
        <f>5.5151 * CHOOSE(CONTROL!$C$22, $C$13, 100%, $E$13)</f>
        <v>5.5151000000000003</v>
      </c>
      <c r="C350" s="63">
        <f>5.5151 * CHOOSE(CONTROL!$C$22, $C$13, 100%, $E$13)</f>
        <v>5.5151000000000003</v>
      </c>
      <c r="D350" s="63">
        <f>5.5273 * CHOOSE(CONTROL!$C$22, $C$13, 100%, $E$13)</f>
        <v>5.5273000000000003</v>
      </c>
      <c r="E350" s="64">
        <f>6.3391 * CHOOSE(CONTROL!$C$22, $C$13, 100%, $E$13)</f>
        <v>6.3391000000000002</v>
      </c>
      <c r="F350" s="64">
        <f>6.3391 * CHOOSE(CONTROL!$C$22, $C$13, 100%, $E$13)</f>
        <v>6.3391000000000002</v>
      </c>
      <c r="G350" s="64">
        <f>6.3393 * CHOOSE(CONTROL!$C$22, $C$13, 100%, $E$13)</f>
        <v>6.3392999999999997</v>
      </c>
      <c r="H350" s="64">
        <f>11.295* CHOOSE(CONTROL!$C$22, $C$13, 100%, $E$13)</f>
        <v>11.295</v>
      </c>
      <c r="I350" s="64">
        <f>11.2951 * CHOOSE(CONTROL!$C$22, $C$13, 100%, $E$13)</f>
        <v>11.2951</v>
      </c>
      <c r="J350" s="64">
        <f>6.3391 * CHOOSE(CONTROL!$C$22, $C$13, 100%, $E$13)</f>
        <v>6.3391000000000002</v>
      </c>
      <c r="K350" s="64">
        <f>6.3393 * CHOOSE(CONTROL!$C$22, $C$13, 100%, $E$13)</f>
        <v>6.3392999999999997</v>
      </c>
    </row>
    <row r="351" spans="1:11" ht="15">
      <c r="A351" s="13">
        <v>52322</v>
      </c>
      <c r="B351" s="63">
        <f>5.5142 * CHOOSE(CONTROL!$C$22, $C$13, 100%, $E$13)</f>
        <v>5.5141999999999998</v>
      </c>
      <c r="C351" s="63">
        <f>5.5142 * CHOOSE(CONTROL!$C$22, $C$13, 100%, $E$13)</f>
        <v>5.5141999999999998</v>
      </c>
      <c r="D351" s="63">
        <f>5.5264 * CHOOSE(CONTROL!$C$22, $C$13, 100%, $E$13)</f>
        <v>5.5263999999999998</v>
      </c>
      <c r="E351" s="64">
        <f>6.3936 * CHOOSE(CONTROL!$C$22, $C$13, 100%, $E$13)</f>
        <v>6.3936000000000002</v>
      </c>
      <c r="F351" s="64">
        <f>6.3936 * CHOOSE(CONTROL!$C$22, $C$13, 100%, $E$13)</f>
        <v>6.3936000000000002</v>
      </c>
      <c r="G351" s="64">
        <f>6.3938 * CHOOSE(CONTROL!$C$22, $C$13, 100%, $E$13)</f>
        <v>6.3937999999999997</v>
      </c>
      <c r="H351" s="64">
        <f>11.3185* CHOOSE(CONTROL!$C$22, $C$13, 100%, $E$13)</f>
        <v>11.3185</v>
      </c>
      <c r="I351" s="64">
        <f>11.3187 * CHOOSE(CONTROL!$C$22, $C$13, 100%, $E$13)</f>
        <v>11.3187</v>
      </c>
      <c r="J351" s="64">
        <f>6.3936 * CHOOSE(CONTROL!$C$22, $C$13, 100%, $E$13)</f>
        <v>6.3936000000000002</v>
      </c>
      <c r="K351" s="64">
        <f>6.3938 * CHOOSE(CONTROL!$C$22, $C$13, 100%, $E$13)</f>
        <v>6.3937999999999997</v>
      </c>
    </row>
    <row r="352" spans="1:11" ht="15">
      <c r="A352" s="13">
        <v>52352</v>
      </c>
      <c r="B352" s="63">
        <f>5.5142 * CHOOSE(CONTROL!$C$22, $C$13, 100%, $E$13)</f>
        <v>5.5141999999999998</v>
      </c>
      <c r="C352" s="63">
        <f>5.5142 * CHOOSE(CONTROL!$C$22, $C$13, 100%, $E$13)</f>
        <v>5.5141999999999998</v>
      </c>
      <c r="D352" s="63">
        <f>5.5386 * CHOOSE(CONTROL!$C$22, $C$13, 100%, $E$13)</f>
        <v>5.5385999999999997</v>
      </c>
      <c r="E352" s="64">
        <f>6.4157 * CHOOSE(CONTROL!$C$22, $C$13, 100%, $E$13)</f>
        <v>6.4157000000000002</v>
      </c>
      <c r="F352" s="64">
        <f>6.4157 * CHOOSE(CONTROL!$C$22, $C$13, 100%, $E$13)</f>
        <v>6.4157000000000002</v>
      </c>
      <c r="G352" s="64">
        <f>6.4172 * CHOOSE(CONTROL!$C$22, $C$13, 100%, $E$13)</f>
        <v>6.4172000000000002</v>
      </c>
      <c r="H352" s="64">
        <f>11.3421* CHOOSE(CONTROL!$C$22, $C$13, 100%, $E$13)</f>
        <v>11.3421</v>
      </c>
      <c r="I352" s="64">
        <f>11.3436 * CHOOSE(CONTROL!$C$22, $C$13, 100%, $E$13)</f>
        <v>11.3436</v>
      </c>
      <c r="J352" s="64">
        <f>6.4157 * CHOOSE(CONTROL!$C$22, $C$13, 100%, $E$13)</f>
        <v>6.4157000000000002</v>
      </c>
      <c r="K352" s="64">
        <f>6.4172 * CHOOSE(CONTROL!$C$22, $C$13, 100%, $E$13)</f>
        <v>6.4172000000000002</v>
      </c>
    </row>
    <row r="353" spans="1:11" ht="15">
      <c r="A353" s="13">
        <v>52383</v>
      </c>
      <c r="B353" s="63">
        <f>5.5202 * CHOOSE(CONTROL!$C$22, $C$13, 100%, $E$13)</f>
        <v>5.5202</v>
      </c>
      <c r="C353" s="63">
        <f>5.5202 * CHOOSE(CONTROL!$C$22, $C$13, 100%, $E$13)</f>
        <v>5.5202</v>
      </c>
      <c r="D353" s="63">
        <f>5.5447 * CHOOSE(CONTROL!$C$22, $C$13, 100%, $E$13)</f>
        <v>5.5446999999999997</v>
      </c>
      <c r="E353" s="64">
        <f>6.3979 * CHOOSE(CONTROL!$C$22, $C$13, 100%, $E$13)</f>
        <v>6.3978999999999999</v>
      </c>
      <c r="F353" s="64">
        <f>6.3979 * CHOOSE(CONTROL!$C$22, $C$13, 100%, $E$13)</f>
        <v>6.3978999999999999</v>
      </c>
      <c r="G353" s="64">
        <f>6.3994 * CHOOSE(CONTROL!$C$22, $C$13, 100%, $E$13)</f>
        <v>6.3994</v>
      </c>
      <c r="H353" s="64">
        <f>11.3657* CHOOSE(CONTROL!$C$22, $C$13, 100%, $E$13)</f>
        <v>11.3657</v>
      </c>
      <c r="I353" s="64">
        <f>11.3673 * CHOOSE(CONTROL!$C$22, $C$13, 100%, $E$13)</f>
        <v>11.3673</v>
      </c>
      <c r="J353" s="64">
        <f>6.3979 * CHOOSE(CONTROL!$C$22, $C$13, 100%, $E$13)</f>
        <v>6.3978999999999999</v>
      </c>
      <c r="K353" s="64">
        <f>6.3994 * CHOOSE(CONTROL!$C$22, $C$13, 100%, $E$13)</f>
        <v>6.3994</v>
      </c>
    </row>
    <row r="354" spans="1:11" ht="15">
      <c r="A354" s="13">
        <v>52413</v>
      </c>
      <c r="B354" s="63">
        <f>5.6132 * CHOOSE(CONTROL!$C$22, $C$13, 100%, $E$13)</f>
        <v>5.6132</v>
      </c>
      <c r="C354" s="63">
        <f>5.6132 * CHOOSE(CONTROL!$C$22, $C$13, 100%, $E$13)</f>
        <v>5.6132</v>
      </c>
      <c r="D354" s="63">
        <f>5.6376 * CHOOSE(CONTROL!$C$22, $C$13, 100%, $E$13)</f>
        <v>5.6375999999999999</v>
      </c>
      <c r="E354" s="64">
        <f>6.5257 * CHOOSE(CONTROL!$C$22, $C$13, 100%, $E$13)</f>
        <v>6.5256999999999996</v>
      </c>
      <c r="F354" s="64">
        <f>6.5257 * CHOOSE(CONTROL!$C$22, $C$13, 100%, $E$13)</f>
        <v>6.5256999999999996</v>
      </c>
      <c r="G354" s="64">
        <f>6.5273 * CHOOSE(CONTROL!$C$22, $C$13, 100%, $E$13)</f>
        <v>6.5273000000000003</v>
      </c>
      <c r="H354" s="64">
        <f>11.3894* CHOOSE(CONTROL!$C$22, $C$13, 100%, $E$13)</f>
        <v>11.3894</v>
      </c>
      <c r="I354" s="64">
        <f>11.391 * CHOOSE(CONTROL!$C$22, $C$13, 100%, $E$13)</f>
        <v>11.391</v>
      </c>
      <c r="J354" s="64">
        <f>6.5257 * CHOOSE(CONTROL!$C$22, $C$13, 100%, $E$13)</f>
        <v>6.5256999999999996</v>
      </c>
      <c r="K354" s="64">
        <f>6.5273 * CHOOSE(CONTROL!$C$22, $C$13, 100%, $E$13)</f>
        <v>6.5273000000000003</v>
      </c>
    </row>
    <row r="355" spans="1:11" ht="15">
      <c r="A355" s="13">
        <v>52444</v>
      </c>
      <c r="B355" s="63">
        <f>5.6199 * CHOOSE(CONTROL!$C$22, $C$13, 100%, $E$13)</f>
        <v>5.6199000000000003</v>
      </c>
      <c r="C355" s="63">
        <f>5.6199 * CHOOSE(CONTROL!$C$22, $C$13, 100%, $E$13)</f>
        <v>5.6199000000000003</v>
      </c>
      <c r="D355" s="63">
        <f>5.6443 * CHOOSE(CONTROL!$C$22, $C$13, 100%, $E$13)</f>
        <v>5.6443000000000003</v>
      </c>
      <c r="E355" s="64">
        <f>6.4643 * CHOOSE(CONTROL!$C$22, $C$13, 100%, $E$13)</f>
        <v>6.4642999999999997</v>
      </c>
      <c r="F355" s="64">
        <f>6.4643 * CHOOSE(CONTROL!$C$22, $C$13, 100%, $E$13)</f>
        <v>6.4642999999999997</v>
      </c>
      <c r="G355" s="64">
        <f>6.4658 * CHOOSE(CONTROL!$C$22, $C$13, 100%, $E$13)</f>
        <v>6.4657999999999998</v>
      </c>
      <c r="H355" s="64">
        <f>11.4131* CHOOSE(CONTROL!$C$22, $C$13, 100%, $E$13)</f>
        <v>11.4131</v>
      </c>
      <c r="I355" s="64">
        <f>11.4147 * CHOOSE(CONTROL!$C$22, $C$13, 100%, $E$13)</f>
        <v>11.4147</v>
      </c>
      <c r="J355" s="64">
        <f>6.4643 * CHOOSE(CONTROL!$C$22, $C$13, 100%, $E$13)</f>
        <v>6.4642999999999997</v>
      </c>
      <c r="K355" s="64">
        <f>6.4658 * CHOOSE(CONTROL!$C$22, $C$13, 100%, $E$13)</f>
        <v>6.4657999999999998</v>
      </c>
    </row>
    <row r="356" spans="1:11" ht="15">
      <c r="A356" s="13">
        <v>52475</v>
      </c>
      <c r="B356" s="63">
        <f>5.6168 * CHOOSE(CONTROL!$C$22, $C$13, 100%, $E$13)</f>
        <v>5.6167999999999996</v>
      </c>
      <c r="C356" s="63">
        <f>5.6168 * CHOOSE(CONTROL!$C$22, $C$13, 100%, $E$13)</f>
        <v>5.6167999999999996</v>
      </c>
      <c r="D356" s="63">
        <f>5.6413 * CHOOSE(CONTROL!$C$22, $C$13, 100%, $E$13)</f>
        <v>5.6413000000000002</v>
      </c>
      <c r="E356" s="64">
        <f>6.4548 * CHOOSE(CONTROL!$C$22, $C$13, 100%, $E$13)</f>
        <v>6.4547999999999996</v>
      </c>
      <c r="F356" s="64">
        <f>6.4548 * CHOOSE(CONTROL!$C$22, $C$13, 100%, $E$13)</f>
        <v>6.4547999999999996</v>
      </c>
      <c r="G356" s="64">
        <f>6.4564 * CHOOSE(CONTROL!$C$22, $C$13, 100%, $E$13)</f>
        <v>6.4564000000000004</v>
      </c>
      <c r="H356" s="64">
        <f>11.4369* CHOOSE(CONTROL!$C$22, $C$13, 100%, $E$13)</f>
        <v>11.4369</v>
      </c>
      <c r="I356" s="64">
        <f>11.4385 * CHOOSE(CONTROL!$C$22, $C$13, 100%, $E$13)</f>
        <v>11.438499999999999</v>
      </c>
      <c r="J356" s="64">
        <f>6.4548 * CHOOSE(CONTROL!$C$22, $C$13, 100%, $E$13)</f>
        <v>6.4547999999999996</v>
      </c>
      <c r="K356" s="64">
        <f>6.4564 * CHOOSE(CONTROL!$C$22, $C$13, 100%, $E$13)</f>
        <v>6.4564000000000004</v>
      </c>
    </row>
    <row r="357" spans="1:11" ht="15">
      <c r="A357" s="13">
        <v>52505</v>
      </c>
      <c r="B357" s="63">
        <f>5.6175 * CHOOSE(CONTROL!$C$22, $C$13, 100%, $E$13)</f>
        <v>5.6174999999999997</v>
      </c>
      <c r="C357" s="63">
        <f>5.6175 * CHOOSE(CONTROL!$C$22, $C$13, 100%, $E$13)</f>
        <v>5.6174999999999997</v>
      </c>
      <c r="D357" s="63">
        <f>5.6298 * CHOOSE(CONTROL!$C$22, $C$13, 100%, $E$13)</f>
        <v>5.6298000000000004</v>
      </c>
      <c r="E357" s="64">
        <f>6.4708 * CHOOSE(CONTROL!$C$22, $C$13, 100%, $E$13)</f>
        <v>6.4707999999999997</v>
      </c>
      <c r="F357" s="64">
        <f>6.4708 * CHOOSE(CONTROL!$C$22, $C$13, 100%, $E$13)</f>
        <v>6.4707999999999997</v>
      </c>
      <c r="G357" s="64">
        <f>6.4709 * CHOOSE(CONTROL!$C$22, $C$13, 100%, $E$13)</f>
        <v>6.4709000000000003</v>
      </c>
      <c r="H357" s="64">
        <f>11.4607* CHOOSE(CONTROL!$C$22, $C$13, 100%, $E$13)</f>
        <v>11.460699999999999</v>
      </c>
      <c r="I357" s="64">
        <f>11.4609 * CHOOSE(CONTROL!$C$22, $C$13, 100%, $E$13)</f>
        <v>11.460900000000001</v>
      </c>
      <c r="J357" s="64">
        <f>6.4708 * CHOOSE(CONTROL!$C$22, $C$13, 100%, $E$13)</f>
        <v>6.4707999999999997</v>
      </c>
      <c r="K357" s="64">
        <f>6.4709 * CHOOSE(CONTROL!$C$22, $C$13, 100%, $E$13)</f>
        <v>6.4709000000000003</v>
      </c>
    </row>
    <row r="358" spans="1:11" ht="15">
      <c r="A358" s="13">
        <v>52536</v>
      </c>
      <c r="B358" s="63">
        <f>5.6206 * CHOOSE(CONTROL!$C$22, $C$13, 100%, $E$13)</f>
        <v>5.6205999999999996</v>
      </c>
      <c r="C358" s="63">
        <f>5.6206 * CHOOSE(CONTROL!$C$22, $C$13, 100%, $E$13)</f>
        <v>5.6205999999999996</v>
      </c>
      <c r="D358" s="63">
        <f>5.6328 * CHOOSE(CONTROL!$C$22, $C$13, 100%, $E$13)</f>
        <v>5.6327999999999996</v>
      </c>
      <c r="E358" s="64">
        <f>6.4876 * CHOOSE(CONTROL!$C$22, $C$13, 100%, $E$13)</f>
        <v>6.4875999999999996</v>
      </c>
      <c r="F358" s="64">
        <f>6.4876 * CHOOSE(CONTROL!$C$22, $C$13, 100%, $E$13)</f>
        <v>6.4875999999999996</v>
      </c>
      <c r="G358" s="64">
        <f>6.4877 * CHOOSE(CONTROL!$C$22, $C$13, 100%, $E$13)</f>
        <v>6.4877000000000002</v>
      </c>
      <c r="H358" s="64">
        <f>11.4846* CHOOSE(CONTROL!$C$22, $C$13, 100%, $E$13)</f>
        <v>11.4846</v>
      </c>
      <c r="I358" s="64">
        <f>11.4848 * CHOOSE(CONTROL!$C$22, $C$13, 100%, $E$13)</f>
        <v>11.4848</v>
      </c>
      <c r="J358" s="64">
        <f>6.4876 * CHOOSE(CONTROL!$C$22, $C$13, 100%, $E$13)</f>
        <v>6.4875999999999996</v>
      </c>
      <c r="K358" s="64">
        <f>6.4877 * CHOOSE(CONTROL!$C$22, $C$13, 100%, $E$13)</f>
        <v>6.4877000000000002</v>
      </c>
    </row>
    <row r="359" spans="1:11" ht="15">
      <c r="A359" s="13">
        <v>52566</v>
      </c>
      <c r="B359" s="63">
        <f>5.6206 * CHOOSE(CONTROL!$C$22, $C$13, 100%, $E$13)</f>
        <v>5.6205999999999996</v>
      </c>
      <c r="C359" s="63">
        <f>5.6206 * CHOOSE(CONTROL!$C$22, $C$13, 100%, $E$13)</f>
        <v>5.6205999999999996</v>
      </c>
      <c r="D359" s="63">
        <f>5.6328 * CHOOSE(CONTROL!$C$22, $C$13, 100%, $E$13)</f>
        <v>5.6327999999999996</v>
      </c>
      <c r="E359" s="64">
        <f>6.4508 * CHOOSE(CONTROL!$C$22, $C$13, 100%, $E$13)</f>
        <v>6.4508000000000001</v>
      </c>
      <c r="F359" s="64">
        <f>6.4508 * CHOOSE(CONTROL!$C$22, $C$13, 100%, $E$13)</f>
        <v>6.4508000000000001</v>
      </c>
      <c r="G359" s="64">
        <f>6.451 * CHOOSE(CONTROL!$C$22, $C$13, 100%, $E$13)</f>
        <v>6.4509999999999996</v>
      </c>
      <c r="H359" s="64">
        <f>11.5085* CHOOSE(CONTROL!$C$22, $C$13, 100%, $E$13)</f>
        <v>11.5085</v>
      </c>
      <c r="I359" s="64">
        <f>11.5087 * CHOOSE(CONTROL!$C$22, $C$13, 100%, $E$13)</f>
        <v>11.508699999999999</v>
      </c>
      <c r="J359" s="64">
        <f>6.4508 * CHOOSE(CONTROL!$C$22, $C$13, 100%, $E$13)</f>
        <v>6.4508000000000001</v>
      </c>
      <c r="K359" s="64">
        <f>6.451 * CHOOSE(CONTROL!$C$22, $C$13, 100%, $E$13)</f>
        <v>6.4509999999999996</v>
      </c>
    </row>
    <row r="360" spans="1:11" ht="15">
      <c r="A360" s="13">
        <v>52597</v>
      </c>
      <c r="B360" s="63">
        <f>5.6717 * CHOOSE(CONTROL!$C$22, $C$13, 100%, $E$13)</f>
        <v>5.6717000000000004</v>
      </c>
      <c r="C360" s="63">
        <f>5.6717 * CHOOSE(CONTROL!$C$22, $C$13, 100%, $E$13)</f>
        <v>5.6717000000000004</v>
      </c>
      <c r="D360" s="63">
        <f>5.6839 * CHOOSE(CONTROL!$C$22, $C$13, 100%, $E$13)</f>
        <v>5.6839000000000004</v>
      </c>
      <c r="E360" s="64">
        <f>6.5359 * CHOOSE(CONTROL!$C$22, $C$13, 100%, $E$13)</f>
        <v>6.5358999999999998</v>
      </c>
      <c r="F360" s="64">
        <f>6.5359 * CHOOSE(CONTROL!$C$22, $C$13, 100%, $E$13)</f>
        <v>6.5358999999999998</v>
      </c>
      <c r="G360" s="64">
        <f>6.5361 * CHOOSE(CONTROL!$C$22, $C$13, 100%, $E$13)</f>
        <v>6.5361000000000002</v>
      </c>
      <c r="H360" s="64">
        <f>11.5325* CHOOSE(CONTROL!$C$22, $C$13, 100%, $E$13)</f>
        <v>11.532500000000001</v>
      </c>
      <c r="I360" s="64">
        <f>11.5327 * CHOOSE(CONTROL!$C$22, $C$13, 100%, $E$13)</f>
        <v>11.5327</v>
      </c>
      <c r="J360" s="64">
        <f>6.5359 * CHOOSE(CONTROL!$C$22, $C$13, 100%, $E$13)</f>
        <v>6.5358999999999998</v>
      </c>
      <c r="K360" s="64">
        <f>6.5361 * CHOOSE(CONTROL!$C$22, $C$13, 100%, $E$13)</f>
        <v>6.5361000000000002</v>
      </c>
    </row>
    <row r="361" spans="1:11" ht="15">
      <c r="A361" s="13">
        <v>52628</v>
      </c>
      <c r="B361" s="63">
        <f>5.6686 * CHOOSE(CONTROL!$C$22, $C$13, 100%, $E$13)</f>
        <v>5.6685999999999996</v>
      </c>
      <c r="C361" s="63">
        <f>5.6686 * CHOOSE(CONTROL!$C$22, $C$13, 100%, $E$13)</f>
        <v>5.6685999999999996</v>
      </c>
      <c r="D361" s="63">
        <f>5.6808 * CHOOSE(CONTROL!$C$22, $C$13, 100%, $E$13)</f>
        <v>5.6807999999999996</v>
      </c>
      <c r="E361" s="64">
        <f>6.4624 * CHOOSE(CONTROL!$C$22, $C$13, 100%, $E$13)</f>
        <v>6.4623999999999997</v>
      </c>
      <c r="F361" s="64">
        <f>6.4624 * CHOOSE(CONTROL!$C$22, $C$13, 100%, $E$13)</f>
        <v>6.4623999999999997</v>
      </c>
      <c r="G361" s="64">
        <f>6.4626 * CHOOSE(CONTROL!$C$22, $C$13, 100%, $E$13)</f>
        <v>6.4626000000000001</v>
      </c>
      <c r="H361" s="64">
        <f>11.5565* CHOOSE(CONTROL!$C$22, $C$13, 100%, $E$13)</f>
        <v>11.5565</v>
      </c>
      <c r="I361" s="64">
        <f>11.5567 * CHOOSE(CONTROL!$C$22, $C$13, 100%, $E$13)</f>
        <v>11.556699999999999</v>
      </c>
      <c r="J361" s="64">
        <f>6.4624 * CHOOSE(CONTROL!$C$22, $C$13, 100%, $E$13)</f>
        <v>6.4623999999999997</v>
      </c>
      <c r="K361" s="64">
        <f>6.4626 * CHOOSE(CONTROL!$C$22, $C$13, 100%, $E$13)</f>
        <v>6.4626000000000001</v>
      </c>
    </row>
    <row r="362" spans="1:11" ht="15">
      <c r="A362" s="13">
        <v>52657</v>
      </c>
      <c r="B362" s="63">
        <f>5.6656 * CHOOSE(CONTROL!$C$22, $C$13, 100%, $E$13)</f>
        <v>5.6656000000000004</v>
      </c>
      <c r="C362" s="63">
        <f>5.6656 * CHOOSE(CONTROL!$C$22, $C$13, 100%, $E$13)</f>
        <v>5.6656000000000004</v>
      </c>
      <c r="D362" s="63">
        <f>5.6778 * CHOOSE(CONTROL!$C$22, $C$13, 100%, $E$13)</f>
        <v>5.6778000000000004</v>
      </c>
      <c r="E362" s="64">
        <f>6.5166 * CHOOSE(CONTROL!$C$22, $C$13, 100%, $E$13)</f>
        <v>6.5166000000000004</v>
      </c>
      <c r="F362" s="64">
        <f>6.5166 * CHOOSE(CONTROL!$C$22, $C$13, 100%, $E$13)</f>
        <v>6.5166000000000004</v>
      </c>
      <c r="G362" s="64">
        <f>6.5167 * CHOOSE(CONTROL!$C$22, $C$13, 100%, $E$13)</f>
        <v>6.5167000000000002</v>
      </c>
      <c r="H362" s="64">
        <f>11.5806* CHOOSE(CONTROL!$C$22, $C$13, 100%, $E$13)</f>
        <v>11.5806</v>
      </c>
      <c r="I362" s="64">
        <f>11.5808 * CHOOSE(CONTROL!$C$22, $C$13, 100%, $E$13)</f>
        <v>11.5808</v>
      </c>
      <c r="J362" s="64">
        <f>6.5166 * CHOOSE(CONTROL!$C$22, $C$13, 100%, $E$13)</f>
        <v>6.5166000000000004</v>
      </c>
      <c r="K362" s="64">
        <f>6.5167 * CHOOSE(CONTROL!$C$22, $C$13, 100%, $E$13)</f>
        <v>6.5167000000000002</v>
      </c>
    </row>
    <row r="363" spans="1:11" ht="15">
      <c r="A363" s="13">
        <v>52688</v>
      </c>
      <c r="B363" s="63">
        <f>5.6648 * CHOOSE(CONTROL!$C$22, $C$13, 100%, $E$13)</f>
        <v>5.6647999999999996</v>
      </c>
      <c r="C363" s="63">
        <f>5.6648 * CHOOSE(CONTROL!$C$22, $C$13, 100%, $E$13)</f>
        <v>5.6647999999999996</v>
      </c>
      <c r="D363" s="63">
        <f>5.677 * CHOOSE(CONTROL!$C$22, $C$13, 100%, $E$13)</f>
        <v>5.6769999999999996</v>
      </c>
      <c r="E363" s="64">
        <f>6.5727 * CHOOSE(CONTROL!$C$22, $C$13, 100%, $E$13)</f>
        <v>6.5727000000000002</v>
      </c>
      <c r="F363" s="64">
        <f>6.5727 * CHOOSE(CONTROL!$C$22, $C$13, 100%, $E$13)</f>
        <v>6.5727000000000002</v>
      </c>
      <c r="G363" s="64">
        <f>6.5729 * CHOOSE(CONTROL!$C$22, $C$13, 100%, $E$13)</f>
        <v>6.5728999999999997</v>
      </c>
      <c r="H363" s="64">
        <f>11.6047* CHOOSE(CONTROL!$C$22, $C$13, 100%, $E$13)</f>
        <v>11.604699999999999</v>
      </c>
      <c r="I363" s="64">
        <f>11.6049 * CHOOSE(CONTROL!$C$22, $C$13, 100%, $E$13)</f>
        <v>11.604900000000001</v>
      </c>
      <c r="J363" s="64">
        <f>6.5727 * CHOOSE(CONTROL!$C$22, $C$13, 100%, $E$13)</f>
        <v>6.5727000000000002</v>
      </c>
      <c r="K363" s="64">
        <f>6.5729 * CHOOSE(CONTROL!$C$22, $C$13, 100%, $E$13)</f>
        <v>6.5728999999999997</v>
      </c>
    </row>
    <row r="364" spans="1:11" ht="15">
      <c r="A364" s="13">
        <v>52718</v>
      </c>
      <c r="B364" s="63">
        <f>5.6648 * CHOOSE(CONTROL!$C$22, $C$13, 100%, $E$13)</f>
        <v>5.6647999999999996</v>
      </c>
      <c r="C364" s="63">
        <f>5.6648 * CHOOSE(CONTROL!$C$22, $C$13, 100%, $E$13)</f>
        <v>5.6647999999999996</v>
      </c>
      <c r="D364" s="63">
        <f>5.6892 * CHOOSE(CONTROL!$C$22, $C$13, 100%, $E$13)</f>
        <v>5.6891999999999996</v>
      </c>
      <c r="E364" s="64">
        <f>6.5954 * CHOOSE(CONTROL!$C$22, $C$13, 100%, $E$13)</f>
        <v>6.5953999999999997</v>
      </c>
      <c r="F364" s="64">
        <f>6.5954 * CHOOSE(CONTROL!$C$22, $C$13, 100%, $E$13)</f>
        <v>6.5953999999999997</v>
      </c>
      <c r="G364" s="64">
        <f>6.597 * CHOOSE(CONTROL!$C$22, $C$13, 100%, $E$13)</f>
        <v>6.5970000000000004</v>
      </c>
      <c r="H364" s="64">
        <f>11.6289* CHOOSE(CONTROL!$C$22, $C$13, 100%, $E$13)</f>
        <v>11.6289</v>
      </c>
      <c r="I364" s="64">
        <f>11.6305 * CHOOSE(CONTROL!$C$22, $C$13, 100%, $E$13)</f>
        <v>11.6305</v>
      </c>
      <c r="J364" s="64">
        <f>6.5954 * CHOOSE(CONTROL!$C$22, $C$13, 100%, $E$13)</f>
        <v>6.5953999999999997</v>
      </c>
      <c r="K364" s="64">
        <f>6.597 * CHOOSE(CONTROL!$C$22, $C$13, 100%, $E$13)</f>
        <v>6.5970000000000004</v>
      </c>
    </row>
    <row r="365" spans="1:11" ht="15">
      <c r="A365" s="13">
        <v>52749</v>
      </c>
      <c r="B365" s="63">
        <f>5.6708 * CHOOSE(CONTROL!$C$22, $C$13, 100%, $E$13)</f>
        <v>5.6707999999999998</v>
      </c>
      <c r="C365" s="63">
        <f>5.6708 * CHOOSE(CONTROL!$C$22, $C$13, 100%, $E$13)</f>
        <v>5.6707999999999998</v>
      </c>
      <c r="D365" s="63">
        <f>5.6953 * CHOOSE(CONTROL!$C$22, $C$13, 100%, $E$13)</f>
        <v>5.6952999999999996</v>
      </c>
      <c r="E365" s="64">
        <f>6.577 * CHOOSE(CONTROL!$C$22, $C$13, 100%, $E$13)</f>
        <v>6.577</v>
      </c>
      <c r="F365" s="64">
        <f>6.577 * CHOOSE(CONTROL!$C$22, $C$13, 100%, $E$13)</f>
        <v>6.577</v>
      </c>
      <c r="G365" s="64">
        <f>6.5786 * CHOOSE(CONTROL!$C$22, $C$13, 100%, $E$13)</f>
        <v>6.5785999999999998</v>
      </c>
      <c r="H365" s="64">
        <f>11.6531* CHOOSE(CONTROL!$C$22, $C$13, 100%, $E$13)</f>
        <v>11.6531</v>
      </c>
      <c r="I365" s="64">
        <f>11.6547 * CHOOSE(CONTROL!$C$22, $C$13, 100%, $E$13)</f>
        <v>11.6547</v>
      </c>
      <c r="J365" s="64">
        <f>6.577 * CHOOSE(CONTROL!$C$22, $C$13, 100%, $E$13)</f>
        <v>6.577</v>
      </c>
      <c r="K365" s="64">
        <f>6.5786 * CHOOSE(CONTROL!$C$22, $C$13, 100%, $E$13)</f>
        <v>6.5785999999999998</v>
      </c>
    </row>
    <row r="366" spans="1:11" ht="15">
      <c r="A366" s="13">
        <v>52779</v>
      </c>
      <c r="B366" s="63">
        <f>5.7658 * CHOOSE(CONTROL!$C$22, $C$13, 100%, $E$13)</f>
        <v>5.7657999999999996</v>
      </c>
      <c r="C366" s="63">
        <f>5.7658 * CHOOSE(CONTROL!$C$22, $C$13, 100%, $E$13)</f>
        <v>5.7657999999999996</v>
      </c>
      <c r="D366" s="63">
        <f>5.7902 * CHOOSE(CONTROL!$C$22, $C$13, 100%, $E$13)</f>
        <v>5.7901999999999996</v>
      </c>
      <c r="E366" s="64">
        <f>6.7082 * CHOOSE(CONTROL!$C$22, $C$13, 100%, $E$13)</f>
        <v>6.7081999999999997</v>
      </c>
      <c r="F366" s="64">
        <f>6.7082 * CHOOSE(CONTROL!$C$22, $C$13, 100%, $E$13)</f>
        <v>6.7081999999999997</v>
      </c>
      <c r="G366" s="64">
        <f>6.7098 * CHOOSE(CONTROL!$C$22, $C$13, 100%, $E$13)</f>
        <v>6.7098000000000004</v>
      </c>
      <c r="H366" s="64">
        <f>11.6774* CHOOSE(CONTROL!$C$22, $C$13, 100%, $E$13)</f>
        <v>11.6774</v>
      </c>
      <c r="I366" s="64">
        <f>11.679 * CHOOSE(CONTROL!$C$22, $C$13, 100%, $E$13)</f>
        <v>11.679</v>
      </c>
      <c r="J366" s="64">
        <f>6.7082 * CHOOSE(CONTROL!$C$22, $C$13, 100%, $E$13)</f>
        <v>6.7081999999999997</v>
      </c>
      <c r="K366" s="64">
        <f>6.7098 * CHOOSE(CONTROL!$C$22, $C$13, 100%, $E$13)</f>
        <v>6.7098000000000004</v>
      </c>
    </row>
    <row r="367" spans="1:11" ht="15">
      <c r="A367" s="13">
        <v>52810</v>
      </c>
      <c r="B367" s="63">
        <f>5.7725 * CHOOSE(CONTROL!$C$22, $C$13, 100%, $E$13)</f>
        <v>5.7725</v>
      </c>
      <c r="C367" s="63">
        <f>5.7725 * CHOOSE(CONTROL!$C$22, $C$13, 100%, $E$13)</f>
        <v>5.7725</v>
      </c>
      <c r="D367" s="63">
        <f>5.7969 * CHOOSE(CONTROL!$C$22, $C$13, 100%, $E$13)</f>
        <v>5.7968999999999999</v>
      </c>
      <c r="E367" s="64">
        <f>6.6449 * CHOOSE(CONTROL!$C$22, $C$13, 100%, $E$13)</f>
        <v>6.6448999999999998</v>
      </c>
      <c r="F367" s="64">
        <f>6.6449 * CHOOSE(CONTROL!$C$22, $C$13, 100%, $E$13)</f>
        <v>6.6448999999999998</v>
      </c>
      <c r="G367" s="64">
        <f>6.6465 * CHOOSE(CONTROL!$C$22, $C$13, 100%, $E$13)</f>
        <v>6.6464999999999996</v>
      </c>
      <c r="H367" s="64">
        <f>11.7017* CHOOSE(CONTROL!$C$22, $C$13, 100%, $E$13)</f>
        <v>11.701700000000001</v>
      </c>
      <c r="I367" s="64">
        <f>11.7033 * CHOOSE(CONTROL!$C$22, $C$13, 100%, $E$13)</f>
        <v>11.7033</v>
      </c>
      <c r="J367" s="64">
        <f>6.6449 * CHOOSE(CONTROL!$C$22, $C$13, 100%, $E$13)</f>
        <v>6.6448999999999998</v>
      </c>
      <c r="K367" s="64">
        <f>6.6465 * CHOOSE(CONTROL!$C$22, $C$13, 100%, $E$13)</f>
        <v>6.6464999999999996</v>
      </c>
    </row>
    <row r="368" spans="1:11" ht="15">
      <c r="A368" s="13">
        <v>52841</v>
      </c>
      <c r="B368" s="63">
        <f>5.7695 * CHOOSE(CONTROL!$C$22, $C$13, 100%, $E$13)</f>
        <v>5.7694999999999999</v>
      </c>
      <c r="C368" s="63">
        <f>5.7695 * CHOOSE(CONTROL!$C$22, $C$13, 100%, $E$13)</f>
        <v>5.7694999999999999</v>
      </c>
      <c r="D368" s="63">
        <f>5.7939 * CHOOSE(CONTROL!$C$22, $C$13, 100%, $E$13)</f>
        <v>5.7938999999999998</v>
      </c>
      <c r="E368" s="64">
        <f>6.6352 * CHOOSE(CONTROL!$C$22, $C$13, 100%, $E$13)</f>
        <v>6.6352000000000002</v>
      </c>
      <c r="F368" s="64">
        <f>6.6352 * CHOOSE(CONTROL!$C$22, $C$13, 100%, $E$13)</f>
        <v>6.6352000000000002</v>
      </c>
      <c r="G368" s="64">
        <f>6.6368 * CHOOSE(CONTROL!$C$22, $C$13, 100%, $E$13)</f>
        <v>6.6368</v>
      </c>
      <c r="H368" s="64">
        <f>11.7261* CHOOSE(CONTROL!$C$22, $C$13, 100%, $E$13)</f>
        <v>11.726100000000001</v>
      </c>
      <c r="I368" s="64">
        <f>11.7277 * CHOOSE(CONTROL!$C$22, $C$13, 100%, $E$13)</f>
        <v>11.7277</v>
      </c>
      <c r="J368" s="64">
        <f>6.6352 * CHOOSE(CONTROL!$C$22, $C$13, 100%, $E$13)</f>
        <v>6.6352000000000002</v>
      </c>
      <c r="K368" s="64">
        <f>6.6368 * CHOOSE(CONTROL!$C$22, $C$13, 100%, $E$13)</f>
        <v>6.6368</v>
      </c>
    </row>
    <row r="369" spans="1:11" ht="15">
      <c r="A369" s="13">
        <v>52871</v>
      </c>
      <c r="B369" s="63">
        <f>5.7707 * CHOOSE(CONTROL!$C$22, $C$13, 100%, $E$13)</f>
        <v>5.7706999999999997</v>
      </c>
      <c r="C369" s="63">
        <f>5.7707 * CHOOSE(CONTROL!$C$22, $C$13, 100%, $E$13)</f>
        <v>5.7706999999999997</v>
      </c>
      <c r="D369" s="63">
        <f>5.7829 * CHOOSE(CONTROL!$C$22, $C$13, 100%, $E$13)</f>
        <v>5.7828999999999997</v>
      </c>
      <c r="E369" s="64">
        <f>6.652 * CHOOSE(CONTROL!$C$22, $C$13, 100%, $E$13)</f>
        <v>6.6520000000000001</v>
      </c>
      <c r="F369" s="64">
        <f>6.652 * CHOOSE(CONTROL!$C$22, $C$13, 100%, $E$13)</f>
        <v>6.6520000000000001</v>
      </c>
      <c r="G369" s="64">
        <f>6.6522 * CHOOSE(CONTROL!$C$22, $C$13, 100%, $E$13)</f>
        <v>6.6521999999999997</v>
      </c>
      <c r="H369" s="64">
        <f>11.7505* CHOOSE(CONTROL!$C$22, $C$13, 100%, $E$13)</f>
        <v>11.750500000000001</v>
      </c>
      <c r="I369" s="64">
        <f>11.7507 * CHOOSE(CONTROL!$C$22, $C$13, 100%, $E$13)</f>
        <v>11.7507</v>
      </c>
      <c r="J369" s="64">
        <f>6.652 * CHOOSE(CONTROL!$C$22, $C$13, 100%, $E$13)</f>
        <v>6.6520000000000001</v>
      </c>
      <c r="K369" s="64">
        <f>6.6522 * CHOOSE(CONTROL!$C$22, $C$13, 100%, $E$13)</f>
        <v>6.6521999999999997</v>
      </c>
    </row>
    <row r="370" spans="1:11" ht="15">
      <c r="A370" s="13">
        <v>52902</v>
      </c>
      <c r="B370" s="63">
        <f>5.7737 * CHOOSE(CONTROL!$C$22, $C$13, 100%, $E$13)</f>
        <v>5.7736999999999998</v>
      </c>
      <c r="C370" s="63">
        <f>5.7737 * CHOOSE(CONTROL!$C$22, $C$13, 100%, $E$13)</f>
        <v>5.7736999999999998</v>
      </c>
      <c r="D370" s="63">
        <f>5.7859 * CHOOSE(CONTROL!$C$22, $C$13, 100%, $E$13)</f>
        <v>5.7858999999999998</v>
      </c>
      <c r="E370" s="64">
        <f>6.6693 * CHOOSE(CONTROL!$C$22, $C$13, 100%, $E$13)</f>
        <v>6.6692999999999998</v>
      </c>
      <c r="F370" s="64">
        <f>6.6693 * CHOOSE(CONTROL!$C$22, $C$13, 100%, $E$13)</f>
        <v>6.6692999999999998</v>
      </c>
      <c r="G370" s="64">
        <f>6.6694 * CHOOSE(CONTROL!$C$22, $C$13, 100%, $E$13)</f>
        <v>6.6694000000000004</v>
      </c>
      <c r="H370" s="64">
        <f>11.775* CHOOSE(CONTROL!$C$22, $C$13, 100%, $E$13)</f>
        <v>11.775</v>
      </c>
      <c r="I370" s="64">
        <f>11.7752 * CHOOSE(CONTROL!$C$22, $C$13, 100%, $E$13)</f>
        <v>11.7752</v>
      </c>
      <c r="J370" s="64">
        <f>6.6693 * CHOOSE(CONTROL!$C$22, $C$13, 100%, $E$13)</f>
        <v>6.6692999999999998</v>
      </c>
      <c r="K370" s="64">
        <f>6.6694 * CHOOSE(CONTROL!$C$22, $C$13, 100%, $E$13)</f>
        <v>6.6694000000000004</v>
      </c>
    </row>
    <row r="371" spans="1:11" ht="15">
      <c r="A371" s="13">
        <v>52932</v>
      </c>
      <c r="B371" s="63">
        <f>5.7737 * CHOOSE(CONTROL!$C$22, $C$13, 100%, $E$13)</f>
        <v>5.7736999999999998</v>
      </c>
      <c r="C371" s="63">
        <f>5.7737 * CHOOSE(CONTROL!$C$22, $C$13, 100%, $E$13)</f>
        <v>5.7736999999999998</v>
      </c>
      <c r="D371" s="63">
        <f>5.7859 * CHOOSE(CONTROL!$C$22, $C$13, 100%, $E$13)</f>
        <v>5.7858999999999998</v>
      </c>
      <c r="E371" s="64">
        <f>6.6315 * CHOOSE(CONTROL!$C$22, $C$13, 100%, $E$13)</f>
        <v>6.6315</v>
      </c>
      <c r="F371" s="64">
        <f>6.6315 * CHOOSE(CONTROL!$C$22, $C$13, 100%, $E$13)</f>
        <v>6.6315</v>
      </c>
      <c r="G371" s="64">
        <f>6.6317 * CHOOSE(CONTROL!$C$22, $C$13, 100%, $E$13)</f>
        <v>6.6317000000000004</v>
      </c>
      <c r="H371" s="64">
        <f>11.7996* CHOOSE(CONTROL!$C$22, $C$13, 100%, $E$13)</f>
        <v>11.7996</v>
      </c>
      <c r="I371" s="64">
        <f>11.7997 * CHOOSE(CONTROL!$C$22, $C$13, 100%, $E$13)</f>
        <v>11.7997</v>
      </c>
      <c r="J371" s="64">
        <f>6.6315 * CHOOSE(CONTROL!$C$22, $C$13, 100%, $E$13)</f>
        <v>6.6315</v>
      </c>
      <c r="K371" s="64">
        <f>6.6317 * CHOOSE(CONTROL!$C$22, $C$13, 100%, $E$13)</f>
        <v>6.6317000000000004</v>
      </c>
    </row>
    <row r="372" spans="1:11" ht="15">
      <c r="A372" s="13">
        <v>52963</v>
      </c>
      <c r="B372" s="63">
        <f>5.8261 * CHOOSE(CONTROL!$C$22, $C$13, 100%, $E$13)</f>
        <v>5.8261000000000003</v>
      </c>
      <c r="C372" s="63">
        <f>5.8261 * CHOOSE(CONTROL!$C$22, $C$13, 100%, $E$13)</f>
        <v>5.8261000000000003</v>
      </c>
      <c r="D372" s="63">
        <f>5.8383 * CHOOSE(CONTROL!$C$22, $C$13, 100%, $E$13)</f>
        <v>5.8383000000000003</v>
      </c>
      <c r="E372" s="64">
        <f>6.7188 * CHOOSE(CONTROL!$C$22, $C$13, 100%, $E$13)</f>
        <v>6.7187999999999999</v>
      </c>
      <c r="F372" s="64">
        <f>6.7188 * CHOOSE(CONTROL!$C$22, $C$13, 100%, $E$13)</f>
        <v>6.7187999999999999</v>
      </c>
      <c r="G372" s="64">
        <f>6.719 * CHOOSE(CONTROL!$C$22, $C$13, 100%, $E$13)</f>
        <v>6.7190000000000003</v>
      </c>
      <c r="H372" s="64">
        <f>11.8241* CHOOSE(CONTROL!$C$22, $C$13, 100%, $E$13)</f>
        <v>11.8241</v>
      </c>
      <c r="I372" s="64">
        <f>11.8243 * CHOOSE(CONTROL!$C$22, $C$13, 100%, $E$13)</f>
        <v>11.824299999999999</v>
      </c>
      <c r="J372" s="64">
        <f>6.7188 * CHOOSE(CONTROL!$C$22, $C$13, 100%, $E$13)</f>
        <v>6.7187999999999999</v>
      </c>
      <c r="K372" s="64">
        <f>6.719 * CHOOSE(CONTROL!$C$22, $C$13, 100%, $E$13)</f>
        <v>6.7190000000000003</v>
      </c>
    </row>
    <row r="373" spans="1:11" ht="15">
      <c r="A373" s="13">
        <v>52994</v>
      </c>
      <c r="B373" s="63">
        <f>5.8231 * CHOOSE(CONTROL!$C$22, $C$13, 100%, $E$13)</f>
        <v>5.8231000000000002</v>
      </c>
      <c r="C373" s="63">
        <f>5.8231 * CHOOSE(CONTROL!$C$22, $C$13, 100%, $E$13)</f>
        <v>5.8231000000000002</v>
      </c>
      <c r="D373" s="63">
        <f>5.8353 * CHOOSE(CONTROL!$C$22, $C$13, 100%, $E$13)</f>
        <v>5.8353000000000002</v>
      </c>
      <c r="E373" s="64">
        <f>6.6434 * CHOOSE(CONTROL!$C$22, $C$13, 100%, $E$13)</f>
        <v>6.6433999999999997</v>
      </c>
      <c r="F373" s="64">
        <f>6.6434 * CHOOSE(CONTROL!$C$22, $C$13, 100%, $E$13)</f>
        <v>6.6433999999999997</v>
      </c>
      <c r="G373" s="64">
        <f>6.6435 * CHOOSE(CONTROL!$C$22, $C$13, 100%, $E$13)</f>
        <v>6.6435000000000004</v>
      </c>
      <c r="H373" s="64">
        <f>11.8488* CHOOSE(CONTROL!$C$22, $C$13, 100%, $E$13)</f>
        <v>11.848800000000001</v>
      </c>
      <c r="I373" s="64">
        <f>11.8489 * CHOOSE(CONTROL!$C$22, $C$13, 100%, $E$13)</f>
        <v>11.8489</v>
      </c>
      <c r="J373" s="64">
        <f>6.6434 * CHOOSE(CONTROL!$C$22, $C$13, 100%, $E$13)</f>
        <v>6.6433999999999997</v>
      </c>
      <c r="K373" s="64">
        <f>6.6435 * CHOOSE(CONTROL!$C$22, $C$13, 100%, $E$13)</f>
        <v>6.6435000000000004</v>
      </c>
    </row>
    <row r="374" spans="1:11" ht="15">
      <c r="A374" s="13">
        <v>53022</v>
      </c>
      <c r="B374" s="63">
        <f>5.8201 * CHOOSE(CONTROL!$C$22, $C$13, 100%, $E$13)</f>
        <v>5.8201000000000001</v>
      </c>
      <c r="C374" s="63">
        <f>5.8201 * CHOOSE(CONTROL!$C$22, $C$13, 100%, $E$13)</f>
        <v>5.8201000000000001</v>
      </c>
      <c r="D374" s="63">
        <f>5.8323 * CHOOSE(CONTROL!$C$22, $C$13, 100%, $E$13)</f>
        <v>5.8323</v>
      </c>
      <c r="E374" s="64">
        <f>6.6991 * CHOOSE(CONTROL!$C$22, $C$13, 100%, $E$13)</f>
        <v>6.6990999999999996</v>
      </c>
      <c r="F374" s="64">
        <f>6.6991 * CHOOSE(CONTROL!$C$22, $C$13, 100%, $E$13)</f>
        <v>6.6990999999999996</v>
      </c>
      <c r="G374" s="64">
        <f>6.6992 * CHOOSE(CONTROL!$C$22, $C$13, 100%, $E$13)</f>
        <v>6.6992000000000003</v>
      </c>
      <c r="H374" s="64">
        <f>11.8735* CHOOSE(CONTROL!$C$22, $C$13, 100%, $E$13)</f>
        <v>11.8735</v>
      </c>
      <c r="I374" s="64">
        <f>11.8736 * CHOOSE(CONTROL!$C$22, $C$13, 100%, $E$13)</f>
        <v>11.8736</v>
      </c>
      <c r="J374" s="64">
        <f>6.6991 * CHOOSE(CONTROL!$C$22, $C$13, 100%, $E$13)</f>
        <v>6.6990999999999996</v>
      </c>
      <c r="K374" s="64">
        <f>6.6992 * CHOOSE(CONTROL!$C$22, $C$13, 100%, $E$13)</f>
        <v>6.6992000000000003</v>
      </c>
    </row>
    <row r="375" spans="1:11" ht="15">
      <c r="A375" s="13">
        <v>53053</v>
      </c>
      <c r="B375" s="63">
        <f>5.8194 * CHOOSE(CONTROL!$C$22, $C$13, 100%, $E$13)</f>
        <v>5.8193999999999999</v>
      </c>
      <c r="C375" s="63">
        <f>5.8194 * CHOOSE(CONTROL!$C$22, $C$13, 100%, $E$13)</f>
        <v>5.8193999999999999</v>
      </c>
      <c r="D375" s="63">
        <f>5.8316 * CHOOSE(CONTROL!$C$22, $C$13, 100%, $E$13)</f>
        <v>5.8315999999999999</v>
      </c>
      <c r="E375" s="64">
        <f>6.7569 * CHOOSE(CONTROL!$C$22, $C$13, 100%, $E$13)</f>
        <v>6.7568999999999999</v>
      </c>
      <c r="F375" s="64">
        <f>6.7569 * CHOOSE(CONTROL!$C$22, $C$13, 100%, $E$13)</f>
        <v>6.7568999999999999</v>
      </c>
      <c r="G375" s="64">
        <f>6.7571 * CHOOSE(CONTROL!$C$22, $C$13, 100%, $E$13)</f>
        <v>6.7571000000000003</v>
      </c>
      <c r="H375" s="64">
        <f>11.8982* CHOOSE(CONTROL!$C$22, $C$13, 100%, $E$13)</f>
        <v>11.898199999999999</v>
      </c>
      <c r="I375" s="64">
        <f>11.8984 * CHOOSE(CONTROL!$C$22, $C$13, 100%, $E$13)</f>
        <v>11.898400000000001</v>
      </c>
      <c r="J375" s="64">
        <f>6.7569 * CHOOSE(CONTROL!$C$22, $C$13, 100%, $E$13)</f>
        <v>6.7568999999999999</v>
      </c>
      <c r="K375" s="64">
        <f>6.7571 * CHOOSE(CONTROL!$C$22, $C$13, 100%, $E$13)</f>
        <v>6.7571000000000003</v>
      </c>
    </row>
    <row r="376" spans="1:11" ht="15">
      <c r="A376" s="13">
        <v>53083</v>
      </c>
      <c r="B376" s="63">
        <f>5.8194 * CHOOSE(CONTROL!$C$22, $C$13, 100%, $E$13)</f>
        <v>5.8193999999999999</v>
      </c>
      <c r="C376" s="63">
        <f>5.8194 * CHOOSE(CONTROL!$C$22, $C$13, 100%, $E$13)</f>
        <v>5.8193999999999999</v>
      </c>
      <c r="D376" s="63">
        <f>5.8438 * CHOOSE(CONTROL!$C$22, $C$13, 100%, $E$13)</f>
        <v>5.8437999999999999</v>
      </c>
      <c r="E376" s="64">
        <f>6.7802 * CHOOSE(CONTROL!$C$22, $C$13, 100%, $E$13)</f>
        <v>6.7801999999999998</v>
      </c>
      <c r="F376" s="64">
        <f>6.7802 * CHOOSE(CONTROL!$C$22, $C$13, 100%, $E$13)</f>
        <v>6.7801999999999998</v>
      </c>
      <c r="G376" s="64">
        <f>6.7818 * CHOOSE(CONTROL!$C$22, $C$13, 100%, $E$13)</f>
        <v>6.7817999999999996</v>
      </c>
      <c r="H376" s="64">
        <f>11.923* CHOOSE(CONTROL!$C$22, $C$13, 100%, $E$13)</f>
        <v>11.923</v>
      </c>
      <c r="I376" s="64">
        <f>11.9245 * CHOOSE(CONTROL!$C$22, $C$13, 100%, $E$13)</f>
        <v>11.9245</v>
      </c>
      <c r="J376" s="64">
        <f>6.7802 * CHOOSE(CONTROL!$C$22, $C$13, 100%, $E$13)</f>
        <v>6.7801999999999998</v>
      </c>
      <c r="K376" s="64">
        <f>6.7818 * CHOOSE(CONTROL!$C$22, $C$13, 100%, $E$13)</f>
        <v>6.7817999999999996</v>
      </c>
    </row>
    <row r="377" spans="1:11" ht="15">
      <c r="A377" s="13">
        <v>53114</v>
      </c>
      <c r="B377" s="63">
        <f>5.8254 * CHOOSE(CONTROL!$C$22, $C$13, 100%, $E$13)</f>
        <v>5.8254000000000001</v>
      </c>
      <c r="C377" s="63">
        <f>5.8254 * CHOOSE(CONTROL!$C$22, $C$13, 100%, $E$13)</f>
        <v>5.8254000000000001</v>
      </c>
      <c r="D377" s="63">
        <f>5.8499 * CHOOSE(CONTROL!$C$22, $C$13, 100%, $E$13)</f>
        <v>5.8498999999999999</v>
      </c>
      <c r="E377" s="64">
        <f>6.7612 * CHOOSE(CONTROL!$C$22, $C$13, 100%, $E$13)</f>
        <v>6.7611999999999997</v>
      </c>
      <c r="F377" s="64">
        <f>6.7612 * CHOOSE(CONTROL!$C$22, $C$13, 100%, $E$13)</f>
        <v>6.7611999999999997</v>
      </c>
      <c r="G377" s="64">
        <f>6.7627 * CHOOSE(CONTROL!$C$22, $C$13, 100%, $E$13)</f>
        <v>6.7626999999999997</v>
      </c>
      <c r="H377" s="64">
        <f>11.9478* CHOOSE(CONTROL!$C$22, $C$13, 100%, $E$13)</f>
        <v>11.947800000000001</v>
      </c>
      <c r="I377" s="64">
        <f>11.9494 * CHOOSE(CONTROL!$C$22, $C$13, 100%, $E$13)</f>
        <v>11.949400000000001</v>
      </c>
      <c r="J377" s="64">
        <f>6.7612 * CHOOSE(CONTROL!$C$22, $C$13, 100%, $E$13)</f>
        <v>6.7611999999999997</v>
      </c>
      <c r="K377" s="64">
        <f>6.7627 * CHOOSE(CONTROL!$C$22, $C$13, 100%, $E$13)</f>
        <v>6.7626999999999997</v>
      </c>
    </row>
    <row r="378" spans="1:11" ht="15">
      <c r="A378" s="13">
        <v>53144</v>
      </c>
      <c r="B378" s="63">
        <f>5.9228 * CHOOSE(CONTROL!$C$22, $C$13, 100%, $E$13)</f>
        <v>5.9227999999999996</v>
      </c>
      <c r="C378" s="63">
        <f>5.9228 * CHOOSE(CONTROL!$C$22, $C$13, 100%, $E$13)</f>
        <v>5.9227999999999996</v>
      </c>
      <c r="D378" s="63">
        <f>5.9472 * CHOOSE(CONTROL!$C$22, $C$13, 100%, $E$13)</f>
        <v>5.9471999999999996</v>
      </c>
      <c r="E378" s="64">
        <f>6.8958 * CHOOSE(CONTROL!$C$22, $C$13, 100%, $E$13)</f>
        <v>6.8958000000000004</v>
      </c>
      <c r="F378" s="64">
        <f>6.8958 * CHOOSE(CONTROL!$C$22, $C$13, 100%, $E$13)</f>
        <v>6.8958000000000004</v>
      </c>
      <c r="G378" s="64">
        <f>6.8973 * CHOOSE(CONTROL!$C$22, $C$13, 100%, $E$13)</f>
        <v>6.8973000000000004</v>
      </c>
      <c r="H378" s="64">
        <f>11.9727* CHOOSE(CONTROL!$C$22, $C$13, 100%, $E$13)</f>
        <v>11.9727</v>
      </c>
      <c r="I378" s="64">
        <f>11.9743 * CHOOSE(CONTROL!$C$22, $C$13, 100%, $E$13)</f>
        <v>11.974299999999999</v>
      </c>
      <c r="J378" s="64">
        <f>6.8958 * CHOOSE(CONTROL!$C$22, $C$13, 100%, $E$13)</f>
        <v>6.8958000000000004</v>
      </c>
      <c r="K378" s="64">
        <f>6.8973 * CHOOSE(CONTROL!$C$22, $C$13, 100%, $E$13)</f>
        <v>6.8973000000000004</v>
      </c>
    </row>
    <row r="379" spans="1:11" ht="15">
      <c r="A379" s="13">
        <v>53175</v>
      </c>
      <c r="B379" s="63">
        <f>5.9295 * CHOOSE(CONTROL!$C$22, $C$13, 100%, $E$13)</f>
        <v>5.9295</v>
      </c>
      <c r="C379" s="63">
        <f>5.9295 * CHOOSE(CONTROL!$C$22, $C$13, 100%, $E$13)</f>
        <v>5.9295</v>
      </c>
      <c r="D379" s="63">
        <f>5.9539 * CHOOSE(CONTROL!$C$22, $C$13, 100%, $E$13)</f>
        <v>5.9539</v>
      </c>
      <c r="E379" s="64">
        <f>6.8306 * CHOOSE(CONTROL!$C$22, $C$13, 100%, $E$13)</f>
        <v>6.8305999999999996</v>
      </c>
      <c r="F379" s="64">
        <f>6.8306 * CHOOSE(CONTROL!$C$22, $C$13, 100%, $E$13)</f>
        <v>6.8305999999999996</v>
      </c>
      <c r="G379" s="64">
        <f>6.8321 * CHOOSE(CONTROL!$C$22, $C$13, 100%, $E$13)</f>
        <v>6.8320999999999996</v>
      </c>
      <c r="H379" s="64">
        <f>11.9977* CHOOSE(CONTROL!$C$22, $C$13, 100%, $E$13)</f>
        <v>11.9977</v>
      </c>
      <c r="I379" s="64">
        <f>11.9992 * CHOOSE(CONTROL!$C$22, $C$13, 100%, $E$13)</f>
        <v>11.9992</v>
      </c>
      <c r="J379" s="64">
        <f>6.8306 * CHOOSE(CONTROL!$C$22, $C$13, 100%, $E$13)</f>
        <v>6.8305999999999996</v>
      </c>
      <c r="K379" s="64">
        <f>6.8321 * CHOOSE(CONTROL!$C$22, $C$13, 100%, $E$13)</f>
        <v>6.8320999999999996</v>
      </c>
    </row>
    <row r="380" spans="1:11" ht="15">
      <c r="A380" s="13">
        <v>53206</v>
      </c>
      <c r="B380" s="63">
        <f>5.9264 * CHOOSE(CONTROL!$C$22, $C$13, 100%, $E$13)</f>
        <v>5.9264000000000001</v>
      </c>
      <c r="C380" s="63">
        <f>5.9264 * CHOOSE(CONTROL!$C$22, $C$13, 100%, $E$13)</f>
        <v>5.9264000000000001</v>
      </c>
      <c r="D380" s="63">
        <f>5.9509 * CHOOSE(CONTROL!$C$22, $C$13, 100%, $E$13)</f>
        <v>5.9508999999999999</v>
      </c>
      <c r="E380" s="64">
        <f>6.8207 * CHOOSE(CONTROL!$C$22, $C$13, 100%, $E$13)</f>
        <v>6.8207000000000004</v>
      </c>
      <c r="F380" s="64">
        <f>6.8207 * CHOOSE(CONTROL!$C$22, $C$13, 100%, $E$13)</f>
        <v>6.8207000000000004</v>
      </c>
      <c r="G380" s="64">
        <f>6.8222 * CHOOSE(CONTROL!$C$22, $C$13, 100%, $E$13)</f>
        <v>6.8221999999999996</v>
      </c>
      <c r="H380" s="64">
        <f>12.0226* CHOOSE(CONTROL!$C$22, $C$13, 100%, $E$13)</f>
        <v>12.022600000000001</v>
      </c>
      <c r="I380" s="64">
        <f>12.0242 * CHOOSE(CONTROL!$C$22, $C$13, 100%, $E$13)</f>
        <v>12.0242</v>
      </c>
      <c r="J380" s="64">
        <f>6.8207 * CHOOSE(CONTROL!$C$22, $C$13, 100%, $E$13)</f>
        <v>6.8207000000000004</v>
      </c>
      <c r="K380" s="64">
        <f>6.8222 * CHOOSE(CONTROL!$C$22, $C$13, 100%, $E$13)</f>
        <v>6.8221999999999996</v>
      </c>
    </row>
    <row r="381" spans="1:11" ht="15">
      <c r="A381" s="13">
        <v>53236</v>
      </c>
      <c r="B381" s="63">
        <f>5.9282 * CHOOSE(CONTROL!$C$22, $C$13, 100%, $E$13)</f>
        <v>5.9282000000000004</v>
      </c>
      <c r="C381" s="63">
        <f>5.9282 * CHOOSE(CONTROL!$C$22, $C$13, 100%, $E$13)</f>
        <v>5.9282000000000004</v>
      </c>
      <c r="D381" s="63">
        <f>5.9404 * CHOOSE(CONTROL!$C$22, $C$13, 100%, $E$13)</f>
        <v>5.9404000000000003</v>
      </c>
      <c r="E381" s="64">
        <f>6.8383 * CHOOSE(CONTROL!$C$22, $C$13, 100%, $E$13)</f>
        <v>6.8383000000000003</v>
      </c>
      <c r="F381" s="64">
        <f>6.8383 * CHOOSE(CONTROL!$C$22, $C$13, 100%, $E$13)</f>
        <v>6.8383000000000003</v>
      </c>
      <c r="G381" s="64">
        <f>6.8385 * CHOOSE(CONTROL!$C$22, $C$13, 100%, $E$13)</f>
        <v>6.8384999999999998</v>
      </c>
      <c r="H381" s="64">
        <f>12.0477* CHOOSE(CONTROL!$C$22, $C$13, 100%, $E$13)</f>
        <v>12.047700000000001</v>
      </c>
      <c r="I381" s="64">
        <f>12.0479 * CHOOSE(CONTROL!$C$22, $C$13, 100%, $E$13)</f>
        <v>12.0479</v>
      </c>
      <c r="J381" s="64">
        <f>6.8383 * CHOOSE(CONTROL!$C$22, $C$13, 100%, $E$13)</f>
        <v>6.8383000000000003</v>
      </c>
      <c r="K381" s="64">
        <f>6.8385 * CHOOSE(CONTROL!$C$22, $C$13, 100%, $E$13)</f>
        <v>6.8384999999999998</v>
      </c>
    </row>
    <row r="382" spans="1:11" ht="15">
      <c r="A382" s="13">
        <v>53267</v>
      </c>
      <c r="B382" s="63">
        <f>5.9312 * CHOOSE(CONTROL!$C$22, $C$13, 100%, $E$13)</f>
        <v>5.9311999999999996</v>
      </c>
      <c r="C382" s="63">
        <f>5.9312 * CHOOSE(CONTROL!$C$22, $C$13, 100%, $E$13)</f>
        <v>5.9311999999999996</v>
      </c>
      <c r="D382" s="63">
        <f>5.9434 * CHOOSE(CONTROL!$C$22, $C$13, 100%, $E$13)</f>
        <v>5.9433999999999996</v>
      </c>
      <c r="E382" s="64">
        <f>6.856 * CHOOSE(CONTROL!$C$22, $C$13, 100%, $E$13)</f>
        <v>6.8559999999999999</v>
      </c>
      <c r="F382" s="64">
        <f>6.856 * CHOOSE(CONTROL!$C$22, $C$13, 100%, $E$13)</f>
        <v>6.8559999999999999</v>
      </c>
      <c r="G382" s="64">
        <f>6.8561 * CHOOSE(CONTROL!$C$22, $C$13, 100%, $E$13)</f>
        <v>6.8560999999999996</v>
      </c>
      <c r="H382" s="64">
        <f>12.0728* CHOOSE(CONTROL!$C$22, $C$13, 100%, $E$13)</f>
        <v>12.072800000000001</v>
      </c>
      <c r="I382" s="64">
        <f>12.073 * CHOOSE(CONTROL!$C$22, $C$13, 100%, $E$13)</f>
        <v>12.073</v>
      </c>
      <c r="J382" s="64">
        <f>6.856 * CHOOSE(CONTROL!$C$22, $C$13, 100%, $E$13)</f>
        <v>6.8559999999999999</v>
      </c>
      <c r="K382" s="64">
        <f>6.8561 * CHOOSE(CONTROL!$C$22, $C$13, 100%, $E$13)</f>
        <v>6.8560999999999996</v>
      </c>
    </row>
    <row r="383" spans="1:11" ht="15">
      <c r="A383" s="13">
        <v>53297</v>
      </c>
      <c r="B383" s="63">
        <f>5.9312 * CHOOSE(CONTROL!$C$22, $C$13, 100%, $E$13)</f>
        <v>5.9311999999999996</v>
      </c>
      <c r="C383" s="63">
        <f>5.9312 * CHOOSE(CONTROL!$C$22, $C$13, 100%, $E$13)</f>
        <v>5.9311999999999996</v>
      </c>
      <c r="D383" s="63">
        <f>5.9434 * CHOOSE(CONTROL!$C$22, $C$13, 100%, $E$13)</f>
        <v>5.9433999999999996</v>
      </c>
      <c r="E383" s="64">
        <f>6.8171 * CHOOSE(CONTROL!$C$22, $C$13, 100%, $E$13)</f>
        <v>6.8170999999999999</v>
      </c>
      <c r="F383" s="64">
        <f>6.8171 * CHOOSE(CONTROL!$C$22, $C$13, 100%, $E$13)</f>
        <v>6.8170999999999999</v>
      </c>
      <c r="G383" s="64">
        <f>6.8173 * CHOOSE(CONTROL!$C$22, $C$13, 100%, $E$13)</f>
        <v>6.8173000000000004</v>
      </c>
      <c r="H383" s="64">
        <f>12.0979* CHOOSE(CONTROL!$C$22, $C$13, 100%, $E$13)</f>
        <v>12.097899999999999</v>
      </c>
      <c r="I383" s="64">
        <f>12.0981 * CHOOSE(CONTROL!$C$22, $C$13, 100%, $E$13)</f>
        <v>12.098100000000001</v>
      </c>
      <c r="J383" s="64">
        <f>6.8171 * CHOOSE(CONTROL!$C$22, $C$13, 100%, $E$13)</f>
        <v>6.8170999999999999</v>
      </c>
      <c r="K383" s="64">
        <f>6.8173 * CHOOSE(CONTROL!$C$22, $C$13, 100%, $E$13)</f>
        <v>6.8173000000000004</v>
      </c>
    </row>
    <row r="384" spans="1:11" ht="15">
      <c r="A384" s="13">
        <v>53328</v>
      </c>
      <c r="B384" s="63">
        <f>5.9849 * CHOOSE(CONTROL!$C$22, $C$13, 100%, $E$13)</f>
        <v>5.9848999999999997</v>
      </c>
      <c r="C384" s="63">
        <f>5.9849 * CHOOSE(CONTROL!$C$22, $C$13, 100%, $E$13)</f>
        <v>5.9848999999999997</v>
      </c>
      <c r="D384" s="63">
        <f>5.9971 * CHOOSE(CONTROL!$C$22, $C$13, 100%, $E$13)</f>
        <v>5.9970999999999997</v>
      </c>
      <c r="E384" s="64">
        <f>6.9068 * CHOOSE(CONTROL!$C$22, $C$13, 100%, $E$13)</f>
        <v>6.9067999999999996</v>
      </c>
      <c r="F384" s="64">
        <f>6.9068 * CHOOSE(CONTROL!$C$22, $C$13, 100%, $E$13)</f>
        <v>6.9067999999999996</v>
      </c>
      <c r="G384" s="64">
        <f>6.907 * CHOOSE(CONTROL!$C$22, $C$13, 100%, $E$13)</f>
        <v>6.907</v>
      </c>
      <c r="H384" s="64">
        <f>12.1231* CHOOSE(CONTROL!$C$22, $C$13, 100%, $E$13)</f>
        <v>12.123100000000001</v>
      </c>
      <c r="I384" s="64">
        <f>12.1233 * CHOOSE(CONTROL!$C$22, $C$13, 100%, $E$13)</f>
        <v>12.1233</v>
      </c>
      <c r="J384" s="64">
        <f>6.9068 * CHOOSE(CONTROL!$C$22, $C$13, 100%, $E$13)</f>
        <v>6.9067999999999996</v>
      </c>
      <c r="K384" s="64">
        <f>6.907 * CHOOSE(CONTROL!$C$22, $C$13, 100%, $E$13)</f>
        <v>6.907</v>
      </c>
    </row>
    <row r="385" spans="1:11" ht="15">
      <c r="A385" s="13">
        <v>53359</v>
      </c>
      <c r="B385" s="63">
        <f>5.9819 * CHOOSE(CONTROL!$C$22, $C$13, 100%, $E$13)</f>
        <v>5.9819000000000004</v>
      </c>
      <c r="C385" s="63">
        <f>5.9819 * CHOOSE(CONTROL!$C$22, $C$13, 100%, $E$13)</f>
        <v>5.9819000000000004</v>
      </c>
      <c r="D385" s="63">
        <f>5.9941 * CHOOSE(CONTROL!$C$22, $C$13, 100%, $E$13)</f>
        <v>5.9941000000000004</v>
      </c>
      <c r="E385" s="64">
        <f>6.8293 * CHOOSE(CONTROL!$C$22, $C$13, 100%, $E$13)</f>
        <v>6.8292999999999999</v>
      </c>
      <c r="F385" s="64">
        <f>6.8293 * CHOOSE(CONTROL!$C$22, $C$13, 100%, $E$13)</f>
        <v>6.8292999999999999</v>
      </c>
      <c r="G385" s="64">
        <f>6.8295 * CHOOSE(CONTROL!$C$22, $C$13, 100%, $E$13)</f>
        <v>6.8295000000000003</v>
      </c>
      <c r="H385" s="64">
        <f>12.1484* CHOOSE(CONTROL!$C$22, $C$13, 100%, $E$13)</f>
        <v>12.148400000000001</v>
      </c>
      <c r="I385" s="64">
        <f>12.1486 * CHOOSE(CONTROL!$C$22, $C$13, 100%, $E$13)</f>
        <v>12.1486</v>
      </c>
      <c r="J385" s="64">
        <f>6.8293 * CHOOSE(CONTROL!$C$22, $C$13, 100%, $E$13)</f>
        <v>6.8292999999999999</v>
      </c>
      <c r="K385" s="64">
        <f>6.8295 * CHOOSE(CONTROL!$C$22, $C$13, 100%, $E$13)</f>
        <v>6.8295000000000003</v>
      </c>
    </row>
    <row r="386" spans="1:11" ht="15">
      <c r="A386" s="13">
        <v>53387</v>
      </c>
      <c r="B386" s="63">
        <f>5.9788 * CHOOSE(CONTROL!$C$22, $C$13, 100%, $E$13)</f>
        <v>5.9787999999999997</v>
      </c>
      <c r="C386" s="63">
        <f>5.9788 * CHOOSE(CONTROL!$C$22, $C$13, 100%, $E$13)</f>
        <v>5.9787999999999997</v>
      </c>
      <c r="D386" s="63">
        <f>5.991 * CHOOSE(CONTROL!$C$22, $C$13, 100%, $E$13)</f>
        <v>5.9909999999999997</v>
      </c>
      <c r="E386" s="64">
        <f>6.8866 * CHOOSE(CONTROL!$C$22, $C$13, 100%, $E$13)</f>
        <v>6.8865999999999996</v>
      </c>
      <c r="F386" s="64">
        <f>6.8866 * CHOOSE(CONTROL!$C$22, $C$13, 100%, $E$13)</f>
        <v>6.8865999999999996</v>
      </c>
      <c r="G386" s="64">
        <f>6.8868 * CHOOSE(CONTROL!$C$22, $C$13, 100%, $E$13)</f>
        <v>6.8868</v>
      </c>
      <c r="H386" s="64">
        <f>12.1737* CHOOSE(CONTROL!$C$22, $C$13, 100%, $E$13)</f>
        <v>12.1737</v>
      </c>
      <c r="I386" s="64">
        <f>12.1739 * CHOOSE(CONTROL!$C$22, $C$13, 100%, $E$13)</f>
        <v>12.1739</v>
      </c>
      <c r="J386" s="64">
        <f>6.8866 * CHOOSE(CONTROL!$C$22, $C$13, 100%, $E$13)</f>
        <v>6.8865999999999996</v>
      </c>
      <c r="K386" s="64">
        <f>6.8868 * CHOOSE(CONTROL!$C$22, $C$13, 100%, $E$13)</f>
        <v>6.8868</v>
      </c>
    </row>
    <row r="387" spans="1:11" ht="15">
      <c r="A387" s="13">
        <v>53418</v>
      </c>
      <c r="B387" s="63">
        <f>5.9783 * CHOOSE(CONTROL!$C$22, $C$13, 100%, $E$13)</f>
        <v>5.9782999999999999</v>
      </c>
      <c r="C387" s="63">
        <f>5.9783 * CHOOSE(CONTROL!$C$22, $C$13, 100%, $E$13)</f>
        <v>5.9782999999999999</v>
      </c>
      <c r="D387" s="63">
        <f>5.9905 * CHOOSE(CONTROL!$C$22, $C$13, 100%, $E$13)</f>
        <v>5.9904999999999999</v>
      </c>
      <c r="E387" s="64">
        <f>6.9463 * CHOOSE(CONTROL!$C$22, $C$13, 100%, $E$13)</f>
        <v>6.9462999999999999</v>
      </c>
      <c r="F387" s="64">
        <f>6.9463 * CHOOSE(CONTROL!$C$22, $C$13, 100%, $E$13)</f>
        <v>6.9462999999999999</v>
      </c>
      <c r="G387" s="64">
        <f>6.9464 * CHOOSE(CONTROL!$C$22, $C$13, 100%, $E$13)</f>
        <v>6.9463999999999997</v>
      </c>
      <c r="H387" s="64">
        <f>12.1991* CHOOSE(CONTROL!$C$22, $C$13, 100%, $E$13)</f>
        <v>12.1991</v>
      </c>
      <c r="I387" s="64">
        <f>12.1993 * CHOOSE(CONTROL!$C$22, $C$13, 100%, $E$13)</f>
        <v>12.199299999999999</v>
      </c>
      <c r="J387" s="64">
        <f>6.9463 * CHOOSE(CONTROL!$C$22, $C$13, 100%, $E$13)</f>
        <v>6.9462999999999999</v>
      </c>
      <c r="K387" s="64">
        <f>6.9464 * CHOOSE(CONTROL!$C$22, $C$13, 100%, $E$13)</f>
        <v>6.9463999999999997</v>
      </c>
    </row>
    <row r="388" spans="1:11" ht="15">
      <c r="A388" s="13">
        <v>53448</v>
      </c>
      <c r="B388" s="63">
        <f>5.9783 * CHOOSE(CONTROL!$C$22, $C$13, 100%, $E$13)</f>
        <v>5.9782999999999999</v>
      </c>
      <c r="C388" s="63">
        <f>5.9783 * CHOOSE(CONTROL!$C$22, $C$13, 100%, $E$13)</f>
        <v>5.9782999999999999</v>
      </c>
      <c r="D388" s="63">
        <f>6.0027 * CHOOSE(CONTROL!$C$22, $C$13, 100%, $E$13)</f>
        <v>6.0026999999999999</v>
      </c>
      <c r="E388" s="64">
        <f>6.9702 * CHOOSE(CONTROL!$C$22, $C$13, 100%, $E$13)</f>
        <v>6.9702000000000002</v>
      </c>
      <c r="F388" s="64">
        <f>6.9702 * CHOOSE(CONTROL!$C$22, $C$13, 100%, $E$13)</f>
        <v>6.9702000000000002</v>
      </c>
      <c r="G388" s="64">
        <f>6.9718 * CHOOSE(CONTROL!$C$22, $C$13, 100%, $E$13)</f>
        <v>6.9718</v>
      </c>
      <c r="H388" s="64">
        <f>12.2245* CHOOSE(CONTROL!$C$22, $C$13, 100%, $E$13)</f>
        <v>12.224500000000001</v>
      </c>
      <c r="I388" s="64">
        <f>12.2261 * CHOOSE(CONTROL!$C$22, $C$13, 100%, $E$13)</f>
        <v>12.226100000000001</v>
      </c>
      <c r="J388" s="64">
        <f>6.9702 * CHOOSE(CONTROL!$C$22, $C$13, 100%, $E$13)</f>
        <v>6.9702000000000002</v>
      </c>
      <c r="K388" s="64">
        <f>6.9718 * CHOOSE(CONTROL!$C$22, $C$13, 100%, $E$13)</f>
        <v>6.9718</v>
      </c>
    </row>
    <row r="389" spans="1:11" ht="15">
      <c r="A389" s="13">
        <v>53479</v>
      </c>
      <c r="B389" s="63">
        <f>5.9843 * CHOOSE(CONTROL!$C$22, $C$13, 100%, $E$13)</f>
        <v>5.9843000000000002</v>
      </c>
      <c r="C389" s="63">
        <f>5.9843 * CHOOSE(CONTROL!$C$22, $C$13, 100%, $E$13)</f>
        <v>5.9843000000000002</v>
      </c>
      <c r="D389" s="63">
        <f>6.0088 * CHOOSE(CONTROL!$C$22, $C$13, 100%, $E$13)</f>
        <v>6.0087999999999999</v>
      </c>
      <c r="E389" s="64">
        <f>6.9505 * CHOOSE(CONTROL!$C$22, $C$13, 100%, $E$13)</f>
        <v>6.9504999999999999</v>
      </c>
      <c r="F389" s="64">
        <f>6.9505 * CHOOSE(CONTROL!$C$22, $C$13, 100%, $E$13)</f>
        <v>6.9504999999999999</v>
      </c>
      <c r="G389" s="64">
        <f>6.9521 * CHOOSE(CONTROL!$C$22, $C$13, 100%, $E$13)</f>
        <v>6.9520999999999997</v>
      </c>
      <c r="H389" s="64">
        <f>12.25* CHOOSE(CONTROL!$C$22, $C$13, 100%, $E$13)</f>
        <v>12.25</v>
      </c>
      <c r="I389" s="64">
        <f>12.2515 * CHOOSE(CONTROL!$C$22, $C$13, 100%, $E$13)</f>
        <v>12.2515</v>
      </c>
      <c r="J389" s="64">
        <f>6.9505 * CHOOSE(CONTROL!$C$22, $C$13, 100%, $E$13)</f>
        <v>6.9504999999999999</v>
      </c>
      <c r="K389" s="64">
        <f>6.9521 * CHOOSE(CONTROL!$C$22, $C$13, 100%, $E$13)</f>
        <v>6.9520999999999997</v>
      </c>
    </row>
    <row r="390" spans="1:11" ht="15">
      <c r="A390" s="13">
        <v>53509</v>
      </c>
      <c r="B390" s="63">
        <f>6.084 * CHOOSE(CONTROL!$C$22, $C$13, 100%, $E$13)</f>
        <v>6.0839999999999996</v>
      </c>
      <c r="C390" s="63">
        <f>6.084 * CHOOSE(CONTROL!$C$22, $C$13, 100%, $E$13)</f>
        <v>6.0839999999999996</v>
      </c>
      <c r="D390" s="63">
        <f>6.1084 * CHOOSE(CONTROL!$C$22, $C$13, 100%, $E$13)</f>
        <v>6.1083999999999996</v>
      </c>
      <c r="E390" s="64">
        <f>7.0886 * CHOOSE(CONTROL!$C$22, $C$13, 100%, $E$13)</f>
        <v>7.0885999999999996</v>
      </c>
      <c r="F390" s="64">
        <f>7.0886 * CHOOSE(CONTROL!$C$22, $C$13, 100%, $E$13)</f>
        <v>7.0885999999999996</v>
      </c>
      <c r="G390" s="64">
        <f>7.0902 * CHOOSE(CONTROL!$C$22, $C$13, 100%, $E$13)</f>
        <v>7.0902000000000003</v>
      </c>
      <c r="H390" s="64">
        <f>12.2755* CHOOSE(CONTROL!$C$22, $C$13, 100%, $E$13)</f>
        <v>12.275499999999999</v>
      </c>
      <c r="I390" s="64">
        <f>12.277 * CHOOSE(CONTROL!$C$22, $C$13, 100%, $E$13)</f>
        <v>12.276999999999999</v>
      </c>
      <c r="J390" s="64">
        <f>7.0886 * CHOOSE(CONTROL!$C$22, $C$13, 100%, $E$13)</f>
        <v>7.0885999999999996</v>
      </c>
      <c r="K390" s="64">
        <f>7.0902 * CHOOSE(CONTROL!$C$22, $C$13, 100%, $E$13)</f>
        <v>7.0902000000000003</v>
      </c>
    </row>
    <row r="391" spans="1:11" ht="15">
      <c r="A391" s="13">
        <v>53540</v>
      </c>
      <c r="B391" s="63">
        <f>6.0907 * CHOOSE(CONTROL!$C$22, $C$13, 100%, $E$13)</f>
        <v>6.0907</v>
      </c>
      <c r="C391" s="63">
        <f>6.0907 * CHOOSE(CONTROL!$C$22, $C$13, 100%, $E$13)</f>
        <v>6.0907</v>
      </c>
      <c r="D391" s="63">
        <f>6.1151 * CHOOSE(CONTROL!$C$22, $C$13, 100%, $E$13)</f>
        <v>6.1151</v>
      </c>
      <c r="E391" s="64">
        <f>7.0214 * CHOOSE(CONTROL!$C$22, $C$13, 100%, $E$13)</f>
        <v>7.0213999999999999</v>
      </c>
      <c r="F391" s="64">
        <f>7.0214 * CHOOSE(CONTROL!$C$22, $C$13, 100%, $E$13)</f>
        <v>7.0213999999999999</v>
      </c>
      <c r="G391" s="64">
        <f>7.023 * CHOOSE(CONTROL!$C$22, $C$13, 100%, $E$13)</f>
        <v>7.0229999999999997</v>
      </c>
      <c r="H391" s="64">
        <f>12.3011* CHOOSE(CONTROL!$C$22, $C$13, 100%, $E$13)</f>
        <v>12.3011</v>
      </c>
      <c r="I391" s="64">
        <f>12.3026 * CHOOSE(CONTROL!$C$22, $C$13, 100%, $E$13)</f>
        <v>12.3026</v>
      </c>
      <c r="J391" s="64">
        <f>7.0214 * CHOOSE(CONTROL!$C$22, $C$13, 100%, $E$13)</f>
        <v>7.0213999999999999</v>
      </c>
      <c r="K391" s="64">
        <f>7.023 * CHOOSE(CONTROL!$C$22, $C$13, 100%, $E$13)</f>
        <v>7.0229999999999997</v>
      </c>
    </row>
    <row r="392" spans="1:11" ht="15">
      <c r="A392" s="13">
        <v>53571</v>
      </c>
      <c r="B392" s="63">
        <f>6.0877 * CHOOSE(CONTROL!$C$22, $C$13, 100%, $E$13)</f>
        <v>6.0876999999999999</v>
      </c>
      <c r="C392" s="63">
        <f>6.0877 * CHOOSE(CONTROL!$C$22, $C$13, 100%, $E$13)</f>
        <v>6.0876999999999999</v>
      </c>
      <c r="D392" s="63">
        <f>6.1121 * CHOOSE(CONTROL!$C$22, $C$13, 100%, $E$13)</f>
        <v>6.1120999999999999</v>
      </c>
      <c r="E392" s="64">
        <f>7.0113 * CHOOSE(CONTROL!$C$22, $C$13, 100%, $E$13)</f>
        <v>7.0113000000000003</v>
      </c>
      <c r="F392" s="64">
        <f>7.0113 * CHOOSE(CONTROL!$C$22, $C$13, 100%, $E$13)</f>
        <v>7.0113000000000003</v>
      </c>
      <c r="G392" s="64">
        <f>7.0129 * CHOOSE(CONTROL!$C$22, $C$13, 100%, $E$13)</f>
        <v>7.0129000000000001</v>
      </c>
      <c r="H392" s="64">
        <f>12.3267* CHOOSE(CONTROL!$C$22, $C$13, 100%, $E$13)</f>
        <v>12.326700000000001</v>
      </c>
      <c r="I392" s="64">
        <f>12.3282 * CHOOSE(CONTROL!$C$22, $C$13, 100%, $E$13)</f>
        <v>12.328200000000001</v>
      </c>
      <c r="J392" s="64">
        <f>7.0113 * CHOOSE(CONTROL!$C$22, $C$13, 100%, $E$13)</f>
        <v>7.0113000000000003</v>
      </c>
      <c r="K392" s="64">
        <f>7.0129 * CHOOSE(CONTROL!$C$22, $C$13, 100%, $E$13)</f>
        <v>7.0129000000000001</v>
      </c>
    </row>
    <row r="393" spans="1:11" ht="15">
      <c r="A393" s="13">
        <v>53601</v>
      </c>
      <c r="B393" s="63">
        <f>6.0899 * CHOOSE(CONTROL!$C$22, $C$13, 100%, $E$13)</f>
        <v>6.0899000000000001</v>
      </c>
      <c r="C393" s="63">
        <f>6.0899 * CHOOSE(CONTROL!$C$22, $C$13, 100%, $E$13)</f>
        <v>6.0899000000000001</v>
      </c>
      <c r="D393" s="63">
        <f>6.1022 * CHOOSE(CONTROL!$C$22, $C$13, 100%, $E$13)</f>
        <v>6.1021999999999998</v>
      </c>
      <c r="E393" s="64">
        <f>7.0298 * CHOOSE(CONTROL!$C$22, $C$13, 100%, $E$13)</f>
        <v>7.0297999999999998</v>
      </c>
      <c r="F393" s="64">
        <f>7.0298 * CHOOSE(CONTROL!$C$22, $C$13, 100%, $E$13)</f>
        <v>7.0297999999999998</v>
      </c>
      <c r="G393" s="64">
        <f>7.03 * CHOOSE(CONTROL!$C$22, $C$13, 100%, $E$13)</f>
        <v>7.03</v>
      </c>
      <c r="H393" s="64">
        <f>12.3524* CHOOSE(CONTROL!$C$22, $C$13, 100%, $E$13)</f>
        <v>12.352399999999999</v>
      </c>
      <c r="I393" s="64">
        <f>12.3525 * CHOOSE(CONTROL!$C$22, $C$13, 100%, $E$13)</f>
        <v>12.352499999999999</v>
      </c>
      <c r="J393" s="64">
        <f>7.0298 * CHOOSE(CONTROL!$C$22, $C$13, 100%, $E$13)</f>
        <v>7.0297999999999998</v>
      </c>
      <c r="K393" s="64">
        <f>7.03 * CHOOSE(CONTROL!$C$22, $C$13, 100%, $E$13)</f>
        <v>7.03</v>
      </c>
    </row>
    <row r="394" spans="1:11" ht="15">
      <c r="A394" s="13">
        <v>53632</v>
      </c>
      <c r="B394" s="63">
        <f>6.093 * CHOOSE(CONTROL!$C$22, $C$13, 100%, $E$13)</f>
        <v>6.093</v>
      </c>
      <c r="C394" s="63">
        <f>6.093 * CHOOSE(CONTROL!$C$22, $C$13, 100%, $E$13)</f>
        <v>6.093</v>
      </c>
      <c r="D394" s="63">
        <f>6.1052 * CHOOSE(CONTROL!$C$22, $C$13, 100%, $E$13)</f>
        <v>6.1052</v>
      </c>
      <c r="E394" s="64">
        <f>7.0479 * CHOOSE(CONTROL!$C$22, $C$13, 100%, $E$13)</f>
        <v>7.0479000000000003</v>
      </c>
      <c r="F394" s="64">
        <f>7.0479 * CHOOSE(CONTROL!$C$22, $C$13, 100%, $E$13)</f>
        <v>7.0479000000000003</v>
      </c>
      <c r="G394" s="64">
        <f>7.0481 * CHOOSE(CONTROL!$C$22, $C$13, 100%, $E$13)</f>
        <v>7.0480999999999998</v>
      </c>
      <c r="H394" s="64">
        <f>12.3781* CHOOSE(CONTROL!$C$22, $C$13, 100%, $E$13)</f>
        <v>12.3781</v>
      </c>
      <c r="I394" s="64">
        <f>12.3783 * CHOOSE(CONTROL!$C$22, $C$13, 100%, $E$13)</f>
        <v>12.378299999999999</v>
      </c>
      <c r="J394" s="64">
        <f>7.0479 * CHOOSE(CONTROL!$C$22, $C$13, 100%, $E$13)</f>
        <v>7.0479000000000003</v>
      </c>
      <c r="K394" s="64">
        <f>7.0481 * CHOOSE(CONTROL!$C$22, $C$13, 100%, $E$13)</f>
        <v>7.0480999999999998</v>
      </c>
    </row>
    <row r="395" spans="1:11" ht="15">
      <c r="A395" s="13">
        <v>53662</v>
      </c>
      <c r="B395" s="63">
        <f>6.093 * CHOOSE(CONTROL!$C$22, $C$13, 100%, $E$13)</f>
        <v>6.093</v>
      </c>
      <c r="C395" s="63">
        <f>6.093 * CHOOSE(CONTROL!$C$22, $C$13, 100%, $E$13)</f>
        <v>6.093</v>
      </c>
      <c r="D395" s="63">
        <f>6.1052 * CHOOSE(CONTROL!$C$22, $C$13, 100%, $E$13)</f>
        <v>6.1052</v>
      </c>
      <c r="E395" s="64">
        <f>7.008 * CHOOSE(CONTROL!$C$22, $C$13, 100%, $E$13)</f>
        <v>7.008</v>
      </c>
      <c r="F395" s="64">
        <f>7.008 * CHOOSE(CONTROL!$C$22, $C$13, 100%, $E$13)</f>
        <v>7.008</v>
      </c>
      <c r="G395" s="64">
        <f>7.0082 * CHOOSE(CONTROL!$C$22, $C$13, 100%, $E$13)</f>
        <v>7.0082000000000004</v>
      </c>
      <c r="H395" s="64">
        <f>12.4039* CHOOSE(CONTROL!$C$22, $C$13, 100%, $E$13)</f>
        <v>12.4039</v>
      </c>
      <c r="I395" s="64">
        <f>12.4041 * CHOOSE(CONTROL!$C$22, $C$13, 100%, $E$13)</f>
        <v>12.4041</v>
      </c>
      <c r="J395" s="64">
        <f>7.008 * CHOOSE(CONTROL!$C$22, $C$13, 100%, $E$13)</f>
        <v>7.008</v>
      </c>
      <c r="K395" s="64">
        <f>7.0082 * CHOOSE(CONTROL!$C$22, $C$13, 100%, $E$13)</f>
        <v>7.0082000000000004</v>
      </c>
    </row>
    <row r="396" spans="1:11" ht="15">
      <c r="A396" s="13">
        <v>53693</v>
      </c>
      <c r="B396" s="63">
        <f>6.148 * CHOOSE(CONTROL!$C$22, $C$13, 100%, $E$13)</f>
        <v>6.1479999999999997</v>
      </c>
      <c r="C396" s="63">
        <f>6.148 * CHOOSE(CONTROL!$C$22, $C$13, 100%, $E$13)</f>
        <v>6.1479999999999997</v>
      </c>
      <c r="D396" s="63">
        <f>6.1602 * CHOOSE(CONTROL!$C$22, $C$13, 100%, $E$13)</f>
        <v>6.1601999999999997</v>
      </c>
      <c r="E396" s="64">
        <f>7.1001 * CHOOSE(CONTROL!$C$22, $C$13, 100%, $E$13)</f>
        <v>7.1001000000000003</v>
      </c>
      <c r="F396" s="64">
        <f>7.1001 * CHOOSE(CONTROL!$C$22, $C$13, 100%, $E$13)</f>
        <v>7.1001000000000003</v>
      </c>
      <c r="G396" s="64">
        <f>7.1003 * CHOOSE(CONTROL!$C$22, $C$13, 100%, $E$13)</f>
        <v>7.1002999999999998</v>
      </c>
      <c r="H396" s="64">
        <f>12.4297* CHOOSE(CONTROL!$C$22, $C$13, 100%, $E$13)</f>
        <v>12.4297</v>
      </c>
      <c r="I396" s="64">
        <f>12.4299 * CHOOSE(CONTROL!$C$22, $C$13, 100%, $E$13)</f>
        <v>12.4299</v>
      </c>
      <c r="J396" s="64">
        <f>7.1001 * CHOOSE(CONTROL!$C$22, $C$13, 100%, $E$13)</f>
        <v>7.1001000000000003</v>
      </c>
      <c r="K396" s="64">
        <f>7.1003 * CHOOSE(CONTROL!$C$22, $C$13, 100%, $E$13)</f>
        <v>7.1002999999999998</v>
      </c>
    </row>
    <row r="397" spans="1:11" ht="15">
      <c r="A397" s="13">
        <v>53724</v>
      </c>
      <c r="B397" s="63">
        <f>6.145 * CHOOSE(CONTROL!$C$22, $C$13, 100%, $E$13)</f>
        <v>6.1449999999999996</v>
      </c>
      <c r="C397" s="63">
        <f>6.145 * CHOOSE(CONTROL!$C$22, $C$13, 100%, $E$13)</f>
        <v>6.1449999999999996</v>
      </c>
      <c r="D397" s="63">
        <f>6.1572 * CHOOSE(CONTROL!$C$22, $C$13, 100%, $E$13)</f>
        <v>6.1571999999999996</v>
      </c>
      <c r="E397" s="64">
        <f>7.0205 * CHOOSE(CONTROL!$C$22, $C$13, 100%, $E$13)</f>
        <v>7.0205000000000002</v>
      </c>
      <c r="F397" s="64">
        <f>7.0205 * CHOOSE(CONTROL!$C$22, $C$13, 100%, $E$13)</f>
        <v>7.0205000000000002</v>
      </c>
      <c r="G397" s="64">
        <f>7.0206 * CHOOSE(CONTROL!$C$22, $C$13, 100%, $E$13)</f>
        <v>7.0206</v>
      </c>
      <c r="H397" s="64">
        <f>12.4556* CHOOSE(CONTROL!$C$22, $C$13, 100%, $E$13)</f>
        <v>12.4556</v>
      </c>
      <c r="I397" s="64">
        <f>12.4558 * CHOOSE(CONTROL!$C$22, $C$13, 100%, $E$13)</f>
        <v>12.4558</v>
      </c>
      <c r="J397" s="64">
        <f>7.0205 * CHOOSE(CONTROL!$C$22, $C$13, 100%, $E$13)</f>
        <v>7.0205000000000002</v>
      </c>
      <c r="K397" s="64">
        <f>7.0206 * CHOOSE(CONTROL!$C$22, $C$13, 100%, $E$13)</f>
        <v>7.0206</v>
      </c>
    </row>
    <row r="398" spans="1:11" ht="15">
      <c r="A398" s="13">
        <v>53752</v>
      </c>
      <c r="B398" s="63">
        <f>6.1419 * CHOOSE(CONTROL!$C$22, $C$13, 100%, $E$13)</f>
        <v>6.1418999999999997</v>
      </c>
      <c r="C398" s="63">
        <f>6.1419 * CHOOSE(CONTROL!$C$22, $C$13, 100%, $E$13)</f>
        <v>6.1418999999999997</v>
      </c>
      <c r="D398" s="63">
        <f>6.1542 * CHOOSE(CONTROL!$C$22, $C$13, 100%, $E$13)</f>
        <v>6.1542000000000003</v>
      </c>
      <c r="E398" s="64">
        <f>7.0795 * CHOOSE(CONTROL!$C$22, $C$13, 100%, $E$13)</f>
        <v>7.0795000000000003</v>
      </c>
      <c r="F398" s="64">
        <f>7.0795 * CHOOSE(CONTROL!$C$22, $C$13, 100%, $E$13)</f>
        <v>7.0795000000000003</v>
      </c>
      <c r="G398" s="64">
        <f>7.0797 * CHOOSE(CONTROL!$C$22, $C$13, 100%, $E$13)</f>
        <v>7.0796999999999999</v>
      </c>
      <c r="H398" s="64">
        <f>12.4816* CHOOSE(CONTROL!$C$22, $C$13, 100%, $E$13)</f>
        <v>12.4816</v>
      </c>
      <c r="I398" s="64">
        <f>12.4817 * CHOOSE(CONTROL!$C$22, $C$13, 100%, $E$13)</f>
        <v>12.4817</v>
      </c>
      <c r="J398" s="64">
        <f>7.0795 * CHOOSE(CONTROL!$C$22, $C$13, 100%, $E$13)</f>
        <v>7.0795000000000003</v>
      </c>
      <c r="K398" s="64">
        <f>7.0797 * CHOOSE(CONTROL!$C$22, $C$13, 100%, $E$13)</f>
        <v>7.0796999999999999</v>
      </c>
    </row>
    <row r="399" spans="1:11" ht="15">
      <c r="A399" s="13">
        <v>53783</v>
      </c>
      <c r="B399" s="63">
        <f>6.1415 * CHOOSE(CONTROL!$C$22, $C$13, 100%, $E$13)</f>
        <v>6.1414999999999997</v>
      </c>
      <c r="C399" s="63">
        <f>6.1415 * CHOOSE(CONTROL!$C$22, $C$13, 100%, $E$13)</f>
        <v>6.1414999999999997</v>
      </c>
      <c r="D399" s="63">
        <f>6.1537 * CHOOSE(CONTROL!$C$22, $C$13, 100%, $E$13)</f>
        <v>6.1536999999999997</v>
      </c>
      <c r="E399" s="64">
        <f>7.1409 * CHOOSE(CONTROL!$C$22, $C$13, 100%, $E$13)</f>
        <v>7.1409000000000002</v>
      </c>
      <c r="F399" s="64">
        <f>7.1409 * CHOOSE(CONTROL!$C$22, $C$13, 100%, $E$13)</f>
        <v>7.1409000000000002</v>
      </c>
      <c r="G399" s="64">
        <f>7.1411 * CHOOSE(CONTROL!$C$22, $C$13, 100%, $E$13)</f>
        <v>7.1410999999999998</v>
      </c>
      <c r="H399" s="64">
        <f>12.5076* CHOOSE(CONTROL!$C$22, $C$13, 100%, $E$13)</f>
        <v>12.5076</v>
      </c>
      <c r="I399" s="64">
        <f>12.5078 * CHOOSE(CONTROL!$C$22, $C$13, 100%, $E$13)</f>
        <v>12.5078</v>
      </c>
      <c r="J399" s="64">
        <f>7.1409 * CHOOSE(CONTROL!$C$22, $C$13, 100%, $E$13)</f>
        <v>7.1409000000000002</v>
      </c>
      <c r="K399" s="64">
        <f>7.1411 * CHOOSE(CONTROL!$C$22, $C$13, 100%, $E$13)</f>
        <v>7.1410999999999998</v>
      </c>
    </row>
    <row r="400" spans="1:11" ht="15">
      <c r="A400" s="13">
        <v>53813</v>
      </c>
      <c r="B400" s="63">
        <f>6.1415 * CHOOSE(CONTROL!$C$22, $C$13, 100%, $E$13)</f>
        <v>6.1414999999999997</v>
      </c>
      <c r="C400" s="63">
        <f>6.1415 * CHOOSE(CONTROL!$C$22, $C$13, 100%, $E$13)</f>
        <v>6.1414999999999997</v>
      </c>
      <c r="D400" s="63">
        <f>6.1659 * CHOOSE(CONTROL!$C$22, $C$13, 100%, $E$13)</f>
        <v>6.1658999999999997</v>
      </c>
      <c r="E400" s="64">
        <f>7.1655 * CHOOSE(CONTROL!$C$22, $C$13, 100%, $E$13)</f>
        <v>7.1654999999999998</v>
      </c>
      <c r="F400" s="64">
        <f>7.1655 * CHOOSE(CONTROL!$C$22, $C$13, 100%, $E$13)</f>
        <v>7.1654999999999998</v>
      </c>
      <c r="G400" s="64">
        <f>7.1671 * CHOOSE(CONTROL!$C$22, $C$13, 100%, $E$13)</f>
        <v>7.1670999999999996</v>
      </c>
      <c r="H400" s="64">
        <f>12.5336* CHOOSE(CONTROL!$C$22, $C$13, 100%, $E$13)</f>
        <v>12.5336</v>
      </c>
      <c r="I400" s="64">
        <f>12.5352 * CHOOSE(CONTROL!$C$22, $C$13, 100%, $E$13)</f>
        <v>12.5352</v>
      </c>
      <c r="J400" s="64">
        <f>7.1655 * CHOOSE(CONTROL!$C$22, $C$13, 100%, $E$13)</f>
        <v>7.1654999999999998</v>
      </c>
      <c r="K400" s="64">
        <f>7.1671 * CHOOSE(CONTROL!$C$22, $C$13, 100%, $E$13)</f>
        <v>7.1670999999999996</v>
      </c>
    </row>
    <row r="401" spans="1:11" ht="15">
      <c r="A401" s="13">
        <v>53844</v>
      </c>
      <c r="B401" s="63">
        <f>6.1476 * CHOOSE(CONTROL!$C$22, $C$13, 100%, $E$13)</f>
        <v>6.1475999999999997</v>
      </c>
      <c r="C401" s="63">
        <f>6.1476 * CHOOSE(CONTROL!$C$22, $C$13, 100%, $E$13)</f>
        <v>6.1475999999999997</v>
      </c>
      <c r="D401" s="63">
        <f>6.172 * CHOOSE(CONTROL!$C$22, $C$13, 100%, $E$13)</f>
        <v>6.1719999999999997</v>
      </c>
      <c r="E401" s="64">
        <f>7.1451 * CHOOSE(CONTROL!$C$22, $C$13, 100%, $E$13)</f>
        <v>7.1451000000000002</v>
      </c>
      <c r="F401" s="64">
        <f>7.1451 * CHOOSE(CONTROL!$C$22, $C$13, 100%, $E$13)</f>
        <v>7.1451000000000002</v>
      </c>
      <c r="G401" s="64">
        <f>7.1467 * CHOOSE(CONTROL!$C$22, $C$13, 100%, $E$13)</f>
        <v>7.1467000000000001</v>
      </c>
      <c r="H401" s="64">
        <f>12.5597* CHOOSE(CONTROL!$C$22, $C$13, 100%, $E$13)</f>
        <v>12.559699999999999</v>
      </c>
      <c r="I401" s="64">
        <f>12.5613 * CHOOSE(CONTROL!$C$22, $C$13, 100%, $E$13)</f>
        <v>12.561299999999999</v>
      </c>
      <c r="J401" s="64">
        <f>7.1451 * CHOOSE(CONTROL!$C$22, $C$13, 100%, $E$13)</f>
        <v>7.1451000000000002</v>
      </c>
      <c r="K401" s="64">
        <f>7.1467 * CHOOSE(CONTROL!$C$22, $C$13, 100%, $E$13)</f>
        <v>7.1467000000000001</v>
      </c>
    </row>
    <row r="402" spans="1:11" ht="15">
      <c r="A402" s="13">
        <v>53874</v>
      </c>
      <c r="B402" s="63">
        <f>6.2497 * CHOOSE(CONTROL!$C$22, $C$13, 100%, $E$13)</f>
        <v>6.2496999999999998</v>
      </c>
      <c r="C402" s="63">
        <f>6.2497 * CHOOSE(CONTROL!$C$22, $C$13, 100%, $E$13)</f>
        <v>6.2496999999999998</v>
      </c>
      <c r="D402" s="63">
        <f>6.2741 * CHOOSE(CONTROL!$C$22, $C$13, 100%, $E$13)</f>
        <v>6.2740999999999998</v>
      </c>
      <c r="E402" s="64">
        <f>7.2868 * CHOOSE(CONTROL!$C$22, $C$13, 100%, $E$13)</f>
        <v>7.2868000000000004</v>
      </c>
      <c r="F402" s="64">
        <f>7.2868 * CHOOSE(CONTROL!$C$22, $C$13, 100%, $E$13)</f>
        <v>7.2868000000000004</v>
      </c>
      <c r="G402" s="64">
        <f>7.2884 * CHOOSE(CONTROL!$C$22, $C$13, 100%, $E$13)</f>
        <v>7.2884000000000002</v>
      </c>
      <c r="H402" s="64">
        <f>12.5859* CHOOSE(CONTROL!$C$22, $C$13, 100%, $E$13)</f>
        <v>12.585900000000001</v>
      </c>
      <c r="I402" s="64">
        <f>12.5875 * CHOOSE(CONTROL!$C$22, $C$13, 100%, $E$13)</f>
        <v>12.5875</v>
      </c>
      <c r="J402" s="64">
        <f>7.2868 * CHOOSE(CONTROL!$C$22, $C$13, 100%, $E$13)</f>
        <v>7.2868000000000004</v>
      </c>
      <c r="K402" s="64">
        <f>7.2884 * CHOOSE(CONTROL!$C$22, $C$13, 100%, $E$13)</f>
        <v>7.2884000000000002</v>
      </c>
    </row>
    <row r="403" spans="1:11" ht="15">
      <c r="A403" s="13">
        <v>53905</v>
      </c>
      <c r="B403" s="63">
        <f>6.2564 * CHOOSE(CONTROL!$C$22, $C$13, 100%, $E$13)</f>
        <v>6.2564000000000002</v>
      </c>
      <c r="C403" s="63">
        <f>6.2564 * CHOOSE(CONTROL!$C$22, $C$13, 100%, $E$13)</f>
        <v>6.2564000000000002</v>
      </c>
      <c r="D403" s="63">
        <f>6.2808 * CHOOSE(CONTROL!$C$22, $C$13, 100%, $E$13)</f>
        <v>6.2808000000000002</v>
      </c>
      <c r="E403" s="64">
        <f>7.2176 * CHOOSE(CONTROL!$C$22, $C$13, 100%, $E$13)</f>
        <v>7.2176</v>
      </c>
      <c r="F403" s="64">
        <f>7.2176 * CHOOSE(CONTROL!$C$22, $C$13, 100%, $E$13)</f>
        <v>7.2176</v>
      </c>
      <c r="G403" s="64">
        <f>7.2192 * CHOOSE(CONTROL!$C$22, $C$13, 100%, $E$13)</f>
        <v>7.2191999999999998</v>
      </c>
      <c r="H403" s="64">
        <f>12.6121* CHOOSE(CONTROL!$C$22, $C$13, 100%, $E$13)</f>
        <v>12.6121</v>
      </c>
      <c r="I403" s="64">
        <f>12.6137 * CHOOSE(CONTROL!$C$22, $C$13, 100%, $E$13)</f>
        <v>12.6137</v>
      </c>
      <c r="J403" s="64">
        <f>7.2176 * CHOOSE(CONTROL!$C$22, $C$13, 100%, $E$13)</f>
        <v>7.2176</v>
      </c>
      <c r="K403" s="64">
        <f>7.2192 * CHOOSE(CONTROL!$C$22, $C$13, 100%, $E$13)</f>
        <v>7.2191999999999998</v>
      </c>
    </row>
    <row r="404" spans="1:11" ht="15">
      <c r="A404" s="13">
        <v>53936</v>
      </c>
      <c r="B404" s="63">
        <f>6.2534 * CHOOSE(CONTROL!$C$22, $C$13, 100%, $E$13)</f>
        <v>6.2534000000000001</v>
      </c>
      <c r="C404" s="63">
        <f>6.2534 * CHOOSE(CONTROL!$C$22, $C$13, 100%, $E$13)</f>
        <v>6.2534000000000001</v>
      </c>
      <c r="D404" s="63">
        <f>6.2778 * CHOOSE(CONTROL!$C$22, $C$13, 100%, $E$13)</f>
        <v>6.2778</v>
      </c>
      <c r="E404" s="64">
        <f>7.2073 * CHOOSE(CONTROL!$C$22, $C$13, 100%, $E$13)</f>
        <v>7.2073</v>
      </c>
      <c r="F404" s="64">
        <f>7.2073 * CHOOSE(CONTROL!$C$22, $C$13, 100%, $E$13)</f>
        <v>7.2073</v>
      </c>
      <c r="G404" s="64">
        <f>7.2089 * CHOOSE(CONTROL!$C$22, $C$13, 100%, $E$13)</f>
        <v>7.2088999999999999</v>
      </c>
      <c r="H404" s="64">
        <f>12.6384* CHOOSE(CONTROL!$C$22, $C$13, 100%, $E$13)</f>
        <v>12.638400000000001</v>
      </c>
      <c r="I404" s="64">
        <f>12.64 * CHOOSE(CONTROL!$C$22, $C$13, 100%, $E$13)</f>
        <v>12.64</v>
      </c>
      <c r="J404" s="64">
        <f>7.2073 * CHOOSE(CONTROL!$C$22, $C$13, 100%, $E$13)</f>
        <v>7.2073</v>
      </c>
      <c r="K404" s="64">
        <f>7.2089 * CHOOSE(CONTROL!$C$22, $C$13, 100%, $E$13)</f>
        <v>7.2088999999999999</v>
      </c>
    </row>
    <row r="405" spans="1:11" ht="15">
      <c r="A405" s="13">
        <v>53966</v>
      </c>
      <c r="B405" s="63">
        <f>6.2562 * CHOOSE(CONTROL!$C$22, $C$13, 100%, $E$13)</f>
        <v>6.2561999999999998</v>
      </c>
      <c r="C405" s="63">
        <f>6.2562 * CHOOSE(CONTROL!$C$22, $C$13, 100%, $E$13)</f>
        <v>6.2561999999999998</v>
      </c>
      <c r="D405" s="63">
        <f>6.2684 * CHOOSE(CONTROL!$C$22, $C$13, 100%, $E$13)</f>
        <v>6.2683999999999997</v>
      </c>
      <c r="E405" s="64">
        <f>7.2267 * CHOOSE(CONTROL!$C$22, $C$13, 100%, $E$13)</f>
        <v>7.2267000000000001</v>
      </c>
      <c r="F405" s="64">
        <f>7.2267 * CHOOSE(CONTROL!$C$22, $C$13, 100%, $E$13)</f>
        <v>7.2267000000000001</v>
      </c>
      <c r="G405" s="64">
        <f>7.2269 * CHOOSE(CONTROL!$C$22, $C$13, 100%, $E$13)</f>
        <v>7.2268999999999997</v>
      </c>
      <c r="H405" s="64">
        <f>12.6647* CHOOSE(CONTROL!$C$22, $C$13, 100%, $E$13)</f>
        <v>12.6647</v>
      </c>
      <c r="I405" s="64">
        <f>12.6649 * CHOOSE(CONTROL!$C$22, $C$13, 100%, $E$13)</f>
        <v>12.664899999999999</v>
      </c>
      <c r="J405" s="64">
        <f>7.2267 * CHOOSE(CONTROL!$C$22, $C$13, 100%, $E$13)</f>
        <v>7.2267000000000001</v>
      </c>
      <c r="K405" s="64">
        <f>7.2269 * CHOOSE(CONTROL!$C$22, $C$13, 100%, $E$13)</f>
        <v>7.2268999999999997</v>
      </c>
    </row>
    <row r="406" spans="1:11" ht="15">
      <c r="A406" s="13">
        <v>53997</v>
      </c>
      <c r="B406" s="63">
        <f>6.2592 * CHOOSE(CONTROL!$C$22, $C$13, 100%, $E$13)</f>
        <v>6.2591999999999999</v>
      </c>
      <c r="C406" s="63">
        <f>6.2592 * CHOOSE(CONTROL!$C$22, $C$13, 100%, $E$13)</f>
        <v>6.2591999999999999</v>
      </c>
      <c r="D406" s="63">
        <f>6.2714 * CHOOSE(CONTROL!$C$22, $C$13, 100%, $E$13)</f>
        <v>6.2713999999999999</v>
      </c>
      <c r="E406" s="64">
        <f>7.2452 * CHOOSE(CONTROL!$C$22, $C$13, 100%, $E$13)</f>
        <v>7.2451999999999996</v>
      </c>
      <c r="F406" s="64">
        <f>7.2452 * CHOOSE(CONTROL!$C$22, $C$13, 100%, $E$13)</f>
        <v>7.2451999999999996</v>
      </c>
      <c r="G406" s="64">
        <f>7.2454 * CHOOSE(CONTROL!$C$22, $C$13, 100%, $E$13)</f>
        <v>7.2454000000000001</v>
      </c>
      <c r="H406" s="64">
        <f>12.6911* CHOOSE(CONTROL!$C$22, $C$13, 100%, $E$13)</f>
        <v>12.6911</v>
      </c>
      <c r="I406" s="64">
        <f>12.6913 * CHOOSE(CONTROL!$C$22, $C$13, 100%, $E$13)</f>
        <v>12.6913</v>
      </c>
      <c r="J406" s="64">
        <f>7.2452 * CHOOSE(CONTROL!$C$22, $C$13, 100%, $E$13)</f>
        <v>7.2451999999999996</v>
      </c>
      <c r="K406" s="64">
        <f>7.2454 * CHOOSE(CONTROL!$C$22, $C$13, 100%, $E$13)</f>
        <v>7.2454000000000001</v>
      </c>
    </row>
    <row r="407" spans="1:11" ht="15">
      <c r="A407" s="13">
        <v>54027</v>
      </c>
      <c r="B407" s="63">
        <f>6.2592 * CHOOSE(CONTROL!$C$22, $C$13, 100%, $E$13)</f>
        <v>6.2591999999999999</v>
      </c>
      <c r="C407" s="63">
        <f>6.2592 * CHOOSE(CONTROL!$C$22, $C$13, 100%, $E$13)</f>
        <v>6.2591999999999999</v>
      </c>
      <c r="D407" s="63">
        <f>6.2714 * CHOOSE(CONTROL!$C$22, $C$13, 100%, $E$13)</f>
        <v>6.2713999999999999</v>
      </c>
      <c r="E407" s="64">
        <f>7.2042 * CHOOSE(CONTROL!$C$22, $C$13, 100%, $E$13)</f>
        <v>7.2042000000000002</v>
      </c>
      <c r="F407" s="64">
        <f>7.2042 * CHOOSE(CONTROL!$C$22, $C$13, 100%, $E$13)</f>
        <v>7.2042000000000002</v>
      </c>
      <c r="G407" s="64">
        <f>7.2044 * CHOOSE(CONTROL!$C$22, $C$13, 100%, $E$13)</f>
        <v>7.2043999999999997</v>
      </c>
      <c r="H407" s="64">
        <f>12.7176* CHOOSE(CONTROL!$C$22, $C$13, 100%, $E$13)</f>
        <v>12.717599999999999</v>
      </c>
      <c r="I407" s="64">
        <f>12.7177 * CHOOSE(CONTROL!$C$22, $C$13, 100%, $E$13)</f>
        <v>12.717700000000001</v>
      </c>
      <c r="J407" s="64">
        <f>7.2042 * CHOOSE(CONTROL!$C$22, $C$13, 100%, $E$13)</f>
        <v>7.2042000000000002</v>
      </c>
      <c r="K407" s="64">
        <f>7.2044 * CHOOSE(CONTROL!$C$22, $C$13, 100%, $E$13)</f>
        <v>7.2043999999999997</v>
      </c>
    </row>
    <row r="408" spans="1:11" ht="15">
      <c r="A408" s="13">
        <v>54058</v>
      </c>
      <c r="B408" s="63">
        <f>6.3156 * CHOOSE(CONTROL!$C$22, $C$13, 100%, $E$13)</f>
        <v>6.3155999999999999</v>
      </c>
      <c r="C408" s="63">
        <f>6.3156 * CHOOSE(CONTROL!$C$22, $C$13, 100%, $E$13)</f>
        <v>6.3155999999999999</v>
      </c>
      <c r="D408" s="63">
        <f>6.3279 * CHOOSE(CONTROL!$C$22, $C$13, 100%, $E$13)</f>
        <v>6.3278999999999996</v>
      </c>
      <c r="E408" s="64">
        <f>7.2988 * CHOOSE(CONTROL!$C$22, $C$13, 100%, $E$13)</f>
        <v>7.2988</v>
      </c>
      <c r="F408" s="64">
        <f>7.2988 * CHOOSE(CONTROL!$C$22, $C$13, 100%, $E$13)</f>
        <v>7.2988</v>
      </c>
      <c r="G408" s="64">
        <f>7.299 * CHOOSE(CONTROL!$C$22, $C$13, 100%, $E$13)</f>
        <v>7.2990000000000004</v>
      </c>
      <c r="H408" s="64">
        <f>12.7441* CHOOSE(CONTROL!$C$22, $C$13, 100%, $E$13)</f>
        <v>12.7441</v>
      </c>
      <c r="I408" s="64">
        <f>12.7442 * CHOOSE(CONTROL!$C$22, $C$13, 100%, $E$13)</f>
        <v>12.744199999999999</v>
      </c>
      <c r="J408" s="64">
        <f>7.2988 * CHOOSE(CONTROL!$C$22, $C$13, 100%, $E$13)</f>
        <v>7.2988</v>
      </c>
      <c r="K408" s="64">
        <f>7.299 * CHOOSE(CONTROL!$C$22, $C$13, 100%, $E$13)</f>
        <v>7.2990000000000004</v>
      </c>
    </row>
    <row r="409" spans="1:11" ht="15">
      <c r="A409" s="13">
        <v>54089</v>
      </c>
      <c r="B409" s="63">
        <f>6.3126 * CHOOSE(CONTROL!$C$22, $C$13, 100%, $E$13)</f>
        <v>6.3125999999999998</v>
      </c>
      <c r="C409" s="63">
        <f>6.3126 * CHOOSE(CONTROL!$C$22, $C$13, 100%, $E$13)</f>
        <v>6.3125999999999998</v>
      </c>
      <c r="D409" s="63">
        <f>6.3248 * CHOOSE(CONTROL!$C$22, $C$13, 100%, $E$13)</f>
        <v>6.3247999999999998</v>
      </c>
      <c r="E409" s="64">
        <f>7.217 * CHOOSE(CONTROL!$C$22, $C$13, 100%, $E$13)</f>
        <v>7.2169999999999996</v>
      </c>
      <c r="F409" s="64">
        <f>7.217 * CHOOSE(CONTROL!$C$22, $C$13, 100%, $E$13)</f>
        <v>7.2169999999999996</v>
      </c>
      <c r="G409" s="64">
        <f>7.2172 * CHOOSE(CONTROL!$C$22, $C$13, 100%, $E$13)</f>
        <v>7.2172000000000001</v>
      </c>
      <c r="H409" s="64">
        <f>12.7706* CHOOSE(CONTROL!$C$22, $C$13, 100%, $E$13)</f>
        <v>12.7706</v>
      </c>
      <c r="I409" s="64">
        <f>12.7708 * CHOOSE(CONTROL!$C$22, $C$13, 100%, $E$13)</f>
        <v>12.770799999999999</v>
      </c>
      <c r="J409" s="64">
        <f>7.217 * CHOOSE(CONTROL!$C$22, $C$13, 100%, $E$13)</f>
        <v>7.2169999999999996</v>
      </c>
      <c r="K409" s="64">
        <f>7.2172 * CHOOSE(CONTROL!$C$22, $C$13, 100%, $E$13)</f>
        <v>7.2172000000000001</v>
      </c>
    </row>
    <row r="410" spans="1:11" ht="15">
      <c r="A410" s="13">
        <v>54118</v>
      </c>
      <c r="B410" s="63">
        <f>6.3096 * CHOOSE(CONTROL!$C$22, $C$13, 100%, $E$13)</f>
        <v>6.3095999999999997</v>
      </c>
      <c r="C410" s="63">
        <f>6.3096 * CHOOSE(CONTROL!$C$22, $C$13, 100%, $E$13)</f>
        <v>6.3095999999999997</v>
      </c>
      <c r="D410" s="63">
        <f>6.3218 * CHOOSE(CONTROL!$C$22, $C$13, 100%, $E$13)</f>
        <v>6.3217999999999996</v>
      </c>
      <c r="E410" s="64">
        <f>7.2777 * CHOOSE(CONTROL!$C$22, $C$13, 100%, $E$13)</f>
        <v>7.2777000000000003</v>
      </c>
      <c r="F410" s="64">
        <f>7.2777 * CHOOSE(CONTROL!$C$22, $C$13, 100%, $E$13)</f>
        <v>7.2777000000000003</v>
      </c>
      <c r="G410" s="64">
        <f>7.2779 * CHOOSE(CONTROL!$C$22, $C$13, 100%, $E$13)</f>
        <v>7.2778999999999998</v>
      </c>
      <c r="H410" s="64">
        <f>12.7972* CHOOSE(CONTROL!$C$22, $C$13, 100%, $E$13)</f>
        <v>12.7972</v>
      </c>
      <c r="I410" s="64">
        <f>12.7974 * CHOOSE(CONTROL!$C$22, $C$13, 100%, $E$13)</f>
        <v>12.7974</v>
      </c>
      <c r="J410" s="64">
        <f>7.2777 * CHOOSE(CONTROL!$C$22, $C$13, 100%, $E$13)</f>
        <v>7.2777000000000003</v>
      </c>
      <c r="K410" s="64">
        <f>7.2779 * CHOOSE(CONTROL!$C$22, $C$13, 100%, $E$13)</f>
        <v>7.2778999999999998</v>
      </c>
    </row>
    <row r="411" spans="1:11" ht="15">
      <c r="A411" s="13">
        <v>54149</v>
      </c>
      <c r="B411" s="63">
        <f>6.3093 * CHOOSE(CONTROL!$C$22, $C$13, 100%, $E$13)</f>
        <v>6.3093000000000004</v>
      </c>
      <c r="C411" s="63">
        <f>6.3093 * CHOOSE(CONTROL!$C$22, $C$13, 100%, $E$13)</f>
        <v>6.3093000000000004</v>
      </c>
      <c r="D411" s="63">
        <f>6.3215 * CHOOSE(CONTROL!$C$22, $C$13, 100%, $E$13)</f>
        <v>6.3215000000000003</v>
      </c>
      <c r="E411" s="64">
        <f>7.3409 * CHOOSE(CONTROL!$C$22, $C$13, 100%, $E$13)</f>
        <v>7.3409000000000004</v>
      </c>
      <c r="F411" s="64">
        <f>7.3409 * CHOOSE(CONTROL!$C$22, $C$13, 100%, $E$13)</f>
        <v>7.3409000000000004</v>
      </c>
      <c r="G411" s="64">
        <f>7.3411 * CHOOSE(CONTROL!$C$22, $C$13, 100%, $E$13)</f>
        <v>7.3411</v>
      </c>
      <c r="H411" s="64">
        <f>12.8239* CHOOSE(CONTROL!$C$22, $C$13, 100%, $E$13)</f>
        <v>12.8239</v>
      </c>
      <c r="I411" s="64">
        <f>12.824 * CHOOSE(CONTROL!$C$22, $C$13, 100%, $E$13)</f>
        <v>12.824</v>
      </c>
      <c r="J411" s="64">
        <f>7.3409 * CHOOSE(CONTROL!$C$22, $C$13, 100%, $E$13)</f>
        <v>7.3409000000000004</v>
      </c>
      <c r="K411" s="64">
        <f>7.3411 * CHOOSE(CONTROL!$C$22, $C$13, 100%, $E$13)</f>
        <v>7.3411</v>
      </c>
    </row>
    <row r="412" spans="1:11" ht="15">
      <c r="A412" s="13">
        <v>54179</v>
      </c>
      <c r="B412" s="63">
        <f>6.3093 * CHOOSE(CONTROL!$C$22, $C$13, 100%, $E$13)</f>
        <v>6.3093000000000004</v>
      </c>
      <c r="C412" s="63">
        <f>6.3093 * CHOOSE(CONTROL!$C$22, $C$13, 100%, $E$13)</f>
        <v>6.3093000000000004</v>
      </c>
      <c r="D412" s="63">
        <f>6.3337 * CHOOSE(CONTROL!$C$22, $C$13, 100%, $E$13)</f>
        <v>6.3337000000000003</v>
      </c>
      <c r="E412" s="64">
        <f>7.3663 * CHOOSE(CONTROL!$C$22, $C$13, 100%, $E$13)</f>
        <v>7.3662999999999998</v>
      </c>
      <c r="F412" s="64">
        <f>7.3663 * CHOOSE(CONTROL!$C$22, $C$13, 100%, $E$13)</f>
        <v>7.3662999999999998</v>
      </c>
      <c r="G412" s="64">
        <f>7.3678 * CHOOSE(CONTROL!$C$22, $C$13, 100%, $E$13)</f>
        <v>7.3677999999999999</v>
      </c>
      <c r="H412" s="64">
        <f>12.8506* CHOOSE(CONTROL!$C$22, $C$13, 100%, $E$13)</f>
        <v>12.8506</v>
      </c>
      <c r="I412" s="64">
        <f>12.8522 * CHOOSE(CONTROL!$C$22, $C$13, 100%, $E$13)</f>
        <v>12.8522</v>
      </c>
      <c r="J412" s="64">
        <f>7.3663 * CHOOSE(CONTROL!$C$22, $C$13, 100%, $E$13)</f>
        <v>7.3662999999999998</v>
      </c>
      <c r="K412" s="64">
        <f>7.3678 * CHOOSE(CONTROL!$C$22, $C$13, 100%, $E$13)</f>
        <v>7.3677999999999999</v>
      </c>
    </row>
    <row r="413" spans="1:11" ht="15">
      <c r="A413" s="13">
        <v>54210</v>
      </c>
      <c r="B413" s="63">
        <f>6.3154 * CHOOSE(CONTROL!$C$22, $C$13, 100%, $E$13)</f>
        <v>6.3154000000000003</v>
      </c>
      <c r="C413" s="63">
        <f>6.3154 * CHOOSE(CONTROL!$C$22, $C$13, 100%, $E$13)</f>
        <v>6.3154000000000003</v>
      </c>
      <c r="D413" s="63">
        <f>6.3398 * CHOOSE(CONTROL!$C$22, $C$13, 100%, $E$13)</f>
        <v>6.3398000000000003</v>
      </c>
      <c r="E413" s="64">
        <f>7.3452 * CHOOSE(CONTROL!$C$22, $C$13, 100%, $E$13)</f>
        <v>7.3452000000000002</v>
      </c>
      <c r="F413" s="64">
        <f>7.3452 * CHOOSE(CONTROL!$C$22, $C$13, 100%, $E$13)</f>
        <v>7.3452000000000002</v>
      </c>
      <c r="G413" s="64">
        <f>7.3468 * CHOOSE(CONTROL!$C$22, $C$13, 100%, $E$13)</f>
        <v>7.3468</v>
      </c>
      <c r="H413" s="64">
        <f>12.8774* CHOOSE(CONTROL!$C$22, $C$13, 100%, $E$13)</f>
        <v>12.8774</v>
      </c>
      <c r="I413" s="64">
        <f>12.8789 * CHOOSE(CONTROL!$C$22, $C$13, 100%, $E$13)</f>
        <v>12.8789</v>
      </c>
      <c r="J413" s="64">
        <f>7.3452 * CHOOSE(CONTROL!$C$22, $C$13, 100%, $E$13)</f>
        <v>7.3452000000000002</v>
      </c>
      <c r="K413" s="64">
        <f>7.3468 * CHOOSE(CONTROL!$C$22, $C$13, 100%, $E$13)</f>
        <v>7.3468</v>
      </c>
    </row>
    <row r="414" spans="1:11" ht="15">
      <c r="A414" s="13">
        <v>54240</v>
      </c>
      <c r="B414" s="63">
        <f>6.42 * CHOOSE(CONTROL!$C$22, $C$13, 100%, $E$13)</f>
        <v>6.42</v>
      </c>
      <c r="C414" s="63">
        <f>6.42 * CHOOSE(CONTROL!$C$22, $C$13, 100%, $E$13)</f>
        <v>6.42</v>
      </c>
      <c r="D414" s="63">
        <f>6.4444 * CHOOSE(CONTROL!$C$22, $C$13, 100%, $E$13)</f>
        <v>6.4443999999999999</v>
      </c>
      <c r="E414" s="64">
        <f>7.4906 * CHOOSE(CONTROL!$C$22, $C$13, 100%, $E$13)</f>
        <v>7.4905999999999997</v>
      </c>
      <c r="F414" s="64">
        <f>7.4906 * CHOOSE(CONTROL!$C$22, $C$13, 100%, $E$13)</f>
        <v>7.4905999999999997</v>
      </c>
      <c r="G414" s="64">
        <f>7.4921 * CHOOSE(CONTROL!$C$22, $C$13, 100%, $E$13)</f>
        <v>7.4920999999999998</v>
      </c>
      <c r="H414" s="64">
        <f>12.9042* CHOOSE(CONTROL!$C$22, $C$13, 100%, $E$13)</f>
        <v>12.904199999999999</v>
      </c>
      <c r="I414" s="64">
        <f>12.9058 * CHOOSE(CONTROL!$C$22, $C$13, 100%, $E$13)</f>
        <v>12.905799999999999</v>
      </c>
      <c r="J414" s="64">
        <f>7.4906 * CHOOSE(CONTROL!$C$22, $C$13, 100%, $E$13)</f>
        <v>7.4905999999999997</v>
      </c>
      <c r="K414" s="64">
        <f>7.4921 * CHOOSE(CONTROL!$C$22, $C$13, 100%, $E$13)</f>
        <v>7.4920999999999998</v>
      </c>
    </row>
    <row r="415" spans="1:11" ht="15">
      <c r="A415" s="13">
        <v>54271</v>
      </c>
      <c r="B415" s="63">
        <f>6.4266 * CHOOSE(CONTROL!$C$22, $C$13, 100%, $E$13)</f>
        <v>6.4265999999999996</v>
      </c>
      <c r="C415" s="63">
        <f>6.4266 * CHOOSE(CONTROL!$C$22, $C$13, 100%, $E$13)</f>
        <v>6.4265999999999996</v>
      </c>
      <c r="D415" s="63">
        <f>6.4511 * CHOOSE(CONTROL!$C$22, $C$13, 100%, $E$13)</f>
        <v>6.4511000000000003</v>
      </c>
      <c r="E415" s="64">
        <f>7.4193 * CHOOSE(CONTROL!$C$22, $C$13, 100%, $E$13)</f>
        <v>7.4192999999999998</v>
      </c>
      <c r="F415" s="64">
        <f>7.4193 * CHOOSE(CONTROL!$C$22, $C$13, 100%, $E$13)</f>
        <v>7.4192999999999998</v>
      </c>
      <c r="G415" s="64">
        <f>7.4209 * CHOOSE(CONTROL!$C$22, $C$13, 100%, $E$13)</f>
        <v>7.4208999999999996</v>
      </c>
      <c r="H415" s="64">
        <f>12.9311* CHOOSE(CONTROL!$C$22, $C$13, 100%, $E$13)</f>
        <v>12.931100000000001</v>
      </c>
      <c r="I415" s="64">
        <f>12.9326 * CHOOSE(CONTROL!$C$22, $C$13, 100%, $E$13)</f>
        <v>12.932600000000001</v>
      </c>
      <c r="J415" s="64">
        <f>7.4193 * CHOOSE(CONTROL!$C$22, $C$13, 100%, $E$13)</f>
        <v>7.4192999999999998</v>
      </c>
      <c r="K415" s="64">
        <f>7.4209 * CHOOSE(CONTROL!$C$22, $C$13, 100%, $E$13)</f>
        <v>7.4208999999999996</v>
      </c>
    </row>
    <row r="416" spans="1:11" ht="15">
      <c r="A416" s="13">
        <v>54302</v>
      </c>
      <c r="B416" s="63">
        <f>6.4236 * CHOOSE(CONTROL!$C$22, $C$13, 100%, $E$13)</f>
        <v>6.4236000000000004</v>
      </c>
      <c r="C416" s="63">
        <f>6.4236 * CHOOSE(CONTROL!$C$22, $C$13, 100%, $E$13)</f>
        <v>6.4236000000000004</v>
      </c>
      <c r="D416" s="63">
        <f>6.448 * CHOOSE(CONTROL!$C$22, $C$13, 100%, $E$13)</f>
        <v>6.4480000000000004</v>
      </c>
      <c r="E416" s="64">
        <f>7.4088 * CHOOSE(CONTROL!$C$22, $C$13, 100%, $E$13)</f>
        <v>7.4088000000000003</v>
      </c>
      <c r="F416" s="64">
        <f>7.4088 * CHOOSE(CONTROL!$C$22, $C$13, 100%, $E$13)</f>
        <v>7.4088000000000003</v>
      </c>
      <c r="G416" s="64">
        <f>7.4103 * CHOOSE(CONTROL!$C$22, $C$13, 100%, $E$13)</f>
        <v>7.4103000000000003</v>
      </c>
      <c r="H416" s="64">
        <f>12.958* CHOOSE(CONTROL!$C$22, $C$13, 100%, $E$13)</f>
        <v>12.958</v>
      </c>
      <c r="I416" s="64">
        <f>12.9596 * CHOOSE(CONTROL!$C$22, $C$13, 100%, $E$13)</f>
        <v>12.9596</v>
      </c>
      <c r="J416" s="64">
        <f>7.4088 * CHOOSE(CONTROL!$C$22, $C$13, 100%, $E$13)</f>
        <v>7.4088000000000003</v>
      </c>
      <c r="K416" s="64">
        <f>7.4103 * CHOOSE(CONTROL!$C$22, $C$13, 100%, $E$13)</f>
        <v>7.4103000000000003</v>
      </c>
    </row>
    <row r="417" spans="1:11" ht="15">
      <c r="A417" s="13">
        <v>54332</v>
      </c>
      <c r="B417" s="63">
        <f>6.427 * CHOOSE(CONTROL!$C$22, $C$13, 100%, $E$13)</f>
        <v>6.4269999999999996</v>
      </c>
      <c r="C417" s="63">
        <f>6.427 * CHOOSE(CONTROL!$C$22, $C$13, 100%, $E$13)</f>
        <v>6.4269999999999996</v>
      </c>
      <c r="D417" s="63">
        <f>6.4392 * CHOOSE(CONTROL!$C$22, $C$13, 100%, $E$13)</f>
        <v>6.4391999999999996</v>
      </c>
      <c r="E417" s="64">
        <f>7.4291 * CHOOSE(CONTROL!$C$22, $C$13, 100%, $E$13)</f>
        <v>7.4291</v>
      </c>
      <c r="F417" s="64">
        <f>7.4291 * CHOOSE(CONTROL!$C$22, $C$13, 100%, $E$13)</f>
        <v>7.4291</v>
      </c>
      <c r="G417" s="64">
        <f>7.4293 * CHOOSE(CONTROL!$C$22, $C$13, 100%, $E$13)</f>
        <v>7.4292999999999996</v>
      </c>
      <c r="H417" s="64">
        <f>12.985* CHOOSE(CONTROL!$C$22, $C$13, 100%, $E$13)</f>
        <v>12.984999999999999</v>
      </c>
      <c r="I417" s="64">
        <f>12.9852 * CHOOSE(CONTROL!$C$22, $C$13, 100%, $E$13)</f>
        <v>12.985200000000001</v>
      </c>
      <c r="J417" s="64">
        <f>7.4291 * CHOOSE(CONTROL!$C$22, $C$13, 100%, $E$13)</f>
        <v>7.4291</v>
      </c>
      <c r="K417" s="64">
        <f>7.4293 * CHOOSE(CONTROL!$C$22, $C$13, 100%, $E$13)</f>
        <v>7.4292999999999996</v>
      </c>
    </row>
    <row r="418" spans="1:11" ht="15">
      <c r="A418" s="13">
        <v>54363</v>
      </c>
      <c r="B418" s="63">
        <f>6.43 * CHOOSE(CONTROL!$C$22, $C$13, 100%, $E$13)</f>
        <v>6.43</v>
      </c>
      <c r="C418" s="63">
        <f>6.43 * CHOOSE(CONTROL!$C$22, $C$13, 100%, $E$13)</f>
        <v>6.43</v>
      </c>
      <c r="D418" s="63">
        <f>6.4422 * CHOOSE(CONTROL!$C$22, $C$13, 100%, $E$13)</f>
        <v>6.4421999999999997</v>
      </c>
      <c r="E418" s="64">
        <f>7.4481 * CHOOSE(CONTROL!$C$22, $C$13, 100%, $E$13)</f>
        <v>7.4481000000000002</v>
      </c>
      <c r="F418" s="64">
        <f>7.4481 * CHOOSE(CONTROL!$C$22, $C$13, 100%, $E$13)</f>
        <v>7.4481000000000002</v>
      </c>
      <c r="G418" s="64">
        <f>7.4483 * CHOOSE(CONTROL!$C$22, $C$13, 100%, $E$13)</f>
        <v>7.4482999999999997</v>
      </c>
      <c r="H418" s="64">
        <f>13.0121* CHOOSE(CONTROL!$C$22, $C$13, 100%, $E$13)</f>
        <v>13.0121</v>
      </c>
      <c r="I418" s="64">
        <f>13.0122 * CHOOSE(CONTROL!$C$22, $C$13, 100%, $E$13)</f>
        <v>13.0122</v>
      </c>
      <c r="J418" s="64">
        <f>7.4481 * CHOOSE(CONTROL!$C$22, $C$13, 100%, $E$13)</f>
        <v>7.4481000000000002</v>
      </c>
      <c r="K418" s="64">
        <f>7.4483 * CHOOSE(CONTROL!$C$22, $C$13, 100%, $E$13)</f>
        <v>7.4482999999999997</v>
      </c>
    </row>
    <row r="419" spans="1:11" ht="15">
      <c r="A419" s="13">
        <v>54393</v>
      </c>
      <c r="B419" s="63">
        <f>6.43 * CHOOSE(CONTROL!$C$22, $C$13, 100%, $E$13)</f>
        <v>6.43</v>
      </c>
      <c r="C419" s="63">
        <f>6.43 * CHOOSE(CONTROL!$C$22, $C$13, 100%, $E$13)</f>
        <v>6.43</v>
      </c>
      <c r="D419" s="63">
        <f>6.4422 * CHOOSE(CONTROL!$C$22, $C$13, 100%, $E$13)</f>
        <v>6.4421999999999997</v>
      </c>
      <c r="E419" s="64">
        <f>7.4059 * CHOOSE(CONTROL!$C$22, $C$13, 100%, $E$13)</f>
        <v>7.4058999999999999</v>
      </c>
      <c r="F419" s="64">
        <f>7.4059 * CHOOSE(CONTROL!$C$22, $C$13, 100%, $E$13)</f>
        <v>7.4058999999999999</v>
      </c>
      <c r="G419" s="64">
        <f>7.4061 * CHOOSE(CONTROL!$C$22, $C$13, 100%, $E$13)</f>
        <v>7.4061000000000003</v>
      </c>
      <c r="H419" s="64">
        <f>13.0392* CHOOSE(CONTROL!$C$22, $C$13, 100%, $E$13)</f>
        <v>13.039199999999999</v>
      </c>
      <c r="I419" s="64">
        <f>13.0393 * CHOOSE(CONTROL!$C$22, $C$13, 100%, $E$13)</f>
        <v>13.039300000000001</v>
      </c>
      <c r="J419" s="64">
        <f>7.4059 * CHOOSE(CONTROL!$C$22, $C$13, 100%, $E$13)</f>
        <v>7.4058999999999999</v>
      </c>
      <c r="K419" s="64">
        <f>7.4061 * CHOOSE(CONTROL!$C$22, $C$13, 100%, $E$13)</f>
        <v>7.4061000000000003</v>
      </c>
    </row>
    <row r="420" spans="1:11" ht="15">
      <c r="A420" s="13">
        <v>54424</v>
      </c>
      <c r="B420" s="63">
        <f>6.4879 * CHOOSE(CONTROL!$C$22, $C$13, 100%, $E$13)</f>
        <v>6.4878999999999998</v>
      </c>
      <c r="C420" s="63">
        <f>6.4879 * CHOOSE(CONTROL!$C$22, $C$13, 100%, $E$13)</f>
        <v>6.4878999999999998</v>
      </c>
      <c r="D420" s="63">
        <f>6.5001 * CHOOSE(CONTROL!$C$22, $C$13, 100%, $E$13)</f>
        <v>6.5000999999999998</v>
      </c>
      <c r="E420" s="64">
        <f>7.5031 * CHOOSE(CONTROL!$C$22, $C$13, 100%, $E$13)</f>
        <v>7.5030999999999999</v>
      </c>
      <c r="F420" s="64">
        <f>7.5031 * CHOOSE(CONTROL!$C$22, $C$13, 100%, $E$13)</f>
        <v>7.5030999999999999</v>
      </c>
      <c r="G420" s="64">
        <f>7.5032 * CHOOSE(CONTROL!$C$22, $C$13, 100%, $E$13)</f>
        <v>7.5031999999999996</v>
      </c>
      <c r="H420" s="64">
        <f>13.0663* CHOOSE(CONTROL!$C$22, $C$13, 100%, $E$13)</f>
        <v>13.0663</v>
      </c>
      <c r="I420" s="64">
        <f>13.0665 * CHOOSE(CONTROL!$C$22, $C$13, 100%, $E$13)</f>
        <v>13.0665</v>
      </c>
      <c r="J420" s="64">
        <f>7.5031 * CHOOSE(CONTROL!$C$22, $C$13, 100%, $E$13)</f>
        <v>7.5030999999999999</v>
      </c>
      <c r="K420" s="64">
        <f>7.5032 * CHOOSE(CONTROL!$C$22, $C$13, 100%, $E$13)</f>
        <v>7.5031999999999996</v>
      </c>
    </row>
    <row r="421" spans="1:11" ht="15">
      <c r="A421" s="13">
        <v>54455</v>
      </c>
      <c r="B421" s="63">
        <f>6.4848 * CHOOSE(CONTROL!$C$22, $C$13, 100%, $E$13)</f>
        <v>6.4847999999999999</v>
      </c>
      <c r="C421" s="63">
        <f>6.4848 * CHOOSE(CONTROL!$C$22, $C$13, 100%, $E$13)</f>
        <v>6.4847999999999999</v>
      </c>
      <c r="D421" s="63">
        <f>6.497 * CHOOSE(CONTROL!$C$22, $C$13, 100%, $E$13)</f>
        <v>6.4969999999999999</v>
      </c>
      <c r="E421" s="64">
        <f>7.419 * CHOOSE(CONTROL!$C$22, $C$13, 100%, $E$13)</f>
        <v>7.4189999999999996</v>
      </c>
      <c r="F421" s="64">
        <f>7.419 * CHOOSE(CONTROL!$C$22, $C$13, 100%, $E$13)</f>
        <v>7.4189999999999996</v>
      </c>
      <c r="G421" s="64">
        <f>7.4192 * CHOOSE(CONTROL!$C$22, $C$13, 100%, $E$13)</f>
        <v>7.4192</v>
      </c>
      <c r="H421" s="64">
        <f>13.0936* CHOOSE(CONTROL!$C$22, $C$13, 100%, $E$13)</f>
        <v>13.0936</v>
      </c>
      <c r="I421" s="64">
        <f>13.0937 * CHOOSE(CONTROL!$C$22, $C$13, 100%, $E$13)</f>
        <v>13.0937</v>
      </c>
      <c r="J421" s="64">
        <f>7.419 * CHOOSE(CONTROL!$C$22, $C$13, 100%, $E$13)</f>
        <v>7.4189999999999996</v>
      </c>
      <c r="K421" s="64">
        <f>7.4192 * CHOOSE(CONTROL!$C$22, $C$13, 100%, $E$13)</f>
        <v>7.4192</v>
      </c>
    </row>
    <row r="422" spans="1:11" ht="15">
      <c r="A422" s="13">
        <v>54483</v>
      </c>
      <c r="B422" s="63">
        <f>6.4818 * CHOOSE(CONTROL!$C$22, $C$13, 100%, $E$13)</f>
        <v>6.4817999999999998</v>
      </c>
      <c r="C422" s="63">
        <f>6.4818 * CHOOSE(CONTROL!$C$22, $C$13, 100%, $E$13)</f>
        <v>6.4817999999999998</v>
      </c>
      <c r="D422" s="63">
        <f>6.494 * CHOOSE(CONTROL!$C$22, $C$13, 100%, $E$13)</f>
        <v>6.4939999999999998</v>
      </c>
      <c r="E422" s="64">
        <f>7.4815 * CHOOSE(CONTROL!$C$22, $C$13, 100%, $E$13)</f>
        <v>7.4814999999999996</v>
      </c>
      <c r="F422" s="64">
        <f>7.4815 * CHOOSE(CONTROL!$C$22, $C$13, 100%, $E$13)</f>
        <v>7.4814999999999996</v>
      </c>
      <c r="G422" s="64">
        <f>7.4817 * CHOOSE(CONTROL!$C$22, $C$13, 100%, $E$13)</f>
        <v>7.4817</v>
      </c>
      <c r="H422" s="64">
        <f>13.1208* CHOOSE(CONTROL!$C$22, $C$13, 100%, $E$13)</f>
        <v>13.120799999999999</v>
      </c>
      <c r="I422" s="64">
        <f>13.121 * CHOOSE(CONTROL!$C$22, $C$13, 100%, $E$13)</f>
        <v>13.121</v>
      </c>
      <c r="J422" s="64">
        <f>7.4815 * CHOOSE(CONTROL!$C$22, $C$13, 100%, $E$13)</f>
        <v>7.4814999999999996</v>
      </c>
      <c r="K422" s="64">
        <f>7.4817 * CHOOSE(CONTROL!$C$22, $C$13, 100%, $E$13)</f>
        <v>7.4817</v>
      </c>
    </row>
    <row r="423" spans="1:11" ht="15">
      <c r="A423" s="13">
        <v>54514</v>
      </c>
      <c r="B423" s="63">
        <f>6.4817 * CHOOSE(CONTROL!$C$22, $C$13, 100%, $E$13)</f>
        <v>6.4817</v>
      </c>
      <c r="C423" s="63">
        <f>6.4817 * CHOOSE(CONTROL!$C$22, $C$13, 100%, $E$13)</f>
        <v>6.4817</v>
      </c>
      <c r="D423" s="63">
        <f>6.4939 * CHOOSE(CONTROL!$C$22, $C$13, 100%, $E$13)</f>
        <v>6.4939</v>
      </c>
      <c r="E423" s="64">
        <f>7.5466 * CHOOSE(CONTROL!$C$22, $C$13, 100%, $E$13)</f>
        <v>7.5465999999999998</v>
      </c>
      <c r="F423" s="64">
        <f>7.5466 * CHOOSE(CONTROL!$C$22, $C$13, 100%, $E$13)</f>
        <v>7.5465999999999998</v>
      </c>
      <c r="G423" s="64">
        <f>7.5468 * CHOOSE(CONTROL!$C$22, $C$13, 100%, $E$13)</f>
        <v>7.5468000000000002</v>
      </c>
      <c r="H423" s="64">
        <f>13.1482* CHOOSE(CONTROL!$C$22, $C$13, 100%, $E$13)</f>
        <v>13.148199999999999</v>
      </c>
      <c r="I423" s="64">
        <f>13.1483 * CHOOSE(CONTROL!$C$22, $C$13, 100%, $E$13)</f>
        <v>13.148300000000001</v>
      </c>
      <c r="J423" s="64">
        <f>7.5466 * CHOOSE(CONTROL!$C$22, $C$13, 100%, $E$13)</f>
        <v>7.5465999999999998</v>
      </c>
      <c r="K423" s="64">
        <f>7.5468 * CHOOSE(CONTROL!$C$22, $C$13, 100%, $E$13)</f>
        <v>7.5468000000000002</v>
      </c>
    </row>
    <row r="424" spans="1:11" ht="15">
      <c r="A424" s="13">
        <v>54544</v>
      </c>
      <c r="B424" s="63">
        <f>6.4817 * CHOOSE(CONTROL!$C$22, $C$13, 100%, $E$13)</f>
        <v>6.4817</v>
      </c>
      <c r="C424" s="63">
        <f>6.4817 * CHOOSE(CONTROL!$C$22, $C$13, 100%, $E$13)</f>
        <v>6.4817</v>
      </c>
      <c r="D424" s="63">
        <f>6.5061 * CHOOSE(CONTROL!$C$22, $C$13, 100%, $E$13)</f>
        <v>6.5061</v>
      </c>
      <c r="E424" s="64">
        <f>7.5726 * CHOOSE(CONTROL!$C$22, $C$13, 100%, $E$13)</f>
        <v>7.5726000000000004</v>
      </c>
      <c r="F424" s="64">
        <f>7.5726 * CHOOSE(CONTROL!$C$22, $C$13, 100%, $E$13)</f>
        <v>7.5726000000000004</v>
      </c>
      <c r="G424" s="64">
        <f>7.5742 * CHOOSE(CONTROL!$C$22, $C$13, 100%, $E$13)</f>
        <v>7.5742000000000003</v>
      </c>
      <c r="H424" s="64">
        <f>13.1756* CHOOSE(CONTROL!$C$22, $C$13, 100%, $E$13)</f>
        <v>13.175599999999999</v>
      </c>
      <c r="I424" s="64">
        <f>13.1771 * CHOOSE(CONTROL!$C$22, $C$13, 100%, $E$13)</f>
        <v>13.177099999999999</v>
      </c>
      <c r="J424" s="64">
        <f>7.5726 * CHOOSE(CONTROL!$C$22, $C$13, 100%, $E$13)</f>
        <v>7.5726000000000004</v>
      </c>
      <c r="K424" s="64">
        <f>7.5742 * CHOOSE(CONTROL!$C$22, $C$13, 100%, $E$13)</f>
        <v>7.5742000000000003</v>
      </c>
    </row>
    <row r="425" spans="1:11" ht="15">
      <c r="A425" s="13">
        <v>54575</v>
      </c>
      <c r="B425" s="63">
        <f>6.4877 * CHOOSE(CONTROL!$C$22, $C$13, 100%, $E$13)</f>
        <v>6.4877000000000002</v>
      </c>
      <c r="C425" s="63">
        <f>6.4877 * CHOOSE(CONTROL!$C$22, $C$13, 100%, $E$13)</f>
        <v>6.4877000000000002</v>
      </c>
      <c r="D425" s="63">
        <f>6.5122 * CHOOSE(CONTROL!$C$22, $C$13, 100%, $E$13)</f>
        <v>6.5122</v>
      </c>
      <c r="E425" s="64">
        <f>7.5509 * CHOOSE(CONTROL!$C$22, $C$13, 100%, $E$13)</f>
        <v>7.5509000000000004</v>
      </c>
      <c r="F425" s="64">
        <f>7.5509 * CHOOSE(CONTROL!$C$22, $C$13, 100%, $E$13)</f>
        <v>7.5509000000000004</v>
      </c>
      <c r="G425" s="64">
        <f>7.5524 * CHOOSE(CONTROL!$C$22, $C$13, 100%, $E$13)</f>
        <v>7.5523999999999996</v>
      </c>
      <c r="H425" s="64">
        <f>13.203* CHOOSE(CONTROL!$C$22, $C$13, 100%, $E$13)</f>
        <v>13.202999999999999</v>
      </c>
      <c r="I425" s="64">
        <f>13.2046 * CHOOSE(CONTROL!$C$22, $C$13, 100%, $E$13)</f>
        <v>13.204599999999999</v>
      </c>
      <c r="J425" s="64">
        <f>7.5509 * CHOOSE(CONTROL!$C$22, $C$13, 100%, $E$13)</f>
        <v>7.5509000000000004</v>
      </c>
      <c r="K425" s="64">
        <f>7.5524 * CHOOSE(CONTROL!$C$22, $C$13, 100%, $E$13)</f>
        <v>7.5523999999999996</v>
      </c>
    </row>
    <row r="426" spans="1:11" ht="15">
      <c r="A426" s="13">
        <v>54605</v>
      </c>
      <c r="B426" s="63">
        <f>6.5949 * CHOOSE(CONTROL!$C$22, $C$13, 100%, $E$13)</f>
        <v>6.5949</v>
      </c>
      <c r="C426" s="63">
        <f>6.5949 * CHOOSE(CONTROL!$C$22, $C$13, 100%, $E$13)</f>
        <v>6.5949</v>
      </c>
      <c r="D426" s="63">
        <f>6.6193 * CHOOSE(CONTROL!$C$22, $C$13, 100%, $E$13)</f>
        <v>6.6193</v>
      </c>
      <c r="E426" s="64">
        <f>7.7 * CHOOSE(CONTROL!$C$22, $C$13, 100%, $E$13)</f>
        <v>7.7</v>
      </c>
      <c r="F426" s="64">
        <f>7.7 * CHOOSE(CONTROL!$C$22, $C$13, 100%, $E$13)</f>
        <v>7.7</v>
      </c>
      <c r="G426" s="64">
        <f>7.7016 * CHOOSE(CONTROL!$C$22, $C$13, 100%, $E$13)</f>
        <v>7.7016</v>
      </c>
      <c r="H426" s="64">
        <f>13.2305* CHOOSE(CONTROL!$C$22, $C$13, 100%, $E$13)</f>
        <v>13.230499999999999</v>
      </c>
      <c r="I426" s="64">
        <f>13.2321 * CHOOSE(CONTROL!$C$22, $C$13, 100%, $E$13)</f>
        <v>13.232100000000001</v>
      </c>
      <c r="J426" s="64">
        <f>7.7 * CHOOSE(CONTROL!$C$22, $C$13, 100%, $E$13)</f>
        <v>7.7</v>
      </c>
      <c r="K426" s="64">
        <f>7.7016 * CHOOSE(CONTROL!$C$22, $C$13, 100%, $E$13)</f>
        <v>7.7016</v>
      </c>
    </row>
    <row r="427" spans="1:11" ht="15">
      <c r="A427" s="13">
        <v>54636</v>
      </c>
      <c r="B427" s="63">
        <f>6.6016 * CHOOSE(CONTROL!$C$22, $C$13, 100%, $E$13)</f>
        <v>6.6016000000000004</v>
      </c>
      <c r="C427" s="63">
        <f>6.6016 * CHOOSE(CONTROL!$C$22, $C$13, 100%, $E$13)</f>
        <v>6.6016000000000004</v>
      </c>
      <c r="D427" s="63">
        <f>6.626 * CHOOSE(CONTROL!$C$22, $C$13, 100%, $E$13)</f>
        <v>6.6260000000000003</v>
      </c>
      <c r="E427" s="64">
        <f>7.6266 * CHOOSE(CONTROL!$C$22, $C$13, 100%, $E$13)</f>
        <v>7.6265999999999998</v>
      </c>
      <c r="F427" s="64">
        <f>7.6266 * CHOOSE(CONTROL!$C$22, $C$13, 100%, $E$13)</f>
        <v>7.6265999999999998</v>
      </c>
      <c r="G427" s="64">
        <f>7.6282 * CHOOSE(CONTROL!$C$22, $C$13, 100%, $E$13)</f>
        <v>7.6281999999999996</v>
      </c>
      <c r="H427" s="64">
        <f>13.2581* CHOOSE(CONTROL!$C$22, $C$13, 100%, $E$13)</f>
        <v>13.258100000000001</v>
      </c>
      <c r="I427" s="64">
        <f>13.2596 * CHOOSE(CONTROL!$C$22, $C$13, 100%, $E$13)</f>
        <v>13.259600000000001</v>
      </c>
      <c r="J427" s="64">
        <f>7.6266 * CHOOSE(CONTROL!$C$22, $C$13, 100%, $E$13)</f>
        <v>7.6265999999999998</v>
      </c>
      <c r="K427" s="64">
        <f>7.6282 * CHOOSE(CONTROL!$C$22, $C$13, 100%, $E$13)</f>
        <v>7.6281999999999996</v>
      </c>
    </row>
    <row r="428" spans="1:11" ht="15">
      <c r="A428" s="13">
        <v>54667</v>
      </c>
      <c r="B428" s="63">
        <f>6.5985 * CHOOSE(CONTROL!$C$22, $C$13, 100%, $E$13)</f>
        <v>6.5984999999999996</v>
      </c>
      <c r="C428" s="63">
        <f>6.5985 * CHOOSE(CONTROL!$C$22, $C$13, 100%, $E$13)</f>
        <v>6.5984999999999996</v>
      </c>
      <c r="D428" s="63">
        <f>6.623 * CHOOSE(CONTROL!$C$22, $C$13, 100%, $E$13)</f>
        <v>6.6230000000000002</v>
      </c>
      <c r="E428" s="64">
        <f>7.6159 * CHOOSE(CONTROL!$C$22, $C$13, 100%, $E$13)</f>
        <v>7.6158999999999999</v>
      </c>
      <c r="F428" s="64">
        <f>7.6159 * CHOOSE(CONTROL!$C$22, $C$13, 100%, $E$13)</f>
        <v>7.6158999999999999</v>
      </c>
      <c r="G428" s="64">
        <f>7.6174 * CHOOSE(CONTROL!$C$22, $C$13, 100%, $E$13)</f>
        <v>7.6173999999999999</v>
      </c>
      <c r="H428" s="64">
        <f>13.2857* CHOOSE(CONTROL!$C$22, $C$13, 100%, $E$13)</f>
        <v>13.2857</v>
      </c>
      <c r="I428" s="64">
        <f>13.2873 * CHOOSE(CONTROL!$C$22, $C$13, 100%, $E$13)</f>
        <v>13.2873</v>
      </c>
      <c r="J428" s="64">
        <f>7.6159 * CHOOSE(CONTROL!$C$22, $C$13, 100%, $E$13)</f>
        <v>7.6158999999999999</v>
      </c>
      <c r="K428" s="64">
        <f>7.6174 * CHOOSE(CONTROL!$C$22, $C$13, 100%, $E$13)</f>
        <v>7.6173999999999999</v>
      </c>
    </row>
    <row r="429" spans="1:11" ht="15">
      <c r="A429" s="13">
        <v>54697</v>
      </c>
      <c r="B429" s="63">
        <f>6.6025 * CHOOSE(CONTROL!$C$22, $C$13, 100%, $E$13)</f>
        <v>6.6025</v>
      </c>
      <c r="C429" s="63">
        <f>6.6025 * CHOOSE(CONTROL!$C$22, $C$13, 100%, $E$13)</f>
        <v>6.6025</v>
      </c>
      <c r="D429" s="63">
        <f>6.6147 * CHOOSE(CONTROL!$C$22, $C$13, 100%, $E$13)</f>
        <v>6.6147</v>
      </c>
      <c r="E429" s="64">
        <f>7.6371 * CHOOSE(CONTROL!$C$22, $C$13, 100%, $E$13)</f>
        <v>7.6371000000000002</v>
      </c>
      <c r="F429" s="64">
        <f>7.6371 * CHOOSE(CONTROL!$C$22, $C$13, 100%, $E$13)</f>
        <v>7.6371000000000002</v>
      </c>
      <c r="G429" s="64">
        <f>7.6373 * CHOOSE(CONTROL!$C$22, $C$13, 100%, $E$13)</f>
        <v>7.6372999999999998</v>
      </c>
      <c r="H429" s="64">
        <f>13.3134* CHOOSE(CONTROL!$C$22, $C$13, 100%, $E$13)</f>
        <v>13.3134</v>
      </c>
      <c r="I429" s="64">
        <f>13.3136 * CHOOSE(CONTROL!$C$22, $C$13, 100%, $E$13)</f>
        <v>13.313599999999999</v>
      </c>
      <c r="J429" s="64">
        <f>7.6371 * CHOOSE(CONTROL!$C$22, $C$13, 100%, $E$13)</f>
        <v>7.6371000000000002</v>
      </c>
      <c r="K429" s="64">
        <f>7.6373 * CHOOSE(CONTROL!$C$22, $C$13, 100%, $E$13)</f>
        <v>7.6372999999999998</v>
      </c>
    </row>
    <row r="430" spans="1:11" ht="15">
      <c r="A430" s="13">
        <v>54728</v>
      </c>
      <c r="B430" s="63">
        <f>6.6056 * CHOOSE(CONTROL!$C$22, $C$13, 100%, $E$13)</f>
        <v>6.6055999999999999</v>
      </c>
      <c r="C430" s="63">
        <f>6.6056 * CHOOSE(CONTROL!$C$22, $C$13, 100%, $E$13)</f>
        <v>6.6055999999999999</v>
      </c>
      <c r="D430" s="63">
        <f>6.6178 * CHOOSE(CONTROL!$C$22, $C$13, 100%, $E$13)</f>
        <v>6.6177999999999999</v>
      </c>
      <c r="E430" s="64">
        <f>7.6566 * CHOOSE(CONTROL!$C$22, $C$13, 100%, $E$13)</f>
        <v>7.6566000000000001</v>
      </c>
      <c r="F430" s="64">
        <f>7.6566 * CHOOSE(CONTROL!$C$22, $C$13, 100%, $E$13)</f>
        <v>7.6566000000000001</v>
      </c>
      <c r="G430" s="64">
        <f>7.6568 * CHOOSE(CONTROL!$C$22, $C$13, 100%, $E$13)</f>
        <v>7.6567999999999996</v>
      </c>
      <c r="H430" s="64">
        <f>13.3411* CHOOSE(CONTROL!$C$22, $C$13, 100%, $E$13)</f>
        <v>13.341100000000001</v>
      </c>
      <c r="I430" s="64">
        <f>13.3413 * CHOOSE(CONTROL!$C$22, $C$13, 100%, $E$13)</f>
        <v>13.3413</v>
      </c>
      <c r="J430" s="64">
        <f>7.6566 * CHOOSE(CONTROL!$C$22, $C$13, 100%, $E$13)</f>
        <v>7.6566000000000001</v>
      </c>
      <c r="K430" s="64">
        <f>7.6568 * CHOOSE(CONTROL!$C$22, $C$13, 100%, $E$13)</f>
        <v>7.6567999999999996</v>
      </c>
    </row>
    <row r="431" spans="1:11" ht="15">
      <c r="A431" s="13">
        <v>54758</v>
      </c>
      <c r="B431" s="63">
        <f>6.6056 * CHOOSE(CONTROL!$C$22, $C$13, 100%, $E$13)</f>
        <v>6.6055999999999999</v>
      </c>
      <c r="C431" s="63">
        <f>6.6056 * CHOOSE(CONTROL!$C$22, $C$13, 100%, $E$13)</f>
        <v>6.6055999999999999</v>
      </c>
      <c r="D431" s="63">
        <f>6.6178 * CHOOSE(CONTROL!$C$22, $C$13, 100%, $E$13)</f>
        <v>6.6177999999999999</v>
      </c>
      <c r="E431" s="64">
        <f>7.6132 * CHOOSE(CONTROL!$C$22, $C$13, 100%, $E$13)</f>
        <v>7.6132</v>
      </c>
      <c r="F431" s="64">
        <f>7.6132 * CHOOSE(CONTROL!$C$22, $C$13, 100%, $E$13)</f>
        <v>7.6132</v>
      </c>
      <c r="G431" s="64">
        <f>7.6134 * CHOOSE(CONTROL!$C$22, $C$13, 100%, $E$13)</f>
        <v>7.6134000000000004</v>
      </c>
      <c r="H431" s="64">
        <f>13.3689* CHOOSE(CONTROL!$C$22, $C$13, 100%, $E$13)</f>
        <v>13.3689</v>
      </c>
      <c r="I431" s="64">
        <f>13.3691 * CHOOSE(CONTROL!$C$22, $C$13, 100%, $E$13)</f>
        <v>13.3691</v>
      </c>
      <c r="J431" s="64">
        <f>7.6132 * CHOOSE(CONTROL!$C$22, $C$13, 100%, $E$13)</f>
        <v>7.6132</v>
      </c>
      <c r="K431" s="64">
        <f>7.6134 * CHOOSE(CONTROL!$C$22, $C$13, 100%, $E$13)</f>
        <v>7.6134000000000004</v>
      </c>
    </row>
    <row r="432" spans="1:11" ht="15">
      <c r="A432" s="13">
        <v>54789</v>
      </c>
      <c r="B432" s="63">
        <f>6.6648 * CHOOSE(CONTROL!$C$22, $C$13, 100%, $E$13)</f>
        <v>6.6647999999999996</v>
      </c>
      <c r="C432" s="63">
        <f>6.6648 * CHOOSE(CONTROL!$C$22, $C$13, 100%, $E$13)</f>
        <v>6.6647999999999996</v>
      </c>
      <c r="D432" s="63">
        <f>6.6771 * CHOOSE(CONTROL!$C$22, $C$13, 100%, $E$13)</f>
        <v>6.6771000000000003</v>
      </c>
      <c r="E432" s="64">
        <f>7.713 * CHOOSE(CONTROL!$C$22, $C$13, 100%, $E$13)</f>
        <v>7.7130000000000001</v>
      </c>
      <c r="F432" s="64">
        <f>7.713 * CHOOSE(CONTROL!$C$22, $C$13, 100%, $E$13)</f>
        <v>7.7130000000000001</v>
      </c>
      <c r="G432" s="64">
        <f>7.7132 * CHOOSE(CONTROL!$C$22, $C$13, 100%, $E$13)</f>
        <v>7.7131999999999996</v>
      </c>
      <c r="H432" s="64">
        <f>13.3968* CHOOSE(CONTROL!$C$22, $C$13, 100%, $E$13)</f>
        <v>13.396800000000001</v>
      </c>
      <c r="I432" s="64">
        <f>13.3969 * CHOOSE(CONTROL!$C$22, $C$13, 100%, $E$13)</f>
        <v>13.3969</v>
      </c>
      <c r="J432" s="64">
        <f>7.713 * CHOOSE(CONTROL!$C$22, $C$13, 100%, $E$13)</f>
        <v>7.7130000000000001</v>
      </c>
      <c r="K432" s="64">
        <f>7.7132 * CHOOSE(CONTROL!$C$22, $C$13, 100%, $E$13)</f>
        <v>7.7131999999999996</v>
      </c>
    </row>
    <row r="433" spans="1:11" ht="15">
      <c r="A433" s="13">
        <v>54820</v>
      </c>
      <c r="B433" s="63">
        <f>6.6618 * CHOOSE(CONTROL!$C$22, $C$13, 100%, $E$13)</f>
        <v>6.6618000000000004</v>
      </c>
      <c r="C433" s="63">
        <f>6.6618 * CHOOSE(CONTROL!$C$22, $C$13, 100%, $E$13)</f>
        <v>6.6618000000000004</v>
      </c>
      <c r="D433" s="63">
        <f>6.674 * CHOOSE(CONTROL!$C$22, $C$13, 100%, $E$13)</f>
        <v>6.6740000000000004</v>
      </c>
      <c r="E433" s="64">
        <f>7.6267 * CHOOSE(CONTROL!$C$22, $C$13, 100%, $E$13)</f>
        <v>7.6266999999999996</v>
      </c>
      <c r="F433" s="64">
        <f>7.6267 * CHOOSE(CONTROL!$C$22, $C$13, 100%, $E$13)</f>
        <v>7.6266999999999996</v>
      </c>
      <c r="G433" s="64">
        <f>7.6268 * CHOOSE(CONTROL!$C$22, $C$13, 100%, $E$13)</f>
        <v>7.6268000000000002</v>
      </c>
      <c r="H433" s="64">
        <f>13.4247* CHOOSE(CONTROL!$C$22, $C$13, 100%, $E$13)</f>
        <v>13.4247</v>
      </c>
      <c r="I433" s="64">
        <f>13.4248 * CHOOSE(CONTROL!$C$22, $C$13, 100%, $E$13)</f>
        <v>13.424799999999999</v>
      </c>
      <c r="J433" s="64">
        <f>7.6267 * CHOOSE(CONTROL!$C$22, $C$13, 100%, $E$13)</f>
        <v>7.6266999999999996</v>
      </c>
      <c r="K433" s="64">
        <f>7.6268 * CHOOSE(CONTROL!$C$22, $C$13, 100%, $E$13)</f>
        <v>7.6268000000000002</v>
      </c>
    </row>
    <row r="434" spans="1:11" ht="15">
      <c r="A434" s="13">
        <v>54848</v>
      </c>
      <c r="B434" s="63">
        <f>6.6588 * CHOOSE(CONTROL!$C$22, $C$13, 100%, $E$13)</f>
        <v>6.6588000000000003</v>
      </c>
      <c r="C434" s="63">
        <f>6.6588 * CHOOSE(CONTROL!$C$22, $C$13, 100%, $E$13)</f>
        <v>6.6588000000000003</v>
      </c>
      <c r="D434" s="63">
        <f>6.671 * CHOOSE(CONTROL!$C$22, $C$13, 100%, $E$13)</f>
        <v>6.6710000000000003</v>
      </c>
      <c r="E434" s="64">
        <f>7.691 * CHOOSE(CONTROL!$C$22, $C$13, 100%, $E$13)</f>
        <v>7.6909999999999998</v>
      </c>
      <c r="F434" s="64">
        <f>7.691 * CHOOSE(CONTROL!$C$22, $C$13, 100%, $E$13)</f>
        <v>7.6909999999999998</v>
      </c>
      <c r="G434" s="64">
        <f>7.6911 * CHOOSE(CONTROL!$C$22, $C$13, 100%, $E$13)</f>
        <v>7.6910999999999996</v>
      </c>
      <c r="H434" s="64">
        <f>13.4526* CHOOSE(CONTROL!$C$22, $C$13, 100%, $E$13)</f>
        <v>13.4526</v>
      </c>
      <c r="I434" s="64">
        <f>13.4528 * CHOOSE(CONTROL!$C$22, $C$13, 100%, $E$13)</f>
        <v>13.4528</v>
      </c>
      <c r="J434" s="64">
        <f>7.691 * CHOOSE(CONTROL!$C$22, $C$13, 100%, $E$13)</f>
        <v>7.6909999999999998</v>
      </c>
      <c r="K434" s="64">
        <f>7.6911 * CHOOSE(CONTROL!$C$22, $C$13, 100%, $E$13)</f>
        <v>7.6910999999999996</v>
      </c>
    </row>
    <row r="435" spans="1:11" ht="15">
      <c r="A435" s="13">
        <v>54879</v>
      </c>
      <c r="B435" s="63">
        <f>6.6588 * CHOOSE(CONTROL!$C$22, $C$13, 100%, $E$13)</f>
        <v>6.6588000000000003</v>
      </c>
      <c r="C435" s="63">
        <f>6.6588 * CHOOSE(CONTROL!$C$22, $C$13, 100%, $E$13)</f>
        <v>6.6588000000000003</v>
      </c>
      <c r="D435" s="63">
        <f>6.671 * CHOOSE(CONTROL!$C$22, $C$13, 100%, $E$13)</f>
        <v>6.6710000000000003</v>
      </c>
      <c r="E435" s="64">
        <f>7.758 * CHOOSE(CONTROL!$C$22, $C$13, 100%, $E$13)</f>
        <v>7.758</v>
      </c>
      <c r="F435" s="64">
        <f>7.758 * CHOOSE(CONTROL!$C$22, $C$13, 100%, $E$13)</f>
        <v>7.758</v>
      </c>
      <c r="G435" s="64">
        <f>7.7582 * CHOOSE(CONTROL!$C$22, $C$13, 100%, $E$13)</f>
        <v>7.7582000000000004</v>
      </c>
      <c r="H435" s="64">
        <f>13.4807* CHOOSE(CONTROL!$C$22, $C$13, 100%, $E$13)</f>
        <v>13.480700000000001</v>
      </c>
      <c r="I435" s="64">
        <f>13.4808 * CHOOSE(CONTROL!$C$22, $C$13, 100%, $E$13)</f>
        <v>13.4808</v>
      </c>
      <c r="J435" s="64">
        <f>7.758 * CHOOSE(CONTROL!$C$22, $C$13, 100%, $E$13)</f>
        <v>7.758</v>
      </c>
      <c r="K435" s="64">
        <f>7.7582 * CHOOSE(CONTROL!$C$22, $C$13, 100%, $E$13)</f>
        <v>7.7582000000000004</v>
      </c>
    </row>
    <row r="436" spans="1:11" ht="15">
      <c r="A436" s="13">
        <v>54909</v>
      </c>
      <c r="B436" s="63">
        <f>6.6588 * CHOOSE(CONTROL!$C$22, $C$13, 100%, $E$13)</f>
        <v>6.6588000000000003</v>
      </c>
      <c r="C436" s="63">
        <f>6.6588 * CHOOSE(CONTROL!$C$22, $C$13, 100%, $E$13)</f>
        <v>6.6588000000000003</v>
      </c>
      <c r="D436" s="63">
        <f>6.6832 * CHOOSE(CONTROL!$C$22, $C$13, 100%, $E$13)</f>
        <v>6.6832000000000003</v>
      </c>
      <c r="E436" s="64">
        <f>7.7848 * CHOOSE(CONTROL!$C$22, $C$13, 100%, $E$13)</f>
        <v>7.7847999999999997</v>
      </c>
      <c r="F436" s="64">
        <f>7.7848 * CHOOSE(CONTROL!$C$22, $C$13, 100%, $E$13)</f>
        <v>7.7847999999999997</v>
      </c>
      <c r="G436" s="64">
        <f>7.7864 * CHOOSE(CONTROL!$C$22, $C$13, 100%, $E$13)</f>
        <v>7.7864000000000004</v>
      </c>
      <c r="H436" s="64">
        <f>13.5087* CHOOSE(CONTROL!$C$22, $C$13, 100%, $E$13)</f>
        <v>13.508699999999999</v>
      </c>
      <c r="I436" s="64">
        <f>13.5103 * CHOOSE(CONTROL!$C$22, $C$13, 100%, $E$13)</f>
        <v>13.510300000000001</v>
      </c>
      <c r="J436" s="64">
        <f>7.7848 * CHOOSE(CONTROL!$C$22, $C$13, 100%, $E$13)</f>
        <v>7.7847999999999997</v>
      </c>
      <c r="K436" s="64">
        <f>7.7864 * CHOOSE(CONTROL!$C$22, $C$13, 100%, $E$13)</f>
        <v>7.7864000000000004</v>
      </c>
    </row>
    <row r="437" spans="1:11" ht="15">
      <c r="A437" s="13">
        <v>54940</v>
      </c>
      <c r="B437" s="63">
        <f>6.6649 * CHOOSE(CONTROL!$C$22, $C$13, 100%, $E$13)</f>
        <v>6.6649000000000003</v>
      </c>
      <c r="C437" s="63">
        <f>6.6649 * CHOOSE(CONTROL!$C$22, $C$13, 100%, $E$13)</f>
        <v>6.6649000000000003</v>
      </c>
      <c r="D437" s="63">
        <f>6.6893 * CHOOSE(CONTROL!$C$22, $C$13, 100%, $E$13)</f>
        <v>6.6893000000000002</v>
      </c>
      <c r="E437" s="64">
        <f>7.7623 * CHOOSE(CONTROL!$C$22, $C$13, 100%, $E$13)</f>
        <v>7.7622999999999998</v>
      </c>
      <c r="F437" s="64">
        <f>7.7623 * CHOOSE(CONTROL!$C$22, $C$13, 100%, $E$13)</f>
        <v>7.7622999999999998</v>
      </c>
      <c r="G437" s="64">
        <f>7.7638 * CHOOSE(CONTROL!$C$22, $C$13, 100%, $E$13)</f>
        <v>7.7637999999999998</v>
      </c>
      <c r="H437" s="64">
        <f>13.5369* CHOOSE(CONTROL!$C$22, $C$13, 100%, $E$13)</f>
        <v>13.536899999999999</v>
      </c>
      <c r="I437" s="64">
        <f>13.5385 * CHOOSE(CONTROL!$C$22, $C$13, 100%, $E$13)</f>
        <v>13.538500000000001</v>
      </c>
      <c r="J437" s="64">
        <f>7.7623 * CHOOSE(CONTROL!$C$22, $C$13, 100%, $E$13)</f>
        <v>7.7622999999999998</v>
      </c>
      <c r="K437" s="64">
        <f>7.7638 * CHOOSE(CONTROL!$C$22, $C$13, 100%, $E$13)</f>
        <v>7.7637999999999998</v>
      </c>
    </row>
    <row r="438" spans="1:11" ht="15">
      <c r="A438" s="13">
        <v>54970</v>
      </c>
      <c r="B438" s="63">
        <f>6.7747 * CHOOSE(CONTROL!$C$22, $C$13, 100%, $E$13)</f>
        <v>6.7747000000000002</v>
      </c>
      <c r="C438" s="63">
        <f>6.7747 * CHOOSE(CONTROL!$C$22, $C$13, 100%, $E$13)</f>
        <v>6.7747000000000002</v>
      </c>
      <c r="D438" s="63">
        <f>6.7991 * CHOOSE(CONTROL!$C$22, $C$13, 100%, $E$13)</f>
        <v>6.7991000000000001</v>
      </c>
      <c r="E438" s="64">
        <f>7.9154 * CHOOSE(CONTROL!$C$22, $C$13, 100%, $E$13)</f>
        <v>7.9154</v>
      </c>
      <c r="F438" s="64">
        <f>7.9154 * CHOOSE(CONTROL!$C$22, $C$13, 100%, $E$13)</f>
        <v>7.9154</v>
      </c>
      <c r="G438" s="64">
        <f>7.9169 * CHOOSE(CONTROL!$C$22, $C$13, 100%, $E$13)</f>
        <v>7.9169</v>
      </c>
      <c r="H438" s="64">
        <f>13.5651* CHOOSE(CONTROL!$C$22, $C$13, 100%, $E$13)</f>
        <v>13.565099999999999</v>
      </c>
      <c r="I438" s="64">
        <f>13.5667 * CHOOSE(CONTROL!$C$22, $C$13, 100%, $E$13)</f>
        <v>13.566700000000001</v>
      </c>
      <c r="J438" s="64">
        <f>7.9154 * CHOOSE(CONTROL!$C$22, $C$13, 100%, $E$13)</f>
        <v>7.9154</v>
      </c>
      <c r="K438" s="64">
        <f>7.9169 * CHOOSE(CONTROL!$C$22, $C$13, 100%, $E$13)</f>
        <v>7.9169</v>
      </c>
    </row>
    <row r="439" spans="1:11" ht="15">
      <c r="A439" s="13">
        <v>55001</v>
      </c>
      <c r="B439" s="63">
        <f>6.7813 * CHOOSE(CONTROL!$C$22, $C$13, 100%, $E$13)</f>
        <v>6.7812999999999999</v>
      </c>
      <c r="C439" s="63">
        <f>6.7813 * CHOOSE(CONTROL!$C$22, $C$13, 100%, $E$13)</f>
        <v>6.7812999999999999</v>
      </c>
      <c r="D439" s="63">
        <f>6.8058 * CHOOSE(CONTROL!$C$22, $C$13, 100%, $E$13)</f>
        <v>6.8057999999999996</v>
      </c>
      <c r="E439" s="64">
        <f>7.8398 * CHOOSE(CONTROL!$C$22, $C$13, 100%, $E$13)</f>
        <v>7.8398000000000003</v>
      </c>
      <c r="F439" s="64">
        <f>7.8398 * CHOOSE(CONTROL!$C$22, $C$13, 100%, $E$13)</f>
        <v>7.8398000000000003</v>
      </c>
      <c r="G439" s="64">
        <f>7.8414 * CHOOSE(CONTROL!$C$22, $C$13, 100%, $E$13)</f>
        <v>7.8414000000000001</v>
      </c>
      <c r="H439" s="64">
        <f>13.5934* CHOOSE(CONTROL!$C$22, $C$13, 100%, $E$13)</f>
        <v>13.593400000000001</v>
      </c>
      <c r="I439" s="64">
        <f>13.5949 * CHOOSE(CONTROL!$C$22, $C$13, 100%, $E$13)</f>
        <v>13.594900000000001</v>
      </c>
      <c r="J439" s="64">
        <f>7.8398 * CHOOSE(CONTROL!$C$22, $C$13, 100%, $E$13)</f>
        <v>7.8398000000000003</v>
      </c>
      <c r="K439" s="64">
        <f>7.8414 * CHOOSE(CONTROL!$C$22, $C$13, 100%, $E$13)</f>
        <v>7.8414000000000001</v>
      </c>
    </row>
    <row r="440" spans="1:11" ht="15">
      <c r="A440" s="13">
        <v>55032</v>
      </c>
      <c r="B440" s="63">
        <f>6.7783 * CHOOSE(CONTROL!$C$22, $C$13, 100%, $E$13)</f>
        <v>6.7782999999999998</v>
      </c>
      <c r="C440" s="63">
        <f>6.7783 * CHOOSE(CONTROL!$C$22, $C$13, 100%, $E$13)</f>
        <v>6.7782999999999998</v>
      </c>
      <c r="D440" s="63">
        <f>6.8027 * CHOOSE(CONTROL!$C$22, $C$13, 100%, $E$13)</f>
        <v>6.8026999999999997</v>
      </c>
      <c r="E440" s="64">
        <f>7.8288 * CHOOSE(CONTROL!$C$22, $C$13, 100%, $E$13)</f>
        <v>7.8288000000000002</v>
      </c>
      <c r="F440" s="64">
        <f>7.8288 * CHOOSE(CONTROL!$C$22, $C$13, 100%, $E$13)</f>
        <v>7.8288000000000002</v>
      </c>
      <c r="G440" s="64">
        <f>7.8303 * CHOOSE(CONTROL!$C$22, $C$13, 100%, $E$13)</f>
        <v>7.8303000000000003</v>
      </c>
      <c r="H440" s="64">
        <f>13.6217* CHOOSE(CONTROL!$C$22, $C$13, 100%, $E$13)</f>
        <v>13.621700000000001</v>
      </c>
      <c r="I440" s="64">
        <f>13.6232 * CHOOSE(CONTROL!$C$22, $C$13, 100%, $E$13)</f>
        <v>13.623200000000001</v>
      </c>
      <c r="J440" s="64">
        <f>7.8288 * CHOOSE(CONTROL!$C$22, $C$13, 100%, $E$13)</f>
        <v>7.8288000000000002</v>
      </c>
      <c r="K440" s="64">
        <f>7.8303 * CHOOSE(CONTROL!$C$22, $C$13, 100%, $E$13)</f>
        <v>7.8303000000000003</v>
      </c>
    </row>
    <row r="441" spans="1:11" ht="15">
      <c r="A441" s="13">
        <v>55062</v>
      </c>
      <c r="B441" s="63">
        <f>6.7829 * CHOOSE(CONTROL!$C$22, $C$13, 100%, $E$13)</f>
        <v>6.7828999999999997</v>
      </c>
      <c r="C441" s="63">
        <f>6.7829 * CHOOSE(CONTROL!$C$22, $C$13, 100%, $E$13)</f>
        <v>6.7828999999999997</v>
      </c>
      <c r="D441" s="63">
        <f>6.7951 * CHOOSE(CONTROL!$C$22, $C$13, 100%, $E$13)</f>
        <v>6.7950999999999997</v>
      </c>
      <c r="E441" s="64">
        <f>7.851 * CHOOSE(CONTROL!$C$22, $C$13, 100%, $E$13)</f>
        <v>7.851</v>
      </c>
      <c r="F441" s="64">
        <f>7.851 * CHOOSE(CONTROL!$C$22, $C$13, 100%, $E$13)</f>
        <v>7.851</v>
      </c>
      <c r="G441" s="64">
        <f>7.8512 * CHOOSE(CONTROL!$C$22, $C$13, 100%, $E$13)</f>
        <v>7.8512000000000004</v>
      </c>
      <c r="H441" s="64">
        <f>13.6501* CHOOSE(CONTROL!$C$22, $C$13, 100%, $E$13)</f>
        <v>13.6501</v>
      </c>
      <c r="I441" s="64">
        <f>13.6502 * CHOOSE(CONTROL!$C$22, $C$13, 100%, $E$13)</f>
        <v>13.6502</v>
      </c>
      <c r="J441" s="64">
        <f>7.851 * CHOOSE(CONTROL!$C$22, $C$13, 100%, $E$13)</f>
        <v>7.851</v>
      </c>
      <c r="K441" s="64">
        <f>7.8512 * CHOOSE(CONTROL!$C$22, $C$13, 100%, $E$13)</f>
        <v>7.8512000000000004</v>
      </c>
    </row>
    <row r="442" spans="1:11" ht="15">
      <c r="A442" s="13">
        <v>55093</v>
      </c>
      <c r="B442" s="63">
        <f>6.7859 * CHOOSE(CONTROL!$C$22, $C$13, 100%, $E$13)</f>
        <v>6.7858999999999998</v>
      </c>
      <c r="C442" s="63">
        <f>6.7859 * CHOOSE(CONTROL!$C$22, $C$13, 100%, $E$13)</f>
        <v>6.7858999999999998</v>
      </c>
      <c r="D442" s="63">
        <f>6.7981 * CHOOSE(CONTROL!$C$22, $C$13, 100%, $E$13)</f>
        <v>6.7980999999999998</v>
      </c>
      <c r="E442" s="64">
        <f>7.8709 * CHOOSE(CONTROL!$C$22, $C$13, 100%, $E$13)</f>
        <v>7.8708999999999998</v>
      </c>
      <c r="F442" s="64">
        <f>7.8709 * CHOOSE(CONTROL!$C$22, $C$13, 100%, $E$13)</f>
        <v>7.8708999999999998</v>
      </c>
      <c r="G442" s="64">
        <f>7.8711 * CHOOSE(CONTROL!$C$22, $C$13, 100%, $E$13)</f>
        <v>7.8711000000000002</v>
      </c>
      <c r="H442" s="64">
        <f>13.6785* CHOOSE(CONTROL!$C$22, $C$13, 100%, $E$13)</f>
        <v>13.6785</v>
      </c>
      <c r="I442" s="64">
        <f>13.6787 * CHOOSE(CONTROL!$C$22, $C$13, 100%, $E$13)</f>
        <v>13.678699999999999</v>
      </c>
      <c r="J442" s="64">
        <f>7.8709 * CHOOSE(CONTROL!$C$22, $C$13, 100%, $E$13)</f>
        <v>7.8708999999999998</v>
      </c>
      <c r="K442" s="64">
        <f>7.8711 * CHOOSE(CONTROL!$C$22, $C$13, 100%, $E$13)</f>
        <v>7.8711000000000002</v>
      </c>
    </row>
    <row r="443" spans="1:11" ht="15">
      <c r="A443" s="13">
        <v>55123</v>
      </c>
      <c r="B443" s="63">
        <f>6.7859 * CHOOSE(CONTROL!$C$22, $C$13, 100%, $E$13)</f>
        <v>6.7858999999999998</v>
      </c>
      <c r="C443" s="63">
        <f>6.7859 * CHOOSE(CONTROL!$C$22, $C$13, 100%, $E$13)</f>
        <v>6.7858999999999998</v>
      </c>
      <c r="D443" s="63">
        <f>6.7981 * CHOOSE(CONTROL!$C$22, $C$13, 100%, $E$13)</f>
        <v>6.7980999999999998</v>
      </c>
      <c r="E443" s="64">
        <f>7.8264 * CHOOSE(CONTROL!$C$22, $C$13, 100%, $E$13)</f>
        <v>7.8263999999999996</v>
      </c>
      <c r="F443" s="64">
        <f>7.8264 * CHOOSE(CONTROL!$C$22, $C$13, 100%, $E$13)</f>
        <v>7.8263999999999996</v>
      </c>
      <c r="G443" s="64">
        <f>7.8265 * CHOOSE(CONTROL!$C$22, $C$13, 100%, $E$13)</f>
        <v>7.8265000000000002</v>
      </c>
      <c r="H443" s="64">
        <f>13.707* CHOOSE(CONTROL!$C$22, $C$13, 100%, $E$13)</f>
        <v>13.707000000000001</v>
      </c>
      <c r="I443" s="64">
        <f>13.7072 * CHOOSE(CONTROL!$C$22, $C$13, 100%, $E$13)</f>
        <v>13.7072</v>
      </c>
      <c r="J443" s="64">
        <f>7.8264 * CHOOSE(CONTROL!$C$22, $C$13, 100%, $E$13)</f>
        <v>7.8263999999999996</v>
      </c>
      <c r="K443" s="64">
        <f>7.8265 * CHOOSE(CONTROL!$C$22, $C$13, 100%, $E$13)</f>
        <v>7.8265000000000002</v>
      </c>
    </row>
    <row r="444" spans="1:11" ht="15">
      <c r="A444" s="13">
        <v>55154</v>
      </c>
      <c r="B444" s="63">
        <f>6.8467 * CHOOSE(CONTROL!$C$22, $C$13, 100%, $E$13)</f>
        <v>6.8467000000000002</v>
      </c>
      <c r="C444" s="63">
        <f>6.8467 * CHOOSE(CONTROL!$C$22, $C$13, 100%, $E$13)</f>
        <v>6.8467000000000002</v>
      </c>
      <c r="D444" s="63">
        <f>6.8589 * CHOOSE(CONTROL!$C$22, $C$13, 100%, $E$13)</f>
        <v>6.8589000000000002</v>
      </c>
      <c r="E444" s="64">
        <f>7.9289 * CHOOSE(CONTROL!$C$22, $C$13, 100%, $E$13)</f>
        <v>7.9288999999999996</v>
      </c>
      <c r="F444" s="64">
        <f>7.9289 * CHOOSE(CONTROL!$C$22, $C$13, 100%, $E$13)</f>
        <v>7.9288999999999996</v>
      </c>
      <c r="G444" s="64">
        <f>7.929 * CHOOSE(CONTROL!$C$22, $C$13, 100%, $E$13)</f>
        <v>7.9290000000000003</v>
      </c>
      <c r="H444" s="64">
        <f>13.7355* CHOOSE(CONTROL!$C$22, $C$13, 100%, $E$13)</f>
        <v>13.7355</v>
      </c>
      <c r="I444" s="64">
        <f>13.7357 * CHOOSE(CONTROL!$C$22, $C$13, 100%, $E$13)</f>
        <v>13.7357</v>
      </c>
      <c r="J444" s="64">
        <f>7.9289 * CHOOSE(CONTROL!$C$22, $C$13, 100%, $E$13)</f>
        <v>7.9288999999999996</v>
      </c>
      <c r="K444" s="64">
        <f>7.929 * CHOOSE(CONTROL!$C$22, $C$13, 100%, $E$13)</f>
        <v>7.9290000000000003</v>
      </c>
    </row>
    <row r="445" spans="1:11" ht="15">
      <c r="A445" s="13">
        <v>55185</v>
      </c>
      <c r="B445" s="63">
        <f>6.8437 * CHOOSE(CONTROL!$C$22, $C$13, 100%, $E$13)</f>
        <v>6.8437000000000001</v>
      </c>
      <c r="C445" s="63">
        <f>6.8437 * CHOOSE(CONTROL!$C$22, $C$13, 100%, $E$13)</f>
        <v>6.8437000000000001</v>
      </c>
      <c r="D445" s="63">
        <f>6.8559 * CHOOSE(CONTROL!$C$22, $C$13, 100%, $E$13)</f>
        <v>6.8559000000000001</v>
      </c>
      <c r="E445" s="64">
        <f>7.8401 * CHOOSE(CONTROL!$C$22, $C$13, 100%, $E$13)</f>
        <v>7.8400999999999996</v>
      </c>
      <c r="F445" s="64">
        <f>7.8401 * CHOOSE(CONTROL!$C$22, $C$13, 100%, $E$13)</f>
        <v>7.8400999999999996</v>
      </c>
      <c r="G445" s="64">
        <f>7.8403 * CHOOSE(CONTROL!$C$22, $C$13, 100%, $E$13)</f>
        <v>7.8403</v>
      </c>
      <c r="H445" s="64">
        <f>13.7642* CHOOSE(CONTROL!$C$22, $C$13, 100%, $E$13)</f>
        <v>13.764200000000001</v>
      </c>
      <c r="I445" s="64">
        <f>13.7643 * CHOOSE(CONTROL!$C$22, $C$13, 100%, $E$13)</f>
        <v>13.7643</v>
      </c>
      <c r="J445" s="64">
        <f>7.8401 * CHOOSE(CONTROL!$C$22, $C$13, 100%, $E$13)</f>
        <v>7.8400999999999996</v>
      </c>
      <c r="K445" s="64">
        <f>7.8403 * CHOOSE(CONTROL!$C$22, $C$13, 100%, $E$13)</f>
        <v>7.8403</v>
      </c>
    </row>
    <row r="446" spans="1:11" ht="15">
      <c r="A446" s="13">
        <v>55213</v>
      </c>
      <c r="B446" s="63">
        <f>6.8406 * CHOOSE(CONTROL!$C$22, $C$13, 100%, $E$13)</f>
        <v>6.8406000000000002</v>
      </c>
      <c r="C446" s="63">
        <f>6.8406 * CHOOSE(CONTROL!$C$22, $C$13, 100%, $E$13)</f>
        <v>6.8406000000000002</v>
      </c>
      <c r="D446" s="63">
        <f>6.8528 * CHOOSE(CONTROL!$C$22, $C$13, 100%, $E$13)</f>
        <v>6.8528000000000002</v>
      </c>
      <c r="E446" s="64">
        <f>7.9063 * CHOOSE(CONTROL!$C$22, $C$13, 100%, $E$13)</f>
        <v>7.9062999999999999</v>
      </c>
      <c r="F446" s="64">
        <f>7.9063 * CHOOSE(CONTROL!$C$22, $C$13, 100%, $E$13)</f>
        <v>7.9062999999999999</v>
      </c>
      <c r="G446" s="64">
        <f>7.9065 * CHOOSE(CONTROL!$C$22, $C$13, 100%, $E$13)</f>
        <v>7.9065000000000003</v>
      </c>
      <c r="H446" s="64">
        <f>13.7928* CHOOSE(CONTROL!$C$22, $C$13, 100%, $E$13)</f>
        <v>13.7928</v>
      </c>
      <c r="I446" s="64">
        <f>13.793 * CHOOSE(CONTROL!$C$22, $C$13, 100%, $E$13)</f>
        <v>13.792999999999999</v>
      </c>
      <c r="J446" s="64">
        <f>7.9063 * CHOOSE(CONTROL!$C$22, $C$13, 100%, $E$13)</f>
        <v>7.9062999999999999</v>
      </c>
      <c r="K446" s="64">
        <f>7.9065 * CHOOSE(CONTROL!$C$22, $C$13, 100%, $E$13)</f>
        <v>7.9065000000000003</v>
      </c>
    </row>
    <row r="447" spans="1:11" ht="15">
      <c r="A447" s="13">
        <v>55244</v>
      </c>
      <c r="B447" s="63">
        <f>6.8408 * CHOOSE(CONTROL!$C$22, $C$13, 100%, $E$13)</f>
        <v>6.8407999999999998</v>
      </c>
      <c r="C447" s="63">
        <f>6.8408 * CHOOSE(CONTROL!$C$22, $C$13, 100%, $E$13)</f>
        <v>6.8407999999999998</v>
      </c>
      <c r="D447" s="63">
        <f>6.853 * CHOOSE(CONTROL!$C$22, $C$13, 100%, $E$13)</f>
        <v>6.8529999999999998</v>
      </c>
      <c r="E447" s="64">
        <f>7.9754 * CHOOSE(CONTROL!$C$22, $C$13, 100%, $E$13)</f>
        <v>7.9753999999999996</v>
      </c>
      <c r="F447" s="64">
        <f>7.9754 * CHOOSE(CONTROL!$C$22, $C$13, 100%, $E$13)</f>
        <v>7.9753999999999996</v>
      </c>
      <c r="G447" s="64">
        <f>7.9756 * CHOOSE(CONTROL!$C$22, $C$13, 100%, $E$13)</f>
        <v>7.9756</v>
      </c>
      <c r="H447" s="64">
        <f>13.8216* CHOOSE(CONTROL!$C$22, $C$13, 100%, $E$13)</f>
        <v>13.8216</v>
      </c>
      <c r="I447" s="64">
        <f>13.8217 * CHOOSE(CONTROL!$C$22, $C$13, 100%, $E$13)</f>
        <v>13.8217</v>
      </c>
      <c r="J447" s="64">
        <f>7.9754 * CHOOSE(CONTROL!$C$22, $C$13, 100%, $E$13)</f>
        <v>7.9753999999999996</v>
      </c>
      <c r="K447" s="64">
        <f>7.9756 * CHOOSE(CONTROL!$C$22, $C$13, 100%, $E$13)</f>
        <v>7.9756</v>
      </c>
    </row>
    <row r="448" spans="1:11" ht="15">
      <c r="A448" s="13">
        <v>55274</v>
      </c>
      <c r="B448" s="63">
        <f>6.8408 * CHOOSE(CONTROL!$C$22, $C$13, 100%, $E$13)</f>
        <v>6.8407999999999998</v>
      </c>
      <c r="C448" s="63">
        <f>6.8408 * CHOOSE(CONTROL!$C$22, $C$13, 100%, $E$13)</f>
        <v>6.8407999999999998</v>
      </c>
      <c r="D448" s="63">
        <f>6.8652 * CHOOSE(CONTROL!$C$22, $C$13, 100%, $E$13)</f>
        <v>6.8651999999999997</v>
      </c>
      <c r="E448" s="64">
        <f>8.0029 * CHOOSE(CONTROL!$C$22, $C$13, 100%, $E$13)</f>
        <v>8.0029000000000003</v>
      </c>
      <c r="F448" s="64">
        <f>8.0029 * CHOOSE(CONTROL!$C$22, $C$13, 100%, $E$13)</f>
        <v>8.0029000000000003</v>
      </c>
      <c r="G448" s="64">
        <f>8.0044 * CHOOSE(CONTROL!$C$22, $C$13, 100%, $E$13)</f>
        <v>8.0044000000000004</v>
      </c>
      <c r="H448" s="64">
        <f>13.8504* CHOOSE(CONTROL!$C$22, $C$13, 100%, $E$13)</f>
        <v>13.8504</v>
      </c>
      <c r="I448" s="64">
        <f>13.8519 * CHOOSE(CONTROL!$C$22, $C$13, 100%, $E$13)</f>
        <v>13.851900000000001</v>
      </c>
      <c r="J448" s="64">
        <f>8.0029 * CHOOSE(CONTROL!$C$22, $C$13, 100%, $E$13)</f>
        <v>8.0029000000000003</v>
      </c>
      <c r="K448" s="64">
        <f>8.0044 * CHOOSE(CONTROL!$C$22, $C$13, 100%, $E$13)</f>
        <v>8.0044000000000004</v>
      </c>
    </row>
    <row r="449" spans="1:11" ht="15">
      <c r="A449" s="13">
        <v>55305</v>
      </c>
      <c r="B449" s="63">
        <f>6.8469 * CHOOSE(CONTROL!$C$22, $C$13, 100%, $E$13)</f>
        <v>6.8468999999999998</v>
      </c>
      <c r="C449" s="63">
        <f>6.8469 * CHOOSE(CONTROL!$C$22, $C$13, 100%, $E$13)</f>
        <v>6.8468999999999998</v>
      </c>
      <c r="D449" s="63">
        <f>6.8713 * CHOOSE(CONTROL!$C$22, $C$13, 100%, $E$13)</f>
        <v>6.8712999999999997</v>
      </c>
      <c r="E449" s="64">
        <f>7.9796 * CHOOSE(CONTROL!$C$22, $C$13, 100%, $E$13)</f>
        <v>7.9795999999999996</v>
      </c>
      <c r="F449" s="64">
        <f>7.9796 * CHOOSE(CONTROL!$C$22, $C$13, 100%, $E$13)</f>
        <v>7.9795999999999996</v>
      </c>
      <c r="G449" s="64">
        <f>7.9812 * CHOOSE(CONTROL!$C$22, $C$13, 100%, $E$13)</f>
        <v>7.9812000000000003</v>
      </c>
      <c r="H449" s="64">
        <f>13.8792* CHOOSE(CONTROL!$C$22, $C$13, 100%, $E$13)</f>
        <v>13.879200000000001</v>
      </c>
      <c r="I449" s="64">
        <f>13.8808 * CHOOSE(CONTROL!$C$22, $C$13, 100%, $E$13)</f>
        <v>13.880800000000001</v>
      </c>
      <c r="J449" s="64">
        <f>7.9796 * CHOOSE(CONTROL!$C$22, $C$13, 100%, $E$13)</f>
        <v>7.9795999999999996</v>
      </c>
      <c r="K449" s="64">
        <f>7.9812 * CHOOSE(CONTROL!$C$22, $C$13, 100%, $E$13)</f>
        <v>7.9812000000000003</v>
      </c>
    </row>
    <row r="450" spans="1:11" ht="15">
      <c r="A450" s="13">
        <v>55335</v>
      </c>
      <c r="B450" s="63">
        <f>6.9594 * CHOOSE(CONTROL!$C$22, $C$13, 100%, $E$13)</f>
        <v>6.9593999999999996</v>
      </c>
      <c r="C450" s="63">
        <f>6.9594 * CHOOSE(CONTROL!$C$22, $C$13, 100%, $E$13)</f>
        <v>6.9593999999999996</v>
      </c>
      <c r="D450" s="63">
        <f>6.9838 * CHOOSE(CONTROL!$C$22, $C$13, 100%, $E$13)</f>
        <v>6.9837999999999996</v>
      </c>
      <c r="E450" s="64">
        <f>8.1367 * CHOOSE(CONTROL!$C$22, $C$13, 100%, $E$13)</f>
        <v>8.1366999999999994</v>
      </c>
      <c r="F450" s="64">
        <f>8.1367 * CHOOSE(CONTROL!$C$22, $C$13, 100%, $E$13)</f>
        <v>8.1366999999999994</v>
      </c>
      <c r="G450" s="64">
        <f>8.1383 * CHOOSE(CONTROL!$C$22, $C$13, 100%, $E$13)</f>
        <v>8.1382999999999992</v>
      </c>
      <c r="H450" s="64">
        <f>13.9081* CHOOSE(CONTROL!$C$22, $C$13, 100%, $E$13)</f>
        <v>13.908099999999999</v>
      </c>
      <c r="I450" s="64">
        <f>13.9097 * CHOOSE(CONTROL!$C$22, $C$13, 100%, $E$13)</f>
        <v>13.909700000000001</v>
      </c>
      <c r="J450" s="64">
        <f>8.1367 * CHOOSE(CONTROL!$C$22, $C$13, 100%, $E$13)</f>
        <v>8.1366999999999994</v>
      </c>
      <c r="K450" s="64">
        <f>8.1383 * CHOOSE(CONTROL!$C$22, $C$13, 100%, $E$13)</f>
        <v>8.1382999999999992</v>
      </c>
    </row>
    <row r="451" spans="1:11" ht="15">
      <c r="A451" s="13">
        <v>55366</v>
      </c>
      <c r="B451" s="63">
        <f>6.9661 * CHOOSE(CONTROL!$C$22, $C$13, 100%, $E$13)</f>
        <v>6.9661</v>
      </c>
      <c r="C451" s="63">
        <f>6.9661 * CHOOSE(CONTROL!$C$22, $C$13, 100%, $E$13)</f>
        <v>6.9661</v>
      </c>
      <c r="D451" s="63">
        <f>6.9905 * CHOOSE(CONTROL!$C$22, $C$13, 100%, $E$13)</f>
        <v>6.9904999999999999</v>
      </c>
      <c r="E451" s="64">
        <f>8.0589 * CHOOSE(CONTROL!$C$22, $C$13, 100%, $E$13)</f>
        <v>8.0588999999999995</v>
      </c>
      <c r="F451" s="64">
        <f>8.0589 * CHOOSE(CONTROL!$C$22, $C$13, 100%, $E$13)</f>
        <v>8.0588999999999995</v>
      </c>
      <c r="G451" s="64">
        <f>8.0605 * CHOOSE(CONTROL!$C$22, $C$13, 100%, $E$13)</f>
        <v>8.0604999999999993</v>
      </c>
      <c r="H451" s="64">
        <f>13.9371* CHOOSE(CONTROL!$C$22, $C$13, 100%, $E$13)</f>
        <v>13.937099999999999</v>
      </c>
      <c r="I451" s="64">
        <f>13.9387 * CHOOSE(CONTROL!$C$22, $C$13, 100%, $E$13)</f>
        <v>13.938700000000001</v>
      </c>
      <c r="J451" s="64">
        <f>8.0589 * CHOOSE(CONTROL!$C$22, $C$13, 100%, $E$13)</f>
        <v>8.0588999999999995</v>
      </c>
      <c r="K451" s="64">
        <f>8.0605 * CHOOSE(CONTROL!$C$22, $C$13, 100%, $E$13)</f>
        <v>8.0604999999999993</v>
      </c>
    </row>
    <row r="452" spans="1:11" ht="15">
      <c r="A452" s="13">
        <v>55397</v>
      </c>
      <c r="B452" s="63">
        <f>6.963 * CHOOSE(CONTROL!$C$22, $C$13, 100%, $E$13)</f>
        <v>6.9630000000000001</v>
      </c>
      <c r="C452" s="63">
        <f>6.963 * CHOOSE(CONTROL!$C$22, $C$13, 100%, $E$13)</f>
        <v>6.9630000000000001</v>
      </c>
      <c r="D452" s="63">
        <f>6.9874 * CHOOSE(CONTROL!$C$22, $C$13, 100%, $E$13)</f>
        <v>6.9874000000000001</v>
      </c>
      <c r="E452" s="64">
        <f>8.0476 * CHOOSE(CONTROL!$C$22, $C$13, 100%, $E$13)</f>
        <v>8.0475999999999992</v>
      </c>
      <c r="F452" s="64">
        <f>8.0476 * CHOOSE(CONTROL!$C$22, $C$13, 100%, $E$13)</f>
        <v>8.0475999999999992</v>
      </c>
      <c r="G452" s="64">
        <f>8.0492 * CHOOSE(CONTROL!$C$22, $C$13, 100%, $E$13)</f>
        <v>8.0492000000000008</v>
      </c>
      <c r="H452" s="64">
        <f>13.9661* CHOOSE(CONTROL!$C$22, $C$13, 100%, $E$13)</f>
        <v>13.966100000000001</v>
      </c>
      <c r="I452" s="64">
        <f>13.9677 * CHOOSE(CONTROL!$C$22, $C$13, 100%, $E$13)</f>
        <v>13.967700000000001</v>
      </c>
      <c r="J452" s="64">
        <f>8.0476 * CHOOSE(CONTROL!$C$22, $C$13, 100%, $E$13)</f>
        <v>8.0475999999999992</v>
      </c>
      <c r="K452" s="64">
        <f>8.0492 * CHOOSE(CONTROL!$C$22, $C$13, 100%, $E$13)</f>
        <v>8.0492000000000008</v>
      </c>
    </row>
    <row r="453" spans="1:11" ht="15">
      <c r="A453" s="13">
        <v>55427</v>
      </c>
      <c r="B453" s="63">
        <f>6.9682 * CHOOSE(CONTROL!$C$22, $C$13, 100%, $E$13)</f>
        <v>6.9682000000000004</v>
      </c>
      <c r="C453" s="63">
        <f>6.9682 * CHOOSE(CONTROL!$C$22, $C$13, 100%, $E$13)</f>
        <v>6.9682000000000004</v>
      </c>
      <c r="D453" s="63">
        <f>6.9804 * CHOOSE(CONTROL!$C$22, $C$13, 100%, $E$13)</f>
        <v>6.9804000000000004</v>
      </c>
      <c r="E453" s="64">
        <f>8.0709 * CHOOSE(CONTROL!$C$22, $C$13, 100%, $E$13)</f>
        <v>8.0709</v>
      </c>
      <c r="F453" s="64">
        <f>8.0709 * CHOOSE(CONTROL!$C$22, $C$13, 100%, $E$13)</f>
        <v>8.0709</v>
      </c>
      <c r="G453" s="64">
        <f>8.071 * CHOOSE(CONTROL!$C$22, $C$13, 100%, $E$13)</f>
        <v>8.0709999999999997</v>
      </c>
      <c r="H453" s="64">
        <f>13.9952* CHOOSE(CONTROL!$C$22, $C$13, 100%, $E$13)</f>
        <v>13.995200000000001</v>
      </c>
      <c r="I453" s="64">
        <f>13.9954 * CHOOSE(CONTROL!$C$22, $C$13, 100%, $E$13)</f>
        <v>13.9954</v>
      </c>
      <c r="J453" s="64">
        <f>8.0709 * CHOOSE(CONTROL!$C$22, $C$13, 100%, $E$13)</f>
        <v>8.0709</v>
      </c>
      <c r="K453" s="64">
        <f>8.071 * CHOOSE(CONTROL!$C$22, $C$13, 100%, $E$13)</f>
        <v>8.0709999999999997</v>
      </c>
    </row>
    <row r="454" spans="1:11" ht="15">
      <c r="A454" s="13">
        <v>55458</v>
      </c>
      <c r="B454" s="63">
        <f>6.9712 * CHOOSE(CONTROL!$C$22, $C$13, 100%, $E$13)</f>
        <v>6.9711999999999996</v>
      </c>
      <c r="C454" s="63">
        <f>6.9712 * CHOOSE(CONTROL!$C$22, $C$13, 100%, $E$13)</f>
        <v>6.9711999999999996</v>
      </c>
      <c r="D454" s="63">
        <f>6.9834 * CHOOSE(CONTROL!$C$22, $C$13, 100%, $E$13)</f>
        <v>6.9833999999999996</v>
      </c>
      <c r="E454" s="64">
        <f>8.0913 * CHOOSE(CONTROL!$C$22, $C$13, 100%, $E$13)</f>
        <v>8.0913000000000004</v>
      </c>
      <c r="F454" s="64">
        <f>8.0913 * CHOOSE(CONTROL!$C$22, $C$13, 100%, $E$13)</f>
        <v>8.0913000000000004</v>
      </c>
      <c r="G454" s="64">
        <f>8.0915 * CHOOSE(CONTROL!$C$22, $C$13, 100%, $E$13)</f>
        <v>8.0914999999999999</v>
      </c>
      <c r="H454" s="64">
        <f>14.0244* CHOOSE(CONTROL!$C$22, $C$13, 100%, $E$13)</f>
        <v>14.0244</v>
      </c>
      <c r="I454" s="64">
        <f>14.0246 * CHOOSE(CONTROL!$C$22, $C$13, 100%, $E$13)</f>
        <v>14.0246</v>
      </c>
      <c r="J454" s="64">
        <f>8.0913 * CHOOSE(CONTROL!$C$22, $C$13, 100%, $E$13)</f>
        <v>8.0913000000000004</v>
      </c>
      <c r="K454" s="64">
        <f>8.0915 * CHOOSE(CONTROL!$C$22, $C$13, 100%, $E$13)</f>
        <v>8.0914999999999999</v>
      </c>
    </row>
    <row r="455" spans="1:11" ht="15">
      <c r="A455" s="13">
        <v>55488</v>
      </c>
      <c r="B455" s="63">
        <f>6.9712 * CHOOSE(CONTROL!$C$22, $C$13, 100%, $E$13)</f>
        <v>6.9711999999999996</v>
      </c>
      <c r="C455" s="63">
        <f>6.9712 * CHOOSE(CONTROL!$C$22, $C$13, 100%, $E$13)</f>
        <v>6.9711999999999996</v>
      </c>
      <c r="D455" s="63">
        <f>6.9834 * CHOOSE(CONTROL!$C$22, $C$13, 100%, $E$13)</f>
        <v>6.9833999999999996</v>
      </c>
      <c r="E455" s="64">
        <f>8.0455 * CHOOSE(CONTROL!$C$22, $C$13, 100%, $E$13)</f>
        <v>8.0455000000000005</v>
      </c>
      <c r="F455" s="64">
        <f>8.0455 * CHOOSE(CONTROL!$C$22, $C$13, 100%, $E$13)</f>
        <v>8.0455000000000005</v>
      </c>
      <c r="G455" s="64">
        <f>8.0456 * CHOOSE(CONTROL!$C$22, $C$13, 100%, $E$13)</f>
        <v>8.0456000000000003</v>
      </c>
      <c r="H455" s="64">
        <f>14.0536* CHOOSE(CONTROL!$C$22, $C$13, 100%, $E$13)</f>
        <v>14.053599999999999</v>
      </c>
      <c r="I455" s="64">
        <f>14.0538 * CHOOSE(CONTROL!$C$22, $C$13, 100%, $E$13)</f>
        <v>14.053800000000001</v>
      </c>
      <c r="J455" s="64">
        <f>8.0455 * CHOOSE(CONTROL!$C$22, $C$13, 100%, $E$13)</f>
        <v>8.0455000000000005</v>
      </c>
      <c r="K455" s="64">
        <f>8.0456 * CHOOSE(CONTROL!$C$22, $C$13, 100%, $E$13)</f>
        <v>8.0456000000000003</v>
      </c>
    </row>
    <row r="456" spans="1:11" ht="15">
      <c r="A456" s="13">
        <v>55519</v>
      </c>
      <c r="B456" s="63">
        <f>7.0336 * CHOOSE(CONTROL!$C$22, $C$13, 100%, $E$13)</f>
        <v>7.0335999999999999</v>
      </c>
      <c r="C456" s="63">
        <f>7.0336 * CHOOSE(CONTROL!$C$22, $C$13, 100%, $E$13)</f>
        <v>7.0335999999999999</v>
      </c>
      <c r="D456" s="63">
        <f>7.0458 * CHOOSE(CONTROL!$C$22, $C$13, 100%, $E$13)</f>
        <v>7.0457999999999998</v>
      </c>
      <c r="E456" s="64">
        <f>8.1507 * CHOOSE(CONTROL!$C$22, $C$13, 100%, $E$13)</f>
        <v>8.1507000000000005</v>
      </c>
      <c r="F456" s="64">
        <f>8.1507 * CHOOSE(CONTROL!$C$22, $C$13, 100%, $E$13)</f>
        <v>8.1507000000000005</v>
      </c>
      <c r="G456" s="64">
        <f>8.1509 * CHOOSE(CONTROL!$C$22, $C$13, 100%, $E$13)</f>
        <v>8.1509</v>
      </c>
      <c r="H456" s="64">
        <f>14.0829* CHOOSE(CONTROL!$C$22, $C$13, 100%, $E$13)</f>
        <v>14.0829</v>
      </c>
      <c r="I456" s="64">
        <f>14.0831 * CHOOSE(CONTROL!$C$22, $C$13, 100%, $E$13)</f>
        <v>14.0831</v>
      </c>
      <c r="J456" s="64">
        <f>8.1507 * CHOOSE(CONTROL!$C$22, $C$13, 100%, $E$13)</f>
        <v>8.1507000000000005</v>
      </c>
      <c r="K456" s="64">
        <f>8.1509 * CHOOSE(CONTROL!$C$22, $C$13, 100%, $E$13)</f>
        <v>8.1509</v>
      </c>
    </row>
    <row r="457" spans="1:11" ht="15">
      <c r="A457" s="13">
        <v>55550</v>
      </c>
      <c r="B457" s="63">
        <f>7.0305 * CHOOSE(CONTROL!$C$22, $C$13, 100%, $E$13)</f>
        <v>7.0305</v>
      </c>
      <c r="C457" s="63">
        <f>7.0305 * CHOOSE(CONTROL!$C$22, $C$13, 100%, $E$13)</f>
        <v>7.0305</v>
      </c>
      <c r="D457" s="63">
        <f>7.0427 * CHOOSE(CONTROL!$C$22, $C$13, 100%, $E$13)</f>
        <v>7.0427</v>
      </c>
      <c r="E457" s="64">
        <f>8.0596 * CHOOSE(CONTROL!$C$22, $C$13, 100%, $E$13)</f>
        <v>8.0595999999999997</v>
      </c>
      <c r="F457" s="64">
        <f>8.0596 * CHOOSE(CONTROL!$C$22, $C$13, 100%, $E$13)</f>
        <v>8.0595999999999997</v>
      </c>
      <c r="G457" s="64">
        <f>8.0598 * CHOOSE(CONTROL!$C$22, $C$13, 100%, $E$13)</f>
        <v>8.0597999999999992</v>
      </c>
      <c r="H457" s="64">
        <f>14.1122* CHOOSE(CONTROL!$C$22, $C$13, 100%, $E$13)</f>
        <v>14.1122</v>
      </c>
      <c r="I457" s="64">
        <f>14.1124 * CHOOSE(CONTROL!$C$22, $C$13, 100%, $E$13)</f>
        <v>14.112399999999999</v>
      </c>
      <c r="J457" s="64">
        <f>8.0596 * CHOOSE(CONTROL!$C$22, $C$13, 100%, $E$13)</f>
        <v>8.0595999999999997</v>
      </c>
      <c r="K457" s="64">
        <f>8.0598 * CHOOSE(CONTROL!$C$22, $C$13, 100%, $E$13)</f>
        <v>8.0597999999999992</v>
      </c>
    </row>
    <row r="458" spans="1:11" ht="15">
      <c r="A458" s="13">
        <v>55579</v>
      </c>
      <c r="B458" s="63">
        <f>7.0275 * CHOOSE(CONTROL!$C$22, $C$13, 100%, $E$13)</f>
        <v>7.0274999999999999</v>
      </c>
      <c r="C458" s="63">
        <f>7.0275 * CHOOSE(CONTROL!$C$22, $C$13, 100%, $E$13)</f>
        <v>7.0274999999999999</v>
      </c>
      <c r="D458" s="63">
        <f>7.0397 * CHOOSE(CONTROL!$C$22, $C$13, 100%, $E$13)</f>
        <v>7.0396999999999998</v>
      </c>
      <c r="E458" s="64">
        <f>8.1277 * CHOOSE(CONTROL!$C$22, $C$13, 100%, $E$13)</f>
        <v>8.1277000000000008</v>
      </c>
      <c r="F458" s="64">
        <f>8.1277 * CHOOSE(CONTROL!$C$22, $C$13, 100%, $E$13)</f>
        <v>8.1277000000000008</v>
      </c>
      <c r="G458" s="64">
        <f>8.1278 * CHOOSE(CONTROL!$C$22, $C$13, 100%, $E$13)</f>
        <v>8.1278000000000006</v>
      </c>
      <c r="H458" s="64">
        <f>14.1416* CHOOSE(CONTROL!$C$22, $C$13, 100%, $E$13)</f>
        <v>14.1416</v>
      </c>
      <c r="I458" s="64">
        <f>14.1418 * CHOOSE(CONTROL!$C$22, $C$13, 100%, $E$13)</f>
        <v>14.1418</v>
      </c>
      <c r="J458" s="64">
        <f>8.1277 * CHOOSE(CONTROL!$C$22, $C$13, 100%, $E$13)</f>
        <v>8.1277000000000008</v>
      </c>
      <c r="K458" s="64">
        <f>8.1278 * CHOOSE(CONTROL!$C$22, $C$13, 100%, $E$13)</f>
        <v>8.1278000000000006</v>
      </c>
    </row>
    <row r="459" spans="1:11" ht="15">
      <c r="A459" s="13">
        <v>55610</v>
      </c>
      <c r="B459" s="63">
        <f>7.0278 * CHOOSE(CONTROL!$C$22, $C$13, 100%, $E$13)</f>
        <v>7.0278</v>
      </c>
      <c r="C459" s="63">
        <f>7.0278 * CHOOSE(CONTROL!$C$22, $C$13, 100%, $E$13)</f>
        <v>7.0278</v>
      </c>
      <c r="D459" s="63">
        <f>7.04 * CHOOSE(CONTROL!$C$22, $C$13, 100%, $E$13)</f>
        <v>7.04</v>
      </c>
      <c r="E459" s="64">
        <f>8.1988 * CHOOSE(CONTROL!$C$22, $C$13, 100%, $E$13)</f>
        <v>8.1988000000000003</v>
      </c>
      <c r="F459" s="64">
        <f>8.1988 * CHOOSE(CONTROL!$C$22, $C$13, 100%, $E$13)</f>
        <v>8.1988000000000003</v>
      </c>
      <c r="G459" s="64">
        <f>8.199 * CHOOSE(CONTROL!$C$22, $C$13, 100%, $E$13)</f>
        <v>8.1989999999999998</v>
      </c>
      <c r="H459" s="64">
        <f>14.1711* CHOOSE(CONTROL!$C$22, $C$13, 100%, $E$13)</f>
        <v>14.171099999999999</v>
      </c>
      <c r="I459" s="64">
        <f>14.1713 * CHOOSE(CONTROL!$C$22, $C$13, 100%, $E$13)</f>
        <v>14.1713</v>
      </c>
      <c r="J459" s="64">
        <f>8.1988 * CHOOSE(CONTROL!$C$22, $C$13, 100%, $E$13)</f>
        <v>8.1988000000000003</v>
      </c>
      <c r="K459" s="64">
        <f>8.199 * CHOOSE(CONTROL!$C$22, $C$13, 100%, $E$13)</f>
        <v>8.1989999999999998</v>
      </c>
    </row>
    <row r="460" spans="1:11" ht="15">
      <c r="A460" s="13">
        <v>55640</v>
      </c>
      <c r="B460" s="63">
        <f>7.0278 * CHOOSE(CONTROL!$C$22, $C$13, 100%, $E$13)</f>
        <v>7.0278</v>
      </c>
      <c r="C460" s="63">
        <f>7.0278 * CHOOSE(CONTROL!$C$22, $C$13, 100%, $E$13)</f>
        <v>7.0278</v>
      </c>
      <c r="D460" s="63">
        <f>7.0522 * CHOOSE(CONTROL!$C$22, $C$13, 100%, $E$13)</f>
        <v>7.0522</v>
      </c>
      <c r="E460" s="64">
        <f>8.2271 * CHOOSE(CONTROL!$C$22, $C$13, 100%, $E$13)</f>
        <v>8.2271000000000001</v>
      </c>
      <c r="F460" s="64">
        <f>8.2271 * CHOOSE(CONTROL!$C$22, $C$13, 100%, $E$13)</f>
        <v>8.2271000000000001</v>
      </c>
      <c r="G460" s="64">
        <f>8.2286 * CHOOSE(CONTROL!$C$22, $C$13, 100%, $E$13)</f>
        <v>8.2286000000000001</v>
      </c>
      <c r="H460" s="64">
        <f>14.2006* CHOOSE(CONTROL!$C$22, $C$13, 100%, $E$13)</f>
        <v>14.2006</v>
      </c>
      <c r="I460" s="64">
        <f>14.2022 * CHOOSE(CONTROL!$C$22, $C$13, 100%, $E$13)</f>
        <v>14.202199999999999</v>
      </c>
      <c r="J460" s="64">
        <f>8.2271 * CHOOSE(CONTROL!$C$22, $C$13, 100%, $E$13)</f>
        <v>8.2271000000000001</v>
      </c>
      <c r="K460" s="64">
        <f>8.2286 * CHOOSE(CONTROL!$C$22, $C$13, 100%, $E$13)</f>
        <v>8.2286000000000001</v>
      </c>
    </row>
    <row r="461" spans="1:11" ht="15">
      <c r="A461" s="13">
        <v>55671</v>
      </c>
      <c r="B461" s="63">
        <f>7.0339 * CHOOSE(CONTROL!$C$22, $C$13, 100%, $E$13)</f>
        <v>7.0339</v>
      </c>
      <c r="C461" s="63">
        <f>7.0339 * CHOOSE(CONTROL!$C$22, $C$13, 100%, $E$13)</f>
        <v>7.0339</v>
      </c>
      <c r="D461" s="63">
        <f>7.0583 * CHOOSE(CONTROL!$C$22, $C$13, 100%, $E$13)</f>
        <v>7.0583</v>
      </c>
      <c r="E461" s="64">
        <f>8.203 * CHOOSE(CONTROL!$C$22, $C$13, 100%, $E$13)</f>
        <v>8.2029999999999994</v>
      </c>
      <c r="F461" s="64">
        <f>8.203 * CHOOSE(CONTROL!$C$22, $C$13, 100%, $E$13)</f>
        <v>8.2029999999999994</v>
      </c>
      <c r="G461" s="64">
        <f>8.2046 * CHOOSE(CONTROL!$C$22, $C$13, 100%, $E$13)</f>
        <v>8.2045999999999992</v>
      </c>
      <c r="H461" s="64">
        <f>14.2302* CHOOSE(CONTROL!$C$22, $C$13, 100%, $E$13)</f>
        <v>14.2302</v>
      </c>
      <c r="I461" s="64">
        <f>14.2318 * CHOOSE(CONTROL!$C$22, $C$13, 100%, $E$13)</f>
        <v>14.2318</v>
      </c>
      <c r="J461" s="64">
        <f>8.203 * CHOOSE(CONTROL!$C$22, $C$13, 100%, $E$13)</f>
        <v>8.2029999999999994</v>
      </c>
      <c r="K461" s="64">
        <f>8.2046 * CHOOSE(CONTROL!$C$22, $C$13, 100%, $E$13)</f>
        <v>8.2045999999999992</v>
      </c>
    </row>
    <row r="462" spans="1:11" ht="15">
      <c r="A462" s="13">
        <v>55701</v>
      </c>
      <c r="B462" s="63">
        <f>7.1492 * CHOOSE(CONTROL!$C$22, $C$13, 100%, $E$13)</f>
        <v>7.1492000000000004</v>
      </c>
      <c r="C462" s="63">
        <f>7.1492 * CHOOSE(CONTROL!$C$22, $C$13, 100%, $E$13)</f>
        <v>7.1492000000000004</v>
      </c>
      <c r="D462" s="63">
        <f>7.1736 * CHOOSE(CONTROL!$C$22, $C$13, 100%, $E$13)</f>
        <v>7.1736000000000004</v>
      </c>
      <c r="E462" s="64">
        <f>8.3643 * CHOOSE(CONTROL!$C$22, $C$13, 100%, $E$13)</f>
        <v>8.3643000000000001</v>
      </c>
      <c r="F462" s="64">
        <f>8.3643 * CHOOSE(CONTROL!$C$22, $C$13, 100%, $E$13)</f>
        <v>8.3643000000000001</v>
      </c>
      <c r="G462" s="64">
        <f>8.3658 * CHOOSE(CONTROL!$C$22, $C$13, 100%, $E$13)</f>
        <v>8.3658000000000001</v>
      </c>
      <c r="H462" s="64">
        <f>14.2598* CHOOSE(CONTROL!$C$22, $C$13, 100%, $E$13)</f>
        <v>14.2598</v>
      </c>
      <c r="I462" s="64">
        <f>14.2614 * CHOOSE(CONTROL!$C$22, $C$13, 100%, $E$13)</f>
        <v>14.2614</v>
      </c>
      <c r="J462" s="64">
        <f>8.3643 * CHOOSE(CONTROL!$C$22, $C$13, 100%, $E$13)</f>
        <v>8.3643000000000001</v>
      </c>
      <c r="K462" s="64">
        <f>8.3658 * CHOOSE(CONTROL!$C$22, $C$13, 100%, $E$13)</f>
        <v>8.3658000000000001</v>
      </c>
    </row>
    <row r="463" spans="1:11" ht="15">
      <c r="A463" s="13">
        <v>55732</v>
      </c>
      <c r="B463" s="63">
        <f>7.1559 * CHOOSE(CONTROL!$C$22, $C$13, 100%, $E$13)</f>
        <v>7.1558999999999999</v>
      </c>
      <c r="C463" s="63">
        <f>7.1559 * CHOOSE(CONTROL!$C$22, $C$13, 100%, $E$13)</f>
        <v>7.1558999999999999</v>
      </c>
      <c r="D463" s="63">
        <f>7.1803 * CHOOSE(CONTROL!$C$22, $C$13, 100%, $E$13)</f>
        <v>7.1802999999999999</v>
      </c>
      <c r="E463" s="64">
        <f>8.2841 * CHOOSE(CONTROL!$C$22, $C$13, 100%, $E$13)</f>
        <v>8.2841000000000005</v>
      </c>
      <c r="F463" s="64">
        <f>8.2841 * CHOOSE(CONTROL!$C$22, $C$13, 100%, $E$13)</f>
        <v>8.2841000000000005</v>
      </c>
      <c r="G463" s="64">
        <f>8.2857 * CHOOSE(CONTROL!$C$22, $C$13, 100%, $E$13)</f>
        <v>8.2857000000000003</v>
      </c>
      <c r="H463" s="64">
        <f>14.2896* CHOOSE(CONTROL!$C$22, $C$13, 100%, $E$13)</f>
        <v>14.2896</v>
      </c>
      <c r="I463" s="64">
        <f>14.2911 * CHOOSE(CONTROL!$C$22, $C$13, 100%, $E$13)</f>
        <v>14.2911</v>
      </c>
      <c r="J463" s="64">
        <f>8.2841 * CHOOSE(CONTROL!$C$22, $C$13, 100%, $E$13)</f>
        <v>8.2841000000000005</v>
      </c>
      <c r="K463" s="64">
        <f>8.2857 * CHOOSE(CONTROL!$C$22, $C$13, 100%, $E$13)</f>
        <v>8.2857000000000003</v>
      </c>
    </row>
    <row r="464" spans="1:11" ht="15">
      <c r="A464" s="13">
        <v>55763</v>
      </c>
      <c r="B464" s="63">
        <f>7.1528 * CHOOSE(CONTROL!$C$22, $C$13, 100%, $E$13)</f>
        <v>7.1528</v>
      </c>
      <c r="C464" s="63">
        <f>7.1528 * CHOOSE(CONTROL!$C$22, $C$13, 100%, $E$13)</f>
        <v>7.1528</v>
      </c>
      <c r="D464" s="63">
        <f>7.1772 * CHOOSE(CONTROL!$C$22, $C$13, 100%, $E$13)</f>
        <v>7.1772</v>
      </c>
      <c r="E464" s="64">
        <f>8.2726 * CHOOSE(CONTROL!$C$22, $C$13, 100%, $E$13)</f>
        <v>8.2726000000000006</v>
      </c>
      <c r="F464" s="64">
        <f>8.2726 * CHOOSE(CONTROL!$C$22, $C$13, 100%, $E$13)</f>
        <v>8.2726000000000006</v>
      </c>
      <c r="G464" s="64">
        <f>8.2741 * CHOOSE(CONTROL!$C$22, $C$13, 100%, $E$13)</f>
        <v>8.2741000000000007</v>
      </c>
      <c r="H464" s="64">
        <f>14.3193* CHOOSE(CONTROL!$C$22, $C$13, 100%, $E$13)</f>
        <v>14.3193</v>
      </c>
      <c r="I464" s="64">
        <f>14.3209 * CHOOSE(CONTROL!$C$22, $C$13, 100%, $E$13)</f>
        <v>14.3209</v>
      </c>
      <c r="J464" s="64">
        <f>8.2726 * CHOOSE(CONTROL!$C$22, $C$13, 100%, $E$13)</f>
        <v>8.2726000000000006</v>
      </c>
      <c r="K464" s="64">
        <f>8.2741 * CHOOSE(CONTROL!$C$22, $C$13, 100%, $E$13)</f>
        <v>8.2741000000000007</v>
      </c>
    </row>
    <row r="465" spans="1:11" ht="15">
      <c r="A465" s="13">
        <v>55793</v>
      </c>
      <c r="B465" s="63">
        <f>7.1586 * CHOOSE(CONTROL!$C$22, $C$13, 100%, $E$13)</f>
        <v>7.1585999999999999</v>
      </c>
      <c r="C465" s="63">
        <f>7.1586 * CHOOSE(CONTROL!$C$22, $C$13, 100%, $E$13)</f>
        <v>7.1585999999999999</v>
      </c>
      <c r="D465" s="63">
        <f>7.1708 * CHOOSE(CONTROL!$C$22, $C$13, 100%, $E$13)</f>
        <v>7.1707999999999998</v>
      </c>
      <c r="E465" s="64">
        <f>8.2969 * CHOOSE(CONTROL!$C$22, $C$13, 100%, $E$13)</f>
        <v>8.2969000000000008</v>
      </c>
      <c r="F465" s="64">
        <f>8.2969 * CHOOSE(CONTROL!$C$22, $C$13, 100%, $E$13)</f>
        <v>8.2969000000000008</v>
      </c>
      <c r="G465" s="64">
        <f>8.297 * CHOOSE(CONTROL!$C$22, $C$13, 100%, $E$13)</f>
        <v>8.2970000000000006</v>
      </c>
      <c r="H465" s="64">
        <f>14.3492* CHOOSE(CONTROL!$C$22, $C$13, 100%, $E$13)</f>
        <v>14.3492</v>
      </c>
      <c r="I465" s="64">
        <f>14.3493 * CHOOSE(CONTROL!$C$22, $C$13, 100%, $E$13)</f>
        <v>14.349299999999999</v>
      </c>
      <c r="J465" s="64">
        <f>8.2969 * CHOOSE(CONTROL!$C$22, $C$13, 100%, $E$13)</f>
        <v>8.2969000000000008</v>
      </c>
      <c r="K465" s="64">
        <f>8.297 * CHOOSE(CONTROL!$C$22, $C$13, 100%, $E$13)</f>
        <v>8.2970000000000006</v>
      </c>
    </row>
    <row r="466" spans="1:11" ht="15">
      <c r="A466" s="13">
        <v>55824</v>
      </c>
      <c r="B466" s="63">
        <f>7.1616 * CHOOSE(CONTROL!$C$22, $C$13, 100%, $E$13)</f>
        <v>7.1616</v>
      </c>
      <c r="C466" s="63">
        <f>7.1616 * CHOOSE(CONTROL!$C$22, $C$13, 100%, $E$13)</f>
        <v>7.1616</v>
      </c>
      <c r="D466" s="63">
        <f>7.1739 * CHOOSE(CONTROL!$C$22, $C$13, 100%, $E$13)</f>
        <v>7.1738999999999997</v>
      </c>
      <c r="E466" s="64">
        <f>8.3178 * CHOOSE(CONTROL!$C$22, $C$13, 100%, $E$13)</f>
        <v>8.3178000000000001</v>
      </c>
      <c r="F466" s="64">
        <f>8.3178 * CHOOSE(CONTROL!$C$22, $C$13, 100%, $E$13)</f>
        <v>8.3178000000000001</v>
      </c>
      <c r="G466" s="64">
        <f>8.318 * CHOOSE(CONTROL!$C$22, $C$13, 100%, $E$13)</f>
        <v>8.3179999999999996</v>
      </c>
      <c r="H466" s="64">
        <f>14.3791* CHOOSE(CONTROL!$C$22, $C$13, 100%, $E$13)</f>
        <v>14.379099999999999</v>
      </c>
      <c r="I466" s="64">
        <f>14.3792 * CHOOSE(CONTROL!$C$22, $C$13, 100%, $E$13)</f>
        <v>14.379200000000001</v>
      </c>
      <c r="J466" s="64">
        <f>8.3178 * CHOOSE(CONTROL!$C$22, $C$13, 100%, $E$13)</f>
        <v>8.3178000000000001</v>
      </c>
      <c r="K466" s="64">
        <f>8.318 * CHOOSE(CONTROL!$C$22, $C$13, 100%, $E$13)</f>
        <v>8.3179999999999996</v>
      </c>
    </row>
    <row r="467" spans="1:11" ht="15">
      <c r="A467" s="13">
        <v>55854</v>
      </c>
      <c r="B467" s="63">
        <f>7.1616 * CHOOSE(CONTROL!$C$22, $C$13, 100%, $E$13)</f>
        <v>7.1616</v>
      </c>
      <c r="C467" s="63">
        <f>7.1616 * CHOOSE(CONTROL!$C$22, $C$13, 100%, $E$13)</f>
        <v>7.1616</v>
      </c>
      <c r="D467" s="63">
        <f>7.1739 * CHOOSE(CONTROL!$C$22, $C$13, 100%, $E$13)</f>
        <v>7.1738999999999997</v>
      </c>
      <c r="E467" s="64">
        <f>8.2707 * CHOOSE(CONTROL!$C$22, $C$13, 100%, $E$13)</f>
        <v>8.2706999999999997</v>
      </c>
      <c r="F467" s="64">
        <f>8.2707 * CHOOSE(CONTROL!$C$22, $C$13, 100%, $E$13)</f>
        <v>8.2706999999999997</v>
      </c>
      <c r="G467" s="64">
        <f>8.2709 * CHOOSE(CONTROL!$C$22, $C$13, 100%, $E$13)</f>
        <v>8.2708999999999993</v>
      </c>
      <c r="H467" s="64">
        <f>14.409* CHOOSE(CONTROL!$C$22, $C$13, 100%, $E$13)</f>
        <v>14.409000000000001</v>
      </c>
      <c r="I467" s="64">
        <f>14.4092 * CHOOSE(CONTROL!$C$22, $C$13, 100%, $E$13)</f>
        <v>14.4092</v>
      </c>
      <c r="J467" s="64">
        <f>8.2707 * CHOOSE(CONTROL!$C$22, $C$13, 100%, $E$13)</f>
        <v>8.2706999999999997</v>
      </c>
      <c r="K467" s="64">
        <f>8.2709 * CHOOSE(CONTROL!$C$22, $C$13, 100%, $E$13)</f>
        <v>8.2708999999999993</v>
      </c>
    </row>
    <row r="468" spans="1:11" ht="15">
      <c r="A468" s="13">
        <v>55885</v>
      </c>
      <c r="B468" s="63">
        <f>7.2256 * CHOOSE(CONTROL!$C$22, $C$13, 100%, $E$13)</f>
        <v>7.2256</v>
      </c>
      <c r="C468" s="63">
        <f>7.2256 * CHOOSE(CONTROL!$C$22, $C$13, 100%, $E$13)</f>
        <v>7.2256</v>
      </c>
      <c r="D468" s="63">
        <f>7.2378 * CHOOSE(CONTROL!$C$22, $C$13, 100%, $E$13)</f>
        <v>7.2378</v>
      </c>
      <c r="E468" s="64">
        <f>8.3788 * CHOOSE(CONTROL!$C$22, $C$13, 100%, $E$13)</f>
        <v>8.3788</v>
      </c>
      <c r="F468" s="64">
        <f>8.3788 * CHOOSE(CONTROL!$C$22, $C$13, 100%, $E$13)</f>
        <v>8.3788</v>
      </c>
      <c r="G468" s="64">
        <f>8.379 * CHOOSE(CONTROL!$C$22, $C$13, 100%, $E$13)</f>
        <v>8.3789999999999996</v>
      </c>
      <c r="H468" s="64">
        <f>14.439* CHOOSE(CONTROL!$C$22, $C$13, 100%, $E$13)</f>
        <v>14.439</v>
      </c>
      <c r="I468" s="64">
        <f>14.4392 * CHOOSE(CONTROL!$C$22, $C$13, 100%, $E$13)</f>
        <v>14.4392</v>
      </c>
      <c r="J468" s="64">
        <f>8.3788 * CHOOSE(CONTROL!$C$22, $C$13, 100%, $E$13)</f>
        <v>8.3788</v>
      </c>
      <c r="K468" s="64">
        <f>8.379 * CHOOSE(CONTROL!$C$22, $C$13, 100%, $E$13)</f>
        <v>8.3789999999999996</v>
      </c>
    </row>
    <row r="469" spans="1:11" ht="15">
      <c r="A469" s="13">
        <v>55916</v>
      </c>
      <c r="B469" s="63">
        <f>7.2225 * CHOOSE(CONTROL!$C$22, $C$13, 100%, $E$13)</f>
        <v>7.2225000000000001</v>
      </c>
      <c r="C469" s="63">
        <f>7.2225 * CHOOSE(CONTROL!$C$22, $C$13, 100%, $E$13)</f>
        <v>7.2225000000000001</v>
      </c>
      <c r="D469" s="63">
        <f>7.2347 * CHOOSE(CONTROL!$C$22, $C$13, 100%, $E$13)</f>
        <v>7.2347000000000001</v>
      </c>
      <c r="E469" s="64">
        <f>8.2852 * CHOOSE(CONTROL!$C$22, $C$13, 100%, $E$13)</f>
        <v>8.2851999999999997</v>
      </c>
      <c r="F469" s="64">
        <f>8.2852 * CHOOSE(CONTROL!$C$22, $C$13, 100%, $E$13)</f>
        <v>8.2851999999999997</v>
      </c>
      <c r="G469" s="64">
        <f>8.2854 * CHOOSE(CONTROL!$C$22, $C$13, 100%, $E$13)</f>
        <v>8.2853999999999992</v>
      </c>
      <c r="H469" s="64">
        <f>14.4691* CHOOSE(CONTROL!$C$22, $C$13, 100%, $E$13)</f>
        <v>14.469099999999999</v>
      </c>
      <c r="I469" s="64">
        <f>14.4693 * CHOOSE(CONTROL!$C$22, $C$13, 100%, $E$13)</f>
        <v>14.4693</v>
      </c>
      <c r="J469" s="64">
        <f>8.2852 * CHOOSE(CONTROL!$C$22, $C$13, 100%, $E$13)</f>
        <v>8.2851999999999997</v>
      </c>
      <c r="K469" s="64">
        <f>8.2854 * CHOOSE(CONTROL!$C$22, $C$13, 100%, $E$13)</f>
        <v>8.2853999999999992</v>
      </c>
    </row>
    <row r="470" spans="1:11" ht="15">
      <c r="A470" s="13">
        <v>55944</v>
      </c>
      <c r="B470" s="63">
        <f>7.2195 * CHOOSE(CONTROL!$C$22, $C$13, 100%, $E$13)</f>
        <v>7.2195</v>
      </c>
      <c r="C470" s="63">
        <f>7.2195 * CHOOSE(CONTROL!$C$22, $C$13, 100%, $E$13)</f>
        <v>7.2195</v>
      </c>
      <c r="D470" s="63">
        <f>7.2317 * CHOOSE(CONTROL!$C$22, $C$13, 100%, $E$13)</f>
        <v>7.2317</v>
      </c>
      <c r="E470" s="64">
        <f>8.3552 * CHOOSE(CONTROL!$C$22, $C$13, 100%, $E$13)</f>
        <v>8.3552</v>
      </c>
      <c r="F470" s="64">
        <f>8.3552 * CHOOSE(CONTROL!$C$22, $C$13, 100%, $E$13)</f>
        <v>8.3552</v>
      </c>
      <c r="G470" s="64">
        <f>8.3554 * CHOOSE(CONTROL!$C$22, $C$13, 100%, $E$13)</f>
        <v>8.3553999999999995</v>
      </c>
      <c r="H470" s="64">
        <f>14.4993* CHOOSE(CONTROL!$C$22, $C$13, 100%, $E$13)</f>
        <v>14.4993</v>
      </c>
      <c r="I470" s="64">
        <f>14.4994 * CHOOSE(CONTROL!$C$22, $C$13, 100%, $E$13)</f>
        <v>14.4994</v>
      </c>
      <c r="J470" s="64">
        <f>8.3552 * CHOOSE(CONTROL!$C$22, $C$13, 100%, $E$13)</f>
        <v>8.3552</v>
      </c>
      <c r="K470" s="64">
        <f>8.3554 * CHOOSE(CONTROL!$C$22, $C$13, 100%, $E$13)</f>
        <v>8.3553999999999995</v>
      </c>
    </row>
    <row r="471" spans="1:11" ht="15">
      <c r="A471" s="13">
        <v>55975</v>
      </c>
      <c r="B471" s="63">
        <f>7.22 * CHOOSE(CONTROL!$C$22, $C$13, 100%, $E$13)</f>
        <v>7.22</v>
      </c>
      <c r="C471" s="63">
        <f>7.22 * CHOOSE(CONTROL!$C$22, $C$13, 100%, $E$13)</f>
        <v>7.22</v>
      </c>
      <c r="D471" s="63">
        <f>7.2322 * CHOOSE(CONTROL!$C$22, $C$13, 100%, $E$13)</f>
        <v>7.2321999999999997</v>
      </c>
      <c r="E471" s="64">
        <f>8.4285 * CHOOSE(CONTROL!$C$22, $C$13, 100%, $E$13)</f>
        <v>8.4284999999999997</v>
      </c>
      <c r="F471" s="64">
        <f>8.4285 * CHOOSE(CONTROL!$C$22, $C$13, 100%, $E$13)</f>
        <v>8.4284999999999997</v>
      </c>
      <c r="G471" s="64">
        <f>8.4287 * CHOOSE(CONTROL!$C$22, $C$13, 100%, $E$13)</f>
        <v>8.4286999999999992</v>
      </c>
      <c r="H471" s="64">
        <f>14.5295* CHOOSE(CONTROL!$C$22, $C$13, 100%, $E$13)</f>
        <v>14.529500000000001</v>
      </c>
      <c r="I471" s="64">
        <f>14.5296 * CHOOSE(CONTROL!$C$22, $C$13, 100%, $E$13)</f>
        <v>14.5296</v>
      </c>
      <c r="J471" s="64">
        <f>8.4285 * CHOOSE(CONTROL!$C$22, $C$13, 100%, $E$13)</f>
        <v>8.4284999999999997</v>
      </c>
      <c r="K471" s="64">
        <f>8.4287 * CHOOSE(CONTROL!$C$22, $C$13, 100%, $E$13)</f>
        <v>8.4286999999999992</v>
      </c>
    </row>
    <row r="472" spans="1:11" ht="15">
      <c r="A472" s="13">
        <v>56005</v>
      </c>
      <c r="B472" s="63">
        <f>7.22 * CHOOSE(CONTROL!$C$22, $C$13, 100%, $E$13)</f>
        <v>7.22</v>
      </c>
      <c r="C472" s="63">
        <f>7.22 * CHOOSE(CONTROL!$C$22, $C$13, 100%, $E$13)</f>
        <v>7.22</v>
      </c>
      <c r="D472" s="63">
        <f>7.2444 * CHOOSE(CONTROL!$C$22, $C$13, 100%, $E$13)</f>
        <v>7.2443999999999997</v>
      </c>
      <c r="E472" s="64">
        <f>8.4576 * CHOOSE(CONTROL!$C$22, $C$13, 100%, $E$13)</f>
        <v>8.4575999999999993</v>
      </c>
      <c r="F472" s="64">
        <f>8.4576 * CHOOSE(CONTROL!$C$22, $C$13, 100%, $E$13)</f>
        <v>8.4575999999999993</v>
      </c>
      <c r="G472" s="64">
        <f>8.4591 * CHOOSE(CONTROL!$C$22, $C$13, 100%, $E$13)</f>
        <v>8.4590999999999994</v>
      </c>
      <c r="H472" s="64">
        <f>14.5597* CHOOSE(CONTROL!$C$22, $C$13, 100%, $E$13)</f>
        <v>14.559699999999999</v>
      </c>
      <c r="I472" s="64">
        <f>14.5613 * CHOOSE(CONTROL!$C$22, $C$13, 100%, $E$13)</f>
        <v>14.561299999999999</v>
      </c>
      <c r="J472" s="64">
        <f>8.4576 * CHOOSE(CONTROL!$C$22, $C$13, 100%, $E$13)</f>
        <v>8.4575999999999993</v>
      </c>
      <c r="K472" s="64">
        <f>8.4591 * CHOOSE(CONTROL!$C$22, $C$13, 100%, $E$13)</f>
        <v>8.4590999999999994</v>
      </c>
    </row>
    <row r="473" spans="1:11" ht="15">
      <c r="A473" s="13">
        <v>56036</v>
      </c>
      <c r="B473" s="63">
        <f>7.2261 * CHOOSE(CONTROL!$C$22, $C$13, 100%, $E$13)</f>
        <v>7.2260999999999997</v>
      </c>
      <c r="C473" s="63">
        <f>7.2261 * CHOOSE(CONTROL!$C$22, $C$13, 100%, $E$13)</f>
        <v>7.2260999999999997</v>
      </c>
      <c r="D473" s="63">
        <f>7.2505 * CHOOSE(CONTROL!$C$22, $C$13, 100%, $E$13)</f>
        <v>7.2504999999999997</v>
      </c>
      <c r="E473" s="64">
        <f>8.4327 * CHOOSE(CONTROL!$C$22, $C$13, 100%, $E$13)</f>
        <v>8.4327000000000005</v>
      </c>
      <c r="F473" s="64">
        <f>8.4327 * CHOOSE(CONTROL!$C$22, $C$13, 100%, $E$13)</f>
        <v>8.4327000000000005</v>
      </c>
      <c r="G473" s="64">
        <f>8.4343 * CHOOSE(CONTROL!$C$22, $C$13, 100%, $E$13)</f>
        <v>8.4343000000000004</v>
      </c>
      <c r="H473" s="64">
        <f>14.5901* CHOOSE(CONTROL!$C$22, $C$13, 100%, $E$13)</f>
        <v>14.5901</v>
      </c>
      <c r="I473" s="64">
        <f>14.5916 * CHOOSE(CONTROL!$C$22, $C$13, 100%, $E$13)</f>
        <v>14.5916</v>
      </c>
      <c r="J473" s="64">
        <f>8.4327 * CHOOSE(CONTROL!$C$22, $C$13, 100%, $E$13)</f>
        <v>8.4327000000000005</v>
      </c>
      <c r="K473" s="64">
        <f>8.4343 * CHOOSE(CONTROL!$C$22, $C$13, 100%, $E$13)</f>
        <v>8.4343000000000004</v>
      </c>
    </row>
    <row r="474" spans="1:11" ht="15">
      <c r="A474" s="13">
        <v>56066</v>
      </c>
      <c r="B474" s="63">
        <f>7.3442 * CHOOSE(CONTROL!$C$22, $C$13, 100%, $E$13)</f>
        <v>7.3441999999999998</v>
      </c>
      <c r="C474" s="63">
        <f>7.3442 * CHOOSE(CONTROL!$C$22, $C$13, 100%, $E$13)</f>
        <v>7.3441999999999998</v>
      </c>
      <c r="D474" s="63">
        <f>7.3686 * CHOOSE(CONTROL!$C$22, $C$13, 100%, $E$13)</f>
        <v>7.3685999999999998</v>
      </c>
      <c r="E474" s="64">
        <f>8.5982 * CHOOSE(CONTROL!$C$22, $C$13, 100%, $E$13)</f>
        <v>8.5982000000000003</v>
      </c>
      <c r="F474" s="64">
        <f>8.5982 * CHOOSE(CONTROL!$C$22, $C$13, 100%, $E$13)</f>
        <v>8.5982000000000003</v>
      </c>
      <c r="G474" s="64">
        <f>8.5998 * CHOOSE(CONTROL!$C$22, $C$13, 100%, $E$13)</f>
        <v>8.5998000000000001</v>
      </c>
      <c r="H474" s="64">
        <f>14.6205* CHOOSE(CONTROL!$C$22, $C$13, 100%, $E$13)</f>
        <v>14.6205</v>
      </c>
      <c r="I474" s="64">
        <f>14.622 * CHOOSE(CONTROL!$C$22, $C$13, 100%, $E$13)</f>
        <v>14.622</v>
      </c>
      <c r="J474" s="64">
        <f>8.5982 * CHOOSE(CONTROL!$C$22, $C$13, 100%, $E$13)</f>
        <v>8.5982000000000003</v>
      </c>
      <c r="K474" s="64">
        <f>8.5998 * CHOOSE(CONTROL!$C$22, $C$13, 100%, $E$13)</f>
        <v>8.5998000000000001</v>
      </c>
    </row>
    <row r="475" spans="1:11" ht="15">
      <c r="A475" s="13">
        <v>56097</v>
      </c>
      <c r="B475" s="63">
        <f>7.3509 * CHOOSE(CONTROL!$C$22, $C$13, 100%, $E$13)</f>
        <v>7.3509000000000002</v>
      </c>
      <c r="C475" s="63">
        <f>7.3509 * CHOOSE(CONTROL!$C$22, $C$13, 100%, $E$13)</f>
        <v>7.3509000000000002</v>
      </c>
      <c r="D475" s="63">
        <f>7.3753 * CHOOSE(CONTROL!$C$22, $C$13, 100%, $E$13)</f>
        <v>7.3753000000000002</v>
      </c>
      <c r="E475" s="64">
        <f>8.5157 * CHOOSE(CONTROL!$C$22, $C$13, 100%, $E$13)</f>
        <v>8.5157000000000007</v>
      </c>
      <c r="F475" s="64">
        <f>8.5157 * CHOOSE(CONTROL!$C$22, $C$13, 100%, $E$13)</f>
        <v>8.5157000000000007</v>
      </c>
      <c r="G475" s="64">
        <f>8.5172 * CHOOSE(CONTROL!$C$22, $C$13, 100%, $E$13)</f>
        <v>8.5172000000000008</v>
      </c>
      <c r="H475" s="64">
        <f>14.6509* CHOOSE(CONTROL!$C$22, $C$13, 100%, $E$13)</f>
        <v>14.6509</v>
      </c>
      <c r="I475" s="64">
        <f>14.6525 * CHOOSE(CONTROL!$C$22, $C$13, 100%, $E$13)</f>
        <v>14.6525</v>
      </c>
      <c r="J475" s="64">
        <f>8.5157 * CHOOSE(CONTROL!$C$22, $C$13, 100%, $E$13)</f>
        <v>8.5157000000000007</v>
      </c>
      <c r="K475" s="64">
        <f>8.5172 * CHOOSE(CONTROL!$C$22, $C$13, 100%, $E$13)</f>
        <v>8.5172000000000008</v>
      </c>
    </row>
    <row r="476" spans="1:11" ht="15">
      <c r="A476" s="13">
        <v>56128</v>
      </c>
      <c r="B476" s="63">
        <f>7.3479 * CHOOSE(CONTROL!$C$22, $C$13, 100%, $E$13)</f>
        <v>7.3479000000000001</v>
      </c>
      <c r="C476" s="63">
        <f>7.3479 * CHOOSE(CONTROL!$C$22, $C$13, 100%, $E$13)</f>
        <v>7.3479000000000001</v>
      </c>
      <c r="D476" s="63">
        <f>7.3723 * CHOOSE(CONTROL!$C$22, $C$13, 100%, $E$13)</f>
        <v>7.3723000000000001</v>
      </c>
      <c r="E476" s="64">
        <f>8.5039 * CHOOSE(CONTROL!$C$22, $C$13, 100%, $E$13)</f>
        <v>8.5038999999999998</v>
      </c>
      <c r="F476" s="64">
        <f>8.5039 * CHOOSE(CONTROL!$C$22, $C$13, 100%, $E$13)</f>
        <v>8.5038999999999998</v>
      </c>
      <c r="G476" s="64">
        <f>8.5054 * CHOOSE(CONTROL!$C$22, $C$13, 100%, $E$13)</f>
        <v>8.5053999999999998</v>
      </c>
      <c r="H476" s="64">
        <f>14.6814* CHOOSE(CONTROL!$C$22, $C$13, 100%, $E$13)</f>
        <v>14.6814</v>
      </c>
      <c r="I476" s="64">
        <f>14.683 * CHOOSE(CONTROL!$C$22, $C$13, 100%, $E$13)</f>
        <v>14.683</v>
      </c>
      <c r="J476" s="64">
        <f>8.5039 * CHOOSE(CONTROL!$C$22, $C$13, 100%, $E$13)</f>
        <v>8.5038999999999998</v>
      </c>
      <c r="K476" s="64">
        <f>8.5054 * CHOOSE(CONTROL!$C$22, $C$13, 100%, $E$13)</f>
        <v>8.5053999999999998</v>
      </c>
    </row>
    <row r="477" spans="1:11" ht="15">
      <c r="A477" s="13">
        <v>56158</v>
      </c>
      <c r="B477" s="63">
        <f>7.3543 * CHOOSE(CONTROL!$C$22, $C$13, 100%, $E$13)</f>
        <v>7.3543000000000003</v>
      </c>
      <c r="C477" s="63">
        <f>7.3543 * CHOOSE(CONTROL!$C$22, $C$13, 100%, $E$13)</f>
        <v>7.3543000000000003</v>
      </c>
      <c r="D477" s="63">
        <f>7.3665 * CHOOSE(CONTROL!$C$22, $C$13, 100%, $E$13)</f>
        <v>7.3665000000000003</v>
      </c>
      <c r="E477" s="64">
        <f>8.5292 * CHOOSE(CONTROL!$C$22, $C$13, 100%, $E$13)</f>
        <v>8.5291999999999994</v>
      </c>
      <c r="F477" s="64">
        <f>8.5292 * CHOOSE(CONTROL!$C$22, $C$13, 100%, $E$13)</f>
        <v>8.5291999999999994</v>
      </c>
      <c r="G477" s="64">
        <f>8.5294 * CHOOSE(CONTROL!$C$22, $C$13, 100%, $E$13)</f>
        <v>8.5294000000000008</v>
      </c>
      <c r="H477" s="64">
        <f>14.712* CHOOSE(CONTROL!$C$22, $C$13, 100%, $E$13)</f>
        <v>14.712</v>
      </c>
      <c r="I477" s="64">
        <f>14.7122 * CHOOSE(CONTROL!$C$22, $C$13, 100%, $E$13)</f>
        <v>14.712199999999999</v>
      </c>
      <c r="J477" s="64">
        <f>8.5292 * CHOOSE(CONTROL!$C$22, $C$13, 100%, $E$13)</f>
        <v>8.5291999999999994</v>
      </c>
      <c r="K477" s="64">
        <f>8.5294 * CHOOSE(CONTROL!$C$22, $C$13, 100%, $E$13)</f>
        <v>8.5294000000000008</v>
      </c>
    </row>
    <row r="478" spans="1:11" ht="15">
      <c r="A478" s="13">
        <v>56189</v>
      </c>
      <c r="B478" s="63">
        <f>7.3573 * CHOOSE(CONTROL!$C$22, $C$13, 100%, $E$13)</f>
        <v>7.3573000000000004</v>
      </c>
      <c r="C478" s="63">
        <f>7.3573 * CHOOSE(CONTROL!$C$22, $C$13, 100%, $E$13)</f>
        <v>7.3573000000000004</v>
      </c>
      <c r="D478" s="63">
        <f>7.3695 * CHOOSE(CONTROL!$C$22, $C$13, 100%, $E$13)</f>
        <v>7.3695000000000004</v>
      </c>
      <c r="E478" s="64">
        <f>8.5507 * CHOOSE(CONTROL!$C$22, $C$13, 100%, $E$13)</f>
        <v>8.5507000000000009</v>
      </c>
      <c r="F478" s="64">
        <f>8.5507 * CHOOSE(CONTROL!$C$22, $C$13, 100%, $E$13)</f>
        <v>8.5507000000000009</v>
      </c>
      <c r="G478" s="64">
        <f>8.5509 * CHOOSE(CONTROL!$C$22, $C$13, 100%, $E$13)</f>
        <v>8.5509000000000004</v>
      </c>
      <c r="H478" s="64">
        <f>14.7427* CHOOSE(CONTROL!$C$22, $C$13, 100%, $E$13)</f>
        <v>14.742699999999999</v>
      </c>
      <c r="I478" s="64">
        <f>14.7429 * CHOOSE(CONTROL!$C$22, $C$13, 100%, $E$13)</f>
        <v>14.742900000000001</v>
      </c>
      <c r="J478" s="64">
        <f>8.5507 * CHOOSE(CONTROL!$C$22, $C$13, 100%, $E$13)</f>
        <v>8.5507000000000009</v>
      </c>
      <c r="K478" s="64">
        <f>8.5509 * CHOOSE(CONTROL!$C$22, $C$13, 100%, $E$13)</f>
        <v>8.5509000000000004</v>
      </c>
    </row>
    <row r="479" spans="1:11" ht="15">
      <c r="A479" s="13">
        <v>56219</v>
      </c>
      <c r="B479" s="63">
        <f>7.3573 * CHOOSE(CONTROL!$C$22, $C$13, 100%, $E$13)</f>
        <v>7.3573000000000004</v>
      </c>
      <c r="C479" s="63">
        <f>7.3573 * CHOOSE(CONTROL!$C$22, $C$13, 100%, $E$13)</f>
        <v>7.3573000000000004</v>
      </c>
      <c r="D479" s="63">
        <f>7.3695 * CHOOSE(CONTROL!$C$22, $C$13, 100%, $E$13)</f>
        <v>7.3695000000000004</v>
      </c>
      <c r="E479" s="64">
        <f>8.5022 * CHOOSE(CONTROL!$C$22, $C$13, 100%, $E$13)</f>
        <v>8.5022000000000002</v>
      </c>
      <c r="F479" s="64">
        <f>8.5022 * CHOOSE(CONTROL!$C$22, $C$13, 100%, $E$13)</f>
        <v>8.5022000000000002</v>
      </c>
      <c r="G479" s="64">
        <f>8.5024 * CHOOSE(CONTROL!$C$22, $C$13, 100%, $E$13)</f>
        <v>8.5023999999999997</v>
      </c>
      <c r="H479" s="64">
        <f>14.7734* CHOOSE(CONTROL!$C$22, $C$13, 100%, $E$13)</f>
        <v>14.773400000000001</v>
      </c>
      <c r="I479" s="64">
        <f>14.7736 * CHOOSE(CONTROL!$C$22, $C$13, 100%, $E$13)</f>
        <v>14.7736</v>
      </c>
      <c r="J479" s="64">
        <f>8.5022 * CHOOSE(CONTROL!$C$22, $C$13, 100%, $E$13)</f>
        <v>8.5022000000000002</v>
      </c>
      <c r="K479" s="64">
        <f>8.5024 * CHOOSE(CONTROL!$C$22, $C$13, 100%, $E$13)</f>
        <v>8.5023999999999997</v>
      </c>
    </row>
    <row r="480" spans="1:11" ht="15">
      <c r="A480" s="13">
        <v>56250</v>
      </c>
      <c r="B480" s="63">
        <f>7.4229 * CHOOSE(CONTROL!$C$22, $C$13, 100%, $E$13)</f>
        <v>7.4229000000000003</v>
      </c>
      <c r="C480" s="63">
        <f>7.4229 * CHOOSE(CONTROL!$C$22, $C$13, 100%, $E$13)</f>
        <v>7.4229000000000003</v>
      </c>
      <c r="D480" s="63">
        <f>7.4351 * CHOOSE(CONTROL!$C$22, $C$13, 100%, $E$13)</f>
        <v>7.4351000000000003</v>
      </c>
      <c r="E480" s="64">
        <f>8.6133 * CHOOSE(CONTROL!$C$22, $C$13, 100%, $E$13)</f>
        <v>8.6133000000000006</v>
      </c>
      <c r="F480" s="64">
        <f>8.6133 * CHOOSE(CONTROL!$C$22, $C$13, 100%, $E$13)</f>
        <v>8.6133000000000006</v>
      </c>
      <c r="G480" s="64">
        <f>8.6135 * CHOOSE(CONTROL!$C$22, $C$13, 100%, $E$13)</f>
        <v>8.6135000000000002</v>
      </c>
      <c r="H480" s="64">
        <f>14.8042* CHOOSE(CONTROL!$C$22, $C$13, 100%, $E$13)</f>
        <v>14.8042</v>
      </c>
      <c r="I480" s="64">
        <f>14.8043 * CHOOSE(CONTROL!$C$22, $C$13, 100%, $E$13)</f>
        <v>14.8043</v>
      </c>
      <c r="J480" s="64">
        <f>8.6133 * CHOOSE(CONTROL!$C$22, $C$13, 100%, $E$13)</f>
        <v>8.6133000000000006</v>
      </c>
      <c r="K480" s="64">
        <f>8.6135 * CHOOSE(CONTROL!$C$22, $C$13, 100%, $E$13)</f>
        <v>8.6135000000000002</v>
      </c>
    </row>
    <row r="481" spans="1:11" ht="15">
      <c r="A481" s="13">
        <v>56281</v>
      </c>
      <c r="B481" s="63">
        <f>7.4198 * CHOOSE(CONTROL!$C$22, $C$13, 100%, $E$13)</f>
        <v>7.4198000000000004</v>
      </c>
      <c r="C481" s="63">
        <f>7.4198 * CHOOSE(CONTROL!$C$22, $C$13, 100%, $E$13)</f>
        <v>7.4198000000000004</v>
      </c>
      <c r="D481" s="63">
        <f>7.432 * CHOOSE(CONTROL!$C$22, $C$13, 100%, $E$13)</f>
        <v>7.4320000000000004</v>
      </c>
      <c r="E481" s="64">
        <f>8.5171 * CHOOSE(CONTROL!$C$22, $C$13, 100%, $E$13)</f>
        <v>8.5170999999999992</v>
      </c>
      <c r="F481" s="64">
        <f>8.5171 * CHOOSE(CONTROL!$C$22, $C$13, 100%, $E$13)</f>
        <v>8.5170999999999992</v>
      </c>
      <c r="G481" s="64">
        <f>8.5173 * CHOOSE(CONTROL!$C$22, $C$13, 100%, $E$13)</f>
        <v>8.5173000000000005</v>
      </c>
      <c r="H481" s="64">
        <f>14.835* CHOOSE(CONTROL!$C$22, $C$13, 100%, $E$13)</f>
        <v>14.835000000000001</v>
      </c>
      <c r="I481" s="64">
        <f>14.8352 * CHOOSE(CONTROL!$C$22, $C$13, 100%, $E$13)</f>
        <v>14.8352</v>
      </c>
      <c r="J481" s="64">
        <f>8.5171 * CHOOSE(CONTROL!$C$22, $C$13, 100%, $E$13)</f>
        <v>8.5170999999999992</v>
      </c>
      <c r="K481" s="64">
        <f>8.5173 * CHOOSE(CONTROL!$C$22, $C$13, 100%, $E$13)</f>
        <v>8.5173000000000005</v>
      </c>
    </row>
    <row r="482" spans="1:11" ht="15">
      <c r="A482" s="13">
        <v>56309</v>
      </c>
      <c r="B482" s="63">
        <f>7.4168 * CHOOSE(CONTROL!$C$22, $C$13, 100%, $E$13)</f>
        <v>7.4168000000000003</v>
      </c>
      <c r="C482" s="63">
        <f>7.4168 * CHOOSE(CONTROL!$C$22, $C$13, 100%, $E$13)</f>
        <v>7.4168000000000003</v>
      </c>
      <c r="D482" s="63">
        <f>7.429 * CHOOSE(CONTROL!$C$22, $C$13, 100%, $E$13)</f>
        <v>7.4290000000000003</v>
      </c>
      <c r="E482" s="64">
        <f>8.5892 * CHOOSE(CONTROL!$C$22, $C$13, 100%, $E$13)</f>
        <v>8.5891999999999999</v>
      </c>
      <c r="F482" s="64">
        <f>8.5892 * CHOOSE(CONTROL!$C$22, $C$13, 100%, $E$13)</f>
        <v>8.5891999999999999</v>
      </c>
      <c r="G482" s="64">
        <f>8.5893 * CHOOSE(CONTROL!$C$22, $C$13, 100%, $E$13)</f>
        <v>8.5892999999999997</v>
      </c>
      <c r="H482" s="64">
        <f>14.8659* CHOOSE(CONTROL!$C$22, $C$13, 100%, $E$13)</f>
        <v>14.8659</v>
      </c>
      <c r="I482" s="64">
        <f>14.8661 * CHOOSE(CONTROL!$C$22, $C$13, 100%, $E$13)</f>
        <v>14.866099999999999</v>
      </c>
      <c r="J482" s="64">
        <f>8.5892 * CHOOSE(CONTROL!$C$22, $C$13, 100%, $E$13)</f>
        <v>8.5891999999999999</v>
      </c>
      <c r="K482" s="64">
        <f>8.5893 * CHOOSE(CONTROL!$C$22, $C$13, 100%, $E$13)</f>
        <v>8.5892999999999997</v>
      </c>
    </row>
    <row r="483" spans="1:11" ht="15">
      <c r="A483" s="13">
        <v>56340</v>
      </c>
      <c r="B483" s="63">
        <f>7.4175 * CHOOSE(CONTROL!$C$22, $C$13, 100%, $E$13)</f>
        <v>7.4175000000000004</v>
      </c>
      <c r="C483" s="63">
        <f>7.4175 * CHOOSE(CONTROL!$C$22, $C$13, 100%, $E$13)</f>
        <v>7.4175000000000004</v>
      </c>
      <c r="D483" s="63">
        <f>7.4297 * CHOOSE(CONTROL!$C$22, $C$13, 100%, $E$13)</f>
        <v>7.4297000000000004</v>
      </c>
      <c r="E483" s="64">
        <f>8.6646 * CHOOSE(CONTROL!$C$22, $C$13, 100%, $E$13)</f>
        <v>8.6646000000000001</v>
      </c>
      <c r="F483" s="64">
        <f>8.6646 * CHOOSE(CONTROL!$C$22, $C$13, 100%, $E$13)</f>
        <v>8.6646000000000001</v>
      </c>
      <c r="G483" s="64">
        <f>8.6648 * CHOOSE(CONTROL!$C$22, $C$13, 100%, $E$13)</f>
        <v>8.6647999999999996</v>
      </c>
      <c r="H483" s="64">
        <f>14.8969* CHOOSE(CONTROL!$C$22, $C$13, 100%, $E$13)</f>
        <v>14.8969</v>
      </c>
      <c r="I483" s="64">
        <f>14.8971 * CHOOSE(CONTROL!$C$22, $C$13, 100%, $E$13)</f>
        <v>14.8971</v>
      </c>
      <c r="J483" s="64">
        <f>8.6646 * CHOOSE(CONTROL!$C$22, $C$13, 100%, $E$13)</f>
        <v>8.6646000000000001</v>
      </c>
      <c r="K483" s="64">
        <f>8.6648 * CHOOSE(CONTROL!$C$22, $C$13, 100%, $E$13)</f>
        <v>8.6647999999999996</v>
      </c>
    </row>
    <row r="484" spans="1:11" ht="15">
      <c r="A484" s="13">
        <v>56370</v>
      </c>
      <c r="B484" s="63">
        <f>7.4175 * CHOOSE(CONTROL!$C$22, $C$13, 100%, $E$13)</f>
        <v>7.4175000000000004</v>
      </c>
      <c r="C484" s="63">
        <f>7.4175 * CHOOSE(CONTROL!$C$22, $C$13, 100%, $E$13)</f>
        <v>7.4175000000000004</v>
      </c>
      <c r="D484" s="63">
        <f>7.4419 * CHOOSE(CONTROL!$C$22, $C$13, 100%, $E$13)</f>
        <v>7.4419000000000004</v>
      </c>
      <c r="E484" s="64">
        <f>8.6945 * CHOOSE(CONTROL!$C$22, $C$13, 100%, $E$13)</f>
        <v>8.6944999999999997</v>
      </c>
      <c r="F484" s="64">
        <f>8.6945 * CHOOSE(CONTROL!$C$22, $C$13, 100%, $E$13)</f>
        <v>8.6944999999999997</v>
      </c>
      <c r="G484" s="64">
        <f>8.696 * CHOOSE(CONTROL!$C$22, $C$13, 100%, $E$13)</f>
        <v>8.6959999999999997</v>
      </c>
      <c r="H484" s="64">
        <f>14.9279* CHOOSE(CONTROL!$C$22, $C$13, 100%, $E$13)</f>
        <v>14.927899999999999</v>
      </c>
      <c r="I484" s="64">
        <f>14.9295 * CHOOSE(CONTROL!$C$22, $C$13, 100%, $E$13)</f>
        <v>14.929500000000001</v>
      </c>
      <c r="J484" s="64">
        <f>8.6945 * CHOOSE(CONTROL!$C$22, $C$13, 100%, $E$13)</f>
        <v>8.6944999999999997</v>
      </c>
      <c r="K484" s="64">
        <f>8.696 * CHOOSE(CONTROL!$C$22, $C$13, 100%, $E$13)</f>
        <v>8.6959999999999997</v>
      </c>
    </row>
    <row r="485" spans="1:11" ht="15">
      <c r="A485" s="13">
        <v>56401</v>
      </c>
      <c r="B485" s="63">
        <f>7.4235 * CHOOSE(CONTROL!$C$22, $C$13, 100%, $E$13)</f>
        <v>7.4234999999999998</v>
      </c>
      <c r="C485" s="63">
        <f>7.4235 * CHOOSE(CONTROL!$C$22, $C$13, 100%, $E$13)</f>
        <v>7.4234999999999998</v>
      </c>
      <c r="D485" s="63">
        <f>7.448 * CHOOSE(CONTROL!$C$22, $C$13, 100%, $E$13)</f>
        <v>7.4480000000000004</v>
      </c>
      <c r="E485" s="64">
        <f>8.6688 * CHOOSE(CONTROL!$C$22, $C$13, 100%, $E$13)</f>
        <v>8.6687999999999992</v>
      </c>
      <c r="F485" s="64">
        <f>8.6688 * CHOOSE(CONTROL!$C$22, $C$13, 100%, $E$13)</f>
        <v>8.6687999999999992</v>
      </c>
      <c r="G485" s="64">
        <f>8.6704 * CHOOSE(CONTROL!$C$22, $C$13, 100%, $E$13)</f>
        <v>8.6704000000000008</v>
      </c>
      <c r="H485" s="64">
        <f>14.959* CHOOSE(CONTROL!$C$22, $C$13, 100%, $E$13)</f>
        <v>14.959</v>
      </c>
      <c r="I485" s="64">
        <f>14.9606 * CHOOSE(CONTROL!$C$22, $C$13, 100%, $E$13)</f>
        <v>14.960599999999999</v>
      </c>
      <c r="J485" s="64">
        <f>8.6688 * CHOOSE(CONTROL!$C$22, $C$13, 100%, $E$13)</f>
        <v>8.6687999999999992</v>
      </c>
      <c r="K485" s="64">
        <f>8.6704 * CHOOSE(CONTROL!$C$22, $C$13, 100%, $E$13)</f>
        <v>8.6704000000000008</v>
      </c>
    </row>
    <row r="486" spans="1:11" ht="15">
      <c r="A486" s="13">
        <v>56431</v>
      </c>
      <c r="B486" s="63">
        <f>7.5446 * CHOOSE(CONTROL!$C$22, $C$13, 100%, $E$13)</f>
        <v>7.5446</v>
      </c>
      <c r="C486" s="63">
        <f>7.5446 * CHOOSE(CONTROL!$C$22, $C$13, 100%, $E$13)</f>
        <v>7.5446</v>
      </c>
      <c r="D486" s="63">
        <f>7.569 * CHOOSE(CONTROL!$C$22, $C$13, 100%, $E$13)</f>
        <v>7.569</v>
      </c>
      <c r="E486" s="64">
        <f>8.8387 * CHOOSE(CONTROL!$C$22, $C$13, 100%, $E$13)</f>
        <v>8.8386999999999993</v>
      </c>
      <c r="F486" s="64">
        <f>8.8387 * CHOOSE(CONTROL!$C$22, $C$13, 100%, $E$13)</f>
        <v>8.8386999999999993</v>
      </c>
      <c r="G486" s="64">
        <f>8.8402 * CHOOSE(CONTROL!$C$22, $C$13, 100%, $E$13)</f>
        <v>8.8401999999999994</v>
      </c>
      <c r="H486" s="64">
        <f>14.9902* CHOOSE(CONTROL!$C$22, $C$13, 100%, $E$13)</f>
        <v>14.9902</v>
      </c>
      <c r="I486" s="64">
        <f>14.9918 * CHOOSE(CONTROL!$C$22, $C$13, 100%, $E$13)</f>
        <v>14.9918</v>
      </c>
      <c r="J486" s="64">
        <f>8.8387 * CHOOSE(CONTROL!$C$22, $C$13, 100%, $E$13)</f>
        <v>8.8386999999999993</v>
      </c>
      <c r="K486" s="64">
        <f>8.8402 * CHOOSE(CONTROL!$C$22, $C$13, 100%, $E$13)</f>
        <v>8.8401999999999994</v>
      </c>
    </row>
    <row r="487" spans="1:11" ht="15">
      <c r="A487" s="13">
        <v>56462</v>
      </c>
      <c r="B487" s="63">
        <f>7.5513 * CHOOSE(CONTROL!$C$22, $C$13, 100%, $E$13)</f>
        <v>7.5513000000000003</v>
      </c>
      <c r="C487" s="63">
        <f>7.5513 * CHOOSE(CONTROL!$C$22, $C$13, 100%, $E$13)</f>
        <v>7.5513000000000003</v>
      </c>
      <c r="D487" s="63">
        <f>7.5757 * CHOOSE(CONTROL!$C$22, $C$13, 100%, $E$13)</f>
        <v>7.5757000000000003</v>
      </c>
      <c r="E487" s="64">
        <f>8.7537 * CHOOSE(CONTROL!$C$22, $C$13, 100%, $E$13)</f>
        <v>8.7537000000000003</v>
      </c>
      <c r="F487" s="64">
        <f>8.7537 * CHOOSE(CONTROL!$C$22, $C$13, 100%, $E$13)</f>
        <v>8.7537000000000003</v>
      </c>
      <c r="G487" s="64">
        <f>8.7552 * CHOOSE(CONTROL!$C$22, $C$13, 100%, $E$13)</f>
        <v>8.7552000000000003</v>
      </c>
      <c r="H487" s="64">
        <f>15.0214* CHOOSE(CONTROL!$C$22, $C$13, 100%, $E$13)</f>
        <v>15.0214</v>
      </c>
      <c r="I487" s="64">
        <f>15.023 * CHOOSE(CONTROL!$C$22, $C$13, 100%, $E$13)</f>
        <v>15.023</v>
      </c>
      <c r="J487" s="64">
        <f>8.7537 * CHOOSE(CONTROL!$C$22, $C$13, 100%, $E$13)</f>
        <v>8.7537000000000003</v>
      </c>
      <c r="K487" s="64">
        <f>8.7552 * CHOOSE(CONTROL!$C$22, $C$13, 100%, $E$13)</f>
        <v>8.7552000000000003</v>
      </c>
    </row>
    <row r="488" spans="1:11" ht="15">
      <c r="A488" s="13">
        <v>56493</v>
      </c>
      <c r="B488" s="63">
        <f>7.5483 * CHOOSE(CONTROL!$C$22, $C$13, 100%, $E$13)</f>
        <v>7.5483000000000002</v>
      </c>
      <c r="C488" s="63">
        <f>7.5483 * CHOOSE(CONTROL!$C$22, $C$13, 100%, $E$13)</f>
        <v>7.5483000000000002</v>
      </c>
      <c r="D488" s="63">
        <f>7.5727 * CHOOSE(CONTROL!$C$22, $C$13, 100%, $E$13)</f>
        <v>7.5727000000000002</v>
      </c>
      <c r="E488" s="64">
        <f>8.7416 * CHOOSE(CONTROL!$C$22, $C$13, 100%, $E$13)</f>
        <v>8.7416</v>
      </c>
      <c r="F488" s="64">
        <f>8.7416 * CHOOSE(CONTROL!$C$22, $C$13, 100%, $E$13)</f>
        <v>8.7416</v>
      </c>
      <c r="G488" s="64">
        <f>8.7432 * CHOOSE(CONTROL!$C$22, $C$13, 100%, $E$13)</f>
        <v>8.7431999999999999</v>
      </c>
      <c r="H488" s="64">
        <f>15.0527* CHOOSE(CONTROL!$C$22, $C$13, 100%, $E$13)</f>
        <v>15.0527</v>
      </c>
      <c r="I488" s="64">
        <f>15.0543 * CHOOSE(CONTROL!$C$22, $C$13, 100%, $E$13)</f>
        <v>15.0543</v>
      </c>
      <c r="J488" s="64">
        <f>8.7416 * CHOOSE(CONTROL!$C$22, $C$13, 100%, $E$13)</f>
        <v>8.7416</v>
      </c>
      <c r="K488" s="64">
        <f>8.7432 * CHOOSE(CONTROL!$C$22, $C$13, 100%, $E$13)</f>
        <v>8.7431999999999999</v>
      </c>
    </row>
    <row r="489" spans="1:11" ht="15">
      <c r="A489" s="13">
        <v>56523</v>
      </c>
      <c r="B489" s="63">
        <f>7.5554 * CHOOSE(CONTROL!$C$22, $C$13, 100%, $E$13)</f>
        <v>7.5553999999999997</v>
      </c>
      <c r="C489" s="63">
        <f>7.5554 * CHOOSE(CONTROL!$C$22, $C$13, 100%, $E$13)</f>
        <v>7.5553999999999997</v>
      </c>
      <c r="D489" s="63">
        <f>7.5676 * CHOOSE(CONTROL!$C$22, $C$13, 100%, $E$13)</f>
        <v>7.5675999999999997</v>
      </c>
      <c r="E489" s="64">
        <f>8.768 * CHOOSE(CONTROL!$C$22, $C$13, 100%, $E$13)</f>
        <v>8.7680000000000007</v>
      </c>
      <c r="F489" s="64">
        <f>8.768 * CHOOSE(CONTROL!$C$22, $C$13, 100%, $E$13)</f>
        <v>8.7680000000000007</v>
      </c>
      <c r="G489" s="64">
        <f>8.7682 * CHOOSE(CONTROL!$C$22, $C$13, 100%, $E$13)</f>
        <v>8.7682000000000002</v>
      </c>
      <c r="H489" s="64">
        <f>15.0841* CHOOSE(CONTROL!$C$22, $C$13, 100%, $E$13)</f>
        <v>15.084099999999999</v>
      </c>
      <c r="I489" s="64">
        <f>15.0842 * CHOOSE(CONTROL!$C$22, $C$13, 100%, $E$13)</f>
        <v>15.084199999999999</v>
      </c>
      <c r="J489" s="64">
        <f>8.768 * CHOOSE(CONTROL!$C$22, $C$13, 100%, $E$13)</f>
        <v>8.7680000000000007</v>
      </c>
      <c r="K489" s="64">
        <f>8.7682 * CHOOSE(CONTROL!$C$22, $C$13, 100%, $E$13)</f>
        <v>8.7682000000000002</v>
      </c>
    </row>
    <row r="490" spans="1:11" ht="15">
      <c r="A490" s="13">
        <v>56554</v>
      </c>
      <c r="B490" s="63">
        <f>7.5584 * CHOOSE(CONTROL!$C$22, $C$13, 100%, $E$13)</f>
        <v>7.5583999999999998</v>
      </c>
      <c r="C490" s="63">
        <f>7.5584 * CHOOSE(CONTROL!$C$22, $C$13, 100%, $E$13)</f>
        <v>7.5583999999999998</v>
      </c>
      <c r="D490" s="63">
        <f>7.5706 * CHOOSE(CONTROL!$C$22, $C$13, 100%, $E$13)</f>
        <v>7.5705999999999998</v>
      </c>
      <c r="E490" s="64">
        <f>8.7901 * CHOOSE(CONTROL!$C$22, $C$13, 100%, $E$13)</f>
        <v>8.7901000000000007</v>
      </c>
      <c r="F490" s="64">
        <f>8.7901 * CHOOSE(CONTROL!$C$22, $C$13, 100%, $E$13)</f>
        <v>8.7901000000000007</v>
      </c>
      <c r="G490" s="64">
        <f>8.7902 * CHOOSE(CONTROL!$C$22, $C$13, 100%, $E$13)</f>
        <v>8.7902000000000005</v>
      </c>
      <c r="H490" s="64">
        <f>15.1155* CHOOSE(CONTROL!$C$22, $C$13, 100%, $E$13)</f>
        <v>15.115500000000001</v>
      </c>
      <c r="I490" s="64">
        <f>15.1157 * CHOOSE(CONTROL!$C$22, $C$13, 100%, $E$13)</f>
        <v>15.1157</v>
      </c>
      <c r="J490" s="64">
        <f>8.7901 * CHOOSE(CONTROL!$C$22, $C$13, 100%, $E$13)</f>
        <v>8.7901000000000007</v>
      </c>
      <c r="K490" s="64">
        <f>8.7902 * CHOOSE(CONTROL!$C$22, $C$13, 100%, $E$13)</f>
        <v>8.7902000000000005</v>
      </c>
    </row>
    <row r="491" spans="1:11" ht="15">
      <c r="A491" s="13">
        <v>56584</v>
      </c>
      <c r="B491" s="63">
        <f>7.5584 * CHOOSE(CONTROL!$C$22, $C$13, 100%, $E$13)</f>
        <v>7.5583999999999998</v>
      </c>
      <c r="C491" s="63">
        <f>7.5584 * CHOOSE(CONTROL!$C$22, $C$13, 100%, $E$13)</f>
        <v>7.5583999999999998</v>
      </c>
      <c r="D491" s="63">
        <f>7.5706 * CHOOSE(CONTROL!$C$22, $C$13, 100%, $E$13)</f>
        <v>7.5705999999999998</v>
      </c>
      <c r="E491" s="64">
        <f>8.7403 * CHOOSE(CONTROL!$C$22, $C$13, 100%, $E$13)</f>
        <v>8.7402999999999995</v>
      </c>
      <c r="F491" s="64">
        <f>8.7403 * CHOOSE(CONTROL!$C$22, $C$13, 100%, $E$13)</f>
        <v>8.7402999999999995</v>
      </c>
      <c r="G491" s="64">
        <f>8.7404 * CHOOSE(CONTROL!$C$22, $C$13, 100%, $E$13)</f>
        <v>8.7403999999999993</v>
      </c>
      <c r="H491" s="64">
        <f>15.147* CHOOSE(CONTROL!$C$22, $C$13, 100%, $E$13)</f>
        <v>15.147</v>
      </c>
      <c r="I491" s="64">
        <f>15.1472 * CHOOSE(CONTROL!$C$22, $C$13, 100%, $E$13)</f>
        <v>15.1472</v>
      </c>
      <c r="J491" s="64">
        <f>8.7403 * CHOOSE(CONTROL!$C$22, $C$13, 100%, $E$13)</f>
        <v>8.7402999999999995</v>
      </c>
      <c r="K491" s="64">
        <f>8.7404 * CHOOSE(CONTROL!$C$22, $C$13, 100%, $E$13)</f>
        <v>8.7403999999999993</v>
      </c>
    </row>
    <row r="492" spans="1:11" ht="15">
      <c r="A492" s="13">
        <v>56615</v>
      </c>
      <c r="B492" s="63">
        <f>7.6256 * CHOOSE(CONTROL!$C$22, $C$13, 100%, $E$13)</f>
        <v>7.6256000000000004</v>
      </c>
      <c r="C492" s="63">
        <f>7.6256 * CHOOSE(CONTROL!$C$22, $C$13, 100%, $E$13)</f>
        <v>7.6256000000000004</v>
      </c>
      <c r="D492" s="63">
        <f>7.6378 * CHOOSE(CONTROL!$C$22, $C$13, 100%, $E$13)</f>
        <v>7.6378000000000004</v>
      </c>
      <c r="E492" s="64">
        <f>8.8543 * CHOOSE(CONTROL!$C$22, $C$13, 100%, $E$13)</f>
        <v>8.8543000000000003</v>
      </c>
      <c r="F492" s="64">
        <f>8.8543 * CHOOSE(CONTROL!$C$22, $C$13, 100%, $E$13)</f>
        <v>8.8543000000000003</v>
      </c>
      <c r="G492" s="64">
        <f>8.8545 * CHOOSE(CONTROL!$C$22, $C$13, 100%, $E$13)</f>
        <v>8.8544999999999998</v>
      </c>
      <c r="H492" s="64">
        <f>15.1785* CHOOSE(CONTROL!$C$22, $C$13, 100%, $E$13)</f>
        <v>15.1785</v>
      </c>
      <c r="I492" s="64">
        <f>15.1787 * CHOOSE(CONTROL!$C$22, $C$13, 100%, $E$13)</f>
        <v>15.178699999999999</v>
      </c>
      <c r="J492" s="64">
        <f>8.8543 * CHOOSE(CONTROL!$C$22, $C$13, 100%, $E$13)</f>
        <v>8.8543000000000003</v>
      </c>
      <c r="K492" s="64">
        <f>8.8545 * CHOOSE(CONTROL!$C$22, $C$13, 100%, $E$13)</f>
        <v>8.8544999999999998</v>
      </c>
    </row>
    <row r="493" spans="1:11" ht="15">
      <c r="A493" s="13">
        <v>56646</v>
      </c>
      <c r="B493" s="63">
        <f>7.6226 * CHOOSE(CONTROL!$C$22, $C$13, 100%, $E$13)</f>
        <v>7.6226000000000003</v>
      </c>
      <c r="C493" s="63">
        <f>7.6226 * CHOOSE(CONTROL!$C$22, $C$13, 100%, $E$13)</f>
        <v>7.6226000000000003</v>
      </c>
      <c r="D493" s="63">
        <f>7.6348 * CHOOSE(CONTROL!$C$22, $C$13, 100%, $E$13)</f>
        <v>7.6348000000000003</v>
      </c>
      <c r="E493" s="64">
        <f>8.7555 * CHOOSE(CONTROL!$C$22, $C$13, 100%, $E$13)</f>
        <v>8.7554999999999996</v>
      </c>
      <c r="F493" s="64">
        <f>8.7555 * CHOOSE(CONTROL!$C$22, $C$13, 100%, $E$13)</f>
        <v>8.7554999999999996</v>
      </c>
      <c r="G493" s="64">
        <f>8.7557 * CHOOSE(CONTROL!$C$22, $C$13, 100%, $E$13)</f>
        <v>8.7556999999999992</v>
      </c>
      <c r="H493" s="64">
        <f>15.2102* CHOOSE(CONTROL!$C$22, $C$13, 100%, $E$13)</f>
        <v>15.2102</v>
      </c>
      <c r="I493" s="64">
        <f>15.2103 * CHOOSE(CONTROL!$C$22, $C$13, 100%, $E$13)</f>
        <v>15.2103</v>
      </c>
      <c r="J493" s="64">
        <f>8.7555 * CHOOSE(CONTROL!$C$22, $C$13, 100%, $E$13)</f>
        <v>8.7554999999999996</v>
      </c>
      <c r="K493" s="64">
        <f>8.7557 * CHOOSE(CONTROL!$C$22, $C$13, 100%, $E$13)</f>
        <v>8.7556999999999992</v>
      </c>
    </row>
    <row r="494" spans="1:11" ht="15">
      <c r="A494" s="13">
        <v>56674</v>
      </c>
      <c r="B494" s="63">
        <f>7.6195 * CHOOSE(CONTROL!$C$22, $C$13, 100%, $E$13)</f>
        <v>7.6195000000000004</v>
      </c>
      <c r="C494" s="63">
        <f>7.6195 * CHOOSE(CONTROL!$C$22, $C$13, 100%, $E$13)</f>
        <v>7.6195000000000004</v>
      </c>
      <c r="D494" s="63">
        <f>7.6317 * CHOOSE(CONTROL!$C$22, $C$13, 100%, $E$13)</f>
        <v>7.6317000000000004</v>
      </c>
      <c r="E494" s="64">
        <f>8.8296 * CHOOSE(CONTROL!$C$22, $C$13, 100%, $E$13)</f>
        <v>8.8295999999999992</v>
      </c>
      <c r="F494" s="64">
        <f>8.8296 * CHOOSE(CONTROL!$C$22, $C$13, 100%, $E$13)</f>
        <v>8.8295999999999992</v>
      </c>
      <c r="G494" s="64">
        <f>8.8298 * CHOOSE(CONTROL!$C$22, $C$13, 100%, $E$13)</f>
        <v>8.8298000000000005</v>
      </c>
      <c r="H494" s="64">
        <f>15.2419* CHOOSE(CONTROL!$C$22, $C$13, 100%, $E$13)</f>
        <v>15.241899999999999</v>
      </c>
      <c r="I494" s="64">
        <f>15.242 * CHOOSE(CONTROL!$C$22, $C$13, 100%, $E$13)</f>
        <v>15.242000000000001</v>
      </c>
      <c r="J494" s="64">
        <f>8.8296 * CHOOSE(CONTROL!$C$22, $C$13, 100%, $E$13)</f>
        <v>8.8295999999999992</v>
      </c>
      <c r="K494" s="64">
        <f>8.8298 * CHOOSE(CONTROL!$C$22, $C$13, 100%, $E$13)</f>
        <v>8.8298000000000005</v>
      </c>
    </row>
    <row r="495" spans="1:11" ht="15">
      <c r="A495" s="13">
        <v>56705</v>
      </c>
      <c r="B495" s="63">
        <f>7.6204 * CHOOSE(CONTROL!$C$22, $C$13, 100%, $E$13)</f>
        <v>7.6204000000000001</v>
      </c>
      <c r="C495" s="63">
        <f>7.6204 * CHOOSE(CONTROL!$C$22, $C$13, 100%, $E$13)</f>
        <v>7.6204000000000001</v>
      </c>
      <c r="D495" s="63">
        <f>7.6326 * CHOOSE(CONTROL!$C$22, $C$13, 100%, $E$13)</f>
        <v>7.6326000000000001</v>
      </c>
      <c r="E495" s="64">
        <f>8.9073 * CHOOSE(CONTROL!$C$22, $C$13, 100%, $E$13)</f>
        <v>8.9072999999999993</v>
      </c>
      <c r="F495" s="64">
        <f>8.9073 * CHOOSE(CONTROL!$C$22, $C$13, 100%, $E$13)</f>
        <v>8.9072999999999993</v>
      </c>
      <c r="G495" s="64">
        <f>8.9075 * CHOOSE(CONTROL!$C$22, $C$13, 100%, $E$13)</f>
        <v>8.9075000000000006</v>
      </c>
      <c r="H495" s="64">
        <f>15.2736* CHOOSE(CONTROL!$C$22, $C$13, 100%, $E$13)</f>
        <v>15.2736</v>
      </c>
      <c r="I495" s="64">
        <f>15.2738 * CHOOSE(CONTROL!$C$22, $C$13, 100%, $E$13)</f>
        <v>15.2738</v>
      </c>
      <c r="J495" s="64">
        <f>8.9073 * CHOOSE(CONTROL!$C$22, $C$13, 100%, $E$13)</f>
        <v>8.9072999999999993</v>
      </c>
      <c r="K495" s="64">
        <f>8.9075 * CHOOSE(CONTROL!$C$22, $C$13, 100%, $E$13)</f>
        <v>8.9075000000000006</v>
      </c>
    </row>
    <row r="496" spans="1:11" ht="15">
      <c r="A496" s="13">
        <v>56735</v>
      </c>
      <c r="B496" s="63">
        <f>7.6204 * CHOOSE(CONTROL!$C$22, $C$13, 100%, $E$13)</f>
        <v>7.6204000000000001</v>
      </c>
      <c r="C496" s="63">
        <f>7.6204 * CHOOSE(CONTROL!$C$22, $C$13, 100%, $E$13)</f>
        <v>7.6204000000000001</v>
      </c>
      <c r="D496" s="63">
        <f>7.6448 * CHOOSE(CONTROL!$C$22, $C$13, 100%, $E$13)</f>
        <v>7.6448</v>
      </c>
      <c r="E496" s="64">
        <f>8.938 * CHOOSE(CONTROL!$C$22, $C$13, 100%, $E$13)</f>
        <v>8.9380000000000006</v>
      </c>
      <c r="F496" s="64">
        <f>8.938 * CHOOSE(CONTROL!$C$22, $C$13, 100%, $E$13)</f>
        <v>8.9380000000000006</v>
      </c>
      <c r="G496" s="64">
        <f>8.9396 * CHOOSE(CONTROL!$C$22, $C$13, 100%, $E$13)</f>
        <v>8.9396000000000004</v>
      </c>
      <c r="H496" s="64">
        <f>15.3054* CHOOSE(CONTROL!$C$22, $C$13, 100%, $E$13)</f>
        <v>15.305400000000001</v>
      </c>
      <c r="I496" s="64">
        <f>15.307 * CHOOSE(CONTROL!$C$22, $C$13, 100%, $E$13)</f>
        <v>15.307</v>
      </c>
      <c r="J496" s="64">
        <f>8.938 * CHOOSE(CONTROL!$C$22, $C$13, 100%, $E$13)</f>
        <v>8.9380000000000006</v>
      </c>
      <c r="K496" s="64">
        <f>8.9396 * CHOOSE(CONTROL!$C$22, $C$13, 100%, $E$13)</f>
        <v>8.9396000000000004</v>
      </c>
    </row>
    <row r="497" spans="1:11" ht="15">
      <c r="A497" s="13">
        <v>56766</v>
      </c>
      <c r="B497" s="63">
        <f>7.6264 * CHOOSE(CONTROL!$C$22, $C$13, 100%, $E$13)</f>
        <v>7.6264000000000003</v>
      </c>
      <c r="C497" s="63">
        <f>7.6264 * CHOOSE(CONTROL!$C$22, $C$13, 100%, $E$13)</f>
        <v>7.6264000000000003</v>
      </c>
      <c r="D497" s="63">
        <f>7.6509 * CHOOSE(CONTROL!$C$22, $C$13, 100%, $E$13)</f>
        <v>7.6509</v>
      </c>
      <c r="E497" s="64">
        <f>8.9115 * CHOOSE(CONTROL!$C$22, $C$13, 100%, $E$13)</f>
        <v>8.9115000000000002</v>
      </c>
      <c r="F497" s="64">
        <f>8.9115 * CHOOSE(CONTROL!$C$22, $C$13, 100%, $E$13)</f>
        <v>8.9115000000000002</v>
      </c>
      <c r="G497" s="64">
        <f>8.9131 * CHOOSE(CONTROL!$C$22, $C$13, 100%, $E$13)</f>
        <v>8.9131</v>
      </c>
      <c r="H497" s="64">
        <f>15.3373* CHOOSE(CONTROL!$C$22, $C$13, 100%, $E$13)</f>
        <v>15.337300000000001</v>
      </c>
      <c r="I497" s="64">
        <f>15.3389 * CHOOSE(CONTROL!$C$22, $C$13, 100%, $E$13)</f>
        <v>15.338900000000001</v>
      </c>
      <c r="J497" s="64">
        <f>8.9115 * CHOOSE(CONTROL!$C$22, $C$13, 100%, $E$13)</f>
        <v>8.9115000000000002</v>
      </c>
      <c r="K497" s="64">
        <f>8.9131 * CHOOSE(CONTROL!$C$22, $C$13, 100%, $E$13)</f>
        <v>8.9131</v>
      </c>
    </row>
    <row r="498" spans="1:11" ht="15">
      <c r="A498" s="13">
        <v>56796</v>
      </c>
      <c r="B498" s="63">
        <f>7.7506 * CHOOSE(CONTROL!$C$22, $C$13, 100%, $E$13)</f>
        <v>7.7506000000000004</v>
      </c>
      <c r="C498" s="63">
        <f>7.7506 * CHOOSE(CONTROL!$C$22, $C$13, 100%, $E$13)</f>
        <v>7.7506000000000004</v>
      </c>
      <c r="D498" s="63">
        <f>7.775 * CHOOSE(CONTROL!$C$22, $C$13, 100%, $E$13)</f>
        <v>7.7750000000000004</v>
      </c>
      <c r="E498" s="64">
        <f>9.0859 * CHOOSE(CONTROL!$C$22, $C$13, 100%, $E$13)</f>
        <v>9.0859000000000005</v>
      </c>
      <c r="F498" s="64">
        <f>9.0859 * CHOOSE(CONTROL!$C$22, $C$13, 100%, $E$13)</f>
        <v>9.0859000000000005</v>
      </c>
      <c r="G498" s="64">
        <f>9.0874 * CHOOSE(CONTROL!$C$22, $C$13, 100%, $E$13)</f>
        <v>9.0874000000000006</v>
      </c>
      <c r="H498" s="64">
        <f>15.3693* CHOOSE(CONTROL!$C$22, $C$13, 100%, $E$13)</f>
        <v>15.369300000000001</v>
      </c>
      <c r="I498" s="64">
        <f>15.3708 * CHOOSE(CONTROL!$C$22, $C$13, 100%, $E$13)</f>
        <v>15.370799999999999</v>
      </c>
      <c r="J498" s="64">
        <f>9.0859 * CHOOSE(CONTROL!$C$22, $C$13, 100%, $E$13)</f>
        <v>9.0859000000000005</v>
      </c>
      <c r="K498" s="64">
        <f>9.0874 * CHOOSE(CONTROL!$C$22, $C$13, 100%, $E$13)</f>
        <v>9.0874000000000006</v>
      </c>
    </row>
    <row r="499" spans="1:11" ht="15">
      <c r="A499" s="13">
        <v>56827</v>
      </c>
      <c r="B499" s="63">
        <f>7.7573 * CHOOSE(CONTROL!$C$22, $C$13, 100%, $E$13)</f>
        <v>7.7572999999999999</v>
      </c>
      <c r="C499" s="63">
        <f>7.7573 * CHOOSE(CONTROL!$C$22, $C$13, 100%, $E$13)</f>
        <v>7.7572999999999999</v>
      </c>
      <c r="D499" s="63">
        <f>7.7817 * CHOOSE(CONTROL!$C$22, $C$13, 100%, $E$13)</f>
        <v>7.7816999999999998</v>
      </c>
      <c r="E499" s="64">
        <f>8.9984 * CHOOSE(CONTROL!$C$22, $C$13, 100%, $E$13)</f>
        <v>8.9984000000000002</v>
      </c>
      <c r="F499" s="64">
        <f>8.9984 * CHOOSE(CONTROL!$C$22, $C$13, 100%, $E$13)</f>
        <v>8.9984000000000002</v>
      </c>
      <c r="G499" s="64">
        <f>8.9999 * CHOOSE(CONTROL!$C$22, $C$13, 100%, $E$13)</f>
        <v>8.9999000000000002</v>
      </c>
      <c r="H499" s="64">
        <f>15.4013* CHOOSE(CONTROL!$C$22, $C$13, 100%, $E$13)</f>
        <v>15.401300000000001</v>
      </c>
      <c r="I499" s="64">
        <f>15.4028 * CHOOSE(CONTROL!$C$22, $C$13, 100%, $E$13)</f>
        <v>15.402799999999999</v>
      </c>
      <c r="J499" s="64">
        <f>8.9984 * CHOOSE(CONTROL!$C$22, $C$13, 100%, $E$13)</f>
        <v>8.9984000000000002</v>
      </c>
      <c r="K499" s="64">
        <f>8.9999 * CHOOSE(CONTROL!$C$22, $C$13, 100%, $E$13)</f>
        <v>8.9999000000000002</v>
      </c>
    </row>
    <row r="500" spans="1:11" ht="15">
      <c r="A500" s="13">
        <v>56858</v>
      </c>
      <c r="B500" s="63">
        <f>7.7542 * CHOOSE(CONTROL!$C$22, $C$13, 100%, $E$13)</f>
        <v>7.7542</v>
      </c>
      <c r="C500" s="63">
        <f>7.7542 * CHOOSE(CONTROL!$C$22, $C$13, 100%, $E$13)</f>
        <v>7.7542</v>
      </c>
      <c r="D500" s="63">
        <f>7.7786 * CHOOSE(CONTROL!$C$22, $C$13, 100%, $E$13)</f>
        <v>7.7786</v>
      </c>
      <c r="E500" s="64">
        <f>8.986 * CHOOSE(CONTROL!$C$22, $C$13, 100%, $E$13)</f>
        <v>8.9860000000000007</v>
      </c>
      <c r="F500" s="64">
        <f>8.986 * CHOOSE(CONTROL!$C$22, $C$13, 100%, $E$13)</f>
        <v>8.9860000000000007</v>
      </c>
      <c r="G500" s="64">
        <f>8.9876 * CHOOSE(CONTROL!$C$22, $C$13, 100%, $E$13)</f>
        <v>8.9876000000000005</v>
      </c>
      <c r="H500" s="64">
        <f>15.4334* CHOOSE(CONTROL!$C$22, $C$13, 100%, $E$13)</f>
        <v>15.433400000000001</v>
      </c>
      <c r="I500" s="64">
        <f>15.4349 * CHOOSE(CONTROL!$C$22, $C$13, 100%, $E$13)</f>
        <v>15.434900000000001</v>
      </c>
      <c r="J500" s="64">
        <f>8.986 * CHOOSE(CONTROL!$C$22, $C$13, 100%, $E$13)</f>
        <v>8.9860000000000007</v>
      </c>
      <c r="K500" s="64">
        <f>8.9876 * CHOOSE(CONTROL!$C$22, $C$13, 100%, $E$13)</f>
        <v>8.9876000000000005</v>
      </c>
    </row>
    <row r="501" spans="1:11" ht="15">
      <c r="A501" s="13">
        <v>56888</v>
      </c>
      <c r="B501" s="63">
        <f>7.762 * CHOOSE(CONTROL!$C$22, $C$13, 100%, $E$13)</f>
        <v>7.7619999999999996</v>
      </c>
      <c r="C501" s="63">
        <f>7.762 * CHOOSE(CONTROL!$C$22, $C$13, 100%, $E$13)</f>
        <v>7.7619999999999996</v>
      </c>
      <c r="D501" s="63">
        <f>7.7742 * CHOOSE(CONTROL!$C$22, $C$13, 100%, $E$13)</f>
        <v>7.7742000000000004</v>
      </c>
      <c r="E501" s="64">
        <f>9.0135 * CHOOSE(CONTROL!$C$22, $C$13, 100%, $E$13)</f>
        <v>9.0135000000000005</v>
      </c>
      <c r="F501" s="64">
        <f>9.0135 * CHOOSE(CONTROL!$C$22, $C$13, 100%, $E$13)</f>
        <v>9.0135000000000005</v>
      </c>
      <c r="G501" s="64">
        <f>9.0137 * CHOOSE(CONTROL!$C$22, $C$13, 100%, $E$13)</f>
        <v>9.0137</v>
      </c>
      <c r="H501" s="64">
        <f>15.4655* CHOOSE(CONTROL!$C$22, $C$13, 100%, $E$13)</f>
        <v>15.4655</v>
      </c>
      <c r="I501" s="64">
        <f>15.4657 * CHOOSE(CONTROL!$C$22, $C$13, 100%, $E$13)</f>
        <v>15.4657</v>
      </c>
      <c r="J501" s="64">
        <f>9.0135 * CHOOSE(CONTROL!$C$22, $C$13, 100%, $E$13)</f>
        <v>9.0135000000000005</v>
      </c>
      <c r="K501" s="64">
        <f>9.0137 * CHOOSE(CONTROL!$C$22, $C$13, 100%, $E$13)</f>
        <v>9.0137</v>
      </c>
    </row>
    <row r="502" spans="1:11" ht="15">
      <c r="A502" s="13">
        <v>56919</v>
      </c>
      <c r="B502" s="63">
        <f>7.765 * CHOOSE(CONTROL!$C$22, $C$13, 100%, $E$13)</f>
        <v>7.7649999999999997</v>
      </c>
      <c r="C502" s="63">
        <f>7.765 * CHOOSE(CONTROL!$C$22, $C$13, 100%, $E$13)</f>
        <v>7.7649999999999997</v>
      </c>
      <c r="D502" s="63">
        <f>7.7772 * CHOOSE(CONTROL!$C$22, $C$13, 100%, $E$13)</f>
        <v>7.7771999999999997</v>
      </c>
      <c r="E502" s="64">
        <f>9.0361 * CHOOSE(CONTROL!$C$22, $C$13, 100%, $E$13)</f>
        <v>9.0360999999999994</v>
      </c>
      <c r="F502" s="64">
        <f>9.0361 * CHOOSE(CONTROL!$C$22, $C$13, 100%, $E$13)</f>
        <v>9.0360999999999994</v>
      </c>
      <c r="G502" s="64">
        <f>9.0363 * CHOOSE(CONTROL!$C$22, $C$13, 100%, $E$13)</f>
        <v>9.0363000000000007</v>
      </c>
      <c r="H502" s="64">
        <f>15.4977* CHOOSE(CONTROL!$C$22, $C$13, 100%, $E$13)</f>
        <v>15.4977</v>
      </c>
      <c r="I502" s="64">
        <f>15.4979 * CHOOSE(CONTROL!$C$22, $C$13, 100%, $E$13)</f>
        <v>15.4979</v>
      </c>
      <c r="J502" s="64">
        <f>9.0361 * CHOOSE(CONTROL!$C$22, $C$13, 100%, $E$13)</f>
        <v>9.0360999999999994</v>
      </c>
      <c r="K502" s="64">
        <f>9.0363 * CHOOSE(CONTROL!$C$22, $C$13, 100%, $E$13)</f>
        <v>9.0363000000000007</v>
      </c>
    </row>
    <row r="503" spans="1:11" ht="15">
      <c r="A503" s="13">
        <v>56949</v>
      </c>
      <c r="B503" s="63">
        <f>7.765 * CHOOSE(CONTROL!$C$22, $C$13, 100%, $E$13)</f>
        <v>7.7649999999999997</v>
      </c>
      <c r="C503" s="63">
        <f>7.765 * CHOOSE(CONTROL!$C$22, $C$13, 100%, $E$13)</f>
        <v>7.7649999999999997</v>
      </c>
      <c r="D503" s="63">
        <f>7.7772 * CHOOSE(CONTROL!$C$22, $C$13, 100%, $E$13)</f>
        <v>7.7771999999999997</v>
      </c>
      <c r="E503" s="64">
        <f>8.9849 * CHOOSE(CONTROL!$C$22, $C$13, 100%, $E$13)</f>
        <v>8.9848999999999997</v>
      </c>
      <c r="F503" s="64">
        <f>8.9849 * CHOOSE(CONTROL!$C$22, $C$13, 100%, $E$13)</f>
        <v>8.9848999999999997</v>
      </c>
      <c r="G503" s="64">
        <f>8.9851 * CHOOSE(CONTROL!$C$22, $C$13, 100%, $E$13)</f>
        <v>8.9850999999999992</v>
      </c>
      <c r="H503" s="64">
        <f>15.53* CHOOSE(CONTROL!$C$22, $C$13, 100%, $E$13)</f>
        <v>15.53</v>
      </c>
      <c r="I503" s="64">
        <f>15.5302 * CHOOSE(CONTROL!$C$22, $C$13, 100%, $E$13)</f>
        <v>15.530200000000001</v>
      </c>
      <c r="J503" s="64">
        <f>8.9849 * CHOOSE(CONTROL!$C$22, $C$13, 100%, $E$13)</f>
        <v>8.9848999999999997</v>
      </c>
      <c r="K503" s="64">
        <f>8.9851 * CHOOSE(CONTROL!$C$22, $C$13, 100%, $E$13)</f>
        <v>8.9850999999999992</v>
      </c>
    </row>
    <row r="504" spans="1:11" ht="15">
      <c r="A504" s="13">
        <v>56980</v>
      </c>
      <c r="B504" s="63">
        <f>7.8339 * CHOOSE(CONTROL!$C$22, $C$13, 100%, $E$13)</f>
        <v>7.8338999999999999</v>
      </c>
      <c r="C504" s="63">
        <f>7.8339 * CHOOSE(CONTROL!$C$22, $C$13, 100%, $E$13)</f>
        <v>7.8338999999999999</v>
      </c>
      <c r="D504" s="63">
        <f>7.8462 * CHOOSE(CONTROL!$C$22, $C$13, 100%, $E$13)</f>
        <v>7.8461999999999996</v>
      </c>
      <c r="E504" s="64">
        <f>9.1021 * CHOOSE(CONTROL!$C$22, $C$13, 100%, $E$13)</f>
        <v>9.1021000000000001</v>
      </c>
      <c r="F504" s="64">
        <f>9.1021 * CHOOSE(CONTROL!$C$22, $C$13, 100%, $E$13)</f>
        <v>9.1021000000000001</v>
      </c>
      <c r="G504" s="64">
        <f>9.1023 * CHOOSE(CONTROL!$C$22, $C$13, 100%, $E$13)</f>
        <v>9.1022999999999996</v>
      </c>
      <c r="H504" s="64">
        <f>15.5624* CHOOSE(CONTROL!$C$22, $C$13, 100%, $E$13)</f>
        <v>15.5624</v>
      </c>
      <c r="I504" s="64">
        <f>15.5626 * CHOOSE(CONTROL!$C$22, $C$13, 100%, $E$13)</f>
        <v>15.5626</v>
      </c>
      <c r="J504" s="64">
        <f>9.1021 * CHOOSE(CONTROL!$C$22, $C$13, 100%, $E$13)</f>
        <v>9.1021000000000001</v>
      </c>
      <c r="K504" s="64">
        <f>9.1023 * CHOOSE(CONTROL!$C$22, $C$13, 100%, $E$13)</f>
        <v>9.1022999999999996</v>
      </c>
    </row>
    <row r="505" spans="1:11" ht="15">
      <c r="A505" s="13">
        <v>57011</v>
      </c>
      <c r="B505" s="63">
        <f>7.8309 * CHOOSE(CONTROL!$C$22, $C$13, 100%, $E$13)</f>
        <v>7.8308999999999997</v>
      </c>
      <c r="C505" s="63">
        <f>7.8309 * CHOOSE(CONTROL!$C$22, $C$13, 100%, $E$13)</f>
        <v>7.8308999999999997</v>
      </c>
      <c r="D505" s="63">
        <f>7.8431 * CHOOSE(CONTROL!$C$22, $C$13, 100%, $E$13)</f>
        <v>7.8430999999999997</v>
      </c>
      <c r="E505" s="64">
        <f>9.0005 * CHOOSE(CONTROL!$C$22, $C$13, 100%, $E$13)</f>
        <v>9.0005000000000006</v>
      </c>
      <c r="F505" s="64">
        <f>9.0005 * CHOOSE(CONTROL!$C$22, $C$13, 100%, $E$13)</f>
        <v>9.0005000000000006</v>
      </c>
      <c r="G505" s="64">
        <f>9.0007 * CHOOSE(CONTROL!$C$22, $C$13, 100%, $E$13)</f>
        <v>9.0007000000000001</v>
      </c>
      <c r="H505" s="64">
        <f>15.5948* CHOOSE(CONTROL!$C$22, $C$13, 100%, $E$13)</f>
        <v>15.594799999999999</v>
      </c>
      <c r="I505" s="64">
        <f>15.595 * CHOOSE(CONTROL!$C$22, $C$13, 100%, $E$13)</f>
        <v>15.595000000000001</v>
      </c>
      <c r="J505" s="64">
        <f>9.0005 * CHOOSE(CONTROL!$C$22, $C$13, 100%, $E$13)</f>
        <v>9.0005000000000006</v>
      </c>
      <c r="K505" s="64">
        <f>9.0007 * CHOOSE(CONTROL!$C$22, $C$13, 100%, $E$13)</f>
        <v>9.0007000000000001</v>
      </c>
    </row>
    <row r="506" spans="1:11" ht="15">
      <c r="A506" s="13">
        <v>57040</v>
      </c>
      <c r="B506" s="63">
        <f>7.8279 * CHOOSE(CONTROL!$C$22, $C$13, 100%, $E$13)</f>
        <v>7.8278999999999996</v>
      </c>
      <c r="C506" s="63">
        <f>7.8279 * CHOOSE(CONTROL!$C$22, $C$13, 100%, $E$13)</f>
        <v>7.8278999999999996</v>
      </c>
      <c r="D506" s="63">
        <f>7.8401 * CHOOSE(CONTROL!$C$22, $C$13, 100%, $E$13)</f>
        <v>7.8400999999999996</v>
      </c>
      <c r="E506" s="64">
        <f>9.0768 * CHOOSE(CONTROL!$C$22, $C$13, 100%, $E$13)</f>
        <v>9.0768000000000004</v>
      </c>
      <c r="F506" s="64">
        <f>9.0768 * CHOOSE(CONTROL!$C$22, $C$13, 100%, $E$13)</f>
        <v>9.0768000000000004</v>
      </c>
      <c r="G506" s="64">
        <f>9.077 * CHOOSE(CONTROL!$C$22, $C$13, 100%, $E$13)</f>
        <v>9.077</v>
      </c>
      <c r="H506" s="64">
        <f>15.6273* CHOOSE(CONTROL!$C$22, $C$13, 100%, $E$13)</f>
        <v>15.6273</v>
      </c>
      <c r="I506" s="64">
        <f>15.6275 * CHOOSE(CONTROL!$C$22, $C$13, 100%, $E$13)</f>
        <v>15.6275</v>
      </c>
      <c r="J506" s="64">
        <f>9.0768 * CHOOSE(CONTROL!$C$22, $C$13, 100%, $E$13)</f>
        <v>9.0768000000000004</v>
      </c>
      <c r="K506" s="64">
        <f>9.077 * CHOOSE(CONTROL!$C$22, $C$13, 100%, $E$13)</f>
        <v>9.077</v>
      </c>
    </row>
    <row r="507" spans="1:11" ht="15">
      <c r="A507" s="13">
        <v>57071</v>
      </c>
      <c r="B507" s="63">
        <f>7.8289 * CHOOSE(CONTROL!$C$22, $C$13, 100%, $E$13)</f>
        <v>7.8289</v>
      </c>
      <c r="C507" s="63">
        <f>7.8289 * CHOOSE(CONTROL!$C$22, $C$13, 100%, $E$13)</f>
        <v>7.8289</v>
      </c>
      <c r="D507" s="63">
        <f>7.8411 * CHOOSE(CONTROL!$C$22, $C$13, 100%, $E$13)</f>
        <v>7.8411</v>
      </c>
      <c r="E507" s="64">
        <f>9.1568 * CHOOSE(CONTROL!$C$22, $C$13, 100%, $E$13)</f>
        <v>9.1568000000000005</v>
      </c>
      <c r="F507" s="64">
        <f>9.1568 * CHOOSE(CONTROL!$C$22, $C$13, 100%, $E$13)</f>
        <v>9.1568000000000005</v>
      </c>
      <c r="G507" s="64">
        <f>9.157 * CHOOSE(CONTROL!$C$22, $C$13, 100%, $E$13)</f>
        <v>9.157</v>
      </c>
      <c r="H507" s="64">
        <f>15.6599* CHOOSE(CONTROL!$C$22, $C$13, 100%, $E$13)</f>
        <v>15.6599</v>
      </c>
      <c r="I507" s="64">
        <f>15.66 * CHOOSE(CONTROL!$C$22, $C$13, 100%, $E$13)</f>
        <v>15.66</v>
      </c>
      <c r="J507" s="64">
        <f>9.1568 * CHOOSE(CONTROL!$C$22, $C$13, 100%, $E$13)</f>
        <v>9.1568000000000005</v>
      </c>
      <c r="K507" s="64">
        <f>9.157 * CHOOSE(CONTROL!$C$22, $C$13, 100%, $E$13)</f>
        <v>9.157</v>
      </c>
    </row>
    <row r="508" spans="1:11" ht="15">
      <c r="A508" s="13">
        <v>57101</v>
      </c>
      <c r="B508" s="63">
        <f>7.8289 * CHOOSE(CONTROL!$C$22, $C$13, 100%, $E$13)</f>
        <v>7.8289</v>
      </c>
      <c r="C508" s="63">
        <f>7.8289 * CHOOSE(CONTROL!$C$22, $C$13, 100%, $E$13)</f>
        <v>7.8289</v>
      </c>
      <c r="D508" s="63">
        <f>7.8533 * CHOOSE(CONTROL!$C$22, $C$13, 100%, $E$13)</f>
        <v>7.8532999999999999</v>
      </c>
      <c r="E508" s="64">
        <f>9.1884 * CHOOSE(CONTROL!$C$22, $C$13, 100%, $E$13)</f>
        <v>9.1883999999999997</v>
      </c>
      <c r="F508" s="64">
        <f>9.1884 * CHOOSE(CONTROL!$C$22, $C$13, 100%, $E$13)</f>
        <v>9.1883999999999997</v>
      </c>
      <c r="G508" s="64">
        <f>9.19 * CHOOSE(CONTROL!$C$22, $C$13, 100%, $E$13)</f>
        <v>9.19</v>
      </c>
      <c r="H508" s="64">
        <f>15.6925* CHOOSE(CONTROL!$C$22, $C$13, 100%, $E$13)</f>
        <v>15.692500000000001</v>
      </c>
      <c r="I508" s="64">
        <f>15.694 * CHOOSE(CONTROL!$C$22, $C$13, 100%, $E$13)</f>
        <v>15.694000000000001</v>
      </c>
      <c r="J508" s="64">
        <f>9.1884 * CHOOSE(CONTROL!$C$22, $C$13, 100%, $E$13)</f>
        <v>9.1883999999999997</v>
      </c>
      <c r="K508" s="64">
        <f>9.19 * CHOOSE(CONTROL!$C$22, $C$13, 100%, $E$13)</f>
        <v>9.19</v>
      </c>
    </row>
    <row r="509" spans="1:11" ht="15">
      <c r="A509" s="13">
        <v>57132</v>
      </c>
      <c r="B509" s="63">
        <f>7.835 * CHOOSE(CONTROL!$C$22, $C$13, 100%, $E$13)</f>
        <v>7.835</v>
      </c>
      <c r="C509" s="63">
        <f>7.835 * CHOOSE(CONTROL!$C$22, $C$13, 100%, $E$13)</f>
        <v>7.835</v>
      </c>
      <c r="D509" s="63">
        <f>7.8594 * CHOOSE(CONTROL!$C$22, $C$13, 100%, $E$13)</f>
        <v>7.8593999999999999</v>
      </c>
      <c r="E509" s="64">
        <f>9.1611 * CHOOSE(CONTROL!$C$22, $C$13, 100%, $E$13)</f>
        <v>9.1610999999999994</v>
      </c>
      <c r="F509" s="64">
        <f>9.1611 * CHOOSE(CONTROL!$C$22, $C$13, 100%, $E$13)</f>
        <v>9.1610999999999994</v>
      </c>
      <c r="G509" s="64">
        <f>9.1626 * CHOOSE(CONTROL!$C$22, $C$13, 100%, $E$13)</f>
        <v>9.1625999999999994</v>
      </c>
      <c r="H509" s="64">
        <f>15.7252* CHOOSE(CONTROL!$C$22, $C$13, 100%, $E$13)</f>
        <v>15.725199999999999</v>
      </c>
      <c r="I509" s="64">
        <f>15.7267 * CHOOSE(CONTROL!$C$22, $C$13, 100%, $E$13)</f>
        <v>15.726699999999999</v>
      </c>
      <c r="J509" s="64">
        <f>9.1611 * CHOOSE(CONTROL!$C$22, $C$13, 100%, $E$13)</f>
        <v>9.1610999999999994</v>
      </c>
      <c r="K509" s="64">
        <f>9.1626 * CHOOSE(CONTROL!$C$22, $C$13, 100%, $E$13)</f>
        <v>9.1625999999999994</v>
      </c>
    </row>
    <row r="510" spans="1:11" ht="15">
      <c r="A510" s="13">
        <v>57162</v>
      </c>
      <c r="B510" s="63">
        <f>7.9622 * CHOOSE(CONTROL!$C$22, $C$13, 100%, $E$13)</f>
        <v>7.9622000000000002</v>
      </c>
      <c r="C510" s="63">
        <f>7.9622 * CHOOSE(CONTROL!$C$22, $C$13, 100%, $E$13)</f>
        <v>7.9622000000000002</v>
      </c>
      <c r="D510" s="63">
        <f>7.9866 * CHOOSE(CONTROL!$C$22, $C$13, 100%, $E$13)</f>
        <v>7.9866000000000001</v>
      </c>
      <c r="E510" s="64">
        <f>9.34 * CHOOSE(CONTROL!$C$22, $C$13, 100%, $E$13)</f>
        <v>9.34</v>
      </c>
      <c r="F510" s="64">
        <f>9.34 * CHOOSE(CONTROL!$C$22, $C$13, 100%, $E$13)</f>
        <v>9.34</v>
      </c>
      <c r="G510" s="64">
        <f>9.3415 * CHOOSE(CONTROL!$C$22, $C$13, 100%, $E$13)</f>
        <v>9.3414999999999999</v>
      </c>
      <c r="H510" s="64">
        <f>15.7579* CHOOSE(CONTROL!$C$22, $C$13, 100%, $E$13)</f>
        <v>15.757899999999999</v>
      </c>
      <c r="I510" s="64">
        <f>15.7595 * CHOOSE(CONTROL!$C$22, $C$13, 100%, $E$13)</f>
        <v>15.759499999999999</v>
      </c>
      <c r="J510" s="64">
        <f>9.34 * CHOOSE(CONTROL!$C$22, $C$13, 100%, $E$13)</f>
        <v>9.34</v>
      </c>
      <c r="K510" s="64">
        <f>9.3415 * CHOOSE(CONTROL!$C$22, $C$13, 100%, $E$13)</f>
        <v>9.3414999999999999</v>
      </c>
    </row>
    <row r="511" spans="1:11" ht="15">
      <c r="A511" s="13">
        <v>57193</v>
      </c>
      <c r="B511" s="63">
        <f>7.9689 * CHOOSE(CONTROL!$C$22, $C$13, 100%, $E$13)</f>
        <v>7.9688999999999997</v>
      </c>
      <c r="C511" s="63">
        <f>7.9689 * CHOOSE(CONTROL!$C$22, $C$13, 100%, $E$13)</f>
        <v>7.9688999999999997</v>
      </c>
      <c r="D511" s="63">
        <f>7.9933 * CHOOSE(CONTROL!$C$22, $C$13, 100%, $E$13)</f>
        <v>7.9932999999999996</v>
      </c>
      <c r="E511" s="64">
        <f>9.2499 * CHOOSE(CONTROL!$C$22, $C$13, 100%, $E$13)</f>
        <v>9.2499000000000002</v>
      </c>
      <c r="F511" s="64">
        <f>9.2499 * CHOOSE(CONTROL!$C$22, $C$13, 100%, $E$13)</f>
        <v>9.2499000000000002</v>
      </c>
      <c r="G511" s="64">
        <f>9.2515 * CHOOSE(CONTROL!$C$22, $C$13, 100%, $E$13)</f>
        <v>9.2515000000000001</v>
      </c>
      <c r="H511" s="64">
        <f>15.7908* CHOOSE(CONTROL!$C$22, $C$13, 100%, $E$13)</f>
        <v>15.790800000000001</v>
      </c>
      <c r="I511" s="64">
        <f>15.7923 * CHOOSE(CONTROL!$C$22, $C$13, 100%, $E$13)</f>
        <v>15.792299999999999</v>
      </c>
      <c r="J511" s="64">
        <f>9.2499 * CHOOSE(CONTROL!$C$22, $C$13, 100%, $E$13)</f>
        <v>9.2499000000000002</v>
      </c>
      <c r="K511" s="64">
        <f>9.2515 * CHOOSE(CONTROL!$C$22, $C$13, 100%, $E$13)</f>
        <v>9.2515000000000001</v>
      </c>
    </row>
    <row r="512" spans="1:11" ht="15">
      <c r="A512" s="13">
        <v>57224</v>
      </c>
      <c r="B512" s="63">
        <f>7.9658 * CHOOSE(CONTROL!$C$22, $C$13, 100%, $E$13)</f>
        <v>7.9657999999999998</v>
      </c>
      <c r="C512" s="63">
        <f>7.9658 * CHOOSE(CONTROL!$C$22, $C$13, 100%, $E$13)</f>
        <v>7.9657999999999998</v>
      </c>
      <c r="D512" s="63">
        <f>7.9903 * CHOOSE(CONTROL!$C$22, $C$13, 100%, $E$13)</f>
        <v>7.9903000000000004</v>
      </c>
      <c r="E512" s="64">
        <f>9.2372 * CHOOSE(CONTROL!$C$22, $C$13, 100%, $E$13)</f>
        <v>9.2371999999999996</v>
      </c>
      <c r="F512" s="64">
        <f>9.2372 * CHOOSE(CONTROL!$C$22, $C$13, 100%, $E$13)</f>
        <v>9.2371999999999996</v>
      </c>
      <c r="G512" s="64">
        <f>9.2388 * CHOOSE(CONTROL!$C$22, $C$13, 100%, $E$13)</f>
        <v>9.2387999999999995</v>
      </c>
      <c r="H512" s="64">
        <f>15.8237* CHOOSE(CONTROL!$C$22, $C$13, 100%, $E$13)</f>
        <v>15.823700000000001</v>
      </c>
      <c r="I512" s="64">
        <f>15.8252 * CHOOSE(CONTROL!$C$22, $C$13, 100%, $E$13)</f>
        <v>15.825200000000001</v>
      </c>
      <c r="J512" s="64">
        <f>9.2372 * CHOOSE(CONTROL!$C$22, $C$13, 100%, $E$13)</f>
        <v>9.2371999999999996</v>
      </c>
      <c r="K512" s="64">
        <f>9.2388 * CHOOSE(CONTROL!$C$22, $C$13, 100%, $E$13)</f>
        <v>9.2387999999999995</v>
      </c>
    </row>
    <row r="513" spans="1:11" ht="15">
      <c r="A513" s="13">
        <v>57254</v>
      </c>
      <c r="B513" s="63">
        <f>7.9743 * CHOOSE(CONTROL!$C$22, $C$13, 100%, $E$13)</f>
        <v>7.9743000000000004</v>
      </c>
      <c r="C513" s="63">
        <f>7.9743 * CHOOSE(CONTROL!$C$22, $C$13, 100%, $E$13)</f>
        <v>7.9743000000000004</v>
      </c>
      <c r="D513" s="63">
        <f>7.9865 * CHOOSE(CONTROL!$C$22, $C$13, 100%, $E$13)</f>
        <v>7.9865000000000004</v>
      </c>
      <c r="E513" s="64">
        <f>9.2659 * CHOOSE(CONTROL!$C$22, $C$13, 100%, $E$13)</f>
        <v>9.2659000000000002</v>
      </c>
      <c r="F513" s="64">
        <f>9.2659 * CHOOSE(CONTROL!$C$22, $C$13, 100%, $E$13)</f>
        <v>9.2659000000000002</v>
      </c>
      <c r="G513" s="64">
        <f>9.2661 * CHOOSE(CONTROL!$C$22, $C$13, 100%, $E$13)</f>
        <v>9.2660999999999998</v>
      </c>
      <c r="H513" s="64">
        <f>15.8566* CHOOSE(CONTROL!$C$22, $C$13, 100%, $E$13)</f>
        <v>15.8566</v>
      </c>
      <c r="I513" s="64">
        <f>15.8568 * CHOOSE(CONTROL!$C$22, $C$13, 100%, $E$13)</f>
        <v>15.8568</v>
      </c>
      <c r="J513" s="64">
        <f>9.2659 * CHOOSE(CONTROL!$C$22, $C$13, 100%, $E$13)</f>
        <v>9.2659000000000002</v>
      </c>
      <c r="K513" s="64">
        <f>9.2661 * CHOOSE(CONTROL!$C$22, $C$13, 100%, $E$13)</f>
        <v>9.2660999999999998</v>
      </c>
    </row>
    <row r="514" spans="1:11" ht="15">
      <c r="A514" s="13">
        <v>57285</v>
      </c>
      <c r="B514" s="63">
        <f>7.9773 * CHOOSE(CONTROL!$C$22, $C$13, 100%, $E$13)</f>
        <v>7.9772999999999996</v>
      </c>
      <c r="C514" s="63">
        <f>7.9773 * CHOOSE(CONTROL!$C$22, $C$13, 100%, $E$13)</f>
        <v>7.9772999999999996</v>
      </c>
      <c r="D514" s="63">
        <f>7.9895 * CHOOSE(CONTROL!$C$22, $C$13, 100%, $E$13)</f>
        <v>7.9894999999999996</v>
      </c>
      <c r="E514" s="64">
        <f>9.2891 * CHOOSE(CONTROL!$C$22, $C$13, 100%, $E$13)</f>
        <v>9.2890999999999995</v>
      </c>
      <c r="F514" s="64">
        <f>9.2891 * CHOOSE(CONTROL!$C$22, $C$13, 100%, $E$13)</f>
        <v>9.2890999999999995</v>
      </c>
      <c r="G514" s="64">
        <f>9.2893 * CHOOSE(CONTROL!$C$22, $C$13, 100%, $E$13)</f>
        <v>9.2893000000000008</v>
      </c>
      <c r="H514" s="64">
        <f>15.8897* CHOOSE(CONTROL!$C$22, $C$13, 100%, $E$13)</f>
        <v>15.889699999999999</v>
      </c>
      <c r="I514" s="64">
        <f>15.8898 * CHOOSE(CONTROL!$C$22, $C$13, 100%, $E$13)</f>
        <v>15.889799999999999</v>
      </c>
      <c r="J514" s="64">
        <f>9.2891 * CHOOSE(CONTROL!$C$22, $C$13, 100%, $E$13)</f>
        <v>9.2890999999999995</v>
      </c>
      <c r="K514" s="64">
        <f>9.2893 * CHOOSE(CONTROL!$C$22, $C$13, 100%, $E$13)</f>
        <v>9.2893000000000008</v>
      </c>
    </row>
    <row r="515" spans="1:11" ht="15">
      <c r="A515" s="13">
        <v>57315</v>
      </c>
      <c r="B515" s="63">
        <f>7.9773 * CHOOSE(CONTROL!$C$22, $C$13, 100%, $E$13)</f>
        <v>7.9772999999999996</v>
      </c>
      <c r="C515" s="63">
        <f>7.9773 * CHOOSE(CONTROL!$C$22, $C$13, 100%, $E$13)</f>
        <v>7.9772999999999996</v>
      </c>
      <c r="D515" s="63">
        <f>7.9895 * CHOOSE(CONTROL!$C$22, $C$13, 100%, $E$13)</f>
        <v>7.9894999999999996</v>
      </c>
      <c r="E515" s="64">
        <f>9.2365 * CHOOSE(CONTROL!$C$22, $C$13, 100%, $E$13)</f>
        <v>9.2364999999999995</v>
      </c>
      <c r="F515" s="64">
        <f>9.2365 * CHOOSE(CONTROL!$C$22, $C$13, 100%, $E$13)</f>
        <v>9.2364999999999995</v>
      </c>
      <c r="G515" s="64">
        <f>9.2366 * CHOOSE(CONTROL!$C$22, $C$13, 100%, $E$13)</f>
        <v>9.2365999999999993</v>
      </c>
      <c r="H515" s="64">
        <f>15.9228* CHOOSE(CONTROL!$C$22, $C$13, 100%, $E$13)</f>
        <v>15.922800000000001</v>
      </c>
      <c r="I515" s="64">
        <f>15.9229 * CHOOSE(CONTROL!$C$22, $C$13, 100%, $E$13)</f>
        <v>15.9229</v>
      </c>
      <c r="J515" s="64">
        <f>9.2365 * CHOOSE(CONTROL!$C$22, $C$13, 100%, $E$13)</f>
        <v>9.2364999999999995</v>
      </c>
      <c r="K515" s="64">
        <f>9.2366 * CHOOSE(CONTROL!$C$22, $C$13, 100%, $E$13)</f>
        <v>9.2365999999999993</v>
      </c>
    </row>
    <row r="516" spans="1:11" ht="15">
      <c r="A516" s="13">
        <v>57346</v>
      </c>
      <c r="B516" s="63">
        <f>8.048 * CHOOSE(CONTROL!$C$22, $C$13, 100%, $E$13)</f>
        <v>8.048</v>
      </c>
      <c r="C516" s="63">
        <f>8.048 * CHOOSE(CONTROL!$C$22, $C$13, 100%, $E$13)</f>
        <v>8.048</v>
      </c>
      <c r="D516" s="63">
        <f>8.0602 * CHOOSE(CONTROL!$C$22, $C$13, 100%, $E$13)</f>
        <v>8.0602</v>
      </c>
      <c r="E516" s="64">
        <f>9.3568 * CHOOSE(CONTROL!$C$22, $C$13, 100%, $E$13)</f>
        <v>9.3567999999999998</v>
      </c>
      <c r="F516" s="64">
        <f>9.3568 * CHOOSE(CONTROL!$C$22, $C$13, 100%, $E$13)</f>
        <v>9.3567999999999998</v>
      </c>
      <c r="G516" s="64">
        <f>9.357 * CHOOSE(CONTROL!$C$22, $C$13, 100%, $E$13)</f>
        <v>9.3569999999999993</v>
      </c>
      <c r="H516" s="64">
        <f>15.9559* CHOOSE(CONTROL!$C$22, $C$13, 100%, $E$13)</f>
        <v>15.9559</v>
      </c>
      <c r="I516" s="64">
        <f>15.9561 * CHOOSE(CONTROL!$C$22, $C$13, 100%, $E$13)</f>
        <v>15.956099999999999</v>
      </c>
      <c r="J516" s="64">
        <f>9.3568 * CHOOSE(CONTROL!$C$22, $C$13, 100%, $E$13)</f>
        <v>9.3567999999999998</v>
      </c>
      <c r="K516" s="64">
        <f>9.357 * CHOOSE(CONTROL!$C$22, $C$13, 100%, $E$13)</f>
        <v>9.3569999999999993</v>
      </c>
    </row>
    <row r="517" spans="1:11" ht="15">
      <c r="A517" s="13">
        <v>57377</v>
      </c>
      <c r="B517" s="63">
        <f>8.045 * CHOOSE(CONTROL!$C$22, $C$13, 100%, $E$13)</f>
        <v>8.0449999999999999</v>
      </c>
      <c r="C517" s="63">
        <f>8.045 * CHOOSE(CONTROL!$C$22, $C$13, 100%, $E$13)</f>
        <v>8.0449999999999999</v>
      </c>
      <c r="D517" s="63">
        <f>8.0572 * CHOOSE(CONTROL!$C$22, $C$13, 100%, $E$13)</f>
        <v>8.0571999999999999</v>
      </c>
      <c r="E517" s="64">
        <f>9.2525 * CHOOSE(CONTROL!$C$22, $C$13, 100%, $E$13)</f>
        <v>9.2524999999999995</v>
      </c>
      <c r="F517" s="64">
        <f>9.2525 * CHOOSE(CONTROL!$C$22, $C$13, 100%, $E$13)</f>
        <v>9.2524999999999995</v>
      </c>
      <c r="G517" s="64">
        <f>9.2526 * CHOOSE(CONTROL!$C$22, $C$13, 100%, $E$13)</f>
        <v>9.2525999999999993</v>
      </c>
      <c r="H517" s="64">
        <f>15.9892* CHOOSE(CONTROL!$C$22, $C$13, 100%, $E$13)</f>
        <v>15.9892</v>
      </c>
      <c r="I517" s="64">
        <f>15.9894 * CHOOSE(CONTROL!$C$22, $C$13, 100%, $E$13)</f>
        <v>15.9894</v>
      </c>
      <c r="J517" s="64">
        <f>9.2525 * CHOOSE(CONTROL!$C$22, $C$13, 100%, $E$13)</f>
        <v>9.2524999999999995</v>
      </c>
      <c r="K517" s="64">
        <f>9.2526 * CHOOSE(CONTROL!$C$22, $C$13, 100%, $E$13)</f>
        <v>9.2525999999999993</v>
      </c>
    </row>
    <row r="518" spans="1:11" ht="15">
      <c r="A518" s="13">
        <v>57405</v>
      </c>
      <c r="B518" s="63">
        <f>8.0419 * CHOOSE(CONTROL!$C$22, $C$13, 100%, $E$13)</f>
        <v>8.0419</v>
      </c>
      <c r="C518" s="63">
        <f>8.0419 * CHOOSE(CONTROL!$C$22, $C$13, 100%, $E$13)</f>
        <v>8.0419</v>
      </c>
      <c r="D518" s="63">
        <f>8.0542 * CHOOSE(CONTROL!$C$22, $C$13, 100%, $E$13)</f>
        <v>8.0541999999999998</v>
      </c>
      <c r="E518" s="64">
        <f>9.331 * CHOOSE(CONTROL!$C$22, $C$13, 100%, $E$13)</f>
        <v>9.3309999999999995</v>
      </c>
      <c r="F518" s="64">
        <f>9.331 * CHOOSE(CONTROL!$C$22, $C$13, 100%, $E$13)</f>
        <v>9.3309999999999995</v>
      </c>
      <c r="G518" s="64">
        <f>9.3311 * CHOOSE(CONTROL!$C$22, $C$13, 100%, $E$13)</f>
        <v>9.3310999999999993</v>
      </c>
      <c r="H518" s="64">
        <f>16.0225* CHOOSE(CONTROL!$C$22, $C$13, 100%, $E$13)</f>
        <v>16.022500000000001</v>
      </c>
      <c r="I518" s="64">
        <f>16.0227 * CHOOSE(CONTROL!$C$22, $C$13, 100%, $E$13)</f>
        <v>16.0227</v>
      </c>
      <c r="J518" s="64">
        <f>9.331 * CHOOSE(CONTROL!$C$22, $C$13, 100%, $E$13)</f>
        <v>9.3309999999999995</v>
      </c>
      <c r="K518" s="64">
        <f>9.3311 * CHOOSE(CONTROL!$C$22, $C$13, 100%, $E$13)</f>
        <v>9.3310999999999993</v>
      </c>
    </row>
    <row r="519" spans="1:11" ht="15">
      <c r="A519" s="13">
        <v>57436</v>
      </c>
      <c r="B519" s="63">
        <f>8.0431 * CHOOSE(CONTROL!$C$22, $C$13, 100%, $E$13)</f>
        <v>8.0431000000000008</v>
      </c>
      <c r="C519" s="63">
        <f>8.0431 * CHOOSE(CONTROL!$C$22, $C$13, 100%, $E$13)</f>
        <v>8.0431000000000008</v>
      </c>
      <c r="D519" s="63">
        <f>8.0554 * CHOOSE(CONTROL!$C$22, $C$13, 100%, $E$13)</f>
        <v>8.0554000000000006</v>
      </c>
      <c r="E519" s="64">
        <f>9.4133 * CHOOSE(CONTROL!$C$22, $C$13, 100%, $E$13)</f>
        <v>9.4132999999999996</v>
      </c>
      <c r="F519" s="64">
        <f>9.4133 * CHOOSE(CONTROL!$C$22, $C$13, 100%, $E$13)</f>
        <v>9.4132999999999996</v>
      </c>
      <c r="G519" s="64">
        <f>9.4135 * CHOOSE(CONTROL!$C$22, $C$13, 100%, $E$13)</f>
        <v>9.4135000000000009</v>
      </c>
      <c r="H519" s="64">
        <f>16.0559* CHOOSE(CONTROL!$C$22, $C$13, 100%, $E$13)</f>
        <v>16.055900000000001</v>
      </c>
      <c r="I519" s="64">
        <f>16.056 * CHOOSE(CONTROL!$C$22, $C$13, 100%, $E$13)</f>
        <v>16.056000000000001</v>
      </c>
      <c r="J519" s="64">
        <f>9.4133 * CHOOSE(CONTROL!$C$22, $C$13, 100%, $E$13)</f>
        <v>9.4132999999999996</v>
      </c>
      <c r="K519" s="64">
        <f>9.4135 * CHOOSE(CONTROL!$C$22, $C$13, 100%, $E$13)</f>
        <v>9.4135000000000009</v>
      </c>
    </row>
    <row r="520" spans="1:11" ht="15">
      <c r="A520" s="13">
        <v>57466</v>
      </c>
      <c r="B520" s="63">
        <f>8.0431 * CHOOSE(CONTROL!$C$22, $C$13, 100%, $E$13)</f>
        <v>8.0431000000000008</v>
      </c>
      <c r="C520" s="63">
        <f>8.0431 * CHOOSE(CONTROL!$C$22, $C$13, 100%, $E$13)</f>
        <v>8.0431000000000008</v>
      </c>
      <c r="D520" s="63">
        <f>8.0676 * CHOOSE(CONTROL!$C$22, $C$13, 100%, $E$13)</f>
        <v>8.0676000000000005</v>
      </c>
      <c r="E520" s="64">
        <f>9.4458 * CHOOSE(CONTROL!$C$22, $C$13, 100%, $E$13)</f>
        <v>9.4458000000000002</v>
      </c>
      <c r="F520" s="64">
        <f>9.4458 * CHOOSE(CONTROL!$C$22, $C$13, 100%, $E$13)</f>
        <v>9.4458000000000002</v>
      </c>
      <c r="G520" s="64">
        <f>9.4473 * CHOOSE(CONTROL!$C$22, $C$13, 100%, $E$13)</f>
        <v>9.4473000000000003</v>
      </c>
      <c r="H520" s="64">
        <f>16.0893* CHOOSE(CONTROL!$C$22, $C$13, 100%, $E$13)</f>
        <v>16.089300000000001</v>
      </c>
      <c r="I520" s="64">
        <f>16.0909 * CHOOSE(CONTROL!$C$22, $C$13, 100%, $E$13)</f>
        <v>16.090900000000001</v>
      </c>
      <c r="J520" s="64">
        <f>9.4458 * CHOOSE(CONTROL!$C$22, $C$13, 100%, $E$13)</f>
        <v>9.4458000000000002</v>
      </c>
      <c r="K520" s="64">
        <f>9.4473 * CHOOSE(CONTROL!$C$22, $C$13, 100%, $E$13)</f>
        <v>9.4473000000000003</v>
      </c>
    </row>
    <row r="521" spans="1:11" ht="15">
      <c r="A521" s="13">
        <v>57497</v>
      </c>
      <c r="B521" s="63">
        <f>8.0492 * CHOOSE(CONTROL!$C$22, $C$13, 100%, $E$13)</f>
        <v>8.0492000000000008</v>
      </c>
      <c r="C521" s="63">
        <f>8.0492 * CHOOSE(CONTROL!$C$22, $C$13, 100%, $E$13)</f>
        <v>8.0492000000000008</v>
      </c>
      <c r="D521" s="63">
        <f>8.0736 * CHOOSE(CONTROL!$C$22, $C$13, 100%, $E$13)</f>
        <v>8.0736000000000008</v>
      </c>
      <c r="E521" s="64">
        <f>9.4175 * CHOOSE(CONTROL!$C$22, $C$13, 100%, $E$13)</f>
        <v>9.4175000000000004</v>
      </c>
      <c r="F521" s="64">
        <f>9.4175 * CHOOSE(CONTROL!$C$22, $C$13, 100%, $E$13)</f>
        <v>9.4175000000000004</v>
      </c>
      <c r="G521" s="64">
        <f>9.4191 * CHOOSE(CONTROL!$C$22, $C$13, 100%, $E$13)</f>
        <v>9.4191000000000003</v>
      </c>
      <c r="H521" s="64">
        <f>16.1228* CHOOSE(CONTROL!$C$22, $C$13, 100%, $E$13)</f>
        <v>16.122800000000002</v>
      </c>
      <c r="I521" s="64">
        <f>16.1244 * CHOOSE(CONTROL!$C$22, $C$13, 100%, $E$13)</f>
        <v>16.124400000000001</v>
      </c>
      <c r="J521" s="64">
        <f>9.4175 * CHOOSE(CONTROL!$C$22, $C$13, 100%, $E$13)</f>
        <v>9.4175000000000004</v>
      </c>
      <c r="K521" s="64">
        <f>9.4191 * CHOOSE(CONTROL!$C$22, $C$13, 100%, $E$13)</f>
        <v>9.4191000000000003</v>
      </c>
    </row>
    <row r="522" spans="1:11" ht="15">
      <c r="A522" s="13">
        <v>57527</v>
      </c>
      <c r="B522" s="63">
        <f>8.1797 * CHOOSE(CONTROL!$C$22, $C$13, 100%, $E$13)</f>
        <v>8.1797000000000004</v>
      </c>
      <c r="C522" s="63">
        <f>8.1797 * CHOOSE(CONTROL!$C$22, $C$13, 100%, $E$13)</f>
        <v>8.1797000000000004</v>
      </c>
      <c r="D522" s="63">
        <f>8.2041 * CHOOSE(CONTROL!$C$22, $C$13, 100%, $E$13)</f>
        <v>8.2041000000000004</v>
      </c>
      <c r="E522" s="64">
        <f>9.6012 * CHOOSE(CONTROL!$C$22, $C$13, 100%, $E$13)</f>
        <v>9.6012000000000004</v>
      </c>
      <c r="F522" s="64">
        <f>9.6012 * CHOOSE(CONTROL!$C$22, $C$13, 100%, $E$13)</f>
        <v>9.6012000000000004</v>
      </c>
      <c r="G522" s="64">
        <f>9.6028 * CHOOSE(CONTROL!$C$22, $C$13, 100%, $E$13)</f>
        <v>9.6028000000000002</v>
      </c>
      <c r="H522" s="64">
        <f>16.1564* CHOOSE(CONTROL!$C$22, $C$13, 100%, $E$13)</f>
        <v>16.156400000000001</v>
      </c>
      <c r="I522" s="64">
        <f>16.158 * CHOOSE(CONTROL!$C$22, $C$13, 100%, $E$13)</f>
        <v>16.158000000000001</v>
      </c>
      <c r="J522" s="64">
        <f>9.6012 * CHOOSE(CONTROL!$C$22, $C$13, 100%, $E$13)</f>
        <v>9.6012000000000004</v>
      </c>
      <c r="K522" s="64">
        <f>9.6028 * CHOOSE(CONTROL!$C$22, $C$13, 100%, $E$13)</f>
        <v>9.6028000000000002</v>
      </c>
    </row>
    <row r="523" spans="1:11" ht="15">
      <c r="A523" s="13">
        <v>57558</v>
      </c>
      <c r="B523" s="63">
        <f>8.1863 * CHOOSE(CONTROL!$C$22, $C$13, 100%, $E$13)</f>
        <v>8.1862999999999992</v>
      </c>
      <c r="C523" s="63">
        <f>8.1863 * CHOOSE(CONTROL!$C$22, $C$13, 100%, $E$13)</f>
        <v>8.1862999999999992</v>
      </c>
      <c r="D523" s="63">
        <f>8.2108 * CHOOSE(CONTROL!$C$22, $C$13, 100%, $E$13)</f>
        <v>8.2108000000000008</v>
      </c>
      <c r="E523" s="64">
        <f>9.5085 * CHOOSE(CONTROL!$C$22, $C$13, 100%, $E$13)</f>
        <v>9.5084999999999997</v>
      </c>
      <c r="F523" s="64">
        <f>9.5085 * CHOOSE(CONTROL!$C$22, $C$13, 100%, $E$13)</f>
        <v>9.5084999999999997</v>
      </c>
      <c r="G523" s="64">
        <f>9.51 * CHOOSE(CONTROL!$C$22, $C$13, 100%, $E$13)</f>
        <v>9.51</v>
      </c>
      <c r="H523" s="64">
        <f>16.1901* CHOOSE(CONTROL!$C$22, $C$13, 100%, $E$13)</f>
        <v>16.190100000000001</v>
      </c>
      <c r="I523" s="64">
        <f>16.1916 * CHOOSE(CONTROL!$C$22, $C$13, 100%, $E$13)</f>
        <v>16.191600000000001</v>
      </c>
      <c r="J523" s="64">
        <f>9.5085 * CHOOSE(CONTROL!$C$22, $C$13, 100%, $E$13)</f>
        <v>9.5084999999999997</v>
      </c>
      <c r="K523" s="64">
        <f>9.51 * CHOOSE(CONTROL!$C$22, $C$13, 100%, $E$13)</f>
        <v>9.51</v>
      </c>
    </row>
    <row r="524" spans="1:11" ht="15">
      <c r="A524" s="13">
        <v>57589</v>
      </c>
      <c r="B524" s="63">
        <f>8.1833 * CHOOSE(CONTROL!$C$22, $C$13, 100%, $E$13)</f>
        <v>8.1832999999999991</v>
      </c>
      <c r="C524" s="63">
        <f>8.1833 * CHOOSE(CONTROL!$C$22, $C$13, 100%, $E$13)</f>
        <v>8.1832999999999991</v>
      </c>
      <c r="D524" s="63">
        <f>8.2077 * CHOOSE(CONTROL!$C$22, $C$13, 100%, $E$13)</f>
        <v>8.2077000000000009</v>
      </c>
      <c r="E524" s="64">
        <f>9.4955 * CHOOSE(CONTROL!$C$22, $C$13, 100%, $E$13)</f>
        <v>9.4954999999999998</v>
      </c>
      <c r="F524" s="64">
        <f>9.4955 * CHOOSE(CONTROL!$C$22, $C$13, 100%, $E$13)</f>
        <v>9.4954999999999998</v>
      </c>
      <c r="G524" s="64">
        <f>9.4971 * CHOOSE(CONTROL!$C$22, $C$13, 100%, $E$13)</f>
        <v>9.4970999999999997</v>
      </c>
      <c r="H524" s="64">
        <f>16.2238* CHOOSE(CONTROL!$C$22, $C$13, 100%, $E$13)</f>
        <v>16.223800000000001</v>
      </c>
      <c r="I524" s="64">
        <f>16.2254 * CHOOSE(CONTROL!$C$22, $C$13, 100%, $E$13)</f>
        <v>16.2254</v>
      </c>
      <c r="J524" s="64">
        <f>9.4955 * CHOOSE(CONTROL!$C$22, $C$13, 100%, $E$13)</f>
        <v>9.4954999999999998</v>
      </c>
      <c r="K524" s="64">
        <f>9.4971 * CHOOSE(CONTROL!$C$22, $C$13, 100%, $E$13)</f>
        <v>9.4970999999999997</v>
      </c>
    </row>
    <row r="525" spans="1:11" ht="15">
      <c r="A525" s="13">
        <v>57619</v>
      </c>
      <c r="B525" s="63">
        <f>8.1925 * CHOOSE(CONTROL!$C$22, $C$13, 100%, $E$13)</f>
        <v>8.1925000000000008</v>
      </c>
      <c r="C525" s="63">
        <f>8.1925 * CHOOSE(CONTROL!$C$22, $C$13, 100%, $E$13)</f>
        <v>8.1925000000000008</v>
      </c>
      <c r="D525" s="63">
        <f>8.2047 * CHOOSE(CONTROL!$C$22, $C$13, 100%, $E$13)</f>
        <v>8.2047000000000008</v>
      </c>
      <c r="E525" s="64">
        <f>9.5254 * CHOOSE(CONTROL!$C$22, $C$13, 100%, $E$13)</f>
        <v>9.5253999999999994</v>
      </c>
      <c r="F525" s="64">
        <f>9.5254 * CHOOSE(CONTROL!$C$22, $C$13, 100%, $E$13)</f>
        <v>9.5253999999999994</v>
      </c>
      <c r="G525" s="64">
        <f>9.5256 * CHOOSE(CONTROL!$C$22, $C$13, 100%, $E$13)</f>
        <v>9.5256000000000007</v>
      </c>
      <c r="H525" s="64">
        <f>16.2576* CHOOSE(CONTROL!$C$22, $C$13, 100%, $E$13)</f>
        <v>16.2576</v>
      </c>
      <c r="I525" s="64">
        <f>16.2578 * CHOOSE(CONTROL!$C$22, $C$13, 100%, $E$13)</f>
        <v>16.2578</v>
      </c>
      <c r="J525" s="64">
        <f>9.5254 * CHOOSE(CONTROL!$C$22, $C$13, 100%, $E$13)</f>
        <v>9.5253999999999994</v>
      </c>
      <c r="K525" s="64">
        <f>9.5256 * CHOOSE(CONTROL!$C$22, $C$13, 100%, $E$13)</f>
        <v>9.5256000000000007</v>
      </c>
    </row>
    <row r="526" spans="1:11" ht="15">
      <c r="A526" s="13">
        <v>57650</v>
      </c>
      <c r="B526" s="63">
        <f>8.1955 * CHOOSE(CONTROL!$C$22, $C$13, 100%, $E$13)</f>
        <v>8.1954999999999991</v>
      </c>
      <c r="C526" s="63">
        <f>8.1955 * CHOOSE(CONTROL!$C$22, $C$13, 100%, $E$13)</f>
        <v>8.1954999999999991</v>
      </c>
      <c r="D526" s="63">
        <f>8.2077 * CHOOSE(CONTROL!$C$22, $C$13, 100%, $E$13)</f>
        <v>8.2077000000000009</v>
      </c>
      <c r="E526" s="64">
        <f>9.5491 * CHOOSE(CONTROL!$C$22, $C$13, 100%, $E$13)</f>
        <v>9.5490999999999993</v>
      </c>
      <c r="F526" s="64">
        <f>9.5491 * CHOOSE(CONTROL!$C$22, $C$13, 100%, $E$13)</f>
        <v>9.5490999999999993</v>
      </c>
      <c r="G526" s="64">
        <f>9.5493 * CHOOSE(CONTROL!$C$22, $C$13, 100%, $E$13)</f>
        <v>9.5493000000000006</v>
      </c>
      <c r="H526" s="64">
        <f>16.2915* CHOOSE(CONTROL!$C$22, $C$13, 100%, $E$13)</f>
        <v>16.291499999999999</v>
      </c>
      <c r="I526" s="64">
        <f>16.2917 * CHOOSE(CONTROL!$C$22, $C$13, 100%, $E$13)</f>
        <v>16.291699999999999</v>
      </c>
      <c r="J526" s="64">
        <f>9.5491 * CHOOSE(CONTROL!$C$22, $C$13, 100%, $E$13)</f>
        <v>9.5490999999999993</v>
      </c>
      <c r="K526" s="64">
        <f>9.5493 * CHOOSE(CONTROL!$C$22, $C$13, 100%, $E$13)</f>
        <v>9.5493000000000006</v>
      </c>
    </row>
    <row r="527" spans="1:11" ht="15">
      <c r="A527" s="13">
        <v>57680</v>
      </c>
      <c r="B527" s="63">
        <f>8.1955 * CHOOSE(CONTROL!$C$22, $C$13, 100%, $E$13)</f>
        <v>8.1954999999999991</v>
      </c>
      <c r="C527" s="63">
        <f>8.1955 * CHOOSE(CONTROL!$C$22, $C$13, 100%, $E$13)</f>
        <v>8.1954999999999991</v>
      </c>
      <c r="D527" s="63">
        <f>8.2077 * CHOOSE(CONTROL!$C$22, $C$13, 100%, $E$13)</f>
        <v>8.2077000000000009</v>
      </c>
      <c r="E527" s="64">
        <f>9.495 * CHOOSE(CONTROL!$C$22, $C$13, 100%, $E$13)</f>
        <v>9.4949999999999992</v>
      </c>
      <c r="F527" s="64">
        <f>9.495 * CHOOSE(CONTROL!$C$22, $C$13, 100%, $E$13)</f>
        <v>9.4949999999999992</v>
      </c>
      <c r="G527" s="64">
        <f>9.4952 * CHOOSE(CONTROL!$C$22, $C$13, 100%, $E$13)</f>
        <v>9.4952000000000005</v>
      </c>
      <c r="H527" s="64">
        <f>16.3254* CHOOSE(CONTROL!$C$22, $C$13, 100%, $E$13)</f>
        <v>16.325399999999998</v>
      </c>
      <c r="I527" s="64">
        <f>16.3256 * CHOOSE(CONTROL!$C$22, $C$13, 100%, $E$13)</f>
        <v>16.325600000000001</v>
      </c>
      <c r="J527" s="64">
        <f>9.495 * CHOOSE(CONTROL!$C$22, $C$13, 100%, $E$13)</f>
        <v>9.4949999999999992</v>
      </c>
      <c r="K527" s="64">
        <f>9.4952 * CHOOSE(CONTROL!$C$22, $C$13, 100%, $E$13)</f>
        <v>9.4952000000000005</v>
      </c>
    </row>
    <row r="528" spans="1:11" ht="15">
      <c r="A528" s="13">
        <v>57711</v>
      </c>
      <c r="B528" s="63">
        <f>8.268 * CHOOSE(CONTROL!$C$22, $C$13, 100%, $E$13)</f>
        <v>8.2680000000000007</v>
      </c>
      <c r="C528" s="63">
        <f>8.268 * CHOOSE(CONTROL!$C$22, $C$13, 100%, $E$13)</f>
        <v>8.2680000000000007</v>
      </c>
      <c r="D528" s="63">
        <f>8.2802 * CHOOSE(CONTROL!$C$22, $C$13, 100%, $E$13)</f>
        <v>8.2802000000000007</v>
      </c>
      <c r="E528" s="64">
        <f>9.6187 * CHOOSE(CONTROL!$C$22, $C$13, 100%, $E$13)</f>
        <v>9.6187000000000005</v>
      </c>
      <c r="F528" s="64">
        <f>9.6187 * CHOOSE(CONTROL!$C$22, $C$13, 100%, $E$13)</f>
        <v>9.6187000000000005</v>
      </c>
      <c r="G528" s="64">
        <f>9.6189 * CHOOSE(CONTROL!$C$22, $C$13, 100%, $E$13)</f>
        <v>9.6189</v>
      </c>
      <c r="H528" s="64">
        <f>16.3594* CHOOSE(CONTROL!$C$22, $C$13, 100%, $E$13)</f>
        <v>16.359400000000001</v>
      </c>
      <c r="I528" s="64">
        <f>16.3596 * CHOOSE(CONTROL!$C$22, $C$13, 100%, $E$13)</f>
        <v>16.3596</v>
      </c>
      <c r="J528" s="64">
        <f>9.6187 * CHOOSE(CONTROL!$C$22, $C$13, 100%, $E$13)</f>
        <v>9.6187000000000005</v>
      </c>
      <c r="K528" s="64">
        <f>9.6189 * CHOOSE(CONTROL!$C$22, $C$13, 100%, $E$13)</f>
        <v>9.6189</v>
      </c>
    </row>
    <row r="529" spans="1:11" ht="15">
      <c r="A529" s="13">
        <v>57742</v>
      </c>
      <c r="B529" s="63">
        <f>8.265 * CHOOSE(CONTROL!$C$22, $C$13, 100%, $E$13)</f>
        <v>8.2650000000000006</v>
      </c>
      <c r="C529" s="63">
        <f>8.265 * CHOOSE(CONTROL!$C$22, $C$13, 100%, $E$13)</f>
        <v>8.2650000000000006</v>
      </c>
      <c r="D529" s="63">
        <f>8.2772 * CHOOSE(CONTROL!$C$22, $C$13, 100%, $E$13)</f>
        <v>8.2772000000000006</v>
      </c>
      <c r="E529" s="64">
        <f>9.5114 * CHOOSE(CONTROL!$C$22, $C$13, 100%, $E$13)</f>
        <v>9.5114000000000001</v>
      </c>
      <c r="F529" s="64">
        <f>9.5114 * CHOOSE(CONTROL!$C$22, $C$13, 100%, $E$13)</f>
        <v>9.5114000000000001</v>
      </c>
      <c r="G529" s="64">
        <f>9.5116 * CHOOSE(CONTROL!$C$22, $C$13, 100%, $E$13)</f>
        <v>9.5115999999999996</v>
      </c>
      <c r="H529" s="64">
        <f>16.3935* CHOOSE(CONTROL!$C$22, $C$13, 100%, $E$13)</f>
        <v>16.3935</v>
      </c>
      <c r="I529" s="64">
        <f>16.3937 * CHOOSE(CONTROL!$C$22, $C$13, 100%, $E$13)</f>
        <v>16.393699999999999</v>
      </c>
      <c r="J529" s="64">
        <f>9.5114 * CHOOSE(CONTROL!$C$22, $C$13, 100%, $E$13)</f>
        <v>9.5114000000000001</v>
      </c>
      <c r="K529" s="64">
        <f>9.5116 * CHOOSE(CONTROL!$C$22, $C$13, 100%, $E$13)</f>
        <v>9.5115999999999996</v>
      </c>
    </row>
    <row r="530" spans="1:11" ht="15">
      <c r="A530" s="13">
        <v>57770</v>
      </c>
      <c r="B530" s="63">
        <f>8.2619 * CHOOSE(CONTROL!$C$22, $C$13, 100%, $E$13)</f>
        <v>8.2619000000000007</v>
      </c>
      <c r="C530" s="63">
        <f>8.2619 * CHOOSE(CONTROL!$C$22, $C$13, 100%, $E$13)</f>
        <v>8.2619000000000007</v>
      </c>
      <c r="D530" s="63">
        <f>8.2741 * CHOOSE(CONTROL!$C$22, $C$13, 100%, $E$13)</f>
        <v>8.2741000000000007</v>
      </c>
      <c r="E530" s="64">
        <f>9.5922 * CHOOSE(CONTROL!$C$22, $C$13, 100%, $E$13)</f>
        <v>9.5922000000000001</v>
      </c>
      <c r="F530" s="64">
        <f>9.5922 * CHOOSE(CONTROL!$C$22, $C$13, 100%, $E$13)</f>
        <v>9.5922000000000001</v>
      </c>
      <c r="G530" s="64">
        <f>9.5924 * CHOOSE(CONTROL!$C$22, $C$13, 100%, $E$13)</f>
        <v>9.5923999999999996</v>
      </c>
      <c r="H530" s="64">
        <f>16.4277* CHOOSE(CONTROL!$C$22, $C$13, 100%, $E$13)</f>
        <v>16.427700000000002</v>
      </c>
      <c r="I530" s="64">
        <f>16.4278 * CHOOSE(CONTROL!$C$22, $C$13, 100%, $E$13)</f>
        <v>16.427800000000001</v>
      </c>
      <c r="J530" s="64">
        <f>9.5922 * CHOOSE(CONTROL!$C$22, $C$13, 100%, $E$13)</f>
        <v>9.5922000000000001</v>
      </c>
      <c r="K530" s="64">
        <f>9.5924 * CHOOSE(CONTROL!$C$22, $C$13, 100%, $E$13)</f>
        <v>9.5923999999999996</v>
      </c>
    </row>
    <row r="531" spans="1:11" ht="15">
      <c r="A531" s="13">
        <v>57801</v>
      </c>
      <c r="B531" s="63">
        <f>8.2633 * CHOOSE(CONTROL!$C$22, $C$13, 100%, $E$13)</f>
        <v>8.2632999999999992</v>
      </c>
      <c r="C531" s="63">
        <f>8.2633 * CHOOSE(CONTROL!$C$22, $C$13, 100%, $E$13)</f>
        <v>8.2632999999999992</v>
      </c>
      <c r="D531" s="63">
        <f>8.2755 * CHOOSE(CONTROL!$C$22, $C$13, 100%, $E$13)</f>
        <v>8.2754999999999992</v>
      </c>
      <c r="E531" s="64">
        <f>9.677 * CHOOSE(CONTROL!$C$22, $C$13, 100%, $E$13)</f>
        <v>9.6769999999999996</v>
      </c>
      <c r="F531" s="64">
        <f>9.677 * CHOOSE(CONTROL!$C$22, $C$13, 100%, $E$13)</f>
        <v>9.6769999999999996</v>
      </c>
      <c r="G531" s="64">
        <f>9.6771 * CHOOSE(CONTROL!$C$22, $C$13, 100%, $E$13)</f>
        <v>9.6770999999999994</v>
      </c>
      <c r="H531" s="64">
        <f>16.4619* CHOOSE(CONTROL!$C$22, $C$13, 100%, $E$13)</f>
        <v>16.4619</v>
      </c>
      <c r="I531" s="64">
        <f>16.4621 * CHOOSE(CONTROL!$C$22, $C$13, 100%, $E$13)</f>
        <v>16.4621</v>
      </c>
      <c r="J531" s="64">
        <f>9.677 * CHOOSE(CONTROL!$C$22, $C$13, 100%, $E$13)</f>
        <v>9.6769999999999996</v>
      </c>
      <c r="K531" s="64">
        <f>9.6771 * CHOOSE(CONTROL!$C$22, $C$13, 100%, $E$13)</f>
        <v>9.6770999999999994</v>
      </c>
    </row>
    <row r="532" spans="1:11" ht="15">
      <c r="A532" s="13">
        <v>57831</v>
      </c>
      <c r="B532" s="63">
        <f>8.2633 * CHOOSE(CONTROL!$C$22, $C$13, 100%, $E$13)</f>
        <v>8.2632999999999992</v>
      </c>
      <c r="C532" s="63">
        <f>8.2633 * CHOOSE(CONTROL!$C$22, $C$13, 100%, $E$13)</f>
        <v>8.2632999999999992</v>
      </c>
      <c r="D532" s="63">
        <f>8.2877 * CHOOSE(CONTROL!$C$22, $C$13, 100%, $E$13)</f>
        <v>8.2876999999999992</v>
      </c>
      <c r="E532" s="64">
        <f>9.7103 * CHOOSE(CONTROL!$C$22, $C$13, 100%, $E$13)</f>
        <v>9.7103000000000002</v>
      </c>
      <c r="F532" s="64">
        <f>9.7103 * CHOOSE(CONTROL!$C$22, $C$13, 100%, $E$13)</f>
        <v>9.7103000000000002</v>
      </c>
      <c r="G532" s="64">
        <f>9.7119 * CHOOSE(CONTROL!$C$22, $C$13, 100%, $E$13)</f>
        <v>9.7119</v>
      </c>
      <c r="H532" s="64">
        <f>16.4962* CHOOSE(CONTROL!$C$22, $C$13, 100%, $E$13)</f>
        <v>16.496200000000002</v>
      </c>
      <c r="I532" s="64">
        <f>16.4978 * CHOOSE(CONTROL!$C$22, $C$13, 100%, $E$13)</f>
        <v>16.497800000000002</v>
      </c>
      <c r="J532" s="64">
        <f>9.7103 * CHOOSE(CONTROL!$C$22, $C$13, 100%, $E$13)</f>
        <v>9.7103000000000002</v>
      </c>
      <c r="K532" s="64">
        <f>9.7119 * CHOOSE(CONTROL!$C$22, $C$13, 100%, $E$13)</f>
        <v>9.7119</v>
      </c>
    </row>
    <row r="533" spans="1:11" ht="15">
      <c r="A533" s="13">
        <v>57862</v>
      </c>
      <c r="B533" s="63">
        <f>8.2694 * CHOOSE(CONTROL!$C$22, $C$13, 100%, $E$13)</f>
        <v>8.2693999999999992</v>
      </c>
      <c r="C533" s="63">
        <f>8.2694 * CHOOSE(CONTROL!$C$22, $C$13, 100%, $E$13)</f>
        <v>8.2693999999999992</v>
      </c>
      <c r="D533" s="63">
        <f>8.2938 * CHOOSE(CONTROL!$C$22, $C$13, 100%, $E$13)</f>
        <v>8.2937999999999992</v>
      </c>
      <c r="E533" s="64">
        <f>9.6812 * CHOOSE(CONTROL!$C$22, $C$13, 100%, $E$13)</f>
        <v>9.6812000000000005</v>
      </c>
      <c r="F533" s="64">
        <f>9.6812 * CHOOSE(CONTROL!$C$22, $C$13, 100%, $E$13)</f>
        <v>9.6812000000000005</v>
      </c>
      <c r="G533" s="64">
        <f>9.6828 * CHOOSE(CONTROL!$C$22, $C$13, 100%, $E$13)</f>
        <v>9.6828000000000003</v>
      </c>
      <c r="H533" s="64">
        <f>16.5306* CHOOSE(CONTROL!$C$22, $C$13, 100%, $E$13)</f>
        <v>16.5306</v>
      </c>
      <c r="I533" s="64">
        <f>16.5321 * CHOOSE(CONTROL!$C$22, $C$13, 100%, $E$13)</f>
        <v>16.5321</v>
      </c>
      <c r="J533" s="64">
        <f>9.6812 * CHOOSE(CONTROL!$C$22, $C$13, 100%, $E$13)</f>
        <v>9.6812000000000005</v>
      </c>
      <c r="K533" s="64">
        <f>9.6828 * CHOOSE(CONTROL!$C$22, $C$13, 100%, $E$13)</f>
        <v>9.6828000000000003</v>
      </c>
    </row>
    <row r="534" spans="1:11" ht="15">
      <c r="A534" s="13">
        <v>57892</v>
      </c>
      <c r="B534" s="63">
        <f>8.4031 * CHOOSE(CONTROL!$C$22, $C$13, 100%, $E$13)</f>
        <v>8.4031000000000002</v>
      </c>
      <c r="C534" s="63">
        <f>8.4031 * CHOOSE(CONTROL!$C$22, $C$13, 100%, $E$13)</f>
        <v>8.4031000000000002</v>
      </c>
      <c r="D534" s="63">
        <f>8.4276 * CHOOSE(CONTROL!$C$22, $C$13, 100%, $E$13)</f>
        <v>8.4276</v>
      </c>
      <c r="E534" s="64">
        <f>9.8697 * CHOOSE(CONTROL!$C$22, $C$13, 100%, $E$13)</f>
        <v>9.8696999999999999</v>
      </c>
      <c r="F534" s="64">
        <f>9.8697 * CHOOSE(CONTROL!$C$22, $C$13, 100%, $E$13)</f>
        <v>9.8696999999999999</v>
      </c>
      <c r="G534" s="64">
        <f>9.8713 * CHOOSE(CONTROL!$C$22, $C$13, 100%, $E$13)</f>
        <v>9.8712999999999997</v>
      </c>
      <c r="H534" s="64">
        <f>16.565* CHOOSE(CONTROL!$C$22, $C$13, 100%, $E$13)</f>
        <v>16.565000000000001</v>
      </c>
      <c r="I534" s="64">
        <f>16.5666 * CHOOSE(CONTROL!$C$22, $C$13, 100%, $E$13)</f>
        <v>16.566600000000001</v>
      </c>
      <c r="J534" s="64">
        <f>9.8697 * CHOOSE(CONTROL!$C$22, $C$13, 100%, $E$13)</f>
        <v>9.8696999999999999</v>
      </c>
      <c r="K534" s="64">
        <f>9.8713 * CHOOSE(CONTROL!$C$22, $C$13, 100%, $E$13)</f>
        <v>9.8712999999999997</v>
      </c>
    </row>
    <row r="535" spans="1:11" ht="15">
      <c r="A535" s="13">
        <v>57923</v>
      </c>
      <c r="B535" s="63">
        <f>8.4098 * CHOOSE(CONTROL!$C$22, $C$13, 100%, $E$13)</f>
        <v>8.4098000000000006</v>
      </c>
      <c r="C535" s="63">
        <f>8.4098 * CHOOSE(CONTROL!$C$22, $C$13, 100%, $E$13)</f>
        <v>8.4098000000000006</v>
      </c>
      <c r="D535" s="63">
        <f>8.4342 * CHOOSE(CONTROL!$C$22, $C$13, 100%, $E$13)</f>
        <v>8.4342000000000006</v>
      </c>
      <c r="E535" s="64">
        <f>9.7743 * CHOOSE(CONTROL!$C$22, $C$13, 100%, $E$13)</f>
        <v>9.7743000000000002</v>
      </c>
      <c r="F535" s="64">
        <f>9.7743 * CHOOSE(CONTROL!$C$22, $C$13, 100%, $E$13)</f>
        <v>9.7743000000000002</v>
      </c>
      <c r="G535" s="64">
        <f>9.7758 * CHOOSE(CONTROL!$C$22, $C$13, 100%, $E$13)</f>
        <v>9.7758000000000003</v>
      </c>
      <c r="H535" s="64">
        <f>16.5995* CHOOSE(CONTROL!$C$22, $C$13, 100%, $E$13)</f>
        <v>16.599499999999999</v>
      </c>
      <c r="I535" s="64">
        <f>16.6011 * CHOOSE(CONTROL!$C$22, $C$13, 100%, $E$13)</f>
        <v>16.601099999999999</v>
      </c>
      <c r="J535" s="64">
        <f>9.7743 * CHOOSE(CONTROL!$C$22, $C$13, 100%, $E$13)</f>
        <v>9.7743000000000002</v>
      </c>
      <c r="K535" s="64">
        <f>9.7758 * CHOOSE(CONTROL!$C$22, $C$13, 100%, $E$13)</f>
        <v>9.7758000000000003</v>
      </c>
    </row>
    <row r="536" spans="1:11" ht="15">
      <c r="A536" s="13">
        <v>57954</v>
      </c>
      <c r="B536" s="63">
        <f>8.4068 * CHOOSE(CONTROL!$C$22, $C$13, 100%, $E$13)</f>
        <v>8.4068000000000005</v>
      </c>
      <c r="C536" s="63">
        <f>8.4068 * CHOOSE(CONTROL!$C$22, $C$13, 100%, $E$13)</f>
        <v>8.4068000000000005</v>
      </c>
      <c r="D536" s="63">
        <f>8.4312 * CHOOSE(CONTROL!$C$22, $C$13, 100%, $E$13)</f>
        <v>8.4312000000000005</v>
      </c>
      <c r="E536" s="64">
        <f>9.761 * CHOOSE(CONTROL!$C$22, $C$13, 100%, $E$13)</f>
        <v>9.7609999999999992</v>
      </c>
      <c r="F536" s="64">
        <f>9.761 * CHOOSE(CONTROL!$C$22, $C$13, 100%, $E$13)</f>
        <v>9.7609999999999992</v>
      </c>
      <c r="G536" s="64">
        <f>9.7626 * CHOOSE(CONTROL!$C$22, $C$13, 100%, $E$13)</f>
        <v>9.7626000000000008</v>
      </c>
      <c r="H536" s="64">
        <f>16.6341* CHOOSE(CONTROL!$C$22, $C$13, 100%, $E$13)</f>
        <v>16.6341</v>
      </c>
      <c r="I536" s="64">
        <f>16.6357 * CHOOSE(CONTROL!$C$22, $C$13, 100%, $E$13)</f>
        <v>16.6357</v>
      </c>
      <c r="J536" s="64">
        <f>9.761 * CHOOSE(CONTROL!$C$22, $C$13, 100%, $E$13)</f>
        <v>9.7609999999999992</v>
      </c>
      <c r="K536" s="64">
        <f>9.7626 * CHOOSE(CONTROL!$C$22, $C$13, 100%, $E$13)</f>
        <v>9.7626000000000008</v>
      </c>
    </row>
    <row r="537" spans="1:11" ht="15">
      <c r="A537" s="13">
        <v>57984</v>
      </c>
      <c r="B537" s="63">
        <f>8.4167 * CHOOSE(CONTROL!$C$22, $C$13, 100%, $E$13)</f>
        <v>8.4167000000000005</v>
      </c>
      <c r="C537" s="63">
        <f>8.4167 * CHOOSE(CONTROL!$C$22, $C$13, 100%, $E$13)</f>
        <v>8.4167000000000005</v>
      </c>
      <c r="D537" s="63">
        <f>8.4289 * CHOOSE(CONTROL!$C$22, $C$13, 100%, $E$13)</f>
        <v>8.4289000000000005</v>
      </c>
      <c r="E537" s="64">
        <f>9.7921 * CHOOSE(CONTROL!$C$22, $C$13, 100%, $E$13)</f>
        <v>9.7920999999999996</v>
      </c>
      <c r="F537" s="64">
        <f>9.7921 * CHOOSE(CONTROL!$C$22, $C$13, 100%, $E$13)</f>
        <v>9.7920999999999996</v>
      </c>
      <c r="G537" s="64">
        <f>9.7923 * CHOOSE(CONTROL!$C$22, $C$13, 100%, $E$13)</f>
        <v>9.7922999999999991</v>
      </c>
      <c r="H537" s="64">
        <f>16.6687* CHOOSE(CONTROL!$C$22, $C$13, 100%, $E$13)</f>
        <v>16.668700000000001</v>
      </c>
      <c r="I537" s="64">
        <f>16.6689 * CHOOSE(CONTROL!$C$22, $C$13, 100%, $E$13)</f>
        <v>16.668900000000001</v>
      </c>
      <c r="J537" s="64">
        <f>9.7921 * CHOOSE(CONTROL!$C$22, $C$13, 100%, $E$13)</f>
        <v>9.7920999999999996</v>
      </c>
      <c r="K537" s="64">
        <f>9.7923 * CHOOSE(CONTROL!$C$22, $C$13, 100%, $E$13)</f>
        <v>9.7922999999999991</v>
      </c>
    </row>
    <row r="538" spans="1:11" ht="15">
      <c r="A538" s="13">
        <v>58015</v>
      </c>
      <c r="B538" s="63">
        <f>8.4197 * CHOOSE(CONTROL!$C$22, $C$13, 100%, $E$13)</f>
        <v>8.4197000000000006</v>
      </c>
      <c r="C538" s="63">
        <f>8.4197 * CHOOSE(CONTROL!$C$22, $C$13, 100%, $E$13)</f>
        <v>8.4197000000000006</v>
      </c>
      <c r="D538" s="63">
        <f>8.4319 * CHOOSE(CONTROL!$C$22, $C$13, 100%, $E$13)</f>
        <v>8.4319000000000006</v>
      </c>
      <c r="E538" s="64">
        <f>9.8165 * CHOOSE(CONTROL!$C$22, $C$13, 100%, $E$13)</f>
        <v>9.8164999999999996</v>
      </c>
      <c r="F538" s="64">
        <f>9.8165 * CHOOSE(CONTROL!$C$22, $C$13, 100%, $E$13)</f>
        <v>9.8164999999999996</v>
      </c>
      <c r="G538" s="64">
        <f>9.8166 * CHOOSE(CONTROL!$C$22, $C$13, 100%, $E$13)</f>
        <v>9.8165999999999993</v>
      </c>
      <c r="H538" s="64">
        <f>16.7035* CHOOSE(CONTROL!$C$22, $C$13, 100%, $E$13)</f>
        <v>16.703499999999998</v>
      </c>
      <c r="I538" s="64">
        <f>16.7036 * CHOOSE(CONTROL!$C$22, $C$13, 100%, $E$13)</f>
        <v>16.703600000000002</v>
      </c>
      <c r="J538" s="64">
        <f>9.8165 * CHOOSE(CONTROL!$C$22, $C$13, 100%, $E$13)</f>
        <v>9.8164999999999996</v>
      </c>
      <c r="K538" s="64">
        <f>9.8166 * CHOOSE(CONTROL!$C$22, $C$13, 100%, $E$13)</f>
        <v>9.8165999999999993</v>
      </c>
    </row>
    <row r="539" spans="1:11" ht="15">
      <c r="A539" s="13">
        <v>58045</v>
      </c>
      <c r="B539" s="63">
        <f>8.4197 * CHOOSE(CONTROL!$C$22, $C$13, 100%, $E$13)</f>
        <v>8.4197000000000006</v>
      </c>
      <c r="C539" s="63">
        <f>8.4197 * CHOOSE(CONTROL!$C$22, $C$13, 100%, $E$13)</f>
        <v>8.4197000000000006</v>
      </c>
      <c r="D539" s="63">
        <f>8.4319 * CHOOSE(CONTROL!$C$22, $C$13, 100%, $E$13)</f>
        <v>8.4319000000000006</v>
      </c>
      <c r="E539" s="64">
        <f>9.7608 * CHOOSE(CONTROL!$C$22, $C$13, 100%, $E$13)</f>
        <v>9.7607999999999997</v>
      </c>
      <c r="F539" s="64">
        <f>9.7608 * CHOOSE(CONTROL!$C$22, $C$13, 100%, $E$13)</f>
        <v>9.7607999999999997</v>
      </c>
      <c r="G539" s="64">
        <f>9.761 * CHOOSE(CONTROL!$C$22, $C$13, 100%, $E$13)</f>
        <v>9.7609999999999992</v>
      </c>
      <c r="H539" s="64">
        <f>16.7383* CHOOSE(CONTROL!$C$22, $C$13, 100%, $E$13)</f>
        <v>16.738299999999999</v>
      </c>
      <c r="I539" s="64">
        <f>16.7384 * CHOOSE(CONTROL!$C$22, $C$13, 100%, $E$13)</f>
        <v>16.738399999999999</v>
      </c>
      <c r="J539" s="64">
        <f>9.7608 * CHOOSE(CONTROL!$C$22, $C$13, 100%, $E$13)</f>
        <v>9.7607999999999997</v>
      </c>
      <c r="K539" s="64">
        <f>9.761 * CHOOSE(CONTROL!$C$22, $C$13, 100%, $E$13)</f>
        <v>9.7609999999999992</v>
      </c>
    </row>
    <row r="540" spans="1:11" ht="15">
      <c r="A540" s="13">
        <v>58076</v>
      </c>
      <c r="B540" s="63">
        <f>8.4941 * CHOOSE(CONTROL!$C$22, $C$13, 100%, $E$13)</f>
        <v>8.4940999999999995</v>
      </c>
      <c r="C540" s="63">
        <f>8.4941 * CHOOSE(CONTROL!$C$22, $C$13, 100%, $E$13)</f>
        <v>8.4940999999999995</v>
      </c>
      <c r="D540" s="63">
        <f>8.5063 * CHOOSE(CONTROL!$C$22, $C$13, 100%, $E$13)</f>
        <v>8.5062999999999995</v>
      </c>
      <c r="E540" s="64">
        <f>9.8879 * CHOOSE(CONTROL!$C$22, $C$13, 100%, $E$13)</f>
        <v>9.8879000000000001</v>
      </c>
      <c r="F540" s="64">
        <f>9.8879 * CHOOSE(CONTROL!$C$22, $C$13, 100%, $E$13)</f>
        <v>9.8879000000000001</v>
      </c>
      <c r="G540" s="64">
        <f>9.888 * CHOOSE(CONTROL!$C$22, $C$13, 100%, $E$13)</f>
        <v>9.8879999999999999</v>
      </c>
      <c r="H540" s="64">
        <f>16.7731* CHOOSE(CONTROL!$C$22, $C$13, 100%, $E$13)</f>
        <v>16.773099999999999</v>
      </c>
      <c r="I540" s="64">
        <f>16.7733 * CHOOSE(CONTROL!$C$22, $C$13, 100%, $E$13)</f>
        <v>16.773299999999999</v>
      </c>
      <c r="J540" s="64">
        <f>9.8879 * CHOOSE(CONTROL!$C$22, $C$13, 100%, $E$13)</f>
        <v>9.8879000000000001</v>
      </c>
      <c r="K540" s="64">
        <f>9.888 * CHOOSE(CONTROL!$C$22, $C$13, 100%, $E$13)</f>
        <v>9.8879999999999999</v>
      </c>
    </row>
    <row r="541" spans="1:11" ht="15">
      <c r="A541" s="13">
        <v>58107</v>
      </c>
      <c r="B541" s="63">
        <f>8.491 * CHOOSE(CONTROL!$C$22, $C$13, 100%, $E$13)</f>
        <v>8.4909999999999997</v>
      </c>
      <c r="C541" s="63">
        <f>8.491 * CHOOSE(CONTROL!$C$22, $C$13, 100%, $E$13)</f>
        <v>8.4909999999999997</v>
      </c>
      <c r="D541" s="63">
        <f>8.5033 * CHOOSE(CONTROL!$C$22, $C$13, 100%, $E$13)</f>
        <v>8.5032999999999994</v>
      </c>
      <c r="E541" s="64">
        <f>9.7777 * CHOOSE(CONTROL!$C$22, $C$13, 100%, $E$13)</f>
        <v>9.7776999999999994</v>
      </c>
      <c r="F541" s="64">
        <f>9.7777 * CHOOSE(CONTROL!$C$22, $C$13, 100%, $E$13)</f>
        <v>9.7776999999999994</v>
      </c>
      <c r="G541" s="64">
        <f>9.7778 * CHOOSE(CONTROL!$C$22, $C$13, 100%, $E$13)</f>
        <v>9.7777999999999992</v>
      </c>
      <c r="H541" s="64">
        <f>16.8081* CHOOSE(CONTROL!$C$22, $C$13, 100%, $E$13)</f>
        <v>16.8081</v>
      </c>
      <c r="I541" s="64">
        <f>16.8083 * CHOOSE(CONTROL!$C$22, $C$13, 100%, $E$13)</f>
        <v>16.808299999999999</v>
      </c>
      <c r="J541" s="64">
        <f>9.7777 * CHOOSE(CONTROL!$C$22, $C$13, 100%, $E$13)</f>
        <v>9.7776999999999994</v>
      </c>
      <c r="K541" s="64">
        <f>9.7778 * CHOOSE(CONTROL!$C$22, $C$13, 100%, $E$13)</f>
        <v>9.7777999999999992</v>
      </c>
    </row>
    <row r="542" spans="1:11" ht="15">
      <c r="A542" s="13">
        <v>58135</v>
      </c>
      <c r="B542" s="63">
        <f>8.488 * CHOOSE(CONTROL!$C$22, $C$13, 100%, $E$13)</f>
        <v>8.4879999999999995</v>
      </c>
      <c r="C542" s="63">
        <f>8.488 * CHOOSE(CONTROL!$C$22, $C$13, 100%, $E$13)</f>
        <v>8.4879999999999995</v>
      </c>
      <c r="D542" s="63">
        <f>8.5002 * CHOOSE(CONTROL!$C$22, $C$13, 100%, $E$13)</f>
        <v>8.5001999999999995</v>
      </c>
      <c r="E542" s="64">
        <f>9.8608 * CHOOSE(CONTROL!$C$22, $C$13, 100%, $E$13)</f>
        <v>9.8607999999999993</v>
      </c>
      <c r="F542" s="64">
        <f>9.8608 * CHOOSE(CONTROL!$C$22, $C$13, 100%, $E$13)</f>
        <v>9.8607999999999993</v>
      </c>
      <c r="G542" s="64">
        <f>9.8609 * CHOOSE(CONTROL!$C$22, $C$13, 100%, $E$13)</f>
        <v>9.8609000000000009</v>
      </c>
      <c r="H542" s="64">
        <f>16.8431* CHOOSE(CONTROL!$C$22, $C$13, 100%, $E$13)</f>
        <v>16.8431</v>
      </c>
      <c r="I542" s="64">
        <f>16.8433 * CHOOSE(CONTROL!$C$22, $C$13, 100%, $E$13)</f>
        <v>16.843299999999999</v>
      </c>
      <c r="J542" s="64">
        <f>9.8608 * CHOOSE(CONTROL!$C$22, $C$13, 100%, $E$13)</f>
        <v>9.8607999999999993</v>
      </c>
      <c r="K542" s="64">
        <f>9.8609 * CHOOSE(CONTROL!$C$22, $C$13, 100%, $E$13)</f>
        <v>9.8609000000000009</v>
      </c>
    </row>
    <row r="543" spans="1:11" ht="15">
      <c r="A543" s="13">
        <v>58166</v>
      </c>
      <c r="B543" s="63">
        <f>8.4896 * CHOOSE(CONTROL!$C$22, $C$13, 100%, $E$13)</f>
        <v>8.4895999999999994</v>
      </c>
      <c r="C543" s="63">
        <f>8.4896 * CHOOSE(CONTROL!$C$22, $C$13, 100%, $E$13)</f>
        <v>8.4895999999999994</v>
      </c>
      <c r="D543" s="63">
        <f>8.5018 * CHOOSE(CONTROL!$C$22, $C$13, 100%, $E$13)</f>
        <v>8.5017999999999994</v>
      </c>
      <c r="E543" s="64">
        <f>9.948 * CHOOSE(CONTROL!$C$22, $C$13, 100%, $E$13)</f>
        <v>9.9480000000000004</v>
      </c>
      <c r="F543" s="64">
        <f>9.948 * CHOOSE(CONTROL!$C$22, $C$13, 100%, $E$13)</f>
        <v>9.9480000000000004</v>
      </c>
      <c r="G543" s="64">
        <f>9.9482 * CHOOSE(CONTROL!$C$22, $C$13, 100%, $E$13)</f>
        <v>9.9481999999999999</v>
      </c>
      <c r="H543" s="64">
        <f>16.8782* CHOOSE(CONTROL!$C$22, $C$13, 100%, $E$13)</f>
        <v>16.8782</v>
      </c>
      <c r="I543" s="64">
        <f>16.8784 * CHOOSE(CONTROL!$C$22, $C$13, 100%, $E$13)</f>
        <v>16.878399999999999</v>
      </c>
      <c r="J543" s="64">
        <f>9.948 * CHOOSE(CONTROL!$C$22, $C$13, 100%, $E$13)</f>
        <v>9.9480000000000004</v>
      </c>
      <c r="K543" s="64">
        <f>9.9482 * CHOOSE(CONTROL!$C$22, $C$13, 100%, $E$13)</f>
        <v>9.9481999999999999</v>
      </c>
    </row>
    <row r="544" spans="1:11" ht="15">
      <c r="A544" s="13">
        <v>58196</v>
      </c>
      <c r="B544" s="63">
        <f>8.4896 * CHOOSE(CONTROL!$C$22, $C$13, 100%, $E$13)</f>
        <v>8.4895999999999994</v>
      </c>
      <c r="C544" s="63">
        <f>8.4896 * CHOOSE(CONTROL!$C$22, $C$13, 100%, $E$13)</f>
        <v>8.4895999999999994</v>
      </c>
      <c r="D544" s="63">
        <f>8.514 * CHOOSE(CONTROL!$C$22, $C$13, 100%, $E$13)</f>
        <v>8.5139999999999993</v>
      </c>
      <c r="E544" s="64">
        <f>9.9823 * CHOOSE(CONTROL!$C$22, $C$13, 100%, $E$13)</f>
        <v>9.9823000000000004</v>
      </c>
      <c r="F544" s="64">
        <f>9.9823 * CHOOSE(CONTROL!$C$22, $C$13, 100%, $E$13)</f>
        <v>9.9823000000000004</v>
      </c>
      <c r="G544" s="64">
        <f>9.9839 * CHOOSE(CONTROL!$C$22, $C$13, 100%, $E$13)</f>
        <v>9.9839000000000002</v>
      </c>
      <c r="H544" s="64">
        <f>16.9134* CHOOSE(CONTROL!$C$22, $C$13, 100%, $E$13)</f>
        <v>16.913399999999999</v>
      </c>
      <c r="I544" s="64">
        <f>16.9149 * CHOOSE(CONTROL!$C$22, $C$13, 100%, $E$13)</f>
        <v>16.914899999999999</v>
      </c>
      <c r="J544" s="64">
        <f>9.9823 * CHOOSE(CONTROL!$C$22, $C$13, 100%, $E$13)</f>
        <v>9.9823000000000004</v>
      </c>
      <c r="K544" s="64">
        <f>9.9839 * CHOOSE(CONTROL!$C$22, $C$13, 100%, $E$13)</f>
        <v>9.9839000000000002</v>
      </c>
    </row>
    <row r="545" spans="1:11" ht="15">
      <c r="A545" s="13">
        <v>58227</v>
      </c>
      <c r="B545" s="63">
        <f>8.4957 * CHOOSE(CONTROL!$C$22, $C$13, 100%, $E$13)</f>
        <v>8.4956999999999994</v>
      </c>
      <c r="C545" s="63">
        <f>8.4957 * CHOOSE(CONTROL!$C$22, $C$13, 100%, $E$13)</f>
        <v>8.4956999999999994</v>
      </c>
      <c r="D545" s="63">
        <f>8.5201 * CHOOSE(CONTROL!$C$22, $C$13, 100%, $E$13)</f>
        <v>8.5200999999999993</v>
      </c>
      <c r="E545" s="64">
        <f>9.9523 * CHOOSE(CONTROL!$C$22, $C$13, 100%, $E$13)</f>
        <v>9.9522999999999993</v>
      </c>
      <c r="F545" s="64">
        <f>9.9523 * CHOOSE(CONTROL!$C$22, $C$13, 100%, $E$13)</f>
        <v>9.9522999999999993</v>
      </c>
      <c r="G545" s="64">
        <f>9.9538 * CHOOSE(CONTROL!$C$22, $C$13, 100%, $E$13)</f>
        <v>9.9537999999999993</v>
      </c>
      <c r="H545" s="64">
        <f>16.9486* CHOOSE(CONTROL!$C$22, $C$13, 100%, $E$13)</f>
        <v>16.948599999999999</v>
      </c>
      <c r="I545" s="64">
        <f>16.9502 * CHOOSE(CONTROL!$C$22, $C$13, 100%, $E$13)</f>
        <v>16.950199999999999</v>
      </c>
      <c r="J545" s="64">
        <f>9.9523 * CHOOSE(CONTROL!$C$22, $C$13, 100%, $E$13)</f>
        <v>9.9522999999999993</v>
      </c>
      <c r="K545" s="64">
        <f>9.9538 * CHOOSE(CONTROL!$C$22, $C$13, 100%, $E$13)</f>
        <v>9.9537999999999993</v>
      </c>
    </row>
    <row r="546" spans="1:11" ht="15">
      <c r="A546" s="13">
        <v>58257</v>
      </c>
      <c r="B546" s="63">
        <f>8.6328 * CHOOSE(CONTROL!$C$22, $C$13, 100%, $E$13)</f>
        <v>8.6327999999999996</v>
      </c>
      <c r="C546" s="63">
        <f>8.6328 * CHOOSE(CONTROL!$C$22, $C$13, 100%, $E$13)</f>
        <v>8.6327999999999996</v>
      </c>
      <c r="D546" s="63">
        <f>8.6572 * CHOOSE(CONTROL!$C$22, $C$13, 100%, $E$13)</f>
        <v>8.6571999999999996</v>
      </c>
      <c r="E546" s="64">
        <f>10.1458 * CHOOSE(CONTROL!$C$22, $C$13, 100%, $E$13)</f>
        <v>10.145799999999999</v>
      </c>
      <c r="F546" s="64">
        <f>10.1458 * CHOOSE(CONTROL!$C$22, $C$13, 100%, $E$13)</f>
        <v>10.145799999999999</v>
      </c>
      <c r="G546" s="64">
        <f>10.1473 * CHOOSE(CONTROL!$C$22, $C$13, 100%, $E$13)</f>
        <v>10.1473</v>
      </c>
      <c r="H546" s="64">
        <f>16.9839* CHOOSE(CONTROL!$C$22, $C$13, 100%, $E$13)</f>
        <v>16.983899999999998</v>
      </c>
      <c r="I546" s="64">
        <f>16.9855 * CHOOSE(CONTROL!$C$22, $C$13, 100%, $E$13)</f>
        <v>16.985499999999998</v>
      </c>
      <c r="J546" s="64">
        <f>10.1458 * CHOOSE(CONTROL!$C$22, $C$13, 100%, $E$13)</f>
        <v>10.145799999999999</v>
      </c>
      <c r="K546" s="64">
        <f>10.1473 * CHOOSE(CONTROL!$C$22, $C$13, 100%, $E$13)</f>
        <v>10.1473</v>
      </c>
    </row>
    <row r="547" spans="1:11" ht="15">
      <c r="A547" s="13">
        <v>58288</v>
      </c>
      <c r="B547" s="63">
        <f>8.6395 * CHOOSE(CONTROL!$C$22, $C$13, 100%, $E$13)</f>
        <v>8.6395</v>
      </c>
      <c r="C547" s="63">
        <f>8.6395 * CHOOSE(CONTROL!$C$22, $C$13, 100%, $E$13)</f>
        <v>8.6395</v>
      </c>
      <c r="D547" s="63">
        <f>8.6639 * CHOOSE(CONTROL!$C$22, $C$13, 100%, $E$13)</f>
        <v>8.6638999999999999</v>
      </c>
      <c r="E547" s="64">
        <f>10.0475 * CHOOSE(CONTROL!$C$22, $C$13, 100%, $E$13)</f>
        <v>10.047499999999999</v>
      </c>
      <c r="F547" s="64">
        <f>10.0475 * CHOOSE(CONTROL!$C$22, $C$13, 100%, $E$13)</f>
        <v>10.047499999999999</v>
      </c>
      <c r="G547" s="64">
        <f>10.0491 * CHOOSE(CONTROL!$C$22, $C$13, 100%, $E$13)</f>
        <v>10.049099999999999</v>
      </c>
      <c r="H547" s="64">
        <f>17.0193* CHOOSE(CONTROL!$C$22, $C$13, 100%, $E$13)</f>
        <v>17.019300000000001</v>
      </c>
      <c r="I547" s="64">
        <f>17.0208 * CHOOSE(CONTROL!$C$22, $C$13, 100%, $E$13)</f>
        <v>17.020800000000001</v>
      </c>
      <c r="J547" s="64">
        <f>10.0475 * CHOOSE(CONTROL!$C$22, $C$13, 100%, $E$13)</f>
        <v>10.047499999999999</v>
      </c>
      <c r="K547" s="64">
        <f>10.0491 * CHOOSE(CONTROL!$C$22, $C$13, 100%, $E$13)</f>
        <v>10.049099999999999</v>
      </c>
    </row>
    <row r="548" spans="1:11" ht="15">
      <c r="A548" s="13">
        <v>58319</v>
      </c>
      <c r="B548" s="63">
        <f>8.6364 * CHOOSE(CONTROL!$C$22, $C$13, 100%, $E$13)</f>
        <v>8.6364000000000001</v>
      </c>
      <c r="C548" s="63">
        <f>8.6364 * CHOOSE(CONTROL!$C$22, $C$13, 100%, $E$13)</f>
        <v>8.6364000000000001</v>
      </c>
      <c r="D548" s="63">
        <f>8.6609 * CHOOSE(CONTROL!$C$22, $C$13, 100%, $E$13)</f>
        <v>8.6608999999999998</v>
      </c>
      <c r="E548" s="64">
        <f>10.0339 * CHOOSE(CONTROL!$C$22, $C$13, 100%, $E$13)</f>
        <v>10.033899999999999</v>
      </c>
      <c r="F548" s="64">
        <f>10.0339 * CHOOSE(CONTROL!$C$22, $C$13, 100%, $E$13)</f>
        <v>10.033899999999999</v>
      </c>
      <c r="G548" s="64">
        <f>10.0355 * CHOOSE(CONTROL!$C$22, $C$13, 100%, $E$13)</f>
        <v>10.035500000000001</v>
      </c>
      <c r="H548" s="64">
        <f>17.0547* CHOOSE(CONTROL!$C$22, $C$13, 100%, $E$13)</f>
        <v>17.0547</v>
      </c>
      <c r="I548" s="64">
        <f>17.0563 * CHOOSE(CONTROL!$C$22, $C$13, 100%, $E$13)</f>
        <v>17.0563</v>
      </c>
      <c r="J548" s="64">
        <f>10.0339 * CHOOSE(CONTROL!$C$22, $C$13, 100%, $E$13)</f>
        <v>10.033899999999999</v>
      </c>
      <c r="K548" s="64">
        <f>10.0355 * CHOOSE(CONTROL!$C$22, $C$13, 100%, $E$13)</f>
        <v>10.035500000000001</v>
      </c>
    </row>
    <row r="549" spans="1:11" ht="15">
      <c r="A549" s="13">
        <v>58349</v>
      </c>
      <c r="B549" s="63">
        <f>8.6471 * CHOOSE(CONTROL!$C$22, $C$13, 100%, $E$13)</f>
        <v>8.6471</v>
      </c>
      <c r="C549" s="63">
        <f>8.6471 * CHOOSE(CONTROL!$C$22, $C$13, 100%, $E$13)</f>
        <v>8.6471</v>
      </c>
      <c r="D549" s="63">
        <f>8.6593 * CHOOSE(CONTROL!$C$22, $C$13, 100%, $E$13)</f>
        <v>8.6593</v>
      </c>
      <c r="E549" s="64">
        <f>10.0663 * CHOOSE(CONTROL!$C$22, $C$13, 100%, $E$13)</f>
        <v>10.0663</v>
      </c>
      <c r="F549" s="64">
        <f>10.0663 * CHOOSE(CONTROL!$C$22, $C$13, 100%, $E$13)</f>
        <v>10.0663</v>
      </c>
      <c r="G549" s="64">
        <f>10.0665 * CHOOSE(CONTROL!$C$22, $C$13, 100%, $E$13)</f>
        <v>10.0665</v>
      </c>
      <c r="H549" s="64">
        <f>17.0903* CHOOSE(CONTROL!$C$22, $C$13, 100%, $E$13)</f>
        <v>17.090299999999999</v>
      </c>
      <c r="I549" s="64">
        <f>17.0904 * CHOOSE(CONTROL!$C$22, $C$13, 100%, $E$13)</f>
        <v>17.090399999999999</v>
      </c>
      <c r="J549" s="64">
        <f>10.0663 * CHOOSE(CONTROL!$C$22, $C$13, 100%, $E$13)</f>
        <v>10.0663</v>
      </c>
      <c r="K549" s="64">
        <f>10.0665 * CHOOSE(CONTROL!$C$22, $C$13, 100%, $E$13)</f>
        <v>10.0665</v>
      </c>
    </row>
    <row r="550" spans="1:11" ht="15">
      <c r="A550" s="13">
        <v>58380</v>
      </c>
      <c r="B550" s="63">
        <f>8.6501 * CHOOSE(CONTROL!$C$22, $C$13, 100%, $E$13)</f>
        <v>8.6501000000000001</v>
      </c>
      <c r="C550" s="63">
        <f>8.6501 * CHOOSE(CONTROL!$C$22, $C$13, 100%, $E$13)</f>
        <v>8.6501000000000001</v>
      </c>
      <c r="D550" s="63">
        <f>8.6623 * CHOOSE(CONTROL!$C$22, $C$13, 100%, $E$13)</f>
        <v>8.6623000000000001</v>
      </c>
      <c r="E550" s="64">
        <f>10.0913 * CHOOSE(CONTROL!$C$22, $C$13, 100%, $E$13)</f>
        <v>10.0913</v>
      </c>
      <c r="F550" s="64">
        <f>10.0913 * CHOOSE(CONTROL!$C$22, $C$13, 100%, $E$13)</f>
        <v>10.0913</v>
      </c>
      <c r="G550" s="64">
        <f>10.0914 * CHOOSE(CONTROL!$C$22, $C$13, 100%, $E$13)</f>
        <v>10.0914</v>
      </c>
      <c r="H550" s="64">
        <f>17.1259* CHOOSE(CONTROL!$C$22, $C$13, 100%, $E$13)</f>
        <v>17.125900000000001</v>
      </c>
      <c r="I550" s="64">
        <f>17.1261 * CHOOSE(CONTROL!$C$22, $C$13, 100%, $E$13)</f>
        <v>17.126100000000001</v>
      </c>
      <c r="J550" s="64">
        <f>10.0913 * CHOOSE(CONTROL!$C$22, $C$13, 100%, $E$13)</f>
        <v>10.0913</v>
      </c>
      <c r="K550" s="64">
        <f>10.0914 * CHOOSE(CONTROL!$C$22, $C$13, 100%, $E$13)</f>
        <v>10.0914</v>
      </c>
    </row>
    <row r="551" spans="1:11" ht="15">
      <c r="A551" s="13">
        <v>58410</v>
      </c>
      <c r="B551" s="63">
        <f>8.6501 * CHOOSE(CONTROL!$C$22, $C$13, 100%, $E$13)</f>
        <v>8.6501000000000001</v>
      </c>
      <c r="C551" s="63">
        <f>8.6501 * CHOOSE(CONTROL!$C$22, $C$13, 100%, $E$13)</f>
        <v>8.6501000000000001</v>
      </c>
      <c r="D551" s="63">
        <f>8.6623 * CHOOSE(CONTROL!$C$22, $C$13, 100%, $E$13)</f>
        <v>8.6623000000000001</v>
      </c>
      <c r="E551" s="64">
        <f>10.0341 * CHOOSE(CONTROL!$C$22, $C$13, 100%, $E$13)</f>
        <v>10.0341</v>
      </c>
      <c r="F551" s="64">
        <f>10.0341 * CHOOSE(CONTROL!$C$22, $C$13, 100%, $E$13)</f>
        <v>10.0341</v>
      </c>
      <c r="G551" s="64">
        <f>10.0343 * CHOOSE(CONTROL!$C$22, $C$13, 100%, $E$13)</f>
        <v>10.0343</v>
      </c>
      <c r="H551" s="64">
        <f>17.1616* CHOOSE(CONTROL!$C$22, $C$13, 100%, $E$13)</f>
        <v>17.1616</v>
      </c>
      <c r="I551" s="64">
        <f>17.1617 * CHOOSE(CONTROL!$C$22, $C$13, 100%, $E$13)</f>
        <v>17.1617</v>
      </c>
      <c r="J551" s="64">
        <f>10.0341 * CHOOSE(CONTROL!$C$22, $C$13, 100%, $E$13)</f>
        <v>10.0341</v>
      </c>
      <c r="K551" s="64">
        <f>10.0343 * CHOOSE(CONTROL!$C$22, $C$13, 100%, $E$13)</f>
        <v>10.0343</v>
      </c>
    </row>
    <row r="552" spans="1:11" ht="15">
      <c r="A552" s="13">
        <v>58441</v>
      </c>
      <c r="B552" s="63">
        <f>8.7264 * CHOOSE(CONTROL!$C$22, $C$13, 100%, $E$13)</f>
        <v>8.7263999999999999</v>
      </c>
      <c r="C552" s="63">
        <f>8.7264 * CHOOSE(CONTROL!$C$22, $C$13, 100%, $E$13)</f>
        <v>8.7263999999999999</v>
      </c>
      <c r="D552" s="63">
        <f>8.7386 * CHOOSE(CONTROL!$C$22, $C$13, 100%, $E$13)</f>
        <v>8.7385999999999999</v>
      </c>
      <c r="E552" s="64">
        <f>10.1646 * CHOOSE(CONTROL!$C$22, $C$13, 100%, $E$13)</f>
        <v>10.1646</v>
      </c>
      <c r="F552" s="64">
        <f>10.1646 * CHOOSE(CONTROL!$C$22, $C$13, 100%, $E$13)</f>
        <v>10.1646</v>
      </c>
      <c r="G552" s="64">
        <f>10.1647 * CHOOSE(CONTROL!$C$22, $C$13, 100%, $E$13)</f>
        <v>10.1647</v>
      </c>
      <c r="H552" s="64">
        <f>17.1973* CHOOSE(CONTROL!$C$22, $C$13, 100%, $E$13)</f>
        <v>17.197299999999998</v>
      </c>
      <c r="I552" s="64">
        <f>17.1975 * CHOOSE(CONTROL!$C$22, $C$13, 100%, $E$13)</f>
        <v>17.197500000000002</v>
      </c>
      <c r="J552" s="64">
        <f>10.1646 * CHOOSE(CONTROL!$C$22, $C$13, 100%, $E$13)</f>
        <v>10.1646</v>
      </c>
      <c r="K552" s="64">
        <f>10.1647 * CHOOSE(CONTROL!$C$22, $C$13, 100%, $E$13)</f>
        <v>10.1647</v>
      </c>
    </row>
    <row r="553" spans="1:11" ht="15">
      <c r="A553" s="13">
        <v>58472</v>
      </c>
      <c r="B553" s="63">
        <f>8.7233 * CHOOSE(CONTROL!$C$22, $C$13, 100%, $E$13)</f>
        <v>8.7233000000000001</v>
      </c>
      <c r="C553" s="63">
        <f>8.7233 * CHOOSE(CONTROL!$C$22, $C$13, 100%, $E$13)</f>
        <v>8.7233000000000001</v>
      </c>
      <c r="D553" s="63">
        <f>8.7356 * CHOOSE(CONTROL!$C$22, $C$13, 100%, $E$13)</f>
        <v>8.7355999999999998</v>
      </c>
      <c r="E553" s="64">
        <f>10.0513 * CHOOSE(CONTROL!$C$22, $C$13, 100%, $E$13)</f>
        <v>10.051299999999999</v>
      </c>
      <c r="F553" s="64">
        <f>10.0513 * CHOOSE(CONTROL!$C$22, $C$13, 100%, $E$13)</f>
        <v>10.051299999999999</v>
      </c>
      <c r="G553" s="64">
        <f>10.0515 * CHOOSE(CONTROL!$C$22, $C$13, 100%, $E$13)</f>
        <v>10.051500000000001</v>
      </c>
      <c r="H553" s="64">
        <f>17.2331* CHOOSE(CONTROL!$C$22, $C$13, 100%, $E$13)</f>
        <v>17.2331</v>
      </c>
      <c r="I553" s="64">
        <f>17.2333 * CHOOSE(CONTROL!$C$22, $C$13, 100%, $E$13)</f>
        <v>17.2333</v>
      </c>
      <c r="J553" s="64">
        <f>10.0513 * CHOOSE(CONTROL!$C$22, $C$13, 100%, $E$13)</f>
        <v>10.051299999999999</v>
      </c>
      <c r="K553" s="64">
        <f>10.0515 * CHOOSE(CONTROL!$C$22, $C$13, 100%, $E$13)</f>
        <v>10.051500000000001</v>
      </c>
    </row>
    <row r="554" spans="1:11" ht="15">
      <c r="A554" s="13">
        <v>58501</v>
      </c>
      <c r="B554" s="63">
        <f>8.7203 * CHOOSE(CONTROL!$C$22, $C$13, 100%, $E$13)</f>
        <v>8.7202999999999999</v>
      </c>
      <c r="C554" s="63">
        <f>8.7203 * CHOOSE(CONTROL!$C$22, $C$13, 100%, $E$13)</f>
        <v>8.7202999999999999</v>
      </c>
      <c r="D554" s="63">
        <f>8.7325 * CHOOSE(CONTROL!$C$22, $C$13, 100%, $E$13)</f>
        <v>8.7324999999999999</v>
      </c>
      <c r="E554" s="64">
        <f>10.1368 * CHOOSE(CONTROL!$C$22, $C$13, 100%, $E$13)</f>
        <v>10.136799999999999</v>
      </c>
      <c r="F554" s="64">
        <f>10.1368 * CHOOSE(CONTROL!$C$22, $C$13, 100%, $E$13)</f>
        <v>10.136799999999999</v>
      </c>
      <c r="G554" s="64">
        <f>10.137 * CHOOSE(CONTROL!$C$22, $C$13, 100%, $E$13)</f>
        <v>10.137</v>
      </c>
      <c r="H554" s="64">
        <f>17.269* CHOOSE(CONTROL!$C$22, $C$13, 100%, $E$13)</f>
        <v>17.268999999999998</v>
      </c>
      <c r="I554" s="64">
        <f>17.2692 * CHOOSE(CONTROL!$C$22, $C$13, 100%, $E$13)</f>
        <v>17.269200000000001</v>
      </c>
      <c r="J554" s="64">
        <f>10.1368 * CHOOSE(CONTROL!$C$22, $C$13, 100%, $E$13)</f>
        <v>10.136799999999999</v>
      </c>
      <c r="K554" s="64">
        <f>10.137 * CHOOSE(CONTROL!$C$22, $C$13, 100%, $E$13)</f>
        <v>10.137</v>
      </c>
    </row>
    <row r="555" spans="1:11" ht="15">
      <c r="A555" s="13">
        <v>58532</v>
      </c>
      <c r="B555" s="63">
        <f>8.7221 * CHOOSE(CONTROL!$C$22, $C$13, 100%, $E$13)</f>
        <v>8.7220999999999993</v>
      </c>
      <c r="C555" s="63">
        <f>8.7221 * CHOOSE(CONTROL!$C$22, $C$13, 100%, $E$13)</f>
        <v>8.7220999999999993</v>
      </c>
      <c r="D555" s="63">
        <f>8.7343 * CHOOSE(CONTROL!$C$22, $C$13, 100%, $E$13)</f>
        <v>8.7342999999999993</v>
      </c>
      <c r="E555" s="64">
        <f>10.2266 * CHOOSE(CONTROL!$C$22, $C$13, 100%, $E$13)</f>
        <v>10.226599999999999</v>
      </c>
      <c r="F555" s="64">
        <f>10.2266 * CHOOSE(CONTROL!$C$22, $C$13, 100%, $E$13)</f>
        <v>10.226599999999999</v>
      </c>
      <c r="G555" s="64">
        <f>10.2268 * CHOOSE(CONTROL!$C$22, $C$13, 100%, $E$13)</f>
        <v>10.226800000000001</v>
      </c>
      <c r="H555" s="64">
        <f>17.305* CHOOSE(CONTROL!$C$22, $C$13, 100%, $E$13)</f>
        <v>17.305</v>
      </c>
      <c r="I555" s="64">
        <f>17.3052 * CHOOSE(CONTROL!$C$22, $C$13, 100%, $E$13)</f>
        <v>17.305199999999999</v>
      </c>
      <c r="J555" s="64">
        <f>10.2266 * CHOOSE(CONTROL!$C$22, $C$13, 100%, $E$13)</f>
        <v>10.226599999999999</v>
      </c>
      <c r="K555" s="64">
        <f>10.2268 * CHOOSE(CONTROL!$C$22, $C$13, 100%, $E$13)</f>
        <v>10.226800000000001</v>
      </c>
    </row>
    <row r="556" spans="1:11" ht="15">
      <c r="A556" s="13">
        <v>58562</v>
      </c>
      <c r="B556" s="63">
        <f>8.7221 * CHOOSE(CONTROL!$C$22, $C$13, 100%, $E$13)</f>
        <v>8.7220999999999993</v>
      </c>
      <c r="C556" s="63">
        <f>8.7221 * CHOOSE(CONTROL!$C$22, $C$13, 100%, $E$13)</f>
        <v>8.7220999999999993</v>
      </c>
      <c r="D556" s="63">
        <f>8.7465 * CHOOSE(CONTROL!$C$22, $C$13, 100%, $E$13)</f>
        <v>8.7464999999999993</v>
      </c>
      <c r="E556" s="64">
        <f>10.2619 * CHOOSE(CONTROL!$C$22, $C$13, 100%, $E$13)</f>
        <v>10.261900000000001</v>
      </c>
      <c r="F556" s="64">
        <f>10.2619 * CHOOSE(CONTROL!$C$22, $C$13, 100%, $E$13)</f>
        <v>10.261900000000001</v>
      </c>
      <c r="G556" s="64">
        <f>10.2635 * CHOOSE(CONTROL!$C$22, $C$13, 100%, $E$13)</f>
        <v>10.263500000000001</v>
      </c>
      <c r="H556" s="64">
        <f>17.3411* CHOOSE(CONTROL!$C$22, $C$13, 100%, $E$13)</f>
        <v>17.341100000000001</v>
      </c>
      <c r="I556" s="64">
        <f>17.3426 * CHOOSE(CONTROL!$C$22, $C$13, 100%, $E$13)</f>
        <v>17.342600000000001</v>
      </c>
      <c r="J556" s="64">
        <f>10.2619 * CHOOSE(CONTROL!$C$22, $C$13, 100%, $E$13)</f>
        <v>10.261900000000001</v>
      </c>
      <c r="K556" s="64">
        <f>10.2635 * CHOOSE(CONTROL!$C$22, $C$13, 100%, $E$13)</f>
        <v>10.263500000000001</v>
      </c>
    </row>
    <row r="557" spans="1:11" ht="15">
      <c r="A557" s="13">
        <v>58593</v>
      </c>
      <c r="B557" s="63">
        <f>8.7282 * CHOOSE(CONTROL!$C$22, $C$13, 100%, $E$13)</f>
        <v>8.7281999999999993</v>
      </c>
      <c r="C557" s="63">
        <f>8.7282 * CHOOSE(CONTROL!$C$22, $C$13, 100%, $E$13)</f>
        <v>8.7281999999999993</v>
      </c>
      <c r="D557" s="63">
        <f>8.7526 * CHOOSE(CONTROL!$C$22, $C$13, 100%, $E$13)</f>
        <v>8.7525999999999993</v>
      </c>
      <c r="E557" s="64">
        <f>10.2309 * CHOOSE(CONTROL!$C$22, $C$13, 100%, $E$13)</f>
        <v>10.2309</v>
      </c>
      <c r="F557" s="64">
        <f>10.2309 * CHOOSE(CONTROL!$C$22, $C$13, 100%, $E$13)</f>
        <v>10.2309</v>
      </c>
      <c r="G557" s="64">
        <f>10.2325 * CHOOSE(CONTROL!$C$22, $C$13, 100%, $E$13)</f>
        <v>10.2325</v>
      </c>
      <c r="H557" s="64">
        <f>17.3772* CHOOSE(CONTROL!$C$22, $C$13, 100%, $E$13)</f>
        <v>17.377199999999998</v>
      </c>
      <c r="I557" s="64">
        <f>17.3788 * CHOOSE(CONTROL!$C$22, $C$13, 100%, $E$13)</f>
        <v>17.378799999999998</v>
      </c>
      <c r="J557" s="64">
        <f>10.2309 * CHOOSE(CONTROL!$C$22, $C$13, 100%, $E$13)</f>
        <v>10.2309</v>
      </c>
      <c r="K557" s="64">
        <f>10.2325 * CHOOSE(CONTROL!$C$22, $C$13, 100%, $E$13)</f>
        <v>10.2325</v>
      </c>
    </row>
    <row r="558" spans="1:11" ht="15">
      <c r="A558" s="13">
        <v>58623</v>
      </c>
      <c r="B558" s="63">
        <f>8.8688 * CHOOSE(CONTROL!$C$22, $C$13, 100%, $E$13)</f>
        <v>8.8688000000000002</v>
      </c>
      <c r="C558" s="63">
        <f>8.8688 * CHOOSE(CONTROL!$C$22, $C$13, 100%, $E$13)</f>
        <v>8.8688000000000002</v>
      </c>
      <c r="D558" s="63">
        <f>8.8932 * CHOOSE(CONTROL!$C$22, $C$13, 100%, $E$13)</f>
        <v>8.8932000000000002</v>
      </c>
      <c r="E558" s="64">
        <f>10.4296 * CHOOSE(CONTROL!$C$22, $C$13, 100%, $E$13)</f>
        <v>10.429600000000001</v>
      </c>
      <c r="F558" s="64">
        <f>10.4296 * CHOOSE(CONTROL!$C$22, $C$13, 100%, $E$13)</f>
        <v>10.429600000000001</v>
      </c>
      <c r="G558" s="64">
        <f>10.4311 * CHOOSE(CONTROL!$C$22, $C$13, 100%, $E$13)</f>
        <v>10.431100000000001</v>
      </c>
      <c r="H558" s="64">
        <f>17.4134* CHOOSE(CONTROL!$C$22, $C$13, 100%, $E$13)</f>
        <v>17.413399999999999</v>
      </c>
      <c r="I558" s="64">
        <f>17.415 * CHOOSE(CONTROL!$C$22, $C$13, 100%, $E$13)</f>
        <v>17.414999999999999</v>
      </c>
      <c r="J558" s="64">
        <f>10.4296 * CHOOSE(CONTROL!$C$22, $C$13, 100%, $E$13)</f>
        <v>10.429600000000001</v>
      </c>
      <c r="K558" s="64">
        <f>10.4311 * CHOOSE(CONTROL!$C$22, $C$13, 100%, $E$13)</f>
        <v>10.431100000000001</v>
      </c>
    </row>
    <row r="559" spans="1:11" ht="15">
      <c r="A559" s="13">
        <v>58654</v>
      </c>
      <c r="B559" s="63">
        <f>8.8755 * CHOOSE(CONTROL!$C$22, $C$13, 100%, $E$13)</f>
        <v>8.8755000000000006</v>
      </c>
      <c r="C559" s="63">
        <f>8.8755 * CHOOSE(CONTROL!$C$22, $C$13, 100%, $E$13)</f>
        <v>8.8755000000000006</v>
      </c>
      <c r="D559" s="63">
        <f>8.8999 * CHOOSE(CONTROL!$C$22, $C$13, 100%, $E$13)</f>
        <v>8.8999000000000006</v>
      </c>
      <c r="E559" s="64">
        <f>10.3284 * CHOOSE(CONTROL!$C$22, $C$13, 100%, $E$13)</f>
        <v>10.3284</v>
      </c>
      <c r="F559" s="64">
        <f>10.3284 * CHOOSE(CONTROL!$C$22, $C$13, 100%, $E$13)</f>
        <v>10.3284</v>
      </c>
      <c r="G559" s="64">
        <f>10.3299 * CHOOSE(CONTROL!$C$22, $C$13, 100%, $E$13)</f>
        <v>10.3299</v>
      </c>
      <c r="H559" s="64">
        <f>17.4497* CHOOSE(CONTROL!$C$22, $C$13, 100%, $E$13)</f>
        <v>17.4497</v>
      </c>
      <c r="I559" s="64">
        <f>17.4512 * CHOOSE(CONTROL!$C$22, $C$13, 100%, $E$13)</f>
        <v>17.4512</v>
      </c>
      <c r="J559" s="64">
        <f>10.3284 * CHOOSE(CONTROL!$C$22, $C$13, 100%, $E$13)</f>
        <v>10.3284</v>
      </c>
      <c r="K559" s="64">
        <f>10.3299 * CHOOSE(CONTROL!$C$22, $C$13, 100%, $E$13)</f>
        <v>10.3299</v>
      </c>
    </row>
    <row r="560" spans="1:11" ht="15">
      <c r="A560" s="13">
        <v>58685</v>
      </c>
      <c r="B560" s="63">
        <f>8.8724 * CHOOSE(CONTROL!$C$22, $C$13, 100%, $E$13)</f>
        <v>8.8724000000000007</v>
      </c>
      <c r="C560" s="63">
        <f>8.8724 * CHOOSE(CONTROL!$C$22, $C$13, 100%, $E$13)</f>
        <v>8.8724000000000007</v>
      </c>
      <c r="D560" s="63">
        <f>8.8968 * CHOOSE(CONTROL!$C$22, $C$13, 100%, $E$13)</f>
        <v>8.8968000000000007</v>
      </c>
      <c r="E560" s="64">
        <f>10.3145 * CHOOSE(CONTROL!$C$22, $C$13, 100%, $E$13)</f>
        <v>10.314500000000001</v>
      </c>
      <c r="F560" s="64">
        <f>10.3145 * CHOOSE(CONTROL!$C$22, $C$13, 100%, $E$13)</f>
        <v>10.314500000000001</v>
      </c>
      <c r="G560" s="64">
        <f>10.3161 * CHOOSE(CONTROL!$C$22, $C$13, 100%, $E$13)</f>
        <v>10.3161</v>
      </c>
      <c r="H560" s="64">
        <f>17.486* CHOOSE(CONTROL!$C$22, $C$13, 100%, $E$13)</f>
        <v>17.486000000000001</v>
      </c>
      <c r="I560" s="64">
        <f>17.4876 * CHOOSE(CONTROL!$C$22, $C$13, 100%, $E$13)</f>
        <v>17.4876</v>
      </c>
      <c r="J560" s="64">
        <f>10.3145 * CHOOSE(CONTROL!$C$22, $C$13, 100%, $E$13)</f>
        <v>10.314500000000001</v>
      </c>
      <c r="K560" s="64">
        <f>10.3161 * CHOOSE(CONTROL!$C$22, $C$13, 100%, $E$13)</f>
        <v>10.3161</v>
      </c>
    </row>
    <row r="561" spans="1:11" ht="15">
      <c r="A561" s="13">
        <v>58715</v>
      </c>
      <c r="B561" s="63">
        <f>8.8838 * CHOOSE(CONTROL!$C$22, $C$13, 100%, $E$13)</f>
        <v>8.8838000000000008</v>
      </c>
      <c r="C561" s="63">
        <f>8.8838 * CHOOSE(CONTROL!$C$22, $C$13, 100%, $E$13)</f>
        <v>8.8838000000000008</v>
      </c>
      <c r="D561" s="63">
        <f>8.896 * CHOOSE(CONTROL!$C$22, $C$13, 100%, $E$13)</f>
        <v>8.8960000000000008</v>
      </c>
      <c r="E561" s="64">
        <f>10.3481 * CHOOSE(CONTROL!$C$22, $C$13, 100%, $E$13)</f>
        <v>10.348100000000001</v>
      </c>
      <c r="F561" s="64">
        <f>10.3481 * CHOOSE(CONTROL!$C$22, $C$13, 100%, $E$13)</f>
        <v>10.348100000000001</v>
      </c>
      <c r="G561" s="64">
        <f>10.3483 * CHOOSE(CONTROL!$C$22, $C$13, 100%, $E$13)</f>
        <v>10.3483</v>
      </c>
      <c r="H561" s="64">
        <f>17.5225* CHOOSE(CONTROL!$C$22, $C$13, 100%, $E$13)</f>
        <v>17.522500000000001</v>
      </c>
      <c r="I561" s="64">
        <f>17.5226 * CHOOSE(CONTROL!$C$22, $C$13, 100%, $E$13)</f>
        <v>17.522600000000001</v>
      </c>
      <c r="J561" s="64">
        <f>10.3481 * CHOOSE(CONTROL!$C$22, $C$13, 100%, $E$13)</f>
        <v>10.348100000000001</v>
      </c>
      <c r="K561" s="64">
        <f>10.3483 * CHOOSE(CONTROL!$C$22, $C$13, 100%, $E$13)</f>
        <v>10.3483</v>
      </c>
    </row>
    <row r="562" spans="1:11" ht="15">
      <c r="A562" s="13">
        <v>58746</v>
      </c>
      <c r="B562" s="63">
        <f>8.8868 * CHOOSE(CONTROL!$C$22, $C$13, 100%, $E$13)</f>
        <v>8.8867999999999991</v>
      </c>
      <c r="C562" s="63">
        <f>8.8868 * CHOOSE(CONTROL!$C$22, $C$13, 100%, $E$13)</f>
        <v>8.8867999999999991</v>
      </c>
      <c r="D562" s="63">
        <f>8.8991 * CHOOSE(CONTROL!$C$22, $C$13, 100%, $E$13)</f>
        <v>8.8991000000000007</v>
      </c>
      <c r="E562" s="64">
        <f>10.3738 * CHOOSE(CONTROL!$C$22, $C$13, 100%, $E$13)</f>
        <v>10.373799999999999</v>
      </c>
      <c r="F562" s="64">
        <f>10.3738 * CHOOSE(CONTROL!$C$22, $C$13, 100%, $E$13)</f>
        <v>10.373799999999999</v>
      </c>
      <c r="G562" s="64">
        <f>10.3739 * CHOOSE(CONTROL!$C$22, $C$13, 100%, $E$13)</f>
        <v>10.373900000000001</v>
      </c>
      <c r="H562" s="64">
        <f>17.559* CHOOSE(CONTROL!$C$22, $C$13, 100%, $E$13)</f>
        <v>17.559000000000001</v>
      </c>
      <c r="I562" s="64">
        <f>17.5591 * CHOOSE(CONTROL!$C$22, $C$13, 100%, $E$13)</f>
        <v>17.559100000000001</v>
      </c>
      <c r="J562" s="64">
        <f>10.3738 * CHOOSE(CONTROL!$C$22, $C$13, 100%, $E$13)</f>
        <v>10.373799999999999</v>
      </c>
      <c r="K562" s="64">
        <f>10.3739 * CHOOSE(CONTROL!$C$22, $C$13, 100%, $E$13)</f>
        <v>10.373900000000001</v>
      </c>
    </row>
    <row r="563" spans="1:11" ht="15">
      <c r="A563" s="13">
        <v>58776</v>
      </c>
      <c r="B563" s="63">
        <f>8.8868 * CHOOSE(CONTROL!$C$22, $C$13, 100%, $E$13)</f>
        <v>8.8867999999999991</v>
      </c>
      <c r="C563" s="63">
        <f>8.8868 * CHOOSE(CONTROL!$C$22, $C$13, 100%, $E$13)</f>
        <v>8.8867999999999991</v>
      </c>
      <c r="D563" s="63">
        <f>8.8991 * CHOOSE(CONTROL!$C$22, $C$13, 100%, $E$13)</f>
        <v>8.8991000000000007</v>
      </c>
      <c r="E563" s="64">
        <f>10.315 * CHOOSE(CONTROL!$C$22, $C$13, 100%, $E$13)</f>
        <v>10.315</v>
      </c>
      <c r="F563" s="64">
        <f>10.315 * CHOOSE(CONTROL!$C$22, $C$13, 100%, $E$13)</f>
        <v>10.315</v>
      </c>
      <c r="G563" s="64">
        <f>10.3151 * CHOOSE(CONTROL!$C$22, $C$13, 100%, $E$13)</f>
        <v>10.315099999999999</v>
      </c>
      <c r="H563" s="64">
        <f>17.5955* CHOOSE(CONTROL!$C$22, $C$13, 100%, $E$13)</f>
        <v>17.595500000000001</v>
      </c>
      <c r="I563" s="64">
        <f>17.5957 * CHOOSE(CONTROL!$C$22, $C$13, 100%, $E$13)</f>
        <v>17.595700000000001</v>
      </c>
      <c r="J563" s="64">
        <f>10.315 * CHOOSE(CONTROL!$C$22, $C$13, 100%, $E$13)</f>
        <v>10.315</v>
      </c>
      <c r="K563" s="64">
        <f>10.3151 * CHOOSE(CONTROL!$C$22, $C$13, 100%, $E$13)</f>
        <v>10.315099999999999</v>
      </c>
    </row>
    <row r="564" spans="1:11" ht="15">
      <c r="A564" s="13">
        <v>58807</v>
      </c>
      <c r="B564" s="63">
        <f>8.9651 * CHOOSE(CONTROL!$C$22, $C$13, 100%, $E$13)</f>
        <v>8.9650999999999996</v>
      </c>
      <c r="C564" s="63">
        <f>8.9651 * CHOOSE(CONTROL!$C$22, $C$13, 100%, $E$13)</f>
        <v>8.9650999999999996</v>
      </c>
      <c r="D564" s="63">
        <f>8.9773 * CHOOSE(CONTROL!$C$22, $C$13, 100%, $E$13)</f>
        <v>8.9772999999999996</v>
      </c>
      <c r="E564" s="64">
        <f>10.449 * CHOOSE(CONTROL!$C$22, $C$13, 100%, $E$13)</f>
        <v>10.449</v>
      </c>
      <c r="F564" s="64">
        <f>10.449 * CHOOSE(CONTROL!$C$22, $C$13, 100%, $E$13)</f>
        <v>10.449</v>
      </c>
      <c r="G564" s="64">
        <f>10.4492 * CHOOSE(CONTROL!$C$22, $C$13, 100%, $E$13)</f>
        <v>10.449199999999999</v>
      </c>
      <c r="H564" s="64">
        <f>17.6322* CHOOSE(CONTROL!$C$22, $C$13, 100%, $E$13)</f>
        <v>17.632200000000001</v>
      </c>
      <c r="I564" s="64">
        <f>17.6324 * CHOOSE(CONTROL!$C$22, $C$13, 100%, $E$13)</f>
        <v>17.632400000000001</v>
      </c>
      <c r="J564" s="64">
        <f>10.449 * CHOOSE(CONTROL!$C$22, $C$13, 100%, $E$13)</f>
        <v>10.449</v>
      </c>
      <c r="K564" s="64">
        <f>10.4492 * CHOOSE(CONTROL!$C$22, $C$13, 100%, $E$13)</f>
        <v>10.449199999999999</v>
      </c>
    </row>
    <row r="565" spans="1:11" ht="15">
      <c r="A565" s="13">
        <v>58838</v>
      </c>
      <c r="B565" s="63">
        <f>8.9621 * CHOOSE(CONTROL!$C$22, $C$13, 100%, $E$13)</f>
        <v>8.9620999999999995</v>
      </c>
      <c r="C565" s="63">
        <f>8.9621 * CHOOSE(CONTROL!$C$22, $C$13, 100%, $E$13)</f>
        <v>8.9620999999999995</v>
      </c>
      <c r="D565" s="63">
        <f>8.9743 * CHOOSE(CONTROL!$C$22, $C$13, 100%, $E$13)</f>
        <v>8.9742999999999995</v>
      </c>
      <c r="E565" s="64">
        <f>10.3327 * CHOOSE(CONTROL!$C$22, $C$13, 100%, $E$13)</f>
        <v>10.332700000000001</v>
      </c>
      <c r="F565" s="64">
        <f>10.3327 * CHOOSE(CONTROL!$C$22, $C$13, 100%, $E$13)</f>
        <v>10.332700000000001</v>
      </c>
      <c r="G565" s="64">
        <f>10.3328 * CHOOSE(CONTROL!$C$22, $C$13, 100%, $E$13)</f>
        <v>10.332800000000001</v>
      </c>
      <c r="H565" s="64">
        <f>17.6689* CHOOSE(CONTROL!$C$22, $C$13, 100%, $E$13)</f>
        <v>17.668900000000001</v>
      </c>
      <c r="I565" s="64">
        <f>17.6691 * CHOOSE(CONTROL!$C$22, $C$13, 100%, $E$13)</f>
        <v>17.6691</v>
      </c>
      <c r="J565" s="64">
        <f>10.3327 * CHOOSE(CONTROL!$C$22, $C$13, 100%, $E$13)</f>
        <v>10.332700000000001</v>
      </c>
      <c r="K565" s="64">
        <f>10.3328 * CHOOSE(CONTROL!$C$22, $C$13, 100%, $E$13)</f>
        <v>10.332800000000001</v>
      </c>
    </row>
    <row r="566" spans="1:11" ht="15">
      <c r="A566" s="13">
        <v>58866</v>
      </c>
      <c r="B566" s="63">
        <f>8.959 * CHOOSE(CONTROL!$C$22, $C$13, 100%, $E$13)</f>
        <v>8.9589999999999996</v>
      </c>
      <c r="C566" s="63">
        <f>8.959 * CHOOSE(CONTROL!$C$22, $C$13, 100%, $E$13)</f>
        <v>8.9589999999999996</v>
      </c>
      <c r="D566" s="63">
        <f>8.9712 * CHOOSE(CONTROL!$C$22, $C$13, 100%, $E$13)</f>
        <v>8.9711999999999996</v>
      </c>
      <c r="E566" s="64">
        <f>10.4206 * CHOOSE(CONTROL!$C$22, $C$13, 100%, $E$13)</f>
        <v>10.4206</v>
      </c>
      <c r="F566" s="64">
        <f>10.4206 * CHOOSE(CONTROL!$C$22, $C$13, 100%, $E$13)</f>
        <v>10.4206</v>
      </c>
      <c r="G566" s="64">
        <f>10.4208 * CHOOSE(CONTROL!$C$22, $C$13, 100%, $E$13)</f>
        <v>10.4208</v>
      </c>
      <c r="H566" s="64">
        <f>17.7057* CHOOSE(CONTROL!$C$22, $C$13, 100%, $E$13)</f>
        <v>17.7057</v>
      </c>
      <c r="I566" s="64">
        <f>17.7059 * CHOOSE(CONTROL!$C$22, $C$13, 100%, $E$13)</f>
        <v>17.7059</v>
      </c>
      <c r="J566" s="64">
        <f>10.4206 * CHOOSE(CONTROL!$C$22, $C$13, 100%, $E$13)</f>
        <v>10.4206</v>
      </c>
      <c r="K566" s="64">
        <f>10.4208 * CHOOSE(CONTROL!$C$22, $C$13, 100%, $E$13)</f>
        <v>10.4208</v>
      </c>
    </row>
    <row r="567" spans="1:11" ht="15">
      <c r="A567" s="13">
        <v>58897</v>
      </c>
      <c r="B567" s="63">
        <f>8.961 * CHOOSE(CONTROL!$C$22, $C$13, 100%, $E$13)</f>
        <v>8.9610000000000003</v>
      </c>
      <c r="C567" s="63">
        <f>8.961 * CHOOSE(CONTROL!$C$22, $C$13, 100%, $E$13)</f>
        <v>8.9610000000000003</v>
      </c>
      <c r="D567" s="63">
        <f>8.9732 * CHOOSE(CONTROL!$C$22, $C$13, 100%, $E$13)</f>
        <v>8.9732000000000003</v>
      </c>
      <c r="E567" s="64">
        <f>10.5131 * CHOOSE(CONTROL!$C$22, $C$13, 100%, $E$13)</f>
        <v>10.5131</v>
      </c>
      <c r="F567" s="64">
        <f>10.5131 * CHOOSE(CONTROL!$C$22, $C$13, 100%, $E$13)</f>
        <v>10.5131</v>
      </c>
      <c r="G567" s="64">
        <f>10.5133 * CHOOSE(CONTROL!$C$22, $C$13, 100%, $E$13)</f>
        <v>10.513299999999999</v>
      </c>
      <c r="H567" s="64">
        <f>17.7426* CHOOSE(CONTROL!$C$22, $C$13, 100%, $E$13)</f>
        <v>17.742599999999999</v>
      </c>
      <c r="I567" s="64">
        <f>17.7428 * CHOOSE(CONTROL!$C$22, $C$13, 100%, $E$13)</f>
        <v>17.742799999999999</v>
      </c>
      <c r="J567" s="64">
        <f>10.5131 * CHOOSE(CONTROL!$C$22, $C$13, 100%, $E$13)</f>
        <v>10.5131</v>
      </c>
      <c r="K567" s="64">
        <f>10.5133 * CHOOSE(CONTROL!$C$22, $C$13, 100%, $E$13)</f>
        <v>10.513299999999999</v>
      </c>
    </row>
    <row r="568" spans="1:11" ht="15">
      <c r="A568" s="13">
        <v>58927</v>
      </c>
      <c r="B568" s="63">
        <f>8.961 * CHOOSE(CONTROL!$C$22, $C$13, 100%, $E$13)</f>
        <v>8.9610000000000003</v>
      </c>
      <c r="C568" s="63">
        <f>8.961 * CHOOSE(CONTROL!$C$22, $C$13, 100%, $E$13)</f>
        <v>8.9610000000000003</v>
      </c>
      <c r="D568" s="63">
        <f>8.9854 * CHOOSE(CONTROL!$C$22, $C$13, 100%, $E$13)</f>
        <v>8.9854000000000003</v>
      </c>
      <c r="E568" s="64">
        <f>10.5493 * CHOOSE(CONTROL!$C$22, $C$13, 100%, $E$13)</f>
        <v>10.549300000000001</v>
      </c>
      <c r="F568" s="64">
        <f>10.5493 * CHOOSE(CONTROL!$C$22, $C$13, 100%, $E$13)</f>
        <v>10.549300000000001</v>
      </c>
      <c r="G568" s="64">
        <f>10.5509 * CHOOSE(CONTROL!$C$22, $C$13, 100%, $E$13)</f>
        <v>10.5509</v>
      </c>
      <c r="H568" s="64">
        <f>17.7796* CHOOSE(CONTROL!$C$22, $C$13, 100%, $E$13)</f>
        <v>17.779599999999999</v>
      </c>
      <c r="I568" s="64">
        <f>17.7812 * CHOOSE(CONTROL!$C$22, $C$13, 100%, $E$13)</f>
        <v>17.781199999999998</v>
      </c>
      <c r="J568" s="64">
        <f>10.5493 * CHOOSE(CONTROL!$C$22, $C$13, 100%, $E$13)</f>
        <v>10.549300000000001</v>
      </c>
      <c r="K568" s="64">
        <f>10.5509 * CHOOSE(CONTROL!$C$22, $C$13, 100%, $E$13)</f>
        <v>10.5509</v>
      </c>
    </row>
    <row r="569" spans="1:11" ht="15">
      <c r="A569" s="13">
        <v>58958</v>
      </c>
      <c r="B569" s="63">
        <f>8.9671 * CHOOSE(CONTROL!$C$22, $C$13, 100%, $E$13)</f>
        <v>8.9671000000000003</v>
      </c>
      <c r="C569" s="63">
        <f>8.9671 * CHOOSE(CONTROL!$C$22, $C$13, 100%, $E$13)</f>
        <v>8.9671000000000003</v>
      </c>
      <c r="D569" s="63">
        <f>8.9915 * CHOOSE(CONTROL!$C$22, $C$13, 100%, $E$13)</f>
        <v>8.9915000000000003</v>
      </c>
      <c r="E569" s="64">
        <f>10.5173 * CHOOSE(CONTROL!$C$22, $C$13, 100%, $E$13)</f>
        <v>10.517300000000001</v>
      </c>
      <c r="F569" s="64">
        <f>10.5173 * CHOOSE(CONTROL!$C$22, $C$13, 100%, $E$13)</f>
        <v>10.517300000000001</v>
      </c>
      <c r="G569" s="64">
        <f>10.5189 * CHOOSE(CONTROL!$C$22, $C$13, 100%, $E$13)</f>
        <v>10.5189</v>
      </c>
      <c r="H569" s="64">
        <f>17.8166* CHOOSE(CONTROL!$C$22, $C$13, 100%, $E$13)</f>
        <v>17.816600000000001</v>
      </c>
      <c r="I569" s="64">
        <f>17.8182 * CHOOSE(CONTROL!$C$22, $C$13, 100%, $E$13)</f>
        <v>17.818200000000001</v>
      </c>
      <c r="J569" s="64">
        <f>10.5173 * CHOOSE(CONTROL!$C$22, $C$13, 100%, $E$13)</f>
        <v>10.517300000000001</v>
      </c>
      <c r="K569" s="64">
        <f>10.5189 * CHOOSE(CONTROL!$C$22, $C$13, 100%, $E$13)</f>
        <v>10.5189</v>
      </c>
    </row>
    <row r="570" spans="1:11" ht="15">
      <c r="A570" s="13">
        <v>58988</v>
      </c>
      <c r="B570" s="63">
        <f>9.1113 * CHOOSE(CONTROL!$C$22, $C$13, 100%, $E$13)</f>
        <v>9.1113</v>
      </c>
      <c r="C570" s="63">
        <f>9.1113 * CHOOSE(CONTROL!$C$22, $C$13, 100%, $E$13)</f>
        <v>9.1113</v>
      </c>
      <c r="D570" s="63">
        <f>9.1357 * CHOOSE(CONTROL!$C$22, $C$13, 100%, $E$13)</f>
        <v>9.1356999999999999</v>
      </c>
      <c r="E570" s="64">
        <f>10.7213 * CHOOSE(CONTROL!$C$22, $C$13, 100%, $E$13)</f>
        <v>10.721299999999999</v>
      </c>
      <c r="F570" s="64">
        <f>10.7213 * CHOOSE(CONTROL!$C$22, $C$13, 100%, $E$13)</f>
        <v>10.721299999999999</v>
      </c>
      <c r="G570" s="64">
        <f>10.7228 * CHOOSE(CONTROL!$C$22, $C$13, 100%, $E$13)</f>
        <v>10.722799999999999</v>
      </c>
      <c r="H570" s="64">
        <f>17.8538* CHOOSE(CONTROL!$C$22, $C$13, 100%, $E$13)</f>
        <v>17.8538</v>
      </c>
      <c r="I570" s="64">
        <f>17.8553 * CHOOSE(CONTROL!$C$22, $C$13, 100%, $E$13)</f>
        <v>17.8553</v>
      </c>
      <c r="J570" s="64">
        <f>10.7213 * CHOOSE(CONTROL!$C$22, $C$13, 100%, $E$13)</f>
        <v>10.721299999999999</v>
      </c>
      <c r="K570" s="64">
        <f>10.7228 * CHOOSE(CONTROL!$C$22, $C$13, 100%, $E$13)</f>
        <v>10.722799999999999</v>
      </c>
    </row>
    <row r="571" spans="1:11" ht="15">
      <c r="A571" s="13">
        <v>59019</v>
      </c>
      <c r="B571" s="63">
        <f>9.118 * CHOOSE(CONTROL!$C$22, $C$13, 100%, $E$13)</f>
        <v>9.1180000000000003</v>
      </c>
      <c r="C571" s="63">
        <f>9.118 * CHOOSE(CONTROL!$C$22, $C$13, 100%, $E$13)</f>
        <v>9.1180000000000003</v>
      </c>
      <c r="D571" s="63">
        <f>9.1424 * CHOOSE(CONTROL!$C$22, $C$13, 100%, $E$13)</f>
        <v>9.1424000000000003</v>
      </c>
      <c r="E571" s="64">
        <f>10.6171 * CHOOSE(CONTROL!$C$22, $C$13, 100%, $E$13)</f>
        <v>10.617100000000001</v>
      </c>
      <c r="F571" s="64">
        <f>10.6171 * CHOOSE(CONTROL!$C$22, $C$13, 100%, $E$13)</f>
        <v>10.617100000000001</v>
      </c>
      <c r="G571" s="64">
        <f>10.6187 * CHOOSE(CONTROL!$C$22, $C$13, 100%, $E$13)</f>
        <v>10.6187</v>
      </c>
      <c r="H571" s="64">
        <f>17.8909* CHOOSE(CONTROL!$C$22, $C$13, 100%, $E$13)</f>
        <v>17.890899999999998</v>
      </c>
      <c r="I571" s="64">
        <f>17.8925 * CHOOSE(CONTROL!$C$22, $C$13, 100%, $E$13)</f>
        <v>17.892499999999998</v>
      </c>
      <c r="J571" s="64">
        <f>10.6171 * CHOOSE(CONTROL!$C$22, $C$13, 100%, $E$13)</f>
        <v>10.617100000000001</v>
      </c>
      <c r="K571" s="64">
        <f>10.6187 * CHOOSE(CONTROL!$C$22, $C$13, 100%, $E$13)</f>
        <v>10.6187</v>
      </c>
    </row>
    <row r="572" spans="1:11" ht="15">
      <c r="A572" s="13">
        <v>59050</v>
      </c>
      <c r="B572" s="63">
        <f>9.1149 * CHOOSE(CONTROL!$C$22, $C$13, 100%, $E$13)</f>
        <v>9.1149000000000004</v>
      </c>
      <c r="C572" s="63">
        <f>9.1149 * CHOOSE(CONTROL!$C$22, $C$13, 100%, $E$13)</f>
        <v>9.1149000000000004</v>
      </c>
      <c r="D572" s="63">
        <f>9.1394 * CHOOSE(CONTROL!$C$22, $C$13, 100%, $E$13)</f>
        <v>9.1394000000000002</v>
      </c>
      <c r="E572" s="64">
        <f>10.6029 * CHOOSE(CONTROL!$C$22, $C$13, 100%, $E$13)</f>
        <v>10.6029</v>
      </c>
      <c r="F572" s="64">
        <f>10.6029 * CHOOSE(CONTROL!$C$22, $C$13, 100%, $E$13)</f>
        <v>10.6029</v>
      </c>
      <c r="G572" s="64">
        <f>10.6045 * CHOOSE(CONTROL!$C$22, $C$13, 100%, $E$13)</f>
        <v>10.6045</v>
      </c>
      <c r="H572" s="64">
        <f>17.9282* CHOOSE(CONTROL!$C$22, $C$13, 100%, $E$13)</f>
        <v>17.9282</v>
      </c>
      <c r="I572" s="64">
        <f>17.9298 * CHOOSE(CONTROL!$C$22, $C$13, 100%, $E$13)</f>
        <v>17.9298</v>
      </c>
      <c r="J572" s="64">
        <f>10.6029 * CHOOSE(CONTROL!$C$22, $C$13, 100%, $E$13)</f>
        <v>10.6029</v>
      </c>
      <c r="K572" s="64">
        <f>10.6045 * CHOOSE(CONTROL!$C$22, $C$13, 100%, $E$13)</f>
        <v>10.6045</v>
      </c>
    </row>
    <row r="573" spans="1:11" ht="15">
      <c r="A573" s="13">
        <v>59080</v>
      </c>
      <c r="B573" s="63">
        <f>9.1271 * CHOOSE(CONTROL!$C$22, $C$13, 100%, $E$13)</f>
        <v>9.1271000000000004</v>
      </c>
      <c r="C573" s="63">
        <f>9.1271 * CHOOSE(CONTROL!$C$22, $C$13, 100%, $E$13)</f>
        <v>9.1271000000000004</v>
      </c>
      <c r="D573" s="63">
        <f>9.1393 * CHOOSE(CONTROL!$C$22, $C$13, 100%, $E$13)</f>
        <v>9.1393000000000004</v>
      </c>
      <c r="E573" s="64">
        <f>10.6379 * CHOOSE(CONTROL!$C$22, $C$13, 100%, $E$13)</f>
        <v>10.6379</v>
      </c>
      <c r="F573" s="64">
        <f>10.6379 * CHOOSE(CONTROL!$C$22, $C$13, 100%, $E$13)</f>
        <v>10.6379</v>
      </c>
      <c r="G573" s="64">
        <f>10.638 * CHOOSE(CONTROL!$C$22, $C$13, 100%, $E$13)</f>
        <v>10.638</v>
      </c>
      <c r="H573" s="64">
        <f>17.9656* CHOOSE(CONTROL!$C$22, $C$13, 100%, $E$13)</f>
        <v>17.965599999999998</v>
      </c>
      <c r="I573" s="64">
        <f>17.9657 * CHOOSE(CONTROL!$C$22, $C$13, 100%, $E$13)</f>
        <v>17.965699999999998</v>
      </c>
      <c r="J573" s="64">
        <f>10.6379 * CHOOSE(CONTROL!$C$22, $C$13, 100%, $E$13)</f>
        <v>10.6379</v>
      </c>
      <c r="K573" s="64">
        <f>10.638 * CHOOSE(CONTROL!$C$22, $C$13, 100%, $E$13)</f>
        <v>10.638</v>
      </c>
    </row>
    <row r="574" spans="1:11" ht="15">
      <c r="A574" s="13">
        <v>59111</v>
      </c>
      <c r="B574" s="63">
        <f>9.1301 * CHOOSE(CONTROL!$C$22, $C$13, 100%, $E$13)</f>
        <v>9.1301000000000005</v>
      </c>
      <c r="C574" s="63">
        <f>9.1301 * CHOOSE(CONTROL!$C$22, $C$13, 100%, $E$13)</f>
        <v>9.1301000000000005</v>
      </c>
      <c r="D574" s="63">
        <f>9.1424 * CHOOSE(CONTROL!$C$22, $C$13, 100%, $E$13)</f>
        <v>9.1424000000000003</v>
      </c>
      <c r="E574" s="64">
        <f>10.6642 * CHOOSE(CONTROL!$C$22, $C$13, 100%, $E$13)</f>
        <v>10.664199999999999</v>
      </c>
      <c r="F574" s="64">
        <f>10.6642 * CHOOSE(CONTROL!$C$22, $C$13, 100%, $E$13)</f>
        <v>10.664199999999999</v>
      </c>
      <c r="G574" s="64">
        <f>10.6643 * CHOOSE(CONTROL!$C$22, $C$13, 100%, $E$13)</f>
        <v>10.664300000000001</v>
      </c>
      <c r="H574" s="64">
        <f>18.003* CHOOSE(CONTROL!$C$22, $C$13, 100%, $E$13)</f>
        <v>18.003</v>
      </c>
      <c r="I574" s="64">
        <f>18.0032 * CHOOSE(CONTROL!$C$22, $C$13, 100%, $E$13)</f>
        <v>18.0032</v>
      </c>
      <c r="J574" s="64">
        <f>10.6642 * CHOOSE(CONTROL!$C$22, $C$13, 100%, $E$13)</f>
        <v>10.664199999999999</v>
      </c>
      <c r="K574" s="64">
        <f>10.6643 * CHOOSE(CONTROL!$C$22, $C$13, 100%, $E$13)</f>
        <v>10.664300000000001</v>
      </c>
    </row>
    <row r="575" spans="1:11" ht="15">
      <c r="A575" s="13">
        <v>59141</v>
      </c>
      <c r="B575" s="63">
        <f>9.1301 * CHOOSE(CONTROL!$C$22, $C$13, 100%, $E$13)</f>
        <v>9.1301000000000005</v>
      </c>
      <c r="C575" s="63">
        <f>9.1301 * CHOOSE(CONTROL!$C$22, $C$13, 100%, $E$13)</f>
        <v>9.1301000000000005</v>
      </c>
      <c r="D575" s="63">
        <f>9.1424 * CHOOSE(CONTROL!$C$22, $C$13, 100%, $E$13)</f>
        <v>9.1424000000000003</v>
      </c>
      <c r="E575" s="64">
        <f>10.6037 * CHOOSE(CONTROL!$C$22, $C$13, 100%, $E$13)</f>
        <v>10.6037</v>
      </c>
      <c r="F575" s="64">
        <f>10.6037 * CHOOSE(CONTROL!$C$22, $C$13, 100%, $E$13)</f>
        <v>10.6037</v>
      </c>
      <c r="G575" s="64">
        <f>10.6039 * CHOOSE(CONTROL!$C$22, $C$13, 100%, $E$13)</f>
        <v>10.603899999999999</v>
      </c>
      <c r="H575" s="64">
        <f>18.0405* CHOOSE(CONTROL!$C$22, $C$13, 100%, $E$13)</f>
        <v>18.040500000000002</v>
      </c>
      <c r="I575" s="64">
        <f>18.0407 * CHOOSE(CONTROL!$C$22, $C$13, 100%, $E$13)</f>
        <v>18.040700000000001</v>
      </c>
      <c r="J575" s="64">
        <f>10.6037 * CHOOSE(CONTROL!$C$22, $C$13, 100%, $E$13)</f>
        <v>10.6037</v>
      </c>
      <c r="K575" s="64">
        <f>10.6039 * CHOOSE(CONTROL!$C$22, $C$13, 100%, $E$13)</f>
        <v>10.603899999999999</v>
      </c>
    </row>
    <row r="576" spans="1:11" ht="15">
      <c r="A576" s="13">
        <v>59172</v>
      </c>
      <c r="B576" s="63">
        <f>9.2104 * CHOOSE(CONTROL!$C$22, $C$13, 100%, $E$13)</f>
        <v>9.2103999999999999</v>
      </c>
      <c r="C576" s="63">
        <f>9.2104 * CHOOSE(CONTROL!$C$22, $C$13, 100%, $E$13)</f>
        <v>9.2103999999999999</v>
      </c>
      <c r="D576" s="63">
        <f>9.2226 * CHOOSE(CONTROL!$C$22, $C$13, 100%, $E$13)</f>
        <v>9.2225999999999999</v>
      </c>
      <c r="E576" s="64">
        <f>10.7414 * CHOOSE(CONTROL!$C$22, $C$13, 100%, $E$13)</f>
        <v>10.741400000000001</v>
      </c>
      <c r="F576" s="64">
        <f>10.7414 * CHOOSE(CONTROL!$C$22, $C$13, 100%, $E$13)</f>
        <v>10.741400000000001</v>
      </c>
      <c r="G576" s="64">
        <f>10.7416 * CHOOSE(CONTROL!$C$22, $C$13, 100%, $E$13)</f>
        <v>10.7416</v>
      </c>
      <c r="H576" s="64">
        <f>18.0781* CHOOSE(CONTROL!$C$22, $C$13, 100%, $E$13)</f>
        <v>18.078099999999999</v>
      </c>
      <c r="I576" s="64">
        <f>18.0783 * CHOOSE(CONTROL!$C$22, $C$13, 100%, $E$13)</f>
        <v>18.078299999999999</v>
      </c>
      <c r="J576" s="64">
        <f>10.7414 * CHOOSE(CONTROL!$C$22, $C$13, 100%, $E$13)</f>
        <v>10.741400000000001</v>
      </c>
      <c r="K576" s="64">
        <f>10.7416 * CHOOSE(CONTROL!$C$22, $C$13, 100%, $E$13)</f>
        <v>10.7416</v>
      </c>
    </row>
    <row r="577" spans="1:11" ht="15">
      <c r="A577" s="13">
        <v>59203</v>
      </c>
      <c r="B577" s="63">
        <f>9.2074 * CHOOSE(CONTROL!$C$22, $C$13, 100%, $E$13)</f>
        <v>9.2073999999999998</v>
      </c>
      <c r="C577" s="63">
        <f>9.2074 * CHOOSE(CONTROL!$C$22, $C$13, 100%, $E$13)</f>
        <v>9.2073999999999998</v>
      </c>
      <c r="D577" s="63">
        <f>9.2196 * CHOOSE(CONTROL!$C$22, $C$13, 100%, $E$13)</f>
        <v>9.2195999999999998</v>
      </c>
      <c r="E577" s="64">
        <f>10.6219 * CHOOSE(CONTROL!$C$22, $C$13, 100%, $E$13)</f>
        <v>10.6219</v>
      </c>
      <c r="F577" s="64">
        <f>10.6219 * CHOOSE(CONTROL!$C$22, $C$13, 100%, $E$13)</f>
        <v>10.6219</v>
      </c>
      <c r="G577" s="64">
        <f>10.6221 * CHOOSE(CONTROL!$C$22, $C$13, 100%, $E$13)</f>
        <v>10.6221</v>
      </c>
      <c r="H577" s="64">
        <f>18.1158* CHOOSE(CONTROL!$C$22, $C$13, 100%, $E$13)</f>
        <v>18.1158</v>
      </c>
      <c r="I577" s="64">
        <f>18.1159 * CHOOSE(CONTROL!$C$22, $C$13, 100%, $E$13)</f>
        <v>18.1159</v>
      </c>
      <c r="J577" s="64">
        <f>10.6219 * CHOOSE(CONTROL!$C$22, $C$13, 100%, $E$13)</f>
        <v>10.6219</v>
      </c>
      <c r="K577" s="64">
        <f>10.6221 * CHOOSE(CONTROL!$C$22, $C$13, 100%, $E$13)</f>
        <v>10.6221</v>
      </c>
    </row>
    <row r="578" spans="1:11" ht="15">
      <c r="A578" s="13">
        <v>59231</v>
      </c>
      <c r="B578" s="63">
        <f>9.2043 * CHOOSE(CONTROL!$C$22, $C$13, 100%, $E$13)</f>
        <v>9.2042999999999999</v>
      </c>
      <c r="C578" s="63">
        <f>9.2043 * CHOOSE(CONTROL!$C$22, $C$13, 100%, $E$13)</f>
        <v>9.2042999999999999</v>
      </c>
      <c r="D578" s="63">
        <f>9.2166 * CHOOSE(CONTROL!$C$22, $C$13, 100%, $E$13)</f>
        <v>9.2165999999999997</v>
      </c>
      <c r="E578" s="64">
        <f>10.7123 * CHOOSE(CONTROL!$C$22, $C$13, 100%, $E$13)</f>
        <v>10.712300000000001</v>
      </c>
      <c r="F578" s="64">
        <f>10.7123 * CHOOSE(CONTROL!$C$22, $C$13, 100%, $E$13)</f>
        <v>10.712300000000001</v>
      </c>
      <c r="G578" s="64">
        <f>10.7125 * CHOOSE(CONTROL!$C$22, $C$13, 100%, $E$13)</f>
        <v>10.7125</v>
      </c>
      <c r="H578" s="64">
        <f>18.1535* CHOOSE(CONTROL!$C$22, $C$13, 100%, $E$13)</f>
        <v>18.153500000000001</v>
      </c>
      <c r="I578" s="64">
        <f>18.1537 * CHOOSE(CONTROL!$C$22, $C$13, 100%, $E$13)</f>
        <v>18.153700000000001</v>
      </c>
      <c r="J578" s="64">
        <f>10.7123 * CHOOSE(CONTROL!$C$22, $C$13, 100%, $E$13)</f>
        <v>10.712300000000001</v>
      </c>
      <c r="K578" s="64">
        <f>10.7125 * CHOOSE(CONTROL!$C$22, $C$13, 100%, $E$13)</f>
        <v>10.7125</v>
      </c>
    </row>
    <row r="579" spans="1:11" ht="15">
      <c r="A579" s="13">
        <v>59262</v>
      </c>
      <c r="B579" s="63">
        <f>9.2065 * CHOOSE(CONTROL!$C$22, $C$13, 100%, $E$13)</f>
        <v>9.2065000000000001</v>
      </c>
      <c r="C579" s="63">
        <f>9.2065 * CHOOSE(CONTROL!$C$22, $C$13, 100%, $E$13)</f>
        <v>9.2065000000000001</v>
      </c>
      <c r="D579" s="63">
        <f>9.2187 * CHOOSE(CONTROL!$C$22, $C$13, 100%, $E$13)</f>
        <v>9.2187000000000001</v>
      </c>
      <c r="E579" s="64">
        <f>10.8075 * CHOOSE(CONTROL!$C$22, $C$13, 100%, $E$13)</f>
        <v>10.807499999999999</v>
      </c>
      <c r="F579" s="64">
        <f>10.8075 * CHOOSE(CONTROL!$C$22, $C$13, 100%, $E$13)</f>
        <v>10.807499999999999</v>
      </c>
      <c r="G579" s="64">
        <f>10.8077 * CHOOSE(CONTROL!$C$22, $C$13, 100%, $E$13)</f>
        <v>10.807700000000001</v>
      </c>
      <c r="H579" s="64">
        <f>18.1913* CHOOSE(CONTROL!$C$22, $C$13, 100%, $E$13)</f>
        <v>18.191299999999998</v>
      </c>
      <c r="I579" s="64">
        <f>18.1915 * CHOOSE(CONTROL!$C$22, $C$13, 100%, $E$13)</f>
        <v>18.191500000000001</v>
      </c>
      <c r="J579" s="64">
        <f>10.8075 * CHOOSE(CONTROL!$C$22, $C$13, 100%, $E$13)</f>
        <v>10.807499999999999</v>
      </c>
      <c r="K579" s="64">
        <f>10.8077 * CHOOSE(CONTROL!$C$22, $C$13, 100%, $E$13)</f>
        <v>10.807700000000001</v>
      </c>
    </row>
    <row r="580" spans="1:11" ht="15">
      <c r="A580" s="13">
        <v>59292</v>
      </c>
      <c r="B580" s="63">
        <f>9.2065 * CHOOSE(CONTROL!$C$22, $C$13, 100%, $E$13)</f>
        <v>9.2065000000000001</v>
      </c>
      <c r="C580" s="63">
        <f>9.2065 * CHOOSE(CONTROL!$C$22, $C$13, 100%, $E$13)</f>
        <v>9.2065000000000001</v>
      </c>
      <c r="D580" s="63">
        <f>9.2309 * CHOOSE(CONTROL!$C$22, $C$13, 100%, $E$13)</f>
        <v>9.2309000000000001</v>
      </c>
      <c r="E580" s="64">
        <f>10.8448 * CHOOSE(CONTROL!$C$22, $C$13, 100%, $E$13)</f>
        <v>10.844799999999999</v>
      </c>
      <c r="F580" s="64">
        <f>10.8448 * CHOOSE(CONTROL!$C$22, $C$13, 100%, $E$13)</f>
        <v>10.844799999999999</v>
      </c>
      <c r="G580" s="64">
        <f>10.8464 * CHOOSE(CONTROL!$C$22, $C$13, 100%, $E$13)</f>
        <v>10.846399999999999</v>
      </c>
      <c r="H580" s="64">
        <f>18.2292* CHOOSE(CONTROL!$C$22, $C$13, 100%, $E$13)</f>
        <v>18.229199999999999</v>
      </c>
      <c r="I580" s="64">
        <f>18.2308 * CHOOSE(CONTROL!$C$22, $C$13, 100%, $E$13)</f>
        <v>18.230799999999999</v>
      </c>
      <c r="J580" s="64">
        <f>10.8448 * CHOOSE(CONTROL!$C$22, $C$13, 100%, $E$13)</f>
        <v>10.844799999999999</v>
      </c>
      <c r="K580" s="64">
        <f>10.8464 * CHOOSE(CONTROL!$C$22, $C$13, 100%, $E$13)</f>
        <v>10.846399999999999</v>
      </c>
    </row>
    <row r="581" spans="1:11" ht="15">
      <c r="A581" s="13">
        <v>59323</v>
      </c>
      <c r="B581" s="63">
        <f>9.2126 * CHOOSE(CONTROL!$C$22, $C$13, 100%, $E$13)</f>
        <v>9.2126000000000001</v>
      </c>
      <c r="C581" s="63">
        <f>9.2126 * CHOOSE(CONTROL!$C$22, $C$13, 100%, $E$13)</f>
        <v>9.2126000000000001</v>
      </c>
      <c r="D581" s="63">
        <f>9.237 * CHOOSE(CONTROL!$C$22, $C$13, 100%, $E$13)</f>
        <v>9.2370000000000001</v>
      </c>
      <c r="E581" s="64">
        <f>10.8118 * CHOOSE(CONTROL!$C$22, $C$13, 100%, $E$13)</f>
        <v>10.8118</v>
      </c>
      <c r="F581" s="64">
        <f>10.8118 * CHOOSE(CONTROL!$C$22, $C$13, 100%, $E$13)</f>
        <v>10.8118</v>
      </c>
      <c r="G581" s="64">
        <f>10.8133 * CHOOSE(CONTROL!$C$22, $C$13, 100%, $E$13)</f>
        <v>10.8133</v>
      </c>
      <c r="H581" s="64">
        <f>18.2672* CHOOSE(CONTROL!$C$22, $C$13, 100%, $E$13)</f>
        <v>18.267199999999999</v>
      </c>
      <c r="I581" s="64">
        <f>18.2688 * CHOOSE(CONTROL!$C$22, $C$13, 100%, $E$13)</f>
        <v>18.268799999999999</v>
      </c>
      <c r="J581" s="64">
        <f>10.8118 * CHOOSE(CONTROL!$C$22, $C$13, 100%, $E$13)</f>
        <v>10.8118</v>
      </c>
      <c r="K581" s="64">
        <f>10.8133 * CHOOSE(CONTROL!$C$22, $C$13, 100%, $E$13)</f>
        <v>10.8133</v>
      </c>
    </row>
    <row r="582" spans="1:11" ht="15">
      <c r="A582" s="13">
        <v>59353</v>
      </c>
      <c r="B582" s="63">
        <f>9.3605 * CHOOSE(CONTROL!$C$22, $C$13, 100%, $E$13)</f>
        <v>9.3605</v>
      </c>
      <c r="C582" s="63">
        <f>9.3605 * CHOOSE(CONTROL!$C$22, $C$13, 100%, $E$13)</f>
        <v>9.3605</v>
      </c>
      <c r="D582" s="63">
        <f>9.3849 * CHOOSE(CONTROL!$C$22, $C$13, 100%, $E$13)</f>
        <v>9.3849</v>
      </c>
      <c r="E582" s="64">
        <f>11.0212 * CHOOSE(CONTROL!$C$22, $C$13, 100%, $E$13)</f>
        <v>11.0212</v>
      </c>
      <c r="F582" s="64">
        <f>11.0212 * CHOOSE(CONTROL!$C$22, $C$13, 100%, $E$13)</f>
        <v>11.0212</v>
      </c>
      <c r="G582" s="64">
        <f>11.0227 * CHOOSE(CONTROL!$C$22, $C$13, 100%, $E$13)</f>
        <v>11.0227</v>
      </c>
      <c r="H582" s="64">
        <f>18.3052* CHOOSE(CONTROL!$C$22, $C$13, 100%, $E$13)</f>
        <v>18.305199999999999</v>
      </c>
      <c r="I582" s="64">
        <f>18.3068 * CHOOSE(CONTROL!$C$22, $C$13, 100%, $E$13)</f>
        <v>18.306799999999999</v>
      </c>
      <c r="J582" s="64">
        <f>11.0212 * CHOOSE(CONTROL!$C$22, $C$13, 100%, $E$13)</f>
        <v>11.0212</v>
      </c>
      <c r="K582" s="64">
        <f>11.0227 * CHOOSE(CONTROL!$C$22, $C$13, 100%, $E$13)</f>
        <v>11.0227</v>
      </c>
    </row>
    <row r="583" spans="1:11" ht="15">
      <c r="A583" s="13">
        <v>59384</v>
      </c>
      <c r="B583" s="63">
        <f>9.3672 * CHOOSE(CONTROL!$C$22, $C$13, 100%, $E$13)</f>
        <v>9.3672000000000004</v>
      </c>
      <c r="C583" s="63">
        <f>9.3672 * CHOOSE(CONTROL!$C$22, $C$13, 100%, $E$13)</f>
        <v>9.3672000000000004</v>
      </c>
      <c r="D583" s="63">
        <f>9.3916 * CHOOSE(CONTROL!$C$22, $C$13, 100%, $E$13)</f>
        <v>9.3916000000000004</v>
      </c>
      <c r="E583" s="64">
        <f>10.914 * CHOOSE(CONTROL!$C$22, $C$13, 100%, $E$13)</f>
        <v>10.914</v>
      </c>
      <c r="F583" s="64">
        <f>10.914 * CHOOSE(CONTROL!$C$22, $C$13, 100%, $E$13)</f>
        <v>10.914</v>
      </c>
      <c r="G583" s="64">
        <f>10.9155 * CHOOSE(CONTROL!$C$22, $C$13, 100%, $E$13)</f>
        <v>10.9155</v>
      </c>
      <c r="H583" s="64">
        <f>18.3434* CHOOSE(CONTROL!$C$22, $C$13, 100%, $E$13)</f>
        <v>18.343399999999999</v>
      </c>
      <c r="I583" s="64">
        <f>18.3449 * CHOOSE(CONTROL!$C$22, $C$13, 100%, $E$13)</f>
        <v>18.344899999999999</v>
      </c>
      <c r="J583" s="64">
        <f>10.914 * CHOOSE(CONTROL!$C$22, $C$13, 100%, $E$13)</f>
        <v>10.914</v>
      </c>
      <c r="K583" s="64">
        <f>10.9155 * CHOOSE(CONTROL!$C$22, $C$13, 100%, $E$13)</f>
        <v>10.9155</v>
      </c>
    </row>
    <row r="584" spans="1:11" ht="15">
      <c r="A584" s="13">
        <v>59415</v>
      </c>
      <c r="B584" s="63">
        <f>9.3641 * CHOOSE(CONTROL!$C$22, $C$13, 100%, $E$13)</f>
        <v>9.3641000000000005</v>
      </c>
      <c r="C584" s="63">
        <f>9.3641 * CHOOSE(CONTROL!$C$22, $C$13, 100%, $E$13)</f>
        <v>9.3641000000000005</v>
      </c>
      <c r="D584" s="63">
        <f>9.3886 * CHOOSE(CONTROL!$C$22, $C$13, 100%, $E$13)</f>
        <v>9.3886000000000003</v>
      </c>
      <c r="E584" s="64">
        <f>10.8994 * CHOOSE(CONTROL!$C$22, $C$13, 100%, $E$13)</f>
        <v>10.8994</v>
      </c>
      <c r="F584" s="64">
        <f>10.8994 * CHOOSE(CONTROL!$C$22, $C$13, 100%, $E$13)</f>
        <v>10.8994</v>
      </c>
      <c r="G584" s="64">
        <f>10.901 * CHOOSE(CONTROL!$C$22, $C$13, 100%, $E$13)</f>
        <v>10.901</v>
      </c>
      <c r="H584" s="64">
        <f>18.3816* CHOOSE(CONTROL!$C$22, $C$13, 100%, $E$13)</f>
        <v>18.381599999999999</v>
      </c>
      <c r="I584" s="64">
        <f>18.3832 * CHOOSE(CONTROL!$C$22, $C$13, 100%, $E$13)</f>
        <v>18.383199999999999</v>
      </c>
      <c r="J584" s="64">
        <f>10.8994 * CHOOSE(CONTROL!$C$22, $C$13, 100%, $E$13)</f>
        <v>10.8994</v>
      </c>
      <c r="K584" s="64">
        <f>10.901 * CHOOSE(CONTROL!$C$22, $C$13, 100%, $E$13)</f>
        <v>10.901</v>
      </c>
    </row>
    <row r="585" spans="1:11" ht="15">
      <c r="A585" s="13">
        <v>59445</v>
      </c>
      <c r="B585" s="63">
        <f>9.3771 * CHOOSE(CONTROL!$C$22, $C$13, 100%, $E$13)</f>
        <v>9.3771000000000004</v>
      </c>
      <c r="C585" s="63">
        <f>9.3771 * CHOOSE(CONTROL!$C$22, $C$13, 100%, $E$13)</f>
        <v>9.3771000000000004</v>
      </c>
      <c r="D585" s="63">
        <f>9.3893 * CHOOSE(CONTROL!$C$22, $C$13, 100%, $E$13)</f>
        <v>9.3893000000000004</v>
      </c>
      <c r="E585" s="64">
        <f>10.9357 * CHOOSE(CONTROL!$C$22, $C$13, 100%, $E$13)</f>
        <v>10.935700000000001</v>
      </c>
      <c r="F585" s="64">
        <f>10.9357 * CHOOSE(CONTROL!$C$22, $C$13, 100%, $E$13)</f>
        <v>10.935700000000001</v>
      </c>
      <c r="G585" s="64">
        <f>10.9359 * CHOOSE(CONTROL!$C$22, $C$13, 100%, $E$13)</f>
        <v>10.9359</v>
      </c>
      <c r="H585" s="64">
        <f>18.4199* CHOOSE(CONTROL!$C$22, $C$13, 100%, $E$13)</f>
        <v>18.419899999999998</v>
      </c>
      <c r="I585" s="64">
        <f>18.4201 * CHOOSE(CONTROL!$C$22, $C$13, 100%, $E$13)</f>
        <v>18.420100000000001</v>
      </c>
      <c r="J585" s="64">
        <f>10.9357 * CHOOSE(CONTROL!$C$22, $C$13, 100%, $E$13)</f>
        <v>10.935700000000001</v>
      </c>
      <c r="K585" s="64">
        <f>10.9359 * CHOOSE(CONTROL!$C$22, $C$13, 100%, $E$13)</f>
        <v>10.9359</v>
      </c>
    </row>
    <row r="586" spans="1:11" ht="15">
      <c r="A586" s="13">
        <v>59476</v>
      </c>
      <c r="B586" s="63">
        <f>9.3802 * CHOOSE(CONTROL!$C$22, $C$13, 100%, $E$13)</f>
        <v>9.3802000000000003</v>
      </c>
      <c r="C586" s="63">
        <f>9.3802 * CHOOSE(CONTROL!$C$22, $C$13, 100%, $E$13)</f>
        <v>9.3802000000000003</v>
      </c>
      <c r="D586" s="63">
        <f>9.3924 * CHOOSE(CONTROL!$C$22, $C$13, 100%, $E$13)</f>
        <v>9.3924000000000003</v>
      </c>
      <c r="E586" s="64">
        <f>10.9627 * CHOOSE(CONTROL!$C$22, $C$13, 100%, $E$13)</f>
        <v>10.9627</v>
      </c>
      <c r="F586" s="64">
        <f>10.9627 * CHOOSE(CONTROL!$C$22, $C$13, 100%, $E$13)</f>
        <v>10.9627</v>
      </c>
      <c r="G586" s="64">
        <f>10.9629 * CHOOSE(CONTROL!$C$22, $C$13, 100%, $E$13)</f>
        <v>10.962899999999999</v>
      </c>
      <c r="H586" s="64">
        <f>18.4583* CHOOSE(CONTROL!$C$22, $C$13, 100%, $E$13)</f>
        <v>18.458300000000001</v>
      </c>
      <c r="I586" s="64">
        <f>18.4584 * CHOOSE(CONTROL!$C$22, $C$13, 100%, $E$13)</f>
        <v>18.458400000000001</v>
      </c>
      <c r="J586" s="64">
        <f>10.9627 * CHOOSE(CONTROL!$C$22, $C$13, 100%, $E$13)</f>
        <v>10.9627</v>
      </c>
      <c r="K586" s="64">
        <f>10.9629 * CHOOSE(CONTROL!$C$22, $C$13, 100%, $E$13)</f>
        <v>10.962899999999999</v>
      </c>
    </row>
    <row r="587" spans="1:11" ht="15">
      <c r="A587" s="13">
        <v>59506</v>
      </c>
      <c r="B587" s="63">
        <f>9.3802 * CHOOSE(CONTROL!$C$22, $C$13, 100%, $E$13)</f>
        <v>9.3802000000000003</v>
      </c>
      <c r="C587" s="63">
        <f>9.3802 * CHOOSE(CONTROL!$C$22, $C$13, 100%, $E$13)</f>
        <v>9.3802000000000003</v>
      </c>
      <c r="D587" s="63">
        <f>9.3924 * CHOOSE(CONTROL!$C$22, $C$13, 100%, $E$13)</f>
        <v>9.3924000000000003</v>
      </c>
      <c r="E587" s="64">
        <f>10.9005 * CHOOSE(CONTROL!$C$22, $C$13, 100%, $E$13)</f>
        <v>10.900499999999999</v>
      </c>
      <c r="F587" s="64">
        <f>10.9005 * CHOOSE(CONTROL!$C$22, $C$13, 100%, $E$13)</f>
        <v>10.900499999999999</v>
      </c>
      <c r="G587" s="64">
        <f>10.9007 * CHOOSE(CONTROL!$C$22, $C$13, 100%, $E$13)</f>
        <v>10.900700000000001</v>
      </c>
      <c r="H587" s="64">
        <f>18.4967* CHOOSE(CONTROL!$C$22, $C$13, 100%, $E$13)</f>
        <v>18.496700000000001</v>
      </c>
      <c r="I587" s="64">
        <f>18.4969 * CHOOSE(CONTROL!$C$22, $C$13, 100%, $E$13)</f>
        <v>18.4969</v>
      </c>
      <c r="J587" s="64">
        <f>10.9005 * CHOOSE(CONTROL!$C$22, $C$13, 100%, $E$13)</f>
        <v>10.900499999999999</v>
      </c>
      <c r="K587" s="64">
        <f>10.9007 * CHOOSE(CONTROL!$C$22, $C$13, 100%, $E$13)</f>
        <v>10.900700000000001</v>
      </c>
    </row>
    <row r="588" spans="1:11" ht="15">
      <c r="A588" s="13">
        <v>59537</v>
      </c>
      <c r="B588" s="63">
        <f>9.4557 * CHOOSE(CONTROL!$C$22, $C$13, 100%, $E$13)</f>
        <v>9.4557000000000002</v>
      </c>
      <c r="C588" s="63">
        <f>9.4557 * CHOOSE(CONTROL!$C$22, $C$13, 100%, $E$13)</f>
        <v>9.4557000000000002</v>
      </c>
      <c r="D588" s="63">
        <f>9.468 * CHOOSE(CONTROL!$C$22, $C$13, 100%, $E$13)</f>
        <v>9.468</v>
      </c>
      <c r="E588" s="64">
        <f>11.0338 * CHOOSE(CONTROL!$C$22, $C$13, 100%, $E$13)</f>
        <v>11.033799999999999</v>
      </c>
      <c r="F588" s="64">
        <f>11.0338 * CHOOSE(CONTROL!$C$22, $C$13, 100%, $E$13)</f>
        <v>11.033799999999999</v>
      </c>
      <c r="G588" s="64">
        <f>11.034 * CHOOSE(CONTROL!$C$22, $C$13, 100%, $E$13)</f>
        <v>11.034000000000001</v>
      </c>
      <c r="H588" s="64">
        <f>18.524* CHOOSE(CONTROL!$C$22, $C$13, 100%, $E$13)</f>
        <v>18.524000000000001</v>
      </c>
      <c r="I588" s="64">
        <f>18.5242 * CHOOSE(CONTROL!$C$22, $C$13, 100%, $E$13)</f>
        <v>18.5242</v>
      </c>
      <c r="J588" s="64">
        <f>11.0338 * CHOOSE(CONTROL!$C$22, $C$13, 100%, $E$13)</f>
        <v>11.033799999999999</v>
      </c>
      <c r="K588" s="64">
        <f>11.034 * CHOOSE(CONTROL!$C$22, $C$13, 100%, $E$13)</f>
        <v>11.034000000000001</v>
      </c>
    </row>
    <row r="589" spans="1:11" ht="15">
      <c r="A589" s="13">
        <v>59568</v>
      </c>
      <c r="B589" s="63">
        <f>9.4527 * CHOOSE(CONTROL!$C$22, $C$13, 100%, $E$13)</f>
        <v>9.4527000000000001</v>
      </c>
      <c r="C589" s="63">
        <f>9.4527 * CHOOSE(CONTROL!$C$22, $C$13, 100%, $E$13)</f>
        <v>9.4527000000000001</v>
      </c>
      <c r="D589" s="63">
        <f>9.4649 * CHOOSE(CONTROL!$C$22, $C$13, 100%, $E$13)</f>
        <v>9.4649000000000001</v>
      </c>
      <c r="E589" s="64">
        <f>10.9111 * CHOOSE(CONTROL!$C$22, $C$13, 100%, $E$13)</f>
        <v>10.911099999999999</v>
      </c>
      <c r="F589" s="64">
        <f>10.9111 * CHOOSE(CONTROL!$C$22, $C$13, 100%, $E$13)</f>
        <v>10.911099999999999</v>
      </c>
      <c r="G589" s="64">
        <f>10.9113 * CHOOSE(CONTROL!$C$22, $C$13, 100%, $E$13)</f>
        <v>10.911300000000001</v>
      </c>
      <c r="H589" s="64">
        <f>18.5626* CHOOSE(CONTROL!$C$22, $C$13, 100%, $E$13)</f>
        <v>18.5626</v>
      </c>
      <c r="I589" s="64">
        <f>18.5628 * CHOOSE(CONTROL!$C$22, $C$13, 100%, $E$13)</f>
        <v>18.562799999999999</v>
      </c>
      <c r="J589" s="64">
        <f>10.9111 * CHOOSE(CONTROL!$C$22, $C$13, 100%, $E$13)</f>
        <v>10.911099999999999</v>
      </c>
      <c r="K589" s="64">
        <f>10.9113 * CHOOSE(CONTROL!$C$22, $C$13, 100%, $E$13)</f>
        <v>10.911300000000001</v>
      </c>
    </row>
    <row r="590" spans="1:11" ht="15">
      <c r="A590" s="13">
        <v>59596</v>
      </c>
      <c r="B590" s="63">
        <f>9.4497 * CHOOSE(CONTROL!$C$22, $C$13, 100%, $E$13)</f>
        <v>9.4497</v>
      </c>
      <c r="C590" s="63">
        <f>9.4497 * CHOOSE(CONTROL!$C$22, $C$13, 100%, $E$13)</f>
        <v>9.4497</v>
      </c>
      <c r="D590" s="63">
        <f>9.4619 * CHOOSE(CONTROL!$C$22, $C$13, 100%, $E$13)</f>
        <v>9.4619</v>
      </c>
      <c r="E590" s="64">
        <f>11.0041 * CHOOSE(CONTROL!$C$22, $C$13, 100%, $E$13)</f>
        <v>11.004099999999999</v>
      </c>
      <c r="F590" s="64">
        <f>11.0041 * CHOOSE(CONTROL!$C$22, $C$13, 100%, $E$13)</f>
        <v>11.004099999999999</v>
      </c>
      <c r="G590" s="64">
        <f>11.0042 * CHOOSE(CONTROL!$C$22, $C$13, 100%, $E$13)</f>
        <v>11.004200000000001</v>
      </c>
      <c r="H590" s="64">
        <f>18.6012* CHOOSE(CONTROL!$C$22, $C$13, 100%, $E$13)</f>
        <v>18.601199999999999</v>
      </c>
      <c r="I590" s="64">
        <f>18.6014 * CHOOSE(CONTROL!$C$22, $C$13, 100%, $E$13)</f>
        <v>18.601400000000002</v>
      </c>
      <c r="J590" s="64">
        <f>11.0041 * CHOOSE(CONTROL!$C$22, $C$13, 100%, $E$13)</f>
        <v>11.004099999999999</v>
      </c>
      <c r="K590" s="64">
        <f>11.0042 * CHOOSE(CONTROL!$C$22, $C$13, 100%, $E$13)</f>
        <v>11.004200000000001</v>
      </c>
    </row>
    <row r="591" spans="1:11" ht="15">
      <c r="A591" s="13">
        <v>59627</v>
      </c>
      <c r="B591" s="63">
        <f>9.452 * CHOOSE(CONTROL!$C$22, $C$13, 100%, $E$13)</f>
        <v>9.452</v>
      </c>
      <c r="C591" s="63">
        <f>9.452 * CHOOSE(CONTROL!$C$22, $C$13, 100%, $E$13)</f>
        <v>9.452</v>
      </c>
      <c r="D591" s="63">
        <f>9.4643 * CHOOSE(CONTROL!$C$22, $C$13, 100%, $E$13)</f>
        <v>9.4642999999999997</v>
      </c>
      <c r="E591" s="64">
        <f>11.102 * CHOOSE(CONTROL!$C$22, $C$13, 100%, $E$13)</f>
        <v>11.102</v>
      </c>
      <c r="F591" s="64">
        <f>11.102 * CHOOSE(CONTROL!$C$22, $C$13, 100%, $E$13)</f>
        <v>11.102</v>
      </c>
      <c r="G591" s="64">
        <f>11.1022 * CHOOSE(CONTROL!$C$22, $C$13, 100%, $E$13)</f>
        <v>11.1022</v>
      </c>
      <c r="H591" s="64">
        <f>18.64* CHOOSE(CONTROL!$C$22, $C$13, 100%, $E$13)</f>
        <v>18.64</v>
      </c>
      <c r="I591" s="64">
        <f>18.6402 * CHOOSE(CONTROL!$C$22, $C$13, 100%, $E$13)</f>
        <v>18.6402</v>
      </c>
      <c r="J591" s="64">
        <f>11.102 * CHOOSE(CONTROL!$C$22, $C$13, 100%, $E$13)</f>
        <v>11.102</v>
      </c>
      <c r="K591" s="64">
        <f>11.1022 * CHOOSE(CONTROL!$C$22, $C$13, 100%, $E$13)</f>
        <v>11.1022</v>
      </c>
    </row>
    <row r="592" spans="1:11" ht="15">
      <c r="A592" s="13">
        <v>59657</v>
      </c>
      <c r="B592" s="63">
        <f>9.452 * CHOOSE(CONTROL!$C$22, $C$13, 100%, $E$13)</f>
        <v>9.452</v>
      </c>
      <c r="C592" s="63">
        <f>9.452 * CHOOSE(CONTROL!$C$22, $C$13, 100%, $E$13)</f>
        <v>9.452</v>
      </c>
      <c r="D592" s="63">
        <f>9.4765 * CHOOSE(CONTROL!$C$22, $C$13, 100%, $E$13)</f>
        <v>9.4764999999999997</v>
      </c>
      <c r="E592" s="64">
        <f>11.1403 * CHOOSE(CONTROL!$C$22, $C$13, 100%, $E$13)</f>
        <v>11.1403</v>
      </c>
      <c r="F592" s="64">
        <f>11.1403 * CHOOSE(CONTROL!$C$22, $C$13, 100%, $E$13)</f>
        <v>11.1403</v>
      </c>
      <c r="G592" s="64">
        <f>11.1418 * CHOOSE(CONTROL!$C$22, $C$13, 100%, $E$13)</f>
        <v>11.1418</v>
      </c>
      <c r="H592" s="64">
        <f>18.6788* CHOOSE(CONTROL!$C$22, $C$13, 100%, $E$13)</f>
        <v>18.678799999999999</v>
      </c>
      <c r="I592" s="64">
        <f>18.6804 * CHOOSE(CONTROL!$C$22, $C$13, 100%, $E$13)</f>
        <v>18.680399999999999</v>
      </c>
      <c r="J592" s="64">
        <f>11.1403 * CHOOSE(CONTROL!$C$22, $C$13, 100%, $E$13)</f>
        <v>11.1403</v>
      </c>
      <c r="K592" s="64">
        <f>11.1418 * CHOOSE(CONTROL!$C$22, $C$13, 100%, $E$13)</f>
        <v>11.1418</v>
      </c>
    </row>
    <row r="593" spans="1:11" ht="15">
      <c r="A593" s="13">
        <v>59688</v>
      </c>
      <c r="B593" s="63">
        <f>9.4581 * CHOOSE(CONTROL!$C$22, $C$13, 100%, $E$13)</f>
        <v>9.4581</v>
      </c>
      <c r="C593" s="63">
        <f>9.4581 * CHOOSE(CONTROL!$C$22, $C$13, 100%, $E$13)</f>
        <v>9.4581</v>
      </c>
      <c r="D593" s="63">
        <f>9.4826 * CHOOSE(CONTROL!$C$22, $C$13, 100%, $E$13)</f>
        <v>9.4825999999999997</v>
      </c>
      <c r="E593" s="64">
        <f>11.1062 * CHOOSE(CONTROL!$C$22, $C$13, 100%, $E$13)</f>
        <v>11.106199999999999</v>
      </c>
      <c r="F593" s="64">
        <f>11.1062 * CHOOSE(CONTROL!$C$22, $C$13, 100%, $E$13)</f>
        <v>11.106199999999999</v>
      </c>
      <c r="G593" s="64">
        <f>11.1078 * CHOOSE(CONTROL!$C$22, $C$13, 100%, $E$13)</f>
        <v>11.107799999999999</v>
      </c>
      <c r="H593" s="64">
        <f>18.7177* CHOOSE(CONTROL!$C$22, $C$13, 100%, $E$13)</f>
        <v>18.717700000000001</v>
      </c>
      <c r="I593" s="64">
        <f>18.7193 * CHOOSE(CONTROL!$C$22, $C$13, 100%, $E$13)</f>
        <v>18.7193</v>
      </c>
      <c r="J593" s="64">
        <f>11.1062 * CHOOSE(CONTROL!$C$22, $C$13, 100%, $E$13)</f>
        <v>11.106199999999999</v>
      </c>
      <c r="K593" s="64">
        <f>11.1078 * CHOOSE(CONTROL!$C$22, $C$13, 100%, $E$13)</f>
        <v>11.107799999999999</v>
      </c>
    </row>
    <row r="594" spans="1:11" ht="15">
      <c r="A594" s="13">
        <v>59718</v>
      </c>
      <c r="B594" s="63">
        <f>9.6097 * CHOOSE(CONTROL!$C$22, $C$13, 100%, $E$13)</f>
        <v>9.6097000000000001</v>
      </c>
      <c r="C594" s="63">
        <f>9.6097 * CHOOSE(CONTROL!$C$22, $C$13, 100%, $E$13)</f>
        <v>9.6097000000000001</v>
      </c>
      <c r="D594" s="63">
        <f>9.6341 * CHOOSE(CONTROL!$C$22, $C$13, 100%, $E$13)</f>
        <v>9.6341000000000001</v>
      </c>
      <c r="E594" s="64">
        <f>11.321 * CHOOSE(CONTROL!$C$22, $C$13, 100%, $E$13)</f>
        <v>11.321</v>
      </c>
      <c r="F594" s="64">
        <f>11.321 * CHOOSE(CONTROL!$C$22, $C$13, 100%, $E$13)</f>
        <v>11.321</v>
      </c>
      <c r="G594" s="64">
        <f>11.3226 * CHOOSE(CONTROL!$C$22, $C$13, 100%, $E$13)</f>
        <v>11.3226</v>
      </c>
      <c r="H594" s="64">
        <f>18.7567* CHOOSE(CONTROL!$C$22, $C$13, 100%, $E$13)</f>
        <v>18.756699999999999</v>
      </c>
      <c r="I594" s="64">
        <f>18.7583 * CHOOSE(CONTROL!$C$22, $C$13, 100%, $E$13)</f>
        <v>18.758299999999998</v>
      </c>
      <c r="J594" s="64">
        <f>11.321 * CHOOSE(CONTROL!$C$22, $C$13, 100%, $E$13)</f>
        <v>11.321</v>
      </c>
      <c r="K594" s="64">
        <f>11.3226 * CHOOSE(CONTROL!$C$22, $C$13, 100%, $E$13)</f>
        <v>11.3226</v>
      </c>
    </row>
    <row r="595" spans="1:11" ht="15">
      <c r="A595" s="13">
        <v>59749</v>
      </c>
      <c r="B595" s="63">
        <f>9.6164 * CHOOSE(CONTROL!$C$22, $C$13, 100%, $E$13)</f>
        <v>9.6164000000000005</v>
      </c>
      <c r="C595" s="63">
        <f>9.6164 * CHOOSE(CONTROL!$C$22, $C$13, 100%, $E$13)</f>
        <v>9.6164000000000005</v>
      </c>
      <c r="D595" s="63">
        <f>9.6408 * CHOOSE(CONTROL!$C$22, $C$13, 100%, $E$13)</f>
        <v>9.6408000000000005</v>
      </c>
      <c r="E595" s="64">
        <f>11.2108 * CHOOSE(CONTROL!$C$22, $C$13, 100%, $E$13)</f>
        <v>11.210800000000001</v>
      </c>
      <c r="F595" s="64">
        <f>11.2108 * CHOOSE(CONTROL!$C$22, $C$13, 100%, $E$13)</f>
        <v>11.210800000000001</v>
      </c>
      <c r="G595" s="64">
        <f>11.2124 * CHOOSE(CONTROL!$C$22, $C$13, 100%, $E$13)</f>
        <v>11.212400000000001</v>
      </c>
      <c r="H595" s="64">
        <f>18.7958* CHOOSE(CONTROL!$C$22, $C$13, 100%, $E$13)</f>
        <v>18.7958</v>
      </c>
      <c r="I595" s="64">
        <f>18.7974 * CHOOSE(CONTROL!$C$22, $C$13, 100%, $E$13)</f>
        <v>18.7974</v>
      </c>
      <c r="J595" s="64">
        <f>11.2108 * CHOOSE(CONTROL!$C$22, $C$13, 100%, $E$13)</f>
        <v>11.210800000000001</v>
      </c>
      <c r="K595" s="64">
        <f>11.2124 * CHOOSE(CONTROL!$C$22, $C$13, 100%, $E$13)</f>
        <v>11.212400000000001</v>
      </c>
    </row>
    <row r="596" spans="1:11" ht="15">
      <c r="A596" s="13">
        <v>59780</v>
      </c>
      <c r="B596" s="63">
        <f>9.6134 * CHOOSE(CONTROL!$C$22, $C$13, 100%, $E$13)</f>
        <v>9.6134000000000004</v>
      </c>
      <c r="C596" s="63">
        <f>9.6134 * CHOOSE(CONTROL!$C$22, $C$13, 100%, $E$13)</f>
        <v>9.6134000000000004</v>
      </c>
      <c r="D596" s="63">
        <f>9.6378 * CHOOSE(CONTROL!$C$22, $C$13, 100%, $E$13)</f>
        <v>9.6378000000000004</v>
      </c>
      <c r="E596" s="64">
        <f>11.1959 * CHOOSE(CONTROL!$C$22, $C$13, 100%, $E$13)</f>
        <v>11.1959</v>
      </c>
      <c r="F596" s="64">
        <f>11.1959 * CHOOSE(CONTROL!$C$22, $C$13, 100%, $E$13)</f>
        <v>11.1959</v>
      </c>
      <c r="G596" s="64">
        <f>11.1975 * CHOOSE(CONTROL!$C$22, $C$13, 100%, $E$13)</f>
        <v>11.1975</v>
      </c>
      <c r="H596" s="64">
        <f>18.835* CHOOSE(CONTROL!$C$22, $C$13, 100%, $E$13)</f>
        <v>18.835000000000001</v>
      </c>
      <c r="I596" s="64">
        <f>18.8365 * CHOOSE(CONTROL!$C$22, $C$13, 100%, $E$13)</f>
        <v>18.836500000000001</v>
      </c>
      <c r="J596" s="64">
        <f>11.1959 * CHOOSE(CONTROL!$C$22, $C$13, 100%, $E$13)</f>
        <v>11.1959</v>
      </c>
      <c r="K596" s="64">
        <f>11.1975 * CHOOSE(CONTROL!$C$22, $C$13, 100%, $E$13)</f>
        <v>11.1975</v>
      </c>
    </row>
    <row r="597" spans="1:11" ht="15">
      <c r="A597" s="13">
        <v>59810</v>
      </c>
      <c r="B597" s="63">
        <f>9.6271 * CHOOSE(CONTROL!$C$22, $C$13, 100%, $E$13)</f>
        <v>9.6271000000000004</v>
      </c>
      <c r="C597" s="63">
        <f>9.6271 * CHOOSE(CONTROL!$C$22, $C$13, 100%, $E$13)</f>
        <v>9.6271000000000004</v>
      </c>
      <c r="D597" s="63">
        <f>9.6393 * CHOOSE(CONTROL!$C$22, $C$13, 100%, $E$13)</f>
        <v>9.6393000000000004</v>
      </c>
      <c r="E597" s="64">
        <f>11.2336 * CHOOSE(CONTROL!$C$22, $C$13, 100%, $E$13)</f>
        <v>11.233599999999999</v>
      </c>
      <c r="F597" s="64">
        <f>11.2336 * CHOOSE(CONTROL!$C$22, $C$13, 100%, $E$13)</f>
        <v>11.233599999999999</v>
      </c>
      <c r="G597" s="64">
        <f>11.2337 * CHOOSE(CONTROL!$C$22, $C$13, 100%, $E$13)</f>
        <v>11.233700000000001</v>
      </c>
      <c r="H597" s="64">
        <f>18.8742* CHOOSE(CONTROL!$C$22, $C$13, 100%, $E$13)</f>
        <v>18.874199999999998</v>
      </c>
      <c r="I597" s="64">
        <f>18.8744 * CHOOSE(CONTROL!$C$22, $C$13, 100%, $E$13)</f>
        <v>18.874400000000001</v>
      </c>
      <c r="J597" s="64">
        <f>11.2336 * CHOOSE(CONTROL!$C$22, $C$13, 100%, $E$13)</f>
        <v>11.233599999999999</v>
      </c>
      <c r="K597" s="64">
        <f>11.2337 * CHOOSE(CONTROL!$C$22, $C$13, 100%, $E$13)</f>
        <v>11.233700000000001</v>
      </c>
    </row>
    <row r="598" spans="1:11" ht="15">
      <c r="A598" s="13">
        <v>59841</v>
      </c>
      <c r="B598" s="63">
        <f>9.6302 * CHOOSE(CONTROL!$C$22, $C$13, 100%, $E$13)</f>
        <v>9.6302000000000003</v>
      </c>
      <c r="C598" s="63">
        <f>9.6302 * CHOOSE(CONTROL!$C$22, $C$13, 100%, $E$13)</f>
        <v>9.6302000000000003</v>
      </c>
      <c r="D598" s="63">
        <f>9.6424 * CHOOSE(CONTROL!$C$22, $C$13, 100%, $E$13)</f>
        <v>9.6424000000000003</v>
      </c>
      <c r="E598" s="64">
        <f>11.2612 * CHOOSE(CONTROL!$C$22, $C$13, 100%, $E$13)</f>
        <v>11.261200000000001</v>
      </c>
      <c r="F598" s="64">
        <f>11.2612 * CHOOSE(CONTROL!$C$22, $C$13, 100%, $E$13)</f>
        <v>11.261200000000001</v>
      </c>
      <c r="G598" s="64">
        <f>11.2614 * CHOOSE(CONTROL!$C$22, $C$13, 100%, $E$13)</f>
        <v>11.2614</v>
      </c>
      <c r="H598" s="64">
        <f>18.9135* CHOOSE(CONTROL!$C$22, $C$13, 100%, $E$13)</f>
        <v>18.913499999999999</v>
      </c>
      <c r="I598" s="64">
        <f>18.9137 * CHOOSE(CONTROL!$C$22, $C$13, 100%, $E$13)</f>
        <v>18.913699999999999</v>
      </c>
      <c r="J598" s="64">
        <f>11.2612 * CHOOSE(CONTROL!$C$22, $C$13, 100%, $E$13)</f>
        <v>11.261200000000001</v>
      </c>
      <c r="K598" s="64">
        <f>11.2614 * CHOOSE(CONTROL!$C$22, $C$13, 100%, $E$13)</f>
        <v>11.2614</v>
      </c>
    </row>
    <row r="599" spans="1:11" ht="15">
      <c r="A599" s="13">
        <v>59871</v>
      </c>
      <c r="B599" s="63">
        <f>9.6302 * CHOOSE(CONTROL!$C$22, $C$13, 100%, $E$13)</f>
        <v>9.6302000000000003</v>
      </c>
      <c r="C599" s="63">
        <f>9.6302 * CHOOSE(CONTROL!$C$22, $C$13, 100%, $E$13)</f>
        <v>9.6302000000000003</v>
      </c>
      <c r="D599" s="63">
        <f>9.6424 * CHOOSE(CONTROL!$C$22, $C$13, 100%, $E$13)</f>
        <v>9.6424000000000003</v>
      </c>
      <c r="E599" s="64">
        <f>11.1974 * CHOOSE(CONTROL!$C$22, $C$13, 100%, $E$13)</f>
        <v>11.1974</v>
      </c>
      <c r="F599" s="64">
        <f>11.1974 * CHOOSE(CONTROL!$C$22, $C$13, 100%, $E$13)</f>
        <v>11.1974</v>
      </c>
      <c r="G599" s="64">
        <f>11.1976 * CHOOSE(CONTROL!$C$22, $C$13, 100%, $E$13)</f>
        <v>11.1976</v>
      </c>
      <c r="H599" s="64">
        <f>18.9529* CHOOSE(CONTROL!$C$22, $C$13, 100%, $E$13)</f>
        <v>18.9529</v>
      </c>
      <c r="I599" s="64">
        <f>18.9531 * CHOOSE(CONTROL!$C$22, $C$13, 100%, $E$13)</f>
        <v>18.953099999999999</v>
      </c>
      <c r="J599" s="64">
        <f>11.1974 * CHOOSE(CONTROL!$C$22, $C$13, 100%, $E$13)</f>
        <v>11.1974</v>
      </c>
      <c r="K599" s="64">
        <f>11.1976 * CHOOSE(CONTROL!$C$22, $C$13, 100%, $E$13)</f>
        <v>11.1976</v>
      </c>
    </row>
    <row r="600" spans="1:11" ht="15">
      <c r="A600" s="13">
        <v>59902</v>
      </c>
      <c r="B600" s="63">
        <f>9.7011 * CHOOSE(CONTROL!$C$22, $C$13, 100%, $E$13)</f>
        <v>9.7011000000000003</v>
      </c>
      <c r="C600" s="63">
        <f>9.7011 * CHOOSE(CONTROL!$C$22, $C$13, 100%, $E$13)</f>
        <v>9.7011000000000003</v>
      </c>
      <c r="D600" s="63">
        <f>9.7133 * CHOOSE(CONTROL!$C$22, $C$13, 100%, $E$13)</f>
        <v>9.7133000000000003</v>
      </c>
      <c r="E600" s="64">
        <f>11.3263 * CHOOSE(CONTROL!$C$22, $C$13, 100%, $E$13)</f>
        <v>11.3263</v>
      </c>
      <c r="F600" s="64">
        <f>11.3263 * CHOOSE(CONTROL!$C$22, $C$13, 100%, $E$13)</f>
        <v>11.3263</v>
      </c>
      <c r="G600" s="64">
        <f>11.3264 * CHOOSE(CONTROL!$C$22, $C$13, 100%, $E$13)</f>
        <v>11.3264</v>
      </c>
      <c r="H600" s="64">
        <f>18.9699* CHOOSE(CONTROL!$C$22, $C$13, 100%, $E$13)</f>
        <v>18.969899999999999</v>
      </c>
      <c r="I600" s="64">
        <f>18.97 * CHOOSE(CONTROL!$C$22, $C$13, 100%, $E$13)</f>
        <v>18.97</v>
      </c>
      <c r="J600" s="64">
        <f>11.3263 * CHOOSE(CONTROL!$C$22, $C$13, 100%, $E$13)</f>
        <v>11.3263</v>
      </c>
      <c r="K600" s="64">
        <f>11.3264 * CHOOSE(CONTROL!$C$22, $C$13, 100%, $E$13)</f>
        <v>11.3264</v>
      </c>
    </row>
    <row r="601" spans="1:11" ht="15">
      <c r="A601" s="13">
        <v>59933</v>
      </c>
      <c r="B601" s="63">
        <f>9.698 * CHOOSE(CONTROL!$C$22, $C$13, 100%, $E$13)</f>
        <v>9.6980000000000004</v>
      </c>
      <c r="C601" s="63">
        <f>9.698 * CHOOSE(CONTROL!$C$22, $C$13, 100%, $E$13)</f>
        <v>9.6980000000000004</v>
      </c>
      <c r="D601" s="63">
        <f>9.7102 * CHOOSE(CONTROL!$C$22, $C$13, 100%, $E$13)</f>
        <v>9.7102000000000004</v>
      </c>
      <c r="E601" s="64">
        <f>11.2003 * CHOOSE(CONTROL!$C$22, $C$13, 100%, $E$13)</f>
        <v>11.2003</v>
      </c>
      <c r="F601" s="64">
        <f>11.2003 * CHOOSE(CONTROL!$C$22, $C$13, 100%, $E$13)</f>
        <v>11.2003</v>
      </c>
      <c r="G601" s="64">
        <f>11.2005 * CHOOSE(CONTROL!$C$22, $C$13, 100%, $E$13)</f>
        <v>11.2005</v>
      </c>
      <c r="H601" s="64">
        <f>19.0094* CHOOSE(CONTROL!$C$22, $C$13, 100%, $E$13)</f>
        <v>19.009399999999999</v>
      </c>
      <c r="I601" s="64">
        <f>19.0096 * CHOOSE(CONTROL!$C$22, $C$13, 100%, $E$13)</f>
        <v>19.009599999999999</v>
      </c>
      <c r="J601" s="64">
        <f>11.2003 * CHOOSE(CONTROL!$C$22, $C$13, 100%, $E$13)</f>
        <v>11.2003</v>
      </c>
      <c r="K601" s="64">
        <f>11.2005 * CHOOSE(CONTROL!$C$22, $C$13, 100%, $E$13)</f>
        <v>11.2005</v>
      </c>
    </row>
    <row r="602" spans="1:11" ht="15">
      <c r="A602" s="13">
        <v>59962</v>
      </c>
      <c r="B602" s="63">
        <f>9.695 * CHOOSE(CONTROL!$C$22, $C$13, 100%, $E$13)</f>
        <v>9.6950000000000003</v>
      </c>
      <c r="C602" s="63">
        <f>9.695 * CHOOSE(CONTROL!$C$22, $C$13, 100%, $E$13)</f>
        <v>9.6950000000000003</v>
      </c>
      <c r="D602" s="63">
        <f>9.7072 * CHOOSE(CONTROL!$C$22, $C$13, 100%, $E$13)</f>
        <v>9.7072000000000003</v>
      </c>
      <c r="E602" s="64">
        <f>11.2958 * CHOOSE(CONTROL!$C$22, $C$13, 100%, $E$13)</f>
        <v>11.2958</v>
      </c>
      <c r="F602" s="64">
        <f>11.2958 * CHOOSE(CONTROL!$C$22, $C$13, 100%, $E$13)</f>
        <v>11.2958</v>
      </c>
      <c r="G602" s="64">
        <f>11.296 * CHOOSE(CONTROL!$C$22, $C$13, 100%, $E$13)</f>
        <v>11.295999999999999</v>
      </c>
      <c r="H602" s="64">
        <f>19.049* CHOOSE(CONTROL!$C$22, $C$13, 100%, $E$13)</f>
        <v>19.048999999999999</v>
      </c>
      <c r="I602" s="64">
        <f>19.0492 * CHOOSE(CONTROL!$C$22, $C$13, 100%, $E$13)</f>
        <v>19.049199999999999</v>
      </c>
      <c r="J602" s="64">
        <f>11.2958 * CHOOSE(CONTROL!$C$22, $C$13, 100%, $E$13)</f>
        <v>11.2958</v>
      </c>
      <c r="K602" s="64">
        <f>11.296 * CHOOSE(CONTROL!$C$22, $C$13, 100%, $E$13)</f>
        <v>11.295999999999999</v>
      </c>
    </row>
    <row r="603" spans="1:11" ht="15">
      <c r="A603" s="13">
        <v>59993</v>
      </c>
      <c r="B603" s="63">
        <f>9.6976 * CHOOSE(CONTROL!$C$22, $C$13, 100%, $E$13)</f>
        <v>9.6975999999999996</v>
      </c>
      <c r="C603" s="63">
        <f>9.6976 * CHOOSE(CONTROL!$C$22, $C$13, 100%, $E$13)</f>
        <v>9.6975999999999996</v>
      </c>
      <c r="D603" s="63">
        <f>9.7098 * CHOOSE(CONTROL!$C$22, $C$13, 100%, $E$13)</f>
        <v>9.7097999999999995</v>
      </c>
      <c r="E603" s="64">
        <f>11.3964 * CHOOSE(CONTROL!$C$22, $C$13, 100%, $E$13)</f>
        <v>11.3964</v>
      </c>
      <c r="F603" s="64">
        <f>11.3964 * CHOOSE(CONTROL!$C$22, $C$13, 100%, $E$13)</f>
        <v>11.3964</v>
      </c>
      <c r="G603" s="64">
        <f>11.3966 * CHOOSE(CONTROL!$C$22, $C$13, 100%, $E$13)</f>
        <v>11.396599999999999</v>
      </c>
      <c r="H603" s="64">
        <f>19.0887* CHOOSE(CONTROL!$C$22, $C$13, 100%, $E$13)</f>
        <v>19.088699999999999</v>
      </c>
      <c r="I603" s="64">
        <f>19.0889 * CHOOSE(CONTROL!$C$22, $C$13, 100%, $E$13)</f>
        <v>19.088899999999999</v>
      </c>
      <c r="J603" s="64">
        <f>11.3964 * CHOOSE(CONTROL!$C$22, $C$13, 100%, $E$13)</f>
        <v>11.3964</v>
      </c>
      <c r="K603" s="64">
        <f>11.3966 * CHOOSE(CONTROL!$C$22, $C$13, 100%, $E$13)</f>
        <v>11.396599999999999</v>
      </c>
    </row>
    <row r="604" spans="1:11" ht="15">
      <c r="A604" s="13">
        <v>60023</v>
      </c>
      <c r="B604" s="63">
        <f>9.6976 * CHOOSE(CONTROL!$C$22, $C$13, 100%, $E$13)</f>
        <v>9.6975999999999996</v>
      </c>
      <c r="C604" s="63">
        <f>9.6976 * CHOOSE(CONTROL!$C$22, $C$13, 100%, $E$13)</f>
        <v>9.6975999999999996</v>
      </c>
      <c r="D604" s="63">
        <f>9.722 * CHOOSE(CONTROL!$C$22, $C$13, 100%, $E$13)</f>
        <v>9.7219999999999995</v>
      </c>
      <c r="E604" s="64">
        <f>11.4357 * CHOOSE(CONTROL!$C$22, $C$13, 100%, $E$13)</f>
        <v>11.435700000000001</v>
      </c>
      <c r="F604" s="64">
        <f>11.4357 * CHOOSE(CONTROL!$C$22, $C$13, 100%, $E$13)</f>
        <v>11.435700000000001</v>
      </c>
      <c r="G604" s="64">
        <f>11.4373 * CHOOSE(CONTROL!$C$22, $C$13, 100%, $E$13)</f>
        <v>11.4373</v>
      </c>
      <c r="H604" s="64">
        <f>19.1284* CHOOSE(CONTROL!$C$22, $C$13, 100%, $E$13)</f>
        <v>19.128399999999999</v>
      </c>
      <c r="I604" s="64">
        <f>19.13 * CHOOSE(CONTROL!$C$22, $C$13, 100%, $E$13)</f>
        <v>19.13</v>
      </c>
      <c r="J604" s="64">
        <f>11.4357 * CHOOSE(CONTROL!$C$22, $C$13, 100%, $E$13)</f>
        <v>11.435700000000001</v>
      </c>
      <c r="K604" s="64">
        <f>11.4373 * CHOOSE(CONTROL!$C$22, $C$13, 100%, $E$13)</f>
        <v>11.4373</v>
      </c>
    </row>
    <row r="605" spans="1:11" ht="15">
      <c r="A605" s="13">
        <v>60054</v>
      </c>
      <c r="B605" s="63">
        <f>9.7037 * CHOOSE(CONTROL!$C$22, $C$13, 100%, $E$13)</f>
        <v>9.7036999999999995</v>
      </c>
      <c r="C605" s="63">
        <f>9.7037 * CHOOSE(CONTROL!$C$22, $C$13, 100%, $E$13)</f>
        <v>9.7036999999999995</v>
      </c>
      <c r="D605" s="63">
        <f>9.7281 * CHOOSE(CONTROL!$C$22, $C$13, 100%, $E$13)</f>
        <v>9.7280999999999995</v>
      </c>
      <c r="E605" s="64">
        <f>11.4007 * CHOOSE(CONTROL!$C$22, $C$13, 100%, $E$13)</f>
        <v>11.400700000000001</v>
      </c>
      <c r="F605" s="64">
        <f>11.4007 * CHOOSE(CONTROL!$C$22, $C$13, 100%, $E$13)</f>
        <v>11.400700000000001</v>
      </c>
      <c r="G605" s="64">
        <f>11.4022 * CHOOSE(CONTROL!$C$22, $C$13, 100%, $E$13)</f>
        <v>11.402200000000001</v>
      </c>
      <c r="H605" s="64">
        <f>19.1683* CHOOSE(CONTROL!$C$22, $C$13, 100%, $E$13)</f>
        <v>19.168299999999999</v>
      </c>
      <c r="I605" s="64">
        <f>19.1699 * CHOOSE(CONTROL!$C$22, $C$13, 100%, $E$13)</f>
        <v>19.169899999999998</v>
      </c>
      <c r="J605" s="64">
        <f>11.4007 * CHOOSE(CONTROL!$C$22, $C$13, 100%, $E$13)</f>
        <v>11.400700000000001</v>
      </c>
      <c r="K605" s="64">
        <f>11.4022 * CHOOSE(CONTROL!$C$22, $C$13, 100%, $E$13)</f>
        <v>11.402200000000001</v>
      </c>
    </row>
    <row r="606" spans="1:11" ht="15">
      <c r="A606" s="13">
        <v>60084</v>
      </c>
      <c r="B606" s="63">
        <f>9.8589 * CHOOSE(CONTROL!$C$22, $C$13, 100%, $E$13)</f>
        <v>9.8589000000000002</v>
      </c>
      <c r="C606" s="63">
        <f>9.8589 * CHOOSE(CONTROL!$C$22, $C$13, 100%, $E$13)</f>
        <v>9.8589000000000002</v>
      </c>
      <c r="D606" s="63">
        <f>9.8834 * CHOOSE(CONTROL!$C$22, $C$13, 100%, $E$13)</f>
        <v>9.8834</v>
      </c>
      <c r="E606" s="64">
        <f>11.6209 * CHOOSE(CONTROL!$C$22, $C$13, 100%, $E$13)</f>
        <v>11.620900000000001</v>
      </c>
      <c r="F606" s="64">
        <f>11.6209 * CHOOSE(CONTROL!$C$22, $C$13, 100%, $E$13)</f>
        <v>11.620900000000001</v>
      </c>
      <c r="G606" s="64">
        <f>11.6225 * CHOOSE(CONTROL!$C$22, $C$13, 100%, $E$13)</f>
        <v>11.6225</v>
      </c>
      <c r="H606" s="64">
        <f>19.2082* CHOOSE(CONTROL!$C$22, $C$13, 100%, $E$13)</f>
        <v>19.208200000000001</v>
      </c>
      <c r="I606" s="64">
        <f>19.2098 * CHOOSE(CONTROL!$C$22, $C$13, 100%, $E$13)</f>
        <v>19.209800000000001</v>
      </c>
      <c r="J606" s="64">
        <f>11.6209 * CHOOSE(CONTROL!$C$22, $C$13, 100%, $E$13)</f>
        <v>11.620900000000001</v>
      </c>
      <c r="K606" s="64">
        <f>11.6225 * CHOOSE(CONTROL!$C$22, $C$13, 100%, $E$13)</f>
        <v>11.6225</v>
      </c>
    </row>
    <row r="607" spans="1:11" ht="15">
      <c r="A607" s="13">
        <v>60115</v>
      </c>
      <c r="B607" s="63">
        <f>9.8656 * CHOOSE(CONTROL!$C$22, $C$13, 100%, $E$13)</f>
        <v>9.8656000000000006</v>
      </c>
      <c r="C607" s="63">
        <f>9.8656 * CHOOSE(CONTROL!$C$22, $C$13, 100%, $E$13)</f>
        <v>9.8656000000000006</v>
      </c>
      <c r="D607" s="63">
        <f>9.89 * CHOOSE(CONTROL!$C$22, $C$13, 100%, $E$13)</f>
        <v>9.89</v>
      </c>
      <c r="E607" s="64">
        <f>11.5076 * CHOOSE(CONTROL!$C$22, $C$13, 100%, $E$13)</f>
        <v>11.5076</v>
      </c>
      <c r="F607" s="64">
        <f>11.5076 * CHOOSE(CONTROL!$C$22, $C$13, 100%, $E$13)</f>
        <v>11.5076</v>
      </c>
      <c r="G607" s="64">
        <f>11.5092 * CHOOSE(CONTROL!$C$22, $C$13, 100%, $E$13)</f>
        <v>11.5092</v>
      </c>
      <c r="H607" s="64">
        <f>19.2483* CHOOSE(CONTROL!$C$22, $C$13, 100%, $E$13)</f>
        <v>19.2483</v>
      </c>
      <c r="I607" s="64">
        <f>19.2498 * CHOOSE(CONTROL!$C$22, $C$13, 100%, $E$13)</f>
        <v>19.2498</v>
      </c>
      <c r="J607" s="64">
        <f>11.5076 * CHOOSE(CONTROL!$C$22, $C$13, 100%, $E$13)</f>
        <v>11.5076</v>
      </c>
      <c r="K607" s="64">
        <f>11.5092 * CHOOSE(CONTROL!$C$22, $C$13, 100%, $E$13)</f>
        <v>11.5092</v>
      </c>
    </row>
    <row r="608" spans="1:11" ht="15">
      <c r="A608" s="13">
        <v>60146</v>
      </c>
      <c r="B608" s="63">
        <f>9.8626 * CHOOSE(CONTROL!$C$22, $C$13, 100%, $E$13)</f>
        <v>9.8626000000000005</v>
      </c>
      <c r="C608" s="63">
        <f>9.8626 * CHOOSE(CONTROL!$C$22, $C$13, 100%, $E$13)</f>
        <v>9.8626000000000005</v>
      </c>
      <c r="D608" s="63">
        <f>9.887 * CHOOSE(CONTROL!$C$22, $C$13, 100%, $E$13)</f>
        <v>9.8870000000000005</v>
      </c>
      <c r="E608" s="64">
        <f>11.4924 * CHOOSE(CONTROL!$C$22, $C$13, 100%, $E$13)</f>
        <v>11.4924</v>
      </c>
      <c r="F608" s="64">
        <f>11.4924 * CHOOSE(CONTROL!$C$22, $C$13, 100%, $E$13)</f>
        <v>11.4924</v>
      </c>
      <c r="G608" s="64">
        <f>11.494 * CHOOSE(CONTROL!$C$22, $C$13, 100%, $E$13)</f>
        <v>11.494</v>
      </c>
      <c r="H608" s="64">
        <f>19.2884* CHOOSE(CONTROL!$C$22, $C$13, 100%, $E$13)</f>
        <v>19.288399999999999</v>
      </c>
      <c r="I608" s="64">
        <f>19.2899 * CHOOSE(CONTROL!$C$22, $C$13, 100%, $E$13)</f>
        <v>19.289899999999999</v>
      </c>
      <c r="J608" s="64">
        <f>11.4924 * CHOOSE(CONTROL!$C$22, $C$13, 100%, $E$13)</f>
        <v>11.4924</v>
      </c>
      <c r="K608" s="64">
        <f>11.494 * CHOOSE(CONTROL!$C$22, $C$13, 100%, $E$13)</f>
        <v>11.494</v>
      </c>
    </row>
    <row r="609" spans="1:11" ht="15">
      <c r="A609" s="13">
        <v>60176</v>
      </c>
      <c r="B609" s="63">
        <f>9.8772 * CHOOSE(CONTROL!$C$22, $C$13, 100%, $E$13)</f>
        <v>9.8772000000000002</v>
      </c>
      <c r="C609" s="63">
        <f>9.8772 * CHOOSE(CONTROL!$C$22, $C$13, 100%, $E$13)</f>
        <v>9.8772000000000002</v>
      </c>
      <c r="D609" s="63">
        <f>9.8894 * CHOOSE(CONTROL!$C$22, $C$13, 100%, $E$13)</f>
        <v>9.8894000000000002</v>
      </c>
      <c r="E609" s="64">
        <f>11.5314 * CHOOSE(CONTROL!$C$22, $C$13, 100%, $E$13)</f>
        <v>11.5314</v>
      </c>
      <c r="F609" s="64">
        <f>11.5314 * CHOOSE(CONTROL!$C$22, $C$13, 100%, $E$13)</f>
        <v>11.5314</v>
      </c>
      <c r="G609" s="64">
        <f>11.5316 * CHOOSE(CONTROL!$C$22, $C$13, 100%, $E$13)</f>
        <v>11.531599999999999</v>
      </c>
      <c r="H609" s="64">
        <f>19.3285* CHOOSE(CONTROL!$C$22, $C$13, 100%, $E$13)</f>
        <v>19.328499999999998</v>
      </c>
      <c r="I609" s="64">
        <f>19.3287 * CHOOSE(CONTROL!$C$22, $C$13, 100%, $E$13)</f>
        <v>19.328700000000001</v>
      </c>
      <c r="J609" s="64">
        <f>11.5314 * CHOOSE(CONTROL!$C$22, $C$13, 100%, $E$13)</f>
        <v>11.5314</v>
      </c>
      <c r="K609" s="64">
        <f>11.5316 * CHOOSE(CONTROL!$C$22, $C$13, 100%, $E$13)</f>
        <v>11.531599999999999</v>
      </c>
    </row>
    <row r="610" spans="1:11" ht="15">
      <c r="A610" s="13">
        <v>60207</v>
      </c>
      <c r="B610" s="63">
        <f>9.8802 * CHOOSE(CONTROL!$C$22, $C$13, 100%, $E$13)</f>
        <v>9.8802000000000003</v>
      </c>
      <c r="C610" s="63">
        <f>9.8802 * CHOOSE(CONTROL!$C$22, $C$13, 100%, $E$13)</f>
        <v>9.8802000000000003</v>
      </c>
      <c r="D610" s="63">
        <f>9.8924 * CHOOSE(CONTROL!$C$22, $C$13, 100%, $E$13)</f>
        <v>9.8924000000000003</v>
      </c>
      <c r="E610" s="64">
        <f>11.5597 * CHOOSE(CONTROL!$C$22, $C$13, 100%, $E$13)</f>
        <v>11.559699999999999</v>
      </c>
      <c r="F610" s="64">
        <f>11.5597 * CHOOSE(CONTROL!$C$22, $C$13, 100%, $E$13)</f>
        <v>11.559699999999999</v>
      </c>
      <c r="G610" s="64">
        <f>11.5599 * CHOOSE(CONTROL!$C$22, $C$13, 100%, $E$13)</f>
        <v>11.559900000000001</v>
      </c>
      <c r="H610" s="64">
        <f>19.3688* CHOOSE(CONTROL!$C$22, $C$13, 100%, $E$13)</f>
        <v>19.3688</v>
      </c>
      <c r="I610" s="64">
        <f>19.369 * CHOOSE(CONTROL!$C$22, $C$13, 100%, $E$13)</f>
        <v>19.369</v>
      </c>
      <c r="J610" s="64">
        <f>11.5597 * CHOOSE(CONTROL!$C$22, $C$13, 100%, $E$13)</f>
        <v>11.559699999999999</v>
      </c>
      <c r="K610" s="64">
        <f>11.5599 * CHOOSE(CONTROL!$C$22, $C$13, 100%, $E$13)</f>
        <v>11.559900000000001</v>
      </c>
    </row>
    <row r="611" spans="1:11" ht="15">
      <c r="A611" s="13">
        <v>60237</v>
      </c>
      <c r="B611" s="63">
        <f>9.8802 * CHOOSE(CONTROL!$C$22, $C$13, 100%, $E$13)</f>
        <v>9.8802000000000003</v>
      </c>
      <c r="C611" s="63">
        <f>9.8802 * CHOOSE(CONTROL!$C$22, $C$13, 100%, $E$13)</f>
        <v>9.8802000000000003</v>
      </c>
      <c r="D611" s="63">
        <f>9.8924 * CHOOSE(CONTROL!$C$22, $C$13, 100%, $E$13)</f>
        <v>9.8924000000000003</v>
      </c>
      <c r="E611" s="64">
        <f>11.4942 * CHOOSE(CONTROL!$C$22, $C$13, 100%, $E$13)</f>
        <v>11.494199999999999</v>
      </c>
      <c r="F611" s="64">
        <f>11.4942 * CHOOSE(CONTROL!$C$22, $C$13, 100%, $E$13)</f>
        <v>11.494199999999999</v>
      </c>
      <c r="G611" s="64">
        <f>11.4944 * CHOOSE(CONTROL!$C$22, $C$13, 100%, $E$13)</f>
        <v>11.494400000000001</v>
      </c>
      <c r="H611" s="64">
        <f>19.4092* CHOOSE(CONTROL!$C$22, $C$13, 100%, $E$13)</f>
        <v>19.409199999999998</v>
      </c>
      <c r="I611" s="64">
        <f>19.4093 * CHOOSE(CONTROL!$C$22, $C$13, 100%, $E$13)</f>
        <v>19.409300000000002</v>
      </c>
      <c r="J611" s="64">
        <f>11.4942 * CHOOSE(CONTROL!$C$22, $C$13, 100%, $E$13)</f>
        <v>11.494199999999999</v>
      </c>
      <c r="K611" s="64">
        <f>11.4944 * CHOOSE(CONTROL!$C$22, $C$13, 100%, $E$13)</f>
        <v>11.494400000000001</v>
      </c>
    </row>
    <row r="612" spans="1:11" ht="15">
      <c r="A612" s="13">
        <v>60268</v>
      </c>
      <c r="B612" s="63">
        <f>9.9464 * CHOOSE(CONTROL!$C$22, $C$13, 100%, $E$13)</f>
        <v>9.9464000000000006</v>
      </c>
      <c r="C612" s="63">
        <f>9.9464 * CHOOSE(CONTROL!$C$22, $C$13, 100%, $E$13)</f>
        <v>9.9464000000000006</v>
      </c>
      <c r="D612" s="63">
        <f>9.9586 * CHOOSE(CONTROL!$C$22, $C$13, 100%, $E$13)</f>
        <v>9.9586000000000006</v>
      </c>
      <c r="E612" s="64">
        <f>11.6187 * CHOOSE(CONTROL!$C$22, $C$13, 100%, $E$13)</f>
        <v>11.6187</v>
      </c>
      <c r="F612" s="64">
        <f>11.6187 * CHOOSE(CONTROL!$C$22, $C$13, 100%, $E$13)</f>
        <v>11.6187</v>
      </c>
      <c r="G612" s="64">
        <f>11.6188 * CHOOSE(CONTROL!$C$22, $C$13, 100%, $E$13)</f>
        <v>11.6188</v>
      </c>
      <c r="H612" s="64">
        <f>19.4158* CHOOSE(CONTROL!$C$22, $C$13, 100%, $E$13)</f>
        <v>19.415800000000001</v>
      </c>
      <c r="I612" s="64">
        <f>19.4159 * CHOOSE(CONTROL!$C$22, $C$13, 100%, $E$13)</f>
        <v>19.415900000000001</v>
      </c>
      <c r="J612" s="64">
        <f>11.6187 * CHOOSE(CONTROL!$C$22, $C$13, 100%, $E$13)</f>
        <v>11.6187</v>
      </c>
      <c r="K612" s="64">
        <f>11.6188 * CHOOSE(CONTROL!$C$22, $C$13, 100%, $E$13)</f>
        <v>11.6188</v>
      </c>
    </row>
    <row r="613" spans="1:11" ht="15">
      <c r="A613" s="13">
        <v>60299</v>
      </c>
      <c r="B613" s="63">
        <f>9.9433 * CHOOSE(CONTROL!$C$22, $C$13, 100%, $E$13)</f>
        <v>9.9433000000000007</v>
      </c>
      <c r="C613" s="63">
        <f>9.9433 * CHOOSE(CONTROL!$C$22, $C$13, 100%, $E$13)</f>
        <v>9.9433000000000007</v>
      </c>
      <c r="D613" s="63">
        <f>9.9556 * CHOOSE(CONTROL!$C$22, $C$13, 100%, $E$13)</f>
        <v>9.9556000000000004</v>
      </c>
      <c r="E613" s="64">
        <f>11.4895 * CHOOSE(CONTROL!$C$22, $C$13, 100%, $E$13)</f>
        <v>11.4895</v>
      </c>
      <c r="F613" s="64">
        <f>11.4895 * CHOOSE(CONTROL!$C$22, $C$13, 100%, $E$13)</f>
        <v>11.4895</v>
      </c>
      <c r="G613" s="64">
        <f>11.4897 * CHOOSE(CONTROL!$C$22, $C$13, 100%, $E$13)</f>
        <v>11.489699999999999</v>
      </c>
      <c r="H613" s="64">
        <f>19.4562* CHOOSE(CONTROL!$C$22, $C$13, 100%, $E$13)</f>
        <v>19.456199999999999</v>
      </c>
      <c r="I613" s="64">
        <f>19.4564 * CHOOSE(CONTROL!$C$22, $C$13, 100%, $E$13)</f>
        <v>19.456399999999999</v>
      </c>
      <c r="J613" s="64">
        <f>11.4895 * CHOOSE(CONTROL!$C$22, $C$13, 100%, $E$13)</f>
        <v>11.4895</v>
      </c>
      <c r="K613" s="64">
        <f>11.4897 * CHOOSE(CONTROL!$C$22, $C$13, 100%, $E$13)</f>
        <v>11.489699999999999</v>
      </c>
    </row>
    <row r="614" spans="1:11" ht="15">
      <c r="A614" s="13">
        <v>60327</v>
      </c>
      <c r="B614" s="63">
        <f>9.9403 * CHOOSE(CONTROL!$C$22, $C$13, 100%, $E$13)</f>
        <v>9.9403000000000006</v>
      </c>
      <c r="C614" s="63">
        <f>9.9403 * CHOOSE(CONTROL!$C$22, $C$13, 100%, $E$13)</f>
        <v>9.9403000000000006</v>
      </c>
      <c r="D614" s="63">
        <f>9.9525 * CHOOSE(CONTROL!$C$22, $C$13, 100%, $E$13)</f>
        <v>9.9525000000000006</v>
      </c>
      <c r="E614" s="64">
        <f>11.5875 * CHOOSE(CONTROL!$C$22, $C$13, 100%, $E$13)</f>
        <v>11.5875</v>
      </c>
      <c r="F614" s="64">
        <f>11.5875 * CHOOSE(CONTROL!$C$22, $C$13, 100%, $E$13)</f>
        <v>11.5875</v>
      </c>
      <c r="G614" s="64">
        <f>11.5877 * CHOOSE(CONTROL!$C$22, $C$13, 100%, $E$13)</f>
        <v>11.5877</v>
      </c>
      <c r="H614" s="64">
        <f>19.4967* CHOOSE(CONTROL!$C$22, $C$13, 100%, $E$13)</f>
        <v>19.496700000000001</v>
      </c>
      <c r="I614" s="64">
        <f>19.4969 * CHOOSE(CONTROL!$C$22, $C$13, 100%, $E$13)</f>
        <v>19.4969</v>
      </c>
      <c r="J614" s="64">
        <f>11.5875 * CHOOSE(CONTROL!$C$22, $C$13, 100%, $E$13)</f>
        <v>11.5875</v>
      </c>
      <c r="K614" s="64">
        <f>11.5877 * CHOOSE(CONTROL!$C$22, $C$13, 100%, $E$13)</f>
        <v>11.5877</v>
      </c>
    </row>
    <row r="615" spans="1:11" ht="15">
      <c r="A615" s="13">
        <v>60358</v>
      </c>
      <c r="B615" s="63">
        <f>9.9431 * CHOOSE(CONTROL!$C$22, $C$13, 100%, $E$13)</f>
        <v>9.9430999999999994</v>
      </c>
      <c r="C615" s="63">
        <f>9.9431 * CHOOSE(CONTROL!$C$22, $C$13, 100%, $E$13)</f>
        <v>9.9430999999999994</v>
      </c>
      <c r="D615" s="63">
        <f>9.9553 * CHOOSE(CONTROL!$C$22, $C$13, 100%, $E$13)</f>
        <v>9.9552999999999994</v>
      </c>
      <c r="E615" s="64">
        <f>11.6909 * CHOOSE(CONTROL!$C$22, $C$13, 100%, $E$13)</f>
        <v>11.690899999999999</v>
      </c>
      <c r="F615" s="64">
        <f>11.6909 * CHOOSE(CONTROL!$C$22, $C$13, 100%, $E$13)</f>
        <v>11.690899999999999</v>
      </c>
      <c r="G615" s="64">
        <f>11.691 * CHOOSE(CONTROL!$C$22, $C$13, 100%, $E$13)</f>
        <v>11.691000000000001</v>
      </c>
      <c r="H615" s="64">
        <f>19.5374* CHOOSE(CONTROL!$C$22, $C$13, 100%, $E$13)</f>
        <v>19.537400000000002</v>
      </c>
      <c r="I615" s="64">
        <f>19.5375 * CHOOSE(CONTROL!$C$22, $C$13, 100%, $E$13)</f>
        <v>19.537500000000001</v>
      </c>
      <c r="J615" s="64">
        <f>11.6909 * CHOOSE(CONTROL!$C$22, $C$13, 100%, $E$13)</f>
        <v>11.690899999999999</v>
      </c>
      <c r="K615" s="64">
        <f>11.691 * CHOOSE(CONTROL!$C$22, $C$13, 100%, $E$13)</f>
        <v>11.691000000000001</v>
      </c>
    </row>
    <row r="616" spans="1:11" ht="15">
      <c r="A616" s="13">
        <v>60388</v>
      </c>
      <c r="B616" s="63">
        <f>9.9431 * CHOOSE(CONTROL!$C$22, $C$13, 100%, $E$13)</f>
        <v>9.9430999999999994</v>
      </c>
      <c r="C616" s="63">
        <f>9.9431 * CHOOSE(CONTROL!$C$22, $C$13, 100%, $E$13)</f>
        <v>9.9430999999999994</v>
      </c>
      <c r="D616" s="63">
        <f>9.9675 * CHOOSE(CONTROL!$C$22, $C$13, 100%, $E$13)</f>
        <v>9.9674999999999994</v>
      </c>
      <c r="E616" s="64">
        <f>11.7312 * CHOOSE(CONTROL!$C$22, $C$13, 100%, $E$13)</f>
        <v>11.731199999999999</v>
      </c>
      <c r="F616" s="64">
        <f>11.7312 * CHOOSE(CONTROL!$C$22, $C$13, 100%, $E$13)</f>
        <v>11.731199999999999</v>
      </c>
      <c r="G616" s="64">
        <f>11.7328 * CHOOSE(CONTROL!$C$22, $C$13, 100%, $E$13)</f>
        <v>11.732799999999999</v>
      </c>
      <c r="H616" s="64">
        <f>19.5781* CHOOSE(CONTROL!$C$22, $C$13, 100%, $E$13)</f>
        <v>19.578099999999999</v>
      </c>
      <c r="I616" s="64">
        <f>19.5796 * CHOOSE(CONTROL!$C$22, $C$13, 100%, $E$13)</f>
        <v>19.579599999999999</v>
      </c>
      <c r="J616" s="64">
        <f>11.7312 * CHOOSE(CONTROL!$C$22, $C$13, 100%, $E$13)</f>
        <v>11.731199999999999</v>
      </c>
      <c r="K616" s="64">
        <f>11.7328 * CHOOSE(CONTROL!$C$22, $C$13, 100%, $E$13)</f>
        <v>11.732799999999999</v>
      </c>
    </row>
    <row r="617" spans="1:11" ht="15">
      <c r="A617" s="13">
        <v>60419</v>
      </c>
      <c r="B617" s="63">
        <f>9.9492 * CHOOSE(CONTROL!$C$22, $C$13, 100%, $E$13)</f>
        <v>9.9491999999999994</v>
      </c>
      <c r="C617" s="63">
        <f>9.9492 * CHOOSE(CONTROL!$C$22, $C$13, 100%, $E$13)</f>
        <v>9.9491999999999994</v>
      </c>
      <c r="D617" s="63">
        <f>9.9736 * CHOOSE(CONTROL!$C$22, $C$13, 100%, $E$13)</f>
        <v>9.9735999999999994</v>
      </c>
      <c r="E617" s="64">
        <f>11.6951 * CHOOSE(CONTROL!$C$22, $C$13, 100%, $E$13)</f>
        <v>11.6951</v>
      </c>
      <c r="F617" s="64">
        <f>11.6951 * CHOOSE(CONTROL!$C$22, $C$13, 100%, $E$13)</f>
        <v>11.6951</v>
      </c>
      <c r="G617" s="64">
        <f>11.6967 * CHOOSE(CONTROL!$C$22, $C$13, 100%, $E$13)</f>
        <v>11.6967</v>
      </c>
      <c r="H617" s="64">
        <f>19.6189* CHOOSE(CONTROL!$C$22, $C$13, 100%, $E$13)</f>
        <v>19.6189</v>
      </c>
      <c r="I617" s="64">
        <f>19.6204 * CHOOSE(CONTROL!$C$22, $C$13, 100%, $E$13)</f>
        <v>19.6204</v>
      </c>
      <c r="J617" s="64">
        <f>11.6951 * CHOOSE(CONTROL!$C$22, $C$13, 100%, $E$13)</f>
        <v>11.6951</v>
      </c>
      <c r="K617" s="64">
        <f>11.6967 * CHOOSE(CONTROL!$C$22, $C$13, 100%, $E$13)</f>
        <v>11.6967</v>
      </c>
    </row>
    <row r="618" spans="1:11" ht="15">
      <c r="A618" s="13">
        <v>60449</v>
      </c>
      <c r="B618" s="63">
        <f>10.1081 * CHOOSE(CONTROL!$C$22, $C$13, 100%, $E$13)</f>
        <v>10.1081</v>
      </c>
      <c r="C618" s="63">
        <f>10.1081 * CHOOSE(CONTROL!$C$22, $C$13, 100%, $E$13)</f>
        <v>10.1081</v>
      </c>
      <c r="D618" s="63">
        <f>10.1326 * CHOOSE(CONTROL!$C$22, $C$13, 100%, $E$13)</f>
        <v>10.1326</v>
      </c>
      <c r="E618" s="64">
        <f>11.9208 * CHOOSE(CONTROL!$C$22, $C$13, 100%, $E$13)</f>
        <v>11.9208</v>
      </c>
      <c r="F618" s="64">
        <f>11.9208 * CHOOSE(CONTROL!$C$22, $C$13, 100%, $E$13)</f>
        <v>11.9208</v>
      </c>
      <c r="G618" s="64">
        <f>11.9224 * CHOOSE(CONTROL!$C$22, $C$13, 100%, $E$13)</f>
        <v>11.9224</v>
      </c>
      <c r="H618" s="64">
        <f>19.6597* CHOOSE(CONTROL!$C$22, $C$13, 100%, $E$13)</f>
        <v>19.659700000000001</v>
      </c>
      <c r="I618" s="64">
        <f>19.6613 * CHOOSE(CONTROL!$C$22, $C$13, 100%, $E$13)</f>
        <v>19.661300000000001</v>
      </c>
      <c r="J618" s="64">
        <f>11.9208 * CHOOSE(CONTROL!$C$22, $C$13, 100%, $E$13)</f>
        <v>11.9208</v>
      </c>
      <c r="K618" s="64">
        <f>11.9224 * CHOOSE(CONTROL!$C$22, $C$13, 100%, $E$13)</f>
        <v>11.9224</v>
      </c>
    </row>
    <row r="619" spans="1:11" ht="15">
      <c r="A619" s="13">
        <v>60480</v>
      </c>
      <c r="B619" s="63">
        <f>10.1148 * CHOOSE(CONTROL!$C$22, $C$13, 100%, $E$13)</f>
        <v>10.114800000000001</v>
      </c>
      <c r="C619" s="63">
        <f>10.1148 * CHOOSE(CONTROL!$C$22, $C$13, 100%, $E$13)</f>
        <v>10.114800000000001</v>
      </c>
      <c r="D619" s="63">
        <f>10.1393 * CHOOSE(CONTROL!$C$22, $C$13, 100%, $E$13)</f>
        <v>10.1393</v>
      </c>
      <c r="E619" s="64">
        <f>11.8045 * CHOOSE(CONTROL!$C$22, $C$13, 100%, $E$13)</f>
        <v>11.804500000000001</v>
      </c>
      <c r="F619" s="64">
        <f>11.8045 * CHOOSE(CONTROL!$C$22, $C$13, 100%, $E$13)</f>
        <v>11.804500000000001</v>
      </c>
      <c r="G619" s="64">
        <f>11.806 * CHOOSE(CONTROL!$C$22, $C$13, 100%, $E$13)</f>
        <v>11.805999999999999</v>
      </c>
      <c r="H619" s="64">
        <f>19.7007* CHOOSE(CONTROL!$C$22, $C$13, 100%, $E$13)</f>
        <v>19.700700000000001</v>
      </c>
      <c r="I619" s="64">
        <f>19.7023 * CHOOSE(CONTROL!$C$22, $C$13, 100%, $E$13)</f>
        <v>19.702300000000001</v>
      </c>
      <c r="J619" s="64">
        <f>11.8045 * CHOOSE(CONTROL!$C$22, $C$13, 100%, $E$13)</f>
        <v>11.804500000000001</v>
      </c>
      <c r="K619" s="64">
        <f>11.806 * CHOOSE(CONTROL!$C$22, $C$13, 100%, $E$13)</f>
        <v>11.805999999999999</v>
      </c>
    </row>
    <row r="620" spans="1:11" ht="15">
      <c r="A620" s="13">
        <v>60511</v>
      </c>
      <c r="B620" s="63">
        <f>10.1118 * CHOOSE(CONTROL!$C$22, $C$13, 100%, $E$13)</f>
        <v>10.111800000000001</v>
      </c>
      <c r="C620" s="63">
        <f>10.1118 * CHOOSE(CONTROL!$C$22, $C$13, 100%, $E$13)</f>
        <v>10.111800000000001</v>
      </c>
      <c r="D620" s="63">
        <f>10.1362 * CHOOSE(CONTROL!$C$22, $C$13, 100%, $E$13)</f>
        <v>10.136200000000001</v>
      </c>
      <c r="E620" s="64">
        <f>11.7889 * CHOOSE(CONTROL!$C$22, $C$13, 100%, $E$13)</f>
        <v>11.7889</v>
      </c>
      <c r="F620" s="64">
        <f>11.7889 * CHOOSE(CONTROL!$C$22, $C$13, 100%, $E$13)</f>
        <v>11.7889</v>
      </c>
      <c r="G620" s="64">
        <f>11.7905 * CHOOSE(CONTROL!$C$22, $C$13, 100%, $E$13)</f>
        <v>11.7905</v>
      </c>
      <c r="H620" s="64">
        <f>19.7417* CHOOSE(CONTROL!$C$22, $C$13, 100%, $E$13)</f>
        <v>19.741700000000002</v>
      </c>
      <c r="I620" s="64">
        <f>19.7433 * CHOOSE(CONTROL!$C$22, $C$13, 100%, $E$13)</f>
        <v>19.743300000000001</v>
      </c>
      <c r="J620" s="64">
        <f>11.7889 * CHOOSE(CONTROL!$C$22, $C$13, 100%, $E$13)</f>
        <v>11.7889</v>
      </c>
      <c r="K620" s="64">
        <f>11.7905 * CHOOSE(CONTROL!$C$22, $C$13, 100%, $E$13)</f>
        <v>11.7905</v>
      </c>
    </row>
    <row r="621" spans="1:11" ht="15">
      <c r="A621" s="13">
        <v>60541</v>
      </c>
      <c r="B621" s="63">
        <f>10.1272 * CHOOSE(CONTROL!$C$22, $C$13, 100%, $E$13)</f>
        <v>10.1272</v>
      </c>
      <c r="C621" s="63">
        <f>10.1272 * CHOOSE(CONTROL!$C$22, $C$13, 100%, $E$13)</f>
        <v>10.1272</v>
      </c>
      <c r="D621" s="63">
        <f>10.1394 * CHOOSE(CONTROL!$C$22, $C$13, 100%, $E$13)</f>
        <v>10.1394</v>
      </c>
      <c r="E621" s="64">
        <f>11.8293 * CHOOSE(CONTROL!$C$22, $C$13, 100%, $E$13)</f>
        <v>11.8293</v>
      </c>
      <c r="F621" s="64">
        <f>11.8293 * CHOOSE(CONTROL!$C$22, $C$13, 100%, $E$13)</f>
        <v>11.8293</v>
      </c>
      <c r="G621" s="64">
        <f>11.8294 * CHOOSE(CONTROL!$C$22, $C$13, 100%, $E$13)</f>
        <v>11.8294</v>
      </c>
      <c r="H621" s="64">
        <f>19.7829* CHOOSE(CONTROL!$C$22, $C$13, 100%, $E$13)</f>
        <v>19.782900000000001</v>
      </c>
      <c r="I621" s="64">
        <f>19.783 * CHOOSE(CONTROL!$C$22, $C$13, 100%, $E$13)</f>
        <v>19.783000000000001</v>
      </c>
      <c r="J621" s="64">
        <f>11.8293 * CHOOSE(CONTROL!$C$22, $C$13, 100%, $E$13)</f>
        <v>11.8293</v>
      </c>
      <c r="K621" s="64">
        <f>11.8294 * CHOOSE(CONTROL!$C$22, $C$13, 100%, $E$13)</f>
        <v>11.8294</v>
      </c>
    </row>
    <row r="622" spans="1:11" ht="15">
      <c r="A622" s="13">
        <v>60572</v>
      </c>
      <c r="B622" s="63">
        <f>10.1302 * CHOOSE(CONTROL!$C$22, $C$13, 100%, $E$13)</f>
        <v>10.1302</v>
      </c>
      <c r="C622" s="63">
        <f>10.1302 * CHOOSE(CONTROL!$C$22, $C$13, 100%, $E$13)</f>
        <v>10.1302</v>
      </c>
      <c r="D622" s="63">
        <f>10.1424 * CHOOSE(CONTROL!$C$22, $C$13, 100%, $E$13)</f>
        <v>10.1424</v>
      </c>
      <c r="E622" s="64">
        <f>11.8583 * CHOOSE(CONTROL!$C$22, $C$13, 100%, $E$13)</f>
        <v>11.8583</v>
      </c>
      <c r="F622" s="64">
        <f>11.8583 * CHOOSE(CONTROL!$C$22, $C$13, 100%, $E$13)</f>
        <v>11.8583</v>
      </c>
      <c r="G622" s="64">
        <f>11.8584 * CHOOSE(CONTROL!$C$22, $C$13, 100%, $E$13)</f>
        <v>11.8584</v>
      </c>
      <c r="H622" s="64">
        <f>19.8241* CHOOSE(CONTROL!$C$22, $C$13, 100%, $E$13)</f>
        <v>19.824100000000001</v>
      </c>
      <c r="I622" s="64">
        <f>19.8242 * CHOOSE(CONTROL!$C$22, $C$13, 100%, $E$13)</f>
        <v>19.824200000000001</v>
      </c>
      <c r="J622" s="64">
        <f>11.8583 * CHOOSE(CONTROL!$C$22, $C$13, 100%, $E$13)</f>
        <v>11.8583</v>
      </c>
      <c r="K622" s="64">
        <f>11.8584 * CHOOSE(CONTROL!$C$22, $C$13, 100%, $E$13)</f>
        <v>11.8584</v>
      </c>
    </row>
    <row r="623" spans="1:11" ht="15">
      <c r="A623" s="13">
        <v>60602</v>
      </c>
      <c r="B623" s="63">
        <f>10.1302 * CHOOSE(CONTROL!$C$22, $C$13, 100%, $E$13)</f>
        <v>10.1302</v>
      </c>
      <c r="C623" s="63">
        <f>10.1302 * CHOOSE(CONTROL!$C$22, $C$13, 100%, $E$13)</f>
        <v>10.1302</v>
      </c>
      <c r="D623" s="63">
        <f>10.1424 * CHOOSE(CONTROL!$C$22, $C$13, 100%, $E$13)</f>
        <v>10.1424</v>
      </c>
      <c r="E623" s="64">
        <f>11.791 * CHOOSE(CONTROL!$C$22, $C$13, 100%, $E$13)</f>
        <v>11.791</v>
      </c>
      <c r="F623" s="64">
        <f>11.791 * CHOOSE(CONTROL!$C$22, $C$13, 100%, $E$13)</f>
        <v>11.791</v>
      </c>
      <c r="G623" s="64">
        <f>11.7912 * CHOOSE(CONTROL!$C$22, $C$13, 100%, $E$13)</f>
        <v>11.7912</v>
      </c>
      <c r="H623" s="64">
        <f>19.8654* CHOOSE(CONTROL!$C$22, $C$13, 100%, $E$13)</f>
        <v>19.865400000000001</v>
      </c>
      <c r="I623" s="64">
        <f>19.8655 * CHOOSE(CONTROL!$C$22, $C$13, 100%, $E$13)</f>
        <v>19.865500000000001</v>
      </c>
      <c r="J623" s="64">
        <f>11.791 * CHOOSE(CONTROL!$C$22, $C$13, 100%, $E$13)</f>
        <v>11.791</v>
      </c>
      <c r="K623" s="64">
        <f>11.7912 * CHOOSE(CONTROL!$C$22, $C$13, 100%, $E$13)</f>
        <v>11.7912</v>
      </c>
    </row>
    <row r="624" spans="1:11" ht="15">
      <c r="A624" s="13">
        <v>60633</v>
      </c>
      <c r="B624" s="63">
        <f>10.1917 * CHOOSE(CONTROL!$C$22, $C$13, 100%, $E$13)</f>
        <v>10.191700000000001</v>
      </c>
      <c r="C624" s="63">
        <f>10.1917 * CHOOSE(CONTROL!$C$22, $C$13, 100%, $E$13)</f>
        <v>10.191700000000001</v>
      </c>
      <c r="D624" s="63">
        <f>10.2039 * CHOOSE(CONTROL!$C$22, $C$13, 100%, $E$13)</f>
        <v>10.203900000000001</v>
      </c>
      <c r="E624" s="64">
        <f>11.9111 * CHOOSE(CONTROL!$C$22, $C$13, 100%, $E$13)</f>
        <v>11.911099999999999</v>
      </c>
      <c r="F624" s="64">
        <f>11.9111 * CHOOSE(CONTROL!$C$22, $C$13, 100%, $E$13)</f>
        <v>11.911099999999999</v>
      </c>
      <c r="G624" s="64">
        <f>11.9113 * CHOOSE(CONTROL!$C$22, $C$13, 100%, $E$13)</f>
        <v>11.911300000000001</v>
      </c>
      <c r="H624" s="64">
        <f>19.8617* CHOOSE(CONTROL!$C$22, $C$13, 100%, $E$13)</f>
        <v>19.861699999999999</v>
      </c>
      <c r="I624" s="64">
        <f>19.8618 * CHOOSE(CONTROL!$C$22, $C$13, 100%, $E$13)</f>
        <v>19.861799999999999</v>
      </c>
      <c r="J624" s="64">
        <f>11.9111 * CHOOSE(CONTROL!$C$22, $C$13, 100%, $E$13)</f>
        <v>11.911099999999999</v>
      </c>
      <c r="K624" s="64">
        <f>11.9113 * CHOOSE(CONTROL!$C$22, $C$13, 100%, $E$13)</f>
        <v>11.911300000000001</v>
      </c>
    </row>
    <row r="625" spans="1:11" ht="15">
      <c r="A625" s="13">
        <v>60664</v>
      </c>
      <c r="B625" s="63">
        <f>10.1887 * CHOOSE(CONTROL!$C$22, $C$13, 100%, $E$13)</f>
        <v>10.188700000000001</v>
      </c>
      <c r="C625" s="63">
        <f>10.1887 * CHOOSE(CONTROL!$C$22, $C$13, 100%, $E$13)</f>
        <v>10.188700000000001</v>
      </c>
      <c r="D625" s="63">
        <f>10.2009 * CHOOSE(CONTROL!$C$22, $C$13, 100%, $E$13)</f>
        <v>10.200900000000001</v>
      </c>
      <c r="E625" s="64">
        <f>11.7787 * CHOOSE(CONTROL!$C$22, $C$13, 100%, $E$13)</f>
        <v>11.778700000000001</v>
      </c>
      <c r="F625" s="64">
        <f>11.7787 * CHOOSE(CONTROL!$C$22, $C$13, 100%, $E$13)</f>
        <v>11.778700000000001</v>
      </c>
      <c r="G625" s="64">
        <f>11.7789 * CHOOSE(CONTROL!$C$22, $C$13, 100%, $E$13)</f>
        <v>11.7789</v>
      </c>
      <c r="H625" s="64">
        <f>19.903* CHOOSE(CONTROL!$C$22, $C$13, 100%, $E$13)</f>
        <v>19.902999999999999</v>
      </c>
      <c r="I625" s="64">
        <f>19.9032 * CHOOSE(CONTROL!$C$22, $C$13, 100%, $E$13)</f>
        <v>19.903199999999998</v>
      </c>
      <c r="J625" s="64">
        <f>11.7787 * CHOOSE(CONTROL!$C$22, $C$13, 100%, $E$13)</f>
        <v>11.778700000000001</v>
      </c>
      <c r="K625" s="64">
        <f>11.7789 * CHOOSE(CONTROL!$C$22, $C$13, 100%, $E$13)</f>
        <v>11.7789</v>
      </c>
    </row>
    <row r="626" spans="1:11" ht="15">
      <c r="A626" s="13">
        <v>60692</v>
      </c>
      <c r="B626" s="63">
        <f>10.1856 * CHOOSE(CONTROL!$C$22, $C$13, 100%, $E$13)</f>
        <v>10.185600000000001</v>
      </c>
      <c r="C626" s="63">
        <f>10.1856 * CHOOSE(CONTROL!$C$22, $C$13, 100%, $E$13)</f>
        <v>10.185600000000001</v>
      </c>
      <c r="D626" s="63">
        <f>10.1978 * CHOOSE(CONTROL!$C$22, $C$13, 100%, $E$13)</f>
        <v>10.197800000000001</v>
      </c>
      <c r="E626" s="64">
        <f>11.8793 * CHOOSE(CONTROL!$C$22, $C$13, 100%, $E$13)</f>
        <v>11.879300000000001</v>
      </c>
      <c r="F626" s="64">
        <f>11.8793 * CHOOSE(CONTROL!$C$22, $C$13, 100%, $E$13)</f>
        <v>11.879300000000001</v>
      </c>
      <c r="G626" s="64">
        <f>11.8794 * CHOOSE(CONTROL!$C$22, $C$13, 100%, $E$13)</f>
        <v>11.8794</v>
      </c>
      <c r="H626" s="64">
        <f>19.9445* CHOOSE(CONTROL!$C$22, $C$13, 100%, $E$13)</f>
        <v>19.944500000000001</v>
      </c>
      <c r="I626" s="64">
        <f>19.9447 * CHOOSE(CONTROL!$C$22, $C$13, 100%, $E$13)</f>
        <v>19.944700000000001</v>
      </c>
      <c r="J626" s="64">
        <f>11.8793 * CHOOSE(CONTROL!$C$22, $C$13, 100%, $E$13)</f>
        <v>11.879300000000001</v>
      </c>
      <c r="K626" s="64">
        <f>11.8794 * CHOOSE(CONTROL!$C$22, $C$13, 100%, $E$13)</f>
        <v>11.8794</v>
      </c>
    </row>
    <row r="627" spans="1:11" ht="15">
      <c r="A627" s="13">
        <v>60723</v>
      </c>
      <c r="B627" s="63">
        <f>10.1886 * CHOOSE(CONTROL!$C$22, $C$13, 100%, $E$13)</f>
        <v>10.188599999999999</v>
      </c>
      <c r="C627" s="63">
        <f>10.1886 * CHOOSE(CONTROL!$C$22, $C$13, 100%, $E$13)</f>
        <v>10.188599999999999</v>
      </c>
      <c r="D627" s="63">
        <f>10.2008 * CHOOSE(CONTROL!$C$22, $C$13, 100%, $E$13)</f>
        <v>10.200799999999999</v>
      </c>
      <c r="E627" s="64">
        <f>11.9853 * CHOOSE(CONTROL!$C$22, $C$13, 100%, $E$13)</f>
        <v>11.985300000000001</v>
      </c>
      <c r="F627" s="64">
        <f>11.9853 * CHOOSE(CONTROL!$C$22, $C$13, 100%, $E$13)</f>
        <v>11.985300000000001</v>
      </c>
      <c r="G627" s="64">
        <f>11.9855 * CHOOSE(CONTROL!$C$22, $C$13, 100%, $E$13)</f>
        <v>11.9855</v>
      </c>
      <c r="H627" s="64">
        <f>19.986* CHOOSE(CONTROL!$C$22, $C$13, 100%, $E$13)</f>
        <v>19.986000000000001</v>
      </c>
      <c r="I627" s="64">
        <f>19.9862 * CHOOSE(CONTROL!$C$22, $C$13, 100%, $E$13)</f>
        <v>19.9862</v>
      </c>
      <c r="J627" s="64">
        <f>11.9853 * CHOOSE(CONTROL!$C$22, $C$13, 100%, $E$13)</f>
        <v>11.985300000000001</v>
      </c>
      <c r="K627" s="64">
        <f>11.9855 * CHOOSE(CONTROL!$C$22, $C$13, 100%, $E$13)</f>
        <v>11.9855</v>
      </c>
    </row>
    <row r="628" spans="1:11" ht="15">
      <c r="A628" s="13">
        <v>60753</v>
      </c>
      <c r="B628" s="63">
        <f>10.1886 * CHOOSE(CONTROL!$C$22, $C$13, 100%, $E$13)</f>
        <v>10.188599999999999</v>
      </c>
      <c r="C628" s="63">
        <f>10.1886 * CHOOSE(CONTROL!$C$22, $C$13, 100%, $E$13)</f>
        <v>10.188599999999999</v>
      </c>
      <c r="D628" s="63">
        <f>10.213 * CHOOSE(CONTROL!$C$22, $C$13, 100%, $E$13)</f>
        <v>10.212999999999999</v>
      </c>
      <c r="E628" s="64">
        <f>12.0267 * CHOOSE(CONTROL!$C$22, $C$13, 100%, $E$13)</f>
        <v>12.0267</v>
      </c>
      <c r="F628" s="64">
        <f>12.0267 * CHOOSE(CONTROL!$C$22, $C$13, 100%, $E$13)</f>
        <v>12.0267</v>
      </c>
      <c r="G628" s="64">
        <f>12.0282 * CHOOSE(CONTROL!$C$22, $C$13, 100%, $E$13)</f>
        <v>12.0282</v>
      </c>
      <c r="H628" s="64">
        <f>20.0277* CHOOSE(CONTROL!$C$22, $C$13, 100%, $E$13)</f>
        <v>20.027699999999999</v>
      </c>
      <c r="I628" s="64">
        <f>20.0293 * CHOOSE(CONTROL!$C$22, $C$13, 100%, $E$13)</f>
        <v>20.029299999999999</v>
      </c>
      <c r="J628" s="64">
        <f>12.0267 * CHOOSE(CONTROL!$C$22, $C$13, 100%, $E$13)</f>
        <v>12.0267</v>
      </c>
      <c r="K628" s="64">
        <f>12.0282 * CHOOSE(CONTROL!$C$22, $C$13, 100%, $E$13)</f>
        <v>12.0282</v>
      </c>
    </row>
    <row r="629" spans="1:11" ht="15">
      <c r="A629" s="13">
        <v>60784</v>
      </c>
      <c r="B629" s="63">
        <f>10.1947 * CHOOSE(CONTROL!$C$22, $C$13, 100%, $E$13)</f>
        <v>10.194699999999999</v>
      </c>
      <c r="C629" s="63">
        <f>10.1947 * CHOOSE(CONTROL!$C$22, $C$13, 100%, $E$13)</f>
        <v>10.194699999999999</v>
      </c>
      <c r="D629" s="63">
        <f>10.2191 * CHOOSE(CONTROL!$C$22, $C$13, 100%, $E$13)</f>
        <v>10.219099999999999</v>
      </c>
      <c r="E629" s="64">
        <f>11.9896 * CHOOSE(CONTROL!$C$22, $C$13, 100%, $E$13)</f>
        <v>11.989599999999999</v>
      </c>
      <c r="F629" s="64">
        <f>11.9896 * CHOOSE(CONTROL!$C$22, $C$13, 100%, $E$13)</f>
        <v>11.989599999999999</v>
      </c>
      <c r="G629" s="64">
        <f>11.9911 * CHOOSE(CONTROL!$C$22, $C$13, 100%, $E$13)</f>
        <v>11.991099999999999</v>
      </c>
      <c r="H629" s="64">
        <f>20.0694* CHOOSE(CONTROL!$C$22, $C$13, 100%, $E$13)</f>
        <v>20.069400000000002</v>
      </c>
      <c r="I629" s="64">
        <f>20.071 * CHOOSE(CONTROL!$C$22, $C$13, 100%, $E$13)</f>
        <v>20.071000000000002</v>
      </c>
      <c r="J629" s="64">
        <f>11.9896 * CHOOSE(CONTROL!$C$22, $C$13, 100%, $E$13)</f>
        <v>11.989599999999999</v>
      </c>
      <c r="K629" s="64">
        <f>11.9911 * CHOOSE(CONTROL!$C$22, $C$13, 100%, $E$13)</f>
        <v>11.991099999999999</v>
      </c>
    </row>
    <row r="630" spans="1:11" ht="15">
      <c r="A630" s="13">
        <v>60814</v>
      </c>
      <c r="B630" s="63">
        <f>10.3574 * CHOOSE(CONTROL!$C$22, $C$13, 100%, $E$13)</f>
        <v>10.3574</v>
      </c>
      <c r="C630" s="63">
        <f>10.3574 * CHOOSE(CONTROL!$C$22, $C$13, 100%, $E$13)</f>
        <v>10.3574</v>
      </c>
      <c r="D630" s="63">
        <f>10.3818 * CHOOSE(CONTROL!$C$22, $C$13, 100%, $E$13)</f>
        <v>10.3818</v>
      </c>
      <c r="E630" s="64">
        <f>12.2207 * CHOOSE(CONTROL!$C$22, $C$13, 100%, $E$13)</f>
        <v>12.220700000000001</v>
      </c>
      <c r="F630" s="64">
        <f>12.2207 * CHOOSE(CONTROL!$C$22, $C$13, 100%, $E$13)</f>
        <v>12.220700000000001</v>
      </c>
      <c r="G630" s="64">
        <f>12.2223 * CHOOSE(CONTROL!$C$22, $C$13, 100%, $E$13)</f>
        <v>12.222300000000001</v>
      </c>
      <c r="H630" s="64">
        <f>20.1112* CHOOSE(CONTROL!$C$22, $C$13, 100%, $E$13)</f>
        <v>20.1112</v>
      </c>
      <c r="I630" s="64">
        <f>20.1128 * CHOOSE(CONTROL!$C$22, $C$13, 100%, $E$13)</f>
        <v>20.1128</v>
      </c>
      <c r="J630" s="64">
        <f>12.2207 * CHOOSE(CONTROL!$C$22, $C$13, 100%, $E$13)</f>
        <v>12.220700000000001</v>
      </c>
      <c r="K630" s="64">
        <f>12.2223 * CHOOSE(CONTROL!$C$22, $C$13, 100%, $E$13)</f>
        <v>12.222300000000001</v>
      </c>
    </row>
    <row r="631" spans="1:11" ht="15">
      <c r="A631" s="13">
        <v>60845</v>
      </c>
      <c r="B631" s="63">
        <f>10.364 * CHOOSE(CONTROL!$C$22, $C$13, 100%, $E$13)</f>
        <v>10.364000000000001</v>
      </c>
      <c r="C631" s="63">
        <f>10.364 * CHOOSE(CONTROL!$C$22, $C$13, 100%, $E$13)</f>
        <v>10.364000000000001</v>
      </c>
      <c r="D631" s="63">
        <f>10.3885 * CHOOSE(CONTROL!$C$22, $C$13, 100%, $E$13)</f>
        <v>10.388500000000001</v>
      </c>
      <c r="E631" s="64">
        <f>12.1013 * CHOOSE(CONTROL!$C$22, $C$13, 100%, $E$13)</f>
        <v>12.1013</v>
      </c>
      <c r="F631" s="64">
        <f>12.1013 * CHOOSE(CONTROL!$C$22, $C$13, 100%, $E$13)</f>
        <v>12.1013</v>
      </c>
      <c r="G631" s="64">
        <f>12.1028 * CHOOSE(CONTROL!$C$22, $C$13, 100%, $E$13)</f>
        <v>12.1028</v>
      </c>
      <c r="H631" s="64">
        <f>20.1531* CHOOSE(CONTROL!$C$22, $C$13, 100%, $E$13)</f>
        <v>20.153099999999998</v>
      </c>
      <c r="I631" s="64">
        <f>20.1547 * CHOOSE(CONTROL!$C$22, $C$13, 100%, $E$13)</f>
        <v>20.154699999999998</v>
      </c>
      <c r="J631" s="64">
        <f>12.1013 * CHOOSE(CONTROL!$C$22, $C$13, 100%, $E$13)</f>
        <v>12.1013</v>
      </c>
      <c r="K631" s="64">
        <f>12.1028 * CHOOSE(CONTROL!$C$22, $C$13, 100%, $E$13)</f>
        <v>12.1028</v>
      </c>
    </row>
    <row r="632" spans="1:11" ht="15">
      <c r="A632" s="13">
        <v>60876</v>
      </c>
      <c r="B632" s="63">
        <f>10.361 * CHOOSE(CONTROL!$C$22, $C$13, 100%, $E$13)</f>
        <v>10.361000000000001</v>
      </c>
      <c r="C632" s="63">
        <f>10.361 * CHOOSE(CONTROL!$C$22, $C$13, 100%, $E$13)</f>
        <v>10.361000000000001</v>
      </c>
      <c r="D632" s="63">
        <f>10.3854 * CHOOSE(CONTROL!$C$22, $C$13, 100%, $E$13)</f>
        <v>10.385400000000001</v>
      </c>
      <c r="E632" s="64">
        <f>12.0854 * CHOOSE(CONTROL!$C$22, $C$13, 100%, $E$13)</f>
        <v>12.0854</v>
      </c>
      <c r="F632" s="64">
        <f>12.0854 * CHOOSE(CONTROL!$C$22, $C$13, 100%, $E$13)</f>
        <v>12.0854</v>
      </c>
      <c r="G632" s="64">
        <f>12.0869 * CHOOSE(CONTROL!$C$22, $C$13, 100%, $E$13)</f>
        <v>12.0869</v>
      </c>
      <c r="H632" s="64">
        <f>20.1951* CHOOSE(CONTROL!$C$22, $C$13, 100%, $E$13)</f>
        <v>20.1951</v>
      </c>
      <c r="I632" s="64">
        <f>20.1967 * CHOOSE(CONTROL!$C$22, $C$13, 100%, $E$13)</f>
        <v>20.1967</v>
      </c>
      <c r="J632" s="64">
        <f>12.0854 * CHOOSE(CONTROL!$C$22, $C$13, 100%, $E$13)</f>
        <v>12.0854</v>
      </c>
      <c r="K632" s="64">
        <f>12.0869 * CHOOSE(CONTROL!$C$22, $C$13, 100%, $E$13)</f>
        <v>12.0869</v>
      </c>
    </row>
    <row r="633" spans="1:11" ht="15">
      <c r="A633" s="13">
        <v>60906</v>
      </c>
      <c r="B633" s="63">
        <f>10.3772 * CHOOSE(CONTROL!$C$22, $C$13, 100%, $E$13)</f>
        <v>10.3772</v>
      </c>
      <c r="C633" s="63">
        <f>10.3772 * CHOOSE(CONTROL!$C$22, $C$13, 100%, $E$13)</f>
        <v>10.3772</v>
      </c>
      <c r="D633" s="63">
        <f>10.3894 * CHOOSE(CONTROL!$C$22, $C$13, 100%, $E$13)</f>
        <v>10.3894</v>
      </c>
      <c r="E633" s="64">
        <f>12.1271 * CHOOSE(CONTROL!$C$22, $C$13, 100%, $E$13)</f>
        <v>12.1271</v>
      </c>
      <c r="F633" s="64">
        <f>12.1271 * CHOOSE(CONTROL!$C$22, $C$13, 100%, $E$13)</f>
        <v>12.1271</v>
      </c>
      <c r="G633" s="64">
        <f>12.1273 * CHOOSE(CONTROL!$C$22, $C$13, 100%, $E$13)</f>
        <v>12.1273</v>
      </c>
      <c r="H633" s="64">
        <f>20.2372* CHOOSE(CONTROL!$C$22, $C$13, 100%, $E$13)</f>
        <v>20.237200000000001</v>
      </c>
      <c r="I633" s="64">
        <f>20.2374 * CHOOSE(CONTROL!$C$22, $C$13, 100%, $E$13)</f>
        <v>20.237400000000001</v>
      </c>
      <c r="J633" s="64">
        <f>12.1271 * CHOOSE(CONTROL!$C$22, $C$13, 100%, $E$13)</f>
        <v>12.1271</v>
      </c>
      <c r="K633" s="64">
        <f>12.1273 * CHOOSE(CONTROL!$C$22, $C$13, 100%, $E$13)</f>
        <v>12.1273</v>
      </c>
    </row>
    <row r="634" spans="1:11" ht="15">
      <c r="A634" s="13">
        <v>60937</v>
      </c>
      <c r="B634" s="63">
        <f>10.3802 * CHOOSE(CONTROL!$C$22, $C$13, 100%, $E$13)</f>
        <v>10.3802</v>
      </c>
      <c r="C634" s="63">
        <f>10.3802 * CHOOSE(CONTROL!$C$22, $C$13, 100%, $E$13)</f>
        <v>10.3802</v>
      </c>
      <c r="D634" s="63">
        <f>10.3924 * CHOOSE(CONTROL!$C$22, $C$13, 100%, $E$13)</f>
        <v>10.3924</v>
      </c>
      <c r="E634" s="64">
        <f>12.1568 * CHOOSE(CONTROL!$C$22, $C$13, 100%, $E$13)</f>
        <v>12.1568</v>
      </c>
      <c r="F634" s="64">
        <f>12.1568 * CHOOSE(CONTROL!$C$22, $C$13, 100%, $E$13)</f>
        <v>12.1568</v>
      </c>
      <c r="G634" s="64">
        <f>12.157 * CHOOSE(CONTROL!$C$22, $C$13, 100%, $E$13)</f>
        <v>12.157</v>
      </c>
      <c r="H634" s="64">
        <f>20.2793* CHOOSE(CONTROL!$C$22, $C$13, 100%, $E$13)</f>
        <v>20.279299999999999</v>
      </c>
      <c r="I634" s="64">
        <f>20.2795 * CHOOSE(CONTROL!$C$22, $C$13, 100%, $E$13)</f>
        <v>20.279499999999999</v>
      </c>
      <c r="J634" s="64">
        <f>12.1568 * CHOOSE(CONTROL!$C$22, $C$13, 100%, $E$13)</f>
        <v>12.1568</v>
      </c>
      <c r="K634" s="64">
        <f>12.157 * CHOOSE(CONTROL!$C$22, $C$13, 100%, $E$13)</f>
        <v>12.157</v>
      </c>
    </row>
    <row r="635" spans="1:11" ht="15">
      <c r="A635" s="13">
        <v>60967</v>
      </c>
      <c r="B635" s="63">
        <f>10.3802 * CHOOSE(CONTROL!$C$22, $C$13, 100%, $E$13)</f>
        <v>10.3802</v>
      </c>
      <c r="C635" s="63">
        <f>10.3802 * CHOOSE(CONTROL!$C$22, $C$13, 100%, $E$13)</f>
        <v>10.3802</v>
      </c>
      <c r="D635" s="63">
        <f>10.3924 * CHOOSE(CONTROL!$C$22, $C$13, 100%, $E$13)</f>
        <v>10.3924</v>
      </c>
      <c r="E635" s="64">
        <f>12.0879 * CHOOSE(CONTROL!$C$22, $C$13, 100%, $E$13)</f>
        <v>12.087899999999999</v>
      </c>
      <c r="F635" s="64">
        <f>12.0879 * CHOOSE(CONTROL!$C$22, $C$13, 100%, $E$13)</f>
        <v>12.087899999999999</v>
      </c>
      <c r="G635" s="64">
        <f>12.088 * CHOOSE(CONTROL!$C$22, $C$13, 100%, $E$13)</f>
        <v>12.087999999999999</v>
      </c>
      <c r="H635" s="64">
        <f>20.3216* CHOOSE(CONTROL!$C$22, $C$13, 100%, $E$13)</f>
        <v>20.3216</v>
      </c>
      <c r="I635" s="64">
        <f>20.3218 * CHOOSE(CONTROL!$C$22, $C$13, 100%, $E$13)</f>
        <v>20.3218</v>
      </c>
      <c r="J635" s="64">
        <f>12.0879 * CHOOSE(CONTROL!$C$22, $C$13, 100%, $E$13)</f>
        <v>12.087899999999999</v>
      </c>
      <c r="K635" s="64">
        <f>12.088 * CHOOSE(CONTROL!$C$22, $C$13, 100%, $E$13)</f>
        <v>12.087999999999999</v>
      </c>
    </row>
    <row r="636" spans="1:11" ht="15">
      <c r="A636" s="13">
        <v>60998</v>
      </c>
      <c r="B636" s="63">
        <f>10.437 * CHOOSE(CONTROL!$C$22, $C$13, 100%, $E$13)</f>
        <v>10.436999999999999</v>
      </c>
      <c r="C636" s="63">
        <f>10.437 * CHOOSE(CONTROL!$C$22, $C$13, 100%, $E$13)</f>
        <v>10.436999999999999</v>
      </c>
      <c r="D636" s="63">
        <f>10.4492 * CHOOSE(CONTROL!$C$22, $C$13, 100%, $E$13)</f>
        <v>10.449199999999999</v>
      </c>
      <c r="E636" s="64">
        <f>12.2035 * CHOOSE(CONTROL!$C$22, $C$13, 100%, $E$13)</f>
        <v>12.2035</v>
      </c>
      <c r="F636" s="64">
        <f>12.2035 * CHOOSE(CONTROL!$C$22, $C$13, 100%, $E$13)</f>
        <v>12.2035</v>
      </c>
      <c r="G636" s="64">
        <f>12.2037 * CHOOSE(CONTROL!$C$22, $C$13, 100%, $E$13)</f>
        <v>12.2037</v>
      </c>
      <c r="H636" s="64">
        <f>20.3075* CHOOSE(CONTROL!$C$22, $C$13, 100%, $E$13)</f>
        <v>20.307500000000001</v>
      </c>
      <c r="I636" s="64">
        <f>20.3077 * CHOOSE(CONTROL!$C$22, $C$13, 100%, $E$13)</f>
        <v>20.307700000000001</v>
      </c>
      <c r="J636" s="64">
        <f>12.2035 * CHOOSE(CONTROL!$C$22, $C$13, 100%, $E$13)</f>
        <v>12.2035</v>
      </c>
      <c r="K636" s="64">
        <f>12.2037 * CHOOSE(CONTROL!$C$22, $C$13, 100%, $E$13)</f>
        <v>12.2037</v>
      </c>
    </row>
    <row r="637" spans="1:11" ht="15">
      <c r="A637" s="13">
        <v>61029</v>
      </c>
      <c r="B637" s="63">
        <f>10.434 * CHOOSE(CONTROL!$C$22, $C$13, 100%, $E$13)</f>
        <v>10.433999999999999</v>
      </c>
      <c r="C637" s="63">
        <f>10.434 * CHOOSE(CONTROL!$C$22, $C$13, 100%, $E$13)</f>
        <v>10.433999999999999</v>
      </c>
      <c r="D637" s="63">
        <f>10.4462 * CHOOSE(CONTROL!$C$22, $C$13, 100%, $E$13)</f>
        <v>10.446199999999999</v>
      </c>
      <c r="E637" s="64">
        <f>12.0679 * CHOOSE(CONTROL!$C$22, $C$13, 100%, $E$13)</f>
        <v>12.0679</v>
      </c>
      <c r="F637" s="64">
        <f>12.0679 * CHOOSE(CONTROL!$C$22, $C$13, 100%, $E$13)</f>
        <v>12.0679</v>
      </c>
      <c r="G637" s="64">
        <f>12.0681 * CHOOSE(CONTROL!$C$22, $C$13, 100%, $E$13)</f>
        <v>12.068099999999999</v>
      </c>
      <c r="H637" s="64">
        <f>20.3499* CHOOSE(CONTROL!$C$22, $C$13, 100%, $E$13)</f>
        <v>20.349900000000002</v>
      </c>
      <c r="I637" s="64">
        <f>20.35 * CHOOSE(CONTROL!$C$22, $C$13, 100%, $E$13)</f>
        <v>20.350000000000001</v>
      </c>
      <c r="J637" s="64">
        <f>12.0679 * CHOOSE(CONTROL!$C$22, $C$13, 100%, $E$13)</f>
        <v>12.0679</v>
      </c>
      <c r="K637" s="64">
        <f>12.0681 * CHOOSE(CONTROL!$C$22, $C$13, 100%, $E$13)</f>
        <v>12.068099999999999</v>
      </c>
    </row>
    <row r="638" spans="1:11" ht="15">
      <c r="A638" s="13">
        <v>61057</v>
      </c>
      <c r="B638" s="63">
        <f>10.4309 * CHOOSE(CONTROL!$C$22, $C$13, 100%, $E$13)</f>
        <v>10.430899999999999</v>
      </c>
      <c r="C638" s="63">
        <f>10.4309 * CHOOSE(CONTROL!$C$22, $C$13, 100%, $E$13)</f>
        <v>10.430899999999999</v>
      </c>
      <c r="D638" s="63">
        <f>10.4432 * CHOOSE(CONTROL!$C$22, $C$13, 100%, $E$13)</f>
        <v>10.443199999999999</v>
      </c>
      <c r="E638" s="64">
        <f>12.171 * CHOOSE(CONTROL!$C$22, $C$13, 100%, $E$13)</f>
        <v>12.170999999999999</v>
      </c>
      <c r="F638" s="64">
        <f>12.171 * CHOOSE(CONTROL!$C$22, $C$13, 100%, $E$13)</f>
        <v>12.170999999999999</v>
      </c>
      <c r="G638" s="64">
        <f>12.1712 * CHOOSE(CONTROL!$C$22, $C$13, 100%, $E$13)</f>
        <v>12.171200000000001</v>
      </c>
      <c r="H638" s="64">
        <f>20.3922* CHOOSE(CONTROL!$C$22, $C$13, 100%, $E$13)</f>
        <v>20.392199999999999</v>
      </c>
      <c r="I638" s="64">
        <f>20.3924 * CHOOSE(CONTROL!$C$22, $C$13, 100%, $E$13)</f>
        <v>20.392399999999999</v>
      </c>
      <c r="J638" s="64">
        <f>12.171 * CHOOSE(CONTROL!$C$22, $C$13, 100%, $E$13)</f>
        <v>12.170999999999999</v>
      </c>
      <c r="K638" s="64">
        <f>12.1712 * CHOOSE(CONTROL!$C$22, $C$13, 100%, $E$13)</f>
        <v>12.171200000000001</v>
      </c>
    </row>
    <row r="639" spans="1:11" ht="15">
      <c r="A639" s="13">
        <v>61088</v>
      </c>
      <c r="B639" s="63">
        <f>10.4341 * CHOOSE(CONTROL!$C$22, $C$13, 100%, $E$13)</f>
        <v>10.434100000000001</v>
      </c>
      <c r="C639" s="63">
        <f>10.4341 * CHOOSE(CONTROL!$C$22, $C$13, 100%, $E$13)</f>
        <v>10.434100000000001</v>
      </c>
      <c r="D639" s="63">
        <f>10.4464 * CHOOSE(CONTROL!$C$22, $C$13, 100%, $E$13)</f>
        <v>10.446400000000001</v>
      </c>
      <c r="E639" s="64">
        <f>12.2798 * CHOOSE(CONTROL!$C$22, $C$13, 100%, $E$13)</f>
        <v>12.2798</v>
      </c>
      <c r="F639" s="64">
        <f>12.2798 * CHOOSE(CONTROL!$C$22, $C$13, 100%, $E$13)</f>
        <v>12.2798</v>
      </c>
      <c r="G639" s="64">
        <f>12.2799 * CHOOSE(CONTROL!$C$22, $C$13, 100%, $E$13)</f>
        <v>12.2799</v>
      </c>
      <c r="H639" s="64">
        <f>20.4347* CHOOSE(CONTROL!$C$22, $C$13, 100%, $E$13)</f>
        <v>20.434699999999999</v>
      </c>
      <c r="I639" s="64">
        <f>20.4349 * CHOOSE(CONTROL!$C$22, $C$13, 100%, $E$13)</f>
        <v>20.434899999999999</v>
      </c>
      <c r="J639" s="64">
        <f>12.2798 * CHOOSE(CONTROL!$C$22, $C$13, 100%, $E$13)</f>
        <v>12.2798</v>
      </c>
      <c r="K639" s="64">
        <f>12.2799 * CHOOSE(CONTROL!$C$22, $C$13, 100%, $E$13)</f>
        <v>12.2799</v>
      </c>
    </row>
    <row r="640" spans="1:11" ht="15">
      <c r="A640" s="13">
        <v>61118</v>
      </c>
      <c r="B640" s="63">
        <f>10.4341 * CHOOSE(CONTROL!$C$22, $C$13, 100%, $E$13)</f>
        <v>10.434100000000001</v>
      </c>
      <c r="C640" s="63">
        <f>10.4341 * CHOOSE(CONTROL!$C$22, $C$13, 100%, $E$13)</f>
        <v>10.434100000000001</v>
      </c>
      <c r="D640" s="63">
        <f>10.4586 * CHOOSE(CONTROL!$C$22, $C$13, 100%, $E$13)</f>
        <v>10.458600000000001</v>
      </c>
      <c r="E640" s="64">
        <f>12.3221 * CHOOSE(CONTROL!$C$22, $C$13, 100%, $E$13)</f>
        <v>12.322100000000001</v>
      </c>
      <c r="F640" s="64">
        <f>12.3221 * CHOOSE(CONTROL!$C$22, $C$13, 100%, $E$13)</f>
        <v>12.322100000000001</v>
      </c>
      <c r="G640" s="64">
        <f>12.3237 * CHOOSE(CONTROL!$C$22, $C$13, 100%, $E$13)</f>
        <v>12.323700000000001</v>
      </c>
      <c r="H640" s="64">
        <f>20.4773* CHOOSE(CONTROL!$C$22, $C$13, 100%, $E$13)</f>
        <v>20.4773</v>
      </c>
      <c r="I640" s="64">
        <f>20.4789 * CHOOSE(CONTROL!$C$22, $C$13, 100%, $E$13)</f>
        <v>20.478899999999999</v>
      </c>
      <c r="J640" s="64">
        <f>12.3221 * CHOOSE(CONTROL!$C$22, $C$13, 100%, $E$13)</f>
        <v>12.322100000000001</v>
      </c>
      <c r="K640" s="64">
        <f>12.3237 * CHOOSE(CONTROL!$C$22, $C$13, 100%, $E$13)</f>
        <v>12.323700000000001</v>
      </c>
    </row>
    <row r="641" spans="1:11" ht="15">
      <c r="A641" s="13">
        <v>61149</v>
      </c>
      <c r="B641" s="63">
        <f>10.4402 * CHOOSE(CONTROL!$C$22, $C$13, 100%, $E$13)</f>
        <v>10.440200000000001</v>
      </c>
      <c r="C641" s="63">
        <f>10.4402 * CHOOSE(CONTROL!$C$22, $C$13, 100%, $E$13)</f>
        <v>10.440200000000001</v>
      </c>
      <c r="D641" s="63">
        <f>10.4647 * CHOOSE(CONTROL!$C$22, $C$13, 100%, $E$13)</f>
        <v>10.464700000000001</v>
      </c>
      <c r="E641" s="64">
        <f>12.284 * CHOOSE(CONTROL!$C$22, $C$13, 100%, $E$13)</f>
        <v>12.284000000000001</v>
      </c>
      <c r="F641" s="64">
        <f>12.284 * CHOOSE(CONTROL!$C$22, $C$13, 100%, $E$13)</f>
        <v>12.284000000000001</v>
      </c>
      <c r="G641" s="64">
        <f>12.2856 * CHOOSE(CONTROL!$C$22, $C$13, 100%, $E$13)</f>
        <v>12.285600000000001</v>
      </c>
      <c r="H641" s="64">
        <f>20.52* CHOOSE(CONTROL!$C$22, $C$13, 100%, $E$13)</f>
        <v>20.52</v>
      </c>
      <c r="I641" s="64">
        <f>20.5215 * CHOOSE(CONTROL!$C$22, $C$13, 100%, $E$13)</f>
        <v>20.5215</v>
      </c>
      <c r="J641" s="64">
        <f>12.284 * CHOOSE(CONTROL!$C$22, $C$13, 100%, $E$13)</f>
        <v>12.284000000000001</v>
      </c>
      <c r="K641" s="64">
        <f>12.2856 * CHOOSE(CONTROL!$C$22, $C$13, 100%, $E$13)</f>
        <v>12.285600000000001</v>
      </c>
    </row>
    <row r="642" spans="1:11" ht="15">
      <c r="A642" s="13">
        <v>61179</v>
      </c>
      <c r="B642" s="63">
        <f>10.6066 * CHOOSE(CONTROL!$C$22, $C$13, 100%, $E$13)</f>
        <v>10.6066</v>
      </c>
      <c r="C642" s="63">
        <f>10.6066 * CHOOSE(CONTROL!$C$22, $C$13, 100%, $E$13)</f>
        <v>10.6066</v>
      </c>
      <c r="D642" s="63">
        <f>10.631 * CHOOSE(CONTROL!$C$22, $C$13, 100%, $E$13)</f>
        <v>10.631</v>
      </c>
      <c r="E642" s="64">
        <f>12.5206 * CHOOSE(CONTROL!$C$22, $C$13, 100%, $E$13)</f>
        <v>12.5206</v>
      </c>
      <c r="F642" s="64">
        <f>12.5206 * CHOOSE(CONTROL!$C$22, $C$13, 100%, $E$13)</f>
        <v>12.5206</v>
      </c>
      <c r="G642" s="64">
        <f>12.5221 * CHOOSE(CONTROL!$C$22, $C$13, 100%, $E$13)</f>
        <v>12.5221</v>
      </c>
      <c r="H642" s="64">
        <f>20.5627* CHOOSE(CONTROL!$C$22, $C$13, 100%, $E$13)</f>
        <v>20.5627</v>
      </c>
      <c r="I642" s="64">
        <f>20.5643 * CHOOSE(CONTROL!$C$22, $C$13, 100%, $E$13)</f>
        <v>20.564299999999999</v>
      </c>
      <c r="J642" s="64">
        <f>12.5206 * CHOOSE(CONTROL!$C$22, $C$13, 100%, $E$13)</f>
        <v>12.5206</v>
      </c>
      <c r="K642" s="64">
        <f>12.5221 * CHOOSE(CONTROL!$C$22, $C$13, 100%, $E$13)</f>
        <v>12.5221</v>
      </c>
    </row>
    <row r="643" spans="1:11" ht="15">
      <c r="A643" s="13">
        <v>61210</v>
      </c>
      <c r="B643" s="63">
        <f>10.6133 * CHOOSE(CONTROL!$C$22, $C$13, 100%, $E$13)</f>
        <v>10.613300000000001</v>
      </c>
      <c r="C643" s="63">
        <f>10.6133 * CHOOSE(CONTROL!$C$22, $C$13, 100%, $E$13)</f>
        <v>10.613300000000001</v>
      </c>
      <c r="D643" s="63">
        <f>10.6377 * CHOOSE(CONTROL!$C$22, $C$13, 100%, $E$13)</f>
        <v>10.637700000000001</v>
      </c>
      <c r="E643" s="64">
        <f>12.3981 * CHOOSE(CONTROL!$C$22, $C$13, 100%, $E$13)</f>
        <v>12.398099999999999</v>
      </c>
      <c r="F643" s="64">
        <f>12.3981 * CHOOSE(CONTROL!$C$22, $C$13, 100%, $E$13)</f>
        <v>12.398099999999999</v>
      </c>
      <c r="G643" s="64">
        <f>12.3997 * CHOOSE(CONTROL!$C$22, $C$13, 100%, $E$13)</f>
        <v>12.399699999999999</v>
      </c>
      <c r="H643" s="64">
        <f>20.6056* CHOOSE(CONTROL!$C$22, $C$13, 100%, $E$13)</f>
        <v>20.605599999999999</v>
      </c>
      <c r="I643" s="64">
        <f>20.6071 * CHOOSE(CONTROL!$C$22, $C$13, 100%, $E$13)</f>
        <v>20.607099999999999</v>
      </c>
      <c r="J643" s="64">
        <f>12.3981 * CHOOSE(CONTROL!$C$22, $C$13, 100%, $E$13)</f>
        <v>12.398099999999999</v>
      </c>
      <c r="K643" s="64">
        <f>12.3997 * CHOOSE(CONTROL!$C$22, $C$13, 100%, $E$13)</f>
        <v>12.399699999999999</v>
      </c>
    </row>
    <row r="644" spans="1:11" ht="15">
      <c r="A644" s="13">
        <v>61241</v>
      </c>
      <c r="B644" s="63">
        <f>10.6102 * CHOOSE(CONTROL!$C$22, $C$13, 100%, $E$13)</f>
        <v>10.610200000000001</v>
      </c>
      <c r="C644" s="63">
        <f>10.6102 * CHOOSE(CONTROL!$C$22, $C$13, 100%, $E$13)</f>
        <v>10.610200000000001</v>
      </c>
      <c r="D644" s="63">
        <f>10.6346 * CHOOSE(CONTROL!$C$22, $C$13, 100%, $E$13)</f>
        <v>10.634600000000001</v>
      </c>
      <c r="E644" s="64">
        <f>12.3819 * CHOOSE(CONTROL!$C$22, $C$13, 100%, $E$13)</f>
        <v>12.3819</v>
      </c>
      <c r="F644" s="64">
        <f>12.3819 * CHOOSE(CONTROL!$C$22, $C$13, 100%, $E$13)</f>
        <v>12.3819</v>
      </c>
      <c r="G644" s="64">
        <f>12.3834 * CHOOSE(CONTROL!$C$22, $C$13, 100%, $E$13)</f>
        <v>12.3834</v>
      </c>
      <c r="H644" s="64">
        <f>20.6485* CHOOSE(CONTROL!$C$22, $C$13, 100%, $E$13)</f>
        <v>20.648499999999999</v>
      </c>
      <c r="I644" s="64">
        <f>20.65 * CHOOSE(CONTROL!$C$22, $C$13, 100%, $E$13)</f>
        <v>20.65</v>
      </c>
      <c r="J644" s="64">
        <f>12.3819 * CHOOSE(CONTROL!$C$22, $C$13, 100%, $E$13)</f>
        <v>12.3819</v>
      </c>
      <c r="K644" s="64">
        <f>12.3834 * CHOOSE(CONTROL!$C$22, $C$13, 100%, $E$13)</f>
        <v>12.3834</v>
      </c>
    </row>
    <row r="645" spans="1:11" ht="15">
      <c r="A645" s="13">
        <v>61271</v>
      </c>
      <c r="B645" s="63">
        <f>10.6272 * CHOOSE(CONTROL!$C$22, $C$13, 100%, $E$13)</f>
        <v>10.6272</v>
      </c>
      <c r="C645" s="63">
        <f>10.6272 * CHOOSE(CONTROL!$C$22, $C$13, 100%, $E$13)</f>
        <v>10.6272</v>
      </c>
      <c r="D645" s="63">
        <f>10.6394 * CHOOSE(CONTROL!$C$22, $C$13, 100%, $E$13)</f>
        <v>10.6394</v>
      </c>
      <c r="E645" s="64">
        <f>12.425 * CHOOSE(CONTROL!$C$22, $C$13, 100%, $E$13)</f>
        <v>12.425000000000001</v>
      </c>
      <c r="F645" s="64">
        <f>12.425 * CHOOSE(CONTROL!$C$22, $C$13, 100%, $E$13)</f>
        <v>12.425000000000001</v>
      </c>
      <c r="G645" s="64">
        <f>12.4251 * CHOOSE(CONTROL!$C$22, $C$13, 100%, $E$13)</f>
        <v>12.4251</v>
      </c>
      <c r="H645" s="64">
        <f>20.6915* CHOOSE(CONTROL!$C$22, $C$13, 100%, $E$13)</f>
        <v>20.691500000000001</v>
      </c>
      <c r="I645" s="64">
        <f>20.6917 * CHOOSE(CONTROL!$C$22, $C$13, 100%, $E$13)</f>
        <v>20.691700000000001</v>
      </c>
      <c r="J645" s="64">
        <f>12.425 * CHOOSE(CONTROL!$C$22, $C$13, 100%, $E$13)</f>
        <v>12.425000000000001</v>
      </c>
      <c r="K645" s="64">
        <f>12.4251 * CHOOSE(CONTROL!$C$22, $C$13, 100%, $E$13)</f>
        <v>12.4251</v>
      </c>
    </row>
    <row r="646" spans="1:11" ht="15">
      <c r="A646" s="13">
        <v>61302</v>
      </c>
      <c r="B646" s="63">
        <f>10.6302 * CHOOSE(CONTROL!$C$22, $C$13, 100%, $E$13)</f>
        <v>10.6302</v>
      </c>
      <c r="C646" s="63">
        <f>10.6302 * CHOOSE(CONTROL!$C$22, $C$13, 100%, $E$13)</f>
        <v>10.6302</v>
      </c>
      <c r="D646" s="63">
        <f>10.6425 * CHOOSE(CONTROL!$C$22, $C$13, 100%, $E$13)</f>
        <v>10.6425</v>
      </c>
      <c r="E646" s="64">
        <f>12.4553 * CHOOSE(CONTROL!$C$22, $C$13, 100%, $E$13)</f>
        <v>12.455299999999999</v>
      </c>
      <c r="F646" s="64">
        <f>12.4553 * CHOOSE(CONTROL!$C$22, $C$13, 100%, $E$13)</f>
        <v>12.455299999999999</v>
      </c>
      <c r="G646" s="64">
        <f>12.4555 * CHOOSE(CONTROL!$C$22, $C$13, 100%, $E$13)</f>
        <v>12.455500000000001</v>
      </c>
      <c r="H646" s="64">
        <f>20.7346* CHOOSE(CONTROL!$C$22, $C$13, 100%, $E$13)</f>
        <v>20.7346</v>
      </c>
      <c r="I646" s="64">
        <f>20.7348 * CHOOSE(CONTROL!$C$22, $C$13, 100%, $E$13)</f>
        <v>20.7348</v>
      </c>
      <c r="J646" s="64">
        <f>12.4553 * CHOOSE(CONTROL!$C$22, $C$13, 100%, $E$13)</f>
        <v>12.455299999999999</v>
      </c>
      <c r="K646" s="64">
        <f>12.4555 * CHOOSE(CONTROL!$C$22, $C$13, 100%, $E$13)</f>
        <v>12.455500000000001</v>
      </c>
    </row>
    <row r="647" spans="1:11" ht="15">
      <c r="A647" s="13">
        <v>61332</v>
      </c>
      <c r="B647" s="63">
        <f>10.6302 * CHOOSE(CONTROL!$C$22, $C$13, 100%, $E$13)</f>
        <v>10.6302</v>
      </c>
      <c r="C647" s="63">
        <f>10.6302 * CHOOSE(CONTROL!$C$22, $C$13, 100%, $E$13)</f>
        <v>10.6302</v>
      </c>
      <c r="D647" s="63">
        <f>10.6425 * CHOOSE(CONTROL!$C$22, $C$13, 100%, $E$13)</f>
        <v>10.6425</v>
      </c>
      <c r="E647" s="64">
        <f>12.3847 * CHOOSE(CONTROL!$C$22, $C$13, 100%, $E$13)</f>
        <v>12.3847</v>
      </c>
      <c r="F647" s="64">
        <f>12.3847 * CHOOSE(CONTROL!$C$22, $C$13, 100%, $E$13)</f>
        <v>12.3847</v>
      </c>
      <c r="G647" s="64">
        <f>12.3849 * CHOOSE(CONTROL!$C$22, $C$13, 100%, $E$13)</f>
        <v>12.3849</v>
      </c>
      <c r="H647" s="64">
        <f>20.7778* CHOOSE(CONTROL!$C$22, $C$13, 100%, $E$13)</f>
        <v>20.777799999999999</v>
      </c>
      <c r="I647" s="64">
        <f>20.778 * CHOOSE(CONTROL!$C$22, $C$13, 100%, $E$13)</f>
        <v>20.777999999999999</v>
      </c>
      <c r="J647" s="64">
        <f>12.3847 * CHOOSE(CONTROL!$C$22, $C$13, 100%, $E$13)</f>
        <v>12.3847</v>
      </c>
      <c r="K647" s="64">
        <f>12.3849 * CHOOSE(CONTROL!$C$22, $C$13, 100%, $E$13)</f>
        <v>12.3849</v>
      </c>
    </row>
    <row r="648" spans="1:11" ht="15">
      <c r="A648" s="13">
        <v>61363</v>
      </c>
      <c r="B648" s="63">
        <f>10.6823 * CHOOSE(CONTROL!$C$22, $C$13, 100%, $E$13)</f>
        <v>10.6823</v>
      </c>
      <c r="C648" s="63">
        <f>10.6823 * CHOOSE(CONTROL!$C$22, $C$13, 100%, $E$13)</f>
        <v>10.6823</v>
      </c>
      <c r="D648" s="63">
        <f>10.6946 * CHOOSE(CONTROL!$C$22, $C$13, 100%, $E$13)</f>
        <v>10.694599999999999</v>
      </c>
      <c r="E648" s="64">
        <f>12.4959 * CHOOSE(CONTROL!$C$22, $C$13, 100%, $E$13)</f>
        <v>12.495900000000001</v>
      </c>
      <c r="F648" s="64">
        <f>12.4959 * CHOOSE(CONTROL!$C$22, $C$13, 100%, $E$13)</f>
        <v>12.495900000000001</v>
      </c>
      <c r="G648" s="64">
        <f>12.4961 * CHOOSE(CONTROL!$C$22, $C$13, 100%, $E$13)</f>
        <v>12.4961</v>
      </c>
      <c r="H648" s="64">
        <f>20.7534* CHOOSE(CONTROL!$C$22, $C$13, 100%, $E$13)</f>
        <v>20.753399999999999</v>
      </c>
      <c r="I648" s="64">
        <f>20.7536 * CHOOSE(CONTROL!$C$22, $C$13, 100%, $E$13)</f>
        <v>20.753599999999999</v>
      </c>
      <c r="J648" s="64">
        <f>12.4959 * CHOOSE(CONTROL!$C$22, $C$13, 100%, $E$13)</f>
        <v>12.495900000000001</v>
      </c>
      <c r="K648" s="64">
        <f>12.4961 * CHOOSE(CONTROL!$C$22, $C$13, 100%, $E$13)</f>
        <v>12.4961</v>
      </c>
    </row>
    <row r="649" spans="1:11" ht="15">
      <c r="A649" s="13">
        <v>61394</v>
      </c>
      <c r="B649" s="63">
        <f>10.6793 * CHOOSE(CONTROL!$C$22, $C$13, 100%, $E$13)</f>
        <v>10.6793</v>
      </c>
      <c r="C649" s="63">
        <f>10.6793 * CHOOSE(CONTROL!$C$22, $C$13, 100%, $E$13)</f>
        <v>10.6793</v>
      </c>
      <c r="D649" s="63">
        <f>10.6915 * CHOOSE(CONTROL!$C$22, $C$13, 100%, $E$13)</f>
        <v>10.6915</v>
      </c>
      <c r="E649" s="64">
        <f>12.3571 * CHOOSE(CONTROL!$C$22, $C$13, 100%, $E$13)</f>
        <v>12.357100000000001</v>
      </c>
      <c r="F649" s="64">
        <f>12.3571 * CHOOSE(CONTROL!$C$22, $C$13, 100%, $E$13)</f>
        <v>12.357100000000001</v>
      </c>
      <c r="G649" s="64">
        <f>12.3573 * CHOOSE(CONTROL!$C$22, $C$13, 100%, $E$13)</f>
        <v>12.3573</v>
      </c>
      <c r="H649" s="64">
        <f>20.7967* CHOOSE(CONTROL!$C$22, $C$13, 100%, $E$13)</f>
        <v>20.796700000000001</v>
      </c>
      <c r="I649" s="64">
        <f>20.7969 * CHOOSE(CONTROL!$C$22, $C$13, 100%, $E$13)</f>
        <v>20.796900000000001</v>
      </c>
      <c r="J649" s="64">
        <f>12.3571 * CHOOSE(CONTROL!$C$22, $C$13, 100%, $E$13)</f>
        <v>12.357100000000001</v>
      </c>
      <c r="K649" s="64">
        <f>12.3573 * CHOOSE(CONTROL!$C$22, $C$13, 100%, $E$13)</f>
        <v>12.3573</v>
      </c>
    </row>
    <row r="650" spans="1:11" ht="15">
      <c r="A650" s="13">
        <v>61423</v>
      </c>
      <c r="B650" s="63">
        <f>10.6763 * CHOOSE(CONTROL!$C$22, $C$13, 100%, $E$13)</f>
        <v>10.676299999999999</v>
      </c>
      <c r="C650" s="63">
        <f>10.6763 * CHOOSE(CONTROL!$C$22, $C$13, 100%, $E$13)</f>
        <v>10.676299999999999</v>
      </c>
      <c r="D650" s="63">
        <f>10.6885 * CHOOSE(CONTROL!$C$22, $C$13, 100%, $E$13)</f>
        <v>10.688499999999999</v>
      </c>
      <c r="E650" s="64">
        <f>12.4627 * CHOOSE(CONTROL!$C$22, $C$13, 100%, $E$13)</f>
        <v>12.4627</v>
      </c>
      <c r="F650" s="64">
        <f>12.4627 * CHOOSE(CONTROL!$C$22, $C$13, 100%, $E$13)</f>
        <v>12.4627</v>
      </c>
      <c r="G650" s="64">
        <f>12.4629 * CHOOSE(CONTROL!$C$22, $C$13, 100%, $E$13)</f>
        <v>12.462899999999999</v>
      </c>
      <c r="H650" s="64">
        <f>20.84* CHOOSE(CONTROL!$C$22, $C$13, 100%, $E$13)</f>
        <v>20.84</v>
      </c>
      <c r="I650" s="64">
        <f>20.8402 * CHOOSE(CONTROL!$C$22, $C$13, 100%, $E$13)</f>
        <v>20.840199999999999</v>
      </c>
      <c r="J650" s="64">
        <f>12.4627 * CHOOSE(CONTROL!$C$22, $C$13, 100%, $E$13)</f>
        <v>12.4627</v>
      </c>
      <c r="K650" s="64">
        <f>12.4629 * CHOOSE(CONTROL!$C$22, $C$13, 100%, $E$13)</f>
        <v>12.462899999999999</v>
      </c>
    </row>
    <row r="651" spans="1:11" ht="15">
      <c r="A651" s="13">
        <v>61454</v>
      </c>
      <c r="B651" s="63">
        <f>10.6797 * CHOOSE(CONTROL!$C$22, $C$13, 100%, $E$13)</f>
        <v>10.6797</v>
      </c>
      <c r="C651" s="63">
        <f>10.6797 * CHOOSE(CONTROL!$C$22, $C$13, 100%, $E$13)</f>
        <v>10.6797</v>
      </c>
      <c r="D651" s="63">
        <f>10.6919 * CHOOSE(CONTROL!$C$22, $C$13, 100%, $E$13)</f>
        <v>10.6919</v>
      </c>
      <c r="E651" s="64">
        <f>12.5742 * CHOOSE(CONTROL!$C$22, $C$13, 100%, $E$13)</f>
        <v>12.574199999999999</v>
      </c>
      <c r="F651" s="64">
        <f>12.5742 * CHOOSE(CONTROL!$C$22, $C$13, 100%, $E$13)</f>
        <v>12.574199999999999</v>
      </c>
      <c r="G651" s="64">
        <f>12.5744 * CHOOSE(CONTROL!$C$22, $C$13, 100%, $E$13)</f>
        <v>12.574400000000001</v>
      </c>
      <c r="H651" s="64">
        <f>20.8834* CHOOSE(CONTROL!$C$22, $C$13, 100%, $E$13)</f>
        <v>20.883400000000002</v>
      </c>
      <c r="I651" s="64">
        <f>20.8836 * CHOOSE(CONTROL!$C$22, $C$13, 100%, $E$13)</f>
        <v>20.883600000000001</v>
      </c>
      <c r="J651" s="64">
        <f>12.5742 * CHOOSE(CONTROL!$C$22, $C$13, 100%, $E$13)</f>
        <v>12.574199999999999</v>
      </c>
      <c r="K651" s="64">
        <f>12.5744 * CHOOSE(CONTROL!$C$22, $C$13, 100%, $E$13)</f>
        <v>12.574400000000001</v>
      </c>
    </row>
    <row r="652" spans="1:11" ht="15">
      <c r="A652" s="13">
        <v>61484</v>
      </c>
      <c r="B652" s="63">
        <f>10.6797 * CHOOSE(CONTROL!$C$22, $C$13, 100%, $E$13)</f>
        <v>10.6797</v>
      </c>
      <c r="C652" s="63">
        <f>10.6797 * CHOOSE(CONTROL!$C$22, $C$13, 100%, $E$13)</f>
        <v>10.6797</v>
      </c>
      <c r="D652" s="63">
        <f>10.7041 * CHOOSE(CONTROL!$C$22, $C$13, 100%, $E$13)</f>
        <v>10.7041</v>
      </c>
      <c r="E652" s="64">
        <f>12.6176 * CHOOSE(CONTROL!$C$22, $C$13, 100%, $E$13)</f>
        <v>12.617599999999999</v>
      </c>
      <c r="F652" s="64">
        <f>12.6176 * CHOOSE(CONTROL!$C$22, $C$13, 100%, $E$13)</f>
        <v>12.617599999999999</v>
      </c>
      <c r="G652" s="64">
        <f>12.6192 * CHOOSE(CONTROL!$C$22, $C$13, 100%, $E$13)</f>
        <v>12.619199999999999</v>
      </c>
      <c r="H652" s="64">
        <f>20.9269* CHOOSE(CONTROL!$C$22, $C$13, 100%, $E$13)</f>
        <v>20.9269</v>
      </c>
      <c r="I652" s="64">
        <f>20.9285 * CHOOSE(CONTROL!$C$22, $C$13, 100%, $E$13)</f>
        <v>20.9285</v>
      </c>
      <c r="J652" s="64">
        <f>12.6176 * CHOOSE(CONTROL!$C$22, $C$13, 100%, $E$13)</f>
        <v>12.617599999999999</v>
      </c>
      <c r="K652" s="64">
        <f>12.6192 * CHOOSE(CONTROL!$C$22, $C$13, 100%, $E$13)</f>
        <v>12.619199999999999</v>
      </c>
    </row>
    <row r="653" spans="1:11" ht="15">
      <c r="A653" s="13">
        <v>61515</v>
      </c>
      <c r="B653" s="63">
        <f>10.6858 * CHOOSE(CONTROL!$C$22, $C$13, 100%, $E$13)</f>
        <v>10.6858</v>
      </c>
      <c r="C653" s="63">
        <f>10.6858 * CHOOSE(CONTROL!$C$22, $C$13, 100%, $E$13)</f>
        <v>10.6858</v>
      </c>
      <c r="D653" s="63">
        <f>10.7102 * CHOOSE(CONTROL!$C$22, $C$13, 100%, $E$13)</f>
        <v>10.7102</v>
      </c>
      <c r="E653" s="64">
        <f>12.5784 * CHOOSE(CONTROL!$C$22, $C$13, 100%, $E$13)</f>
        <v>12.5784</v>
      </c>
      <c r="F653" s="64">
        <f>12.5784 * CHOOSE(CONTROL!$C$22, $C$13, 100%, $E$13)</f>
        <v>12.5784</v>
      </c>
      <c r="G653" s="64">
        <f>12.58 * CHOOSE(CONTROL!$C$22, $C$13, 100%, $E$13)</f>
        <v>12.58</v>
      </c>
      <c r="H653" s="64">
        <f>20.9705* CHOOSE(CONTROL!$C$22, $C$13, 100%, $E$13)</f>
        <v>20.970500000000001</v>
      </c>
      <c r="I653" s="64">
        <f>20.9721 * CHOOSE(CONTROL!$C$22, $C$13, 100%, $E$13)</f>
        <v>20.972100000000001</v>
      </c>
      <c r="J653" s="64">
        <f>12.5784 * CHOOSE(CONTROL!$C$22, $C$13, 100%, $E$13)</f>
        <v>12.5784</v>
      </c>
      <c r="K653" s="64">
        <f>12.58 * CHOOSE(CONTROL!$C$22, $C$13, 100%, $E$13)</f>
        <v>12.58</v>
      </c>
    </row>
    <row r="654" spans="1:11" ht="15">
      <c r="A654" s="13">
        <v>61545</v>
      </c>
      <c r="B654" s="63">
        <f>10.8558 * CHOOSE(CONTROL!$C$22, $C$13, 100%, $E$13)</f>
        <v>10.8558</v>
      </c>
      <c r="C654" s="63">
        <f>10.8558 * CHOOSE(CONTROL!$C$22, $C$13, 100%, $E$13)</f>
        <v>10.8558</v>
      </c>
      <c r="D654" s="63">
        <f>10.8802 * CHOOSE(CONTROL!$C$22, $C$13, 100%, $E$13)</f>
        <v>10.8802</v>
      </c>
      <c r="E654" s="64">
        <f>12.8205 * CHOOSE(CONTROL!$C$22, $C$13, 100%, $E$13)</f>
        <v>12.820499999999999</v>
      </c>
      <c r="F654" s="64">
        <f>12.8205 * CHOOSE(CONTROL!$C$22, $C$13, 100%, $E$13)</f>
        <v>12.820499999999999</v>
      </c>
      <c r="G654" s="64">
        <f>12.822 * CHOOSE(CONTROL!$C$22, $C$13, 100%, $E$13)</f>
        <v>12.821999999999999</v>
      </c>
      <c r="H654" s="64">
        <f>21.0142* CHOOSE(CONTROL!$C$22, $C$13, 100%, $E$13)</f>
        <v>21.014199999999999</v>
      </c>
      <c r="I654" s="64">
        <f>21.0158 * CHOOSE(CONTROL!$C$22, $C$13, 100%, $E$13)</f>
        <v>21.015799999999999</v>
      </c>
      <c r="J654" s="64">
        <f>12.8205 * CHOOSE(CONTROL!$C$22, $C$13, 100%, $E$13)</f>
        <v>12.820499999999999</v>
      </c>
      <c r="K654" s="64">
        <f>12.822 * CHOOSE(CONTROL!$C$22, $C$13, 100%, $E$13)</f>
        <v>12.821999999999999</v>
      </c>
    </row>
    <row r="655" spans="1:11" ht="15">
      <c r="A655" s="13">
        <v>61576</v>
      </c>
      <c r="B655" s="63">
        <f>10.8625 * CHOOSE(CONTROL!$C$22, $C$13, 100%, $E$13)</f>
        <v>10.862500000000001</v>
      </c>
      <c r="C655" s="63">
        <f>10.8625 * CHOOSE(CONTROL!$C$22, $C$13, 100%, $E$13)</f>
        <v>10.862500000000001</v>
      </c>
      <c r="D655" s="63">
        <f>10.8869 * CHOOSE(CONTROL!$C$22, $C$13, 100%, $E$13)</f>
        <v>10.886900000000001</v>
      </c>
      <c r="E655" s="64">
        <f>12.6949 * CHOOSE(CONTROL!$C$22, $C$13, 100%, $E$13)</f>
        <v>12.694900000000001</v>
      </c>
      <c r="F655" s="64">
        <f>12.6949 * CHOOSE(CONTROL!$C$22, $C$13, 100%, $E$13)</f>
        <v>12.694900000000001</v>
      </c>
      <c r="G655" s="64">
        <f>12.6965 * CHOOSE(CONTROL!$C$22, $C$13, 100%, $E$13)</f>
        <v>12.6965</v>
      </c>
      <c r="H655" s="64">
        <f>21.058* CHOOSE(CONTROL!$C$22, $C$13, 100%, $E$13)</f>
        <v>21.058</v>
      </c>
      <c r="I655" s="64">
        <f>21.0596 * CHOOSE(CONTROL!$C$22, $C$13, 100%, $E$13)</f>
        <v>21.0596</v>
      </c>
      <c r="J655" s="64">
        <f>12.6949 * CHOOSE(CONTROL!$C$22, $C$13, 100%, $E$13)</f>
        <v>12.694900000000001</v>
      </c>
      <c r="K655" s="64">
        <f>12.6965 * CHOOSE(CONTROL!$C$22, $C$13, 100%, $E$13)</f>
        <v>12.6965</v>
      </c>
    </row>
    <row r="656" spans="1:11" ht="15">
      <c r="A656" s="13">
        <v>61607</v>
      </c>
      <c r="B656" s="63">
        <f>10.8594 * CHOOSE(CONTROL!$C$22, $C$13, 100%, $E$13)</f>
        <v>10.859400000000001</v>
      </c>
      <c r="C656" s="63">
        <f>10.8594 * CHOOSE(CONTROL!$C$22, $C$13, 100%, $E$13)</f>
        <v>10.859400000000001</v>
      </c>
      <c r="D656" s="63">
        <f>10.8839 * CHOOSE(CONTROL!$C$22, $C$13, 100%, $E$13)</f>
        <v>10.883900000000001</v>
      </c>
      <c r="E656" s="64">
        <f>12.6784 * CHOOSE(CONTROL!$C$22, $C$13, 100%, $E$13)</f>
        <v>12.6784</v>
      </c>
      <c r="F656" s="64">
        <f>12.6784 * CHOOSE(CONTROL!$C$22, $C$13, 100%, $E$13)</f>
        <v>12.6784</v>
      </c>
      <c r="G656" s="64">
        <f>12.6799 * CHOOSE(CONTROL!$C$22, $C$13, 100%, $E$13)</f>
        <v>12.6799</v>
      </c>
      <c r="H656" s="64">
        <f>21.1019* CHOOSE(CONTROL!$C$22, $C$13, 100%, $E$13)</f>
        <v>21.101900000000001</v>
      </c>
      <c r="I656" s="64">
        <f>21.1034 * CHOOSE(CONTROL!$C$22, $C$13, 100%, $E$13)</f>
        <v>21.103400000000001</v>
      </c>
      <c r="J656" s="64">
        <f>12.6784 * CHOOSE(CONTROL!$C$22, $C$13, 100%, $E$13)</f>
        <v>12.6784</v>
      </c>
      <c r="K656" s="64">
        <f>12.6799 * CHOOSE(CONTROL!$C$22, $C$13, 100%, $E$13)</f>
        <v>12.6799</v>
      </c>
    </row>
    <row r="657" spans="1:11" ht="15">
      <c r="A657" s="13">
        <v>61637</v>
      </c>
      <c r="B657" s="63">
        <f>10.8772 * CHOOSE(CONTROL!$C$22, $C$13, 100%, $E$13)</f>
        <v>10.8772</v>
      </c>
      <c r="C657" s="63">
        <f>10.8772 * CHOOSE(CONTROL!$C$22, $C$13, 100%, $E$13)</f>
        <v>10.8772</v>
      </c>
      <c r="D657" s="63">
        <f>10.8894 * CHOOSE(CONTROL!$C$22, $C$13, 100%, $E$13)</f>
        <v>10.8894</v>
      </c>
      <c r="E657" s="64">
        <f>12.7228 * CHOOSE(CONTROL!$C$22, $C$13, 100%, $E$13)</f>
        <v>12.722799999999999</v>
      </c>
      <c r="F657" s="64">
        <f>12.7228 * CHOOSE(CONTROL!$C$22, $C$13, 100%, $E$13)</f>
        <v>12.722799999999999</v>
      </c>
      <c r="G657" s="64">
        <f>12.723 * CHOOSE(CONTROL!$C$22, $C$13, 100%, $E$13)</f>
        <v>12.723000000000001</v>
      </c>
      <c r="H657" s="64">
        <f>21.1458* CHOOSE(CONTROL!$C$22, $C$13, 100%, $E$13)</f>
        <v>21.145800000000001</v>
      </c>
      <c r="I657" s="64">
        <f>21.146 * CHOOSE(CONTROL!$C$22, $C$13, 100%, $E$13)</f>
        <v>21.146000000000001</v>
      </c>
      <c r="J657" s="64">
        <f>12.7228 * CHOOSE(CONTROL!$C$22, $C$13, 100%, $E$13)</f>
        <v>12.722799999999999</v>
      </c>
      <c r="K657" s="64">
        <f>12.723 * CHOOSE(CONTROL!$C$22, $C$13, 100%, $E$13)</f>
        <v>12.723000000000001</v>
      </c>
    </row>
    <row r="658" spans="1:11" ht="15">
      <c r="A658" s="13">
        <v>61668</v>
      </c>
      <c r="B658" s="63">
        <f>10.8803 * CHOOSE(CONTROL!$C$22, $C$13, 100%, $E$13)</f>
        <v>10.8803</v>
      </c>
      <c r="C658" s="63">
        <f>10.8803 * CHOOSE(CONTROL!$C$22, $C$13, 100%, $E$13)</f>
        <v>10.8803</v>
      </c>
      <c r="D658" s="63">
        <f>10.8925 * CHOOSE(CONTROL!$C$22, $C$13, 100%, $E$13)</f>
        <v>10.8925</v>
      </c>
      <c r="E658" s="64">
        <f>12.7538 * CHOOSE(CONTROL!$C$22, $C$13, 100%, $E$13)</f>
        <v>12.7538</v>
      </c>
      <c r="F658" s="64">
        <f>12.7538 * CHOOSE(CONTROL!$C$22, $C$13, 100%, $E$13)</f>
        <v>12.7538</v>
      </c>
      <c r="G658" s="64">
        <f>12.754 * CHOOSE(CONTROL!$C$22, $C$13, 100%, $E$13)</f>
        <v>12.754</v>
      </c>
      <c r="H658" s="64">
        <f>21.1899* CHOOSE(CONTROL!$C$22, $C$13, 100%, $E$13)</f>
        <v>21.189900000000002</v>
      </c>
      <c r="I658" s="64">
        <f>21.1901 * CHOOSE(CONTROL!$C$22, $C$13, 100%, $E$13)</f>
        <v>21.190100000000001</v>
      </c>
      <c r="J658" s="64">
        <f>12.7538 * CHOOSE(CONTROL!$C$22, $C$13, 100%, $E$13)</f>
        <v>12.7538</v>
      </c>
      <c r="K658" s="64">
        <f>12.754 * CHOOSE(CONTROL!$C$22, $C$13, 100%, $E$13)</f>
        <v>12.754</v>
      </c>
    </row>
    <row r="659" spans="1:11" ht="15">
      <c r="A659" s="13">
        <v>61698</v>
      </c>
      <c r="B659" s="63">
        <f>10.8803 * CHOOSE(CONTROL!$C$22, $C$13, 100%, $E$13)</f>
        <v>10.8803</v>
      </c>
      <c r="C659" s="63">
        <f>10.8803 * CHOOSE(CONTROL!$C$22, $C$13, 100%, $E$13)</f>
        <v>10.8803</v>
      </c>
      <c r="D659" s="63">
        <f>10.8925 * CHOOSE(CONTROL!$C$22, $C$13, 100%, $E$13)</f>
        <v>10.8925</v>
      </c>
      <c r="E659" s="64">
        <f>12.6815 * CHOOSE(CONTROL!$C$22, $C$13, 100%, $E$13)</f>
        <v>12.6815</v>
      </c>
      <c r="F659" s="64">
        <f>12.6815 * CHOOSE(CONTROL!$C$22, $C$13, 100%, $E$13)</f>
        <v>12.6815</v>
      </c>
      <c r="G659" s="64">
        <f>12.6817 * CHOOSE(CONTROL!$C$22, $C$13, 100%, $E$13)</f>
        <v>12.681699999999999</v>
      </c>
      <c r="H659" s="64">
        <f>21.234* CHOOSE(CONTROL!$C$22, $C$13, 100%, $E$13)</f>
        <v>21.234000000000002</v>
      </c>
      <c r="I659" s="64">
        <f>21.2342 * CHOOSE(CONTROL!$C$22, $C$13, 100%, $E$13)</f>
        <v>21.234200000000001</v>
      </c>
      <c r="J659" s="64">
        <f>12.6815 * CHOOSE(CONTROL!$C$22, $C$13, 100%, $E$13)</f>
        <v>12.6815</v>
      </c>
      <c r="K659" s="64">
        <f>12.6817 * CHOOSE(CONTROL!$C$22, $C$13, 100%, $E$13)</f>
        <v>12.681699999999999</v>
      </c>
    </row>
    <row r="660" spans="1:11" ht="15">
      <c r="A660" s="13">
        <v>61729</v>
      </c>
      <c r="B660" s="63">
        <f>10.9277 * CHOOSE(CONTROL!$C$22, $C$13, 100%, $E$13)</f>
        <v>10.9277</v>
      </c>
      <c r="C660" s="63">
        <f>10.9277 * CHOOSE(CONTROL!$C$22, $C$13, 100%, $E$13)</f>
        <v>10.9277</v>
      </c>
      <c r="D660" s="63">
        <f>10.9399 * CHOOSE(CONTROL!$C$22, $C$13, 100%, $E$13)</f>
        <v>10.9399</v>
      </c>
      <c r="E660" s="64">
        <f>12.7883 * CHOOSE(CONTROL!$C$22, $C$13, 100%, $E$13)</f>
        <v>12.7883</v>
      </c>
      <c r="F660" s="64">
        <f>12.7883 * CHOOSE(CONTROL!$C$22, $C$13, 100%, $E$13)</f>
        <v>12.7883</v>
      </c>
      <c r="G660" s="64">
        <f>12.7885 * CHOOSE(CONTROL!$C$22, $C$13, 100%, $E$13)</f>
        <v>12.788500000000001</v>
      </c>
      <c r="H660" s="64">
        <f>21.1993* CHOOSE(CONTROL!$C$22, $C$13, 100%, $E$13)</f>
        <v>21.199300000000001</v>
      </c>
      <c r="I660" s="64">
        <f>21.1995 * CHOOSE(CONTROL!$C$22, $C$13, 100%, $E$13)</f>
        <v>21.1995</v>
      </c>
      <c r="J660" s="64">
        <f>12.7883 * CHOOSE(CONTROL!$C$22, $C$13, 100%, $E$13)</f>
        <v>12.7883</v>
      </c>
      <c r="K660" s="64">
        <f>12.7885 * CHOOSE(CONTROL!$C$22, $C$13, 100%, $E$13)</f>
        <v>12.788500000000001</v>
      </c>
    </row>
    <row r="661" spans="1:11" ht="15">
      <c r="A661" s="13">
        <v>61760</v>
      </c>
      <c r="B661" s="63">
        <f>10.9246 * CHOOSE(CONTROL!$C$22, $C$13, 100%, $E$13)</f>
        <v>10.9246</v>
      </c>
      <c r="C661" s="63">
        <f>10.9246 * CHOOSE(CONTROL!$C$22, $C$13, 100%, $E$13)</f>
        <v>10.9246</v>
      </c>
      <c r="D661" s="63">
        <f>10.9368 * CHOOSE(CONTROL!$C$22, $C$13, 100%, $E$13)</f>
        <v>10.9368</v>
      </c>
      <c r="E661" s="64">
        <f>12.6463 * CHOOSE(CONTROL!$C$22, $C$13, 100%, $E$13)</f>
        <v>12.6463</v>
      </c>
      <c r="F661" s="64">
        <f>12.6463 * CHOOSE(CONTROL!$C$22, $C$13, 100%, $E$13)</f>
        <v>12.6463</v>
      </c>
      <c r="G661" s="64">
        <f>12.6465 * CHOOSE(CONTROL!$C$22, $C$13, 100%, $E$13)</f>
        <v>12.6465</v>
      </c>
      <c r="H661" s="64">
        <f>21.2435* CHOOSE(CONTROL!$C$22, $C$13, 100%, $E$13)</f>
        <v>21.243500000000001</v>
      </c>
      <c r="I661" s="64">
        <f>21.2437 * CHOOSE(CONTROL!$C$22, $C$13, 100%, $E$13)</f>
        <v>21.2437</v>
      </c>
      <c r="J661" s="64">
        <f>12.6463 * CHOOSE(CONTROL!$C$22, $C$13, 100%, $E$13)</f>
        <v>12.6463</v>
      </c>
      <c r="K661" s="64">
        <f>12.6465 * CHOOSE(CONTROL!$C$22, $C$13, 100%, $E$13)</f>
        <v>12.6465</v>
      </c>
    </row>
    <row r="662" spans="1:11" ht="15">
      <c r="A662" s="13">
        <v>61788</v>
      </c>
      <c r="B662" s="63">
        <f>10.9216 * CHOOSE(CONTROL!$C$22, $C$13, 100%, $E$13)</f>
        <v>10.9216</v>
      </c>
      <c r="C662" s="63">
        <f>10.9216 * CHOOSE(CONTROL!$C$22, $C$13, 100%, $E$13)</f>
        <v>10.9216</v>
      </c>
      <c r="D662" s="63">
        <f>10.9338 * CHOOSE(CONTROL!$C$22, $C$13, 100%, $E$13)</f>
        <v>10.9338</v>
      </c>
      <c r="E662" s="64">
        <f>12.7545 * CHOOSE(CONTROL!$C$22, $C$13, 100%, $E$13)</f>
        <v>12.7545</v>
      </c>
      <c r="F662" s="64">
        <f>12.7545 * CHOOSE(CONTROL!$C$22, $C$13, 100%, $E$13)</f>
        <v>12.7545</v>
      </c>
      <c r="G662" s="64">
        <f>12.7546 * CHOOSE(CONTROL!$C$22, $C$13, 100%, $E$13)</f>
        <v>12.7546</v>
      </c>
      <c r="H662" s="64">
        <f>21.2878* CHOOSE(CONTROL!$C$22, $C$13, 100%, $E$13)</f>
        <v>21.287800000000001</v>
      </c>
      <c r="I662" s="64">
        <f>21.2879 * CHOOSE(CONTROL!$C$22, $C$13, 100%, $E$13)</f>
        <v>21.2879</v>
      </c>
      <c r="J662" s="64">
        <f>12.7545 * CHOOSE(CONTROL!$C$22, $C$13, 100%, $E$13)</f>
        <v>12.7545</v>
      </c>
      <c r="K662" s="64">
        <f>12.7546 * CHOOSE(CONTROL!$C$22, $C$13, 100%, $E$13)</f>
        <v>12.7546</v>
      </c>
    </row>
    <row r="663" spans="1:11" ht="15">
      <c r="A663" s="13">
        <v>61819</v>
      </c>
      <c r="B663" s="63">
        <f>10.9252 * CHOOSE(CONTROL!$C$22, $C$13, 100%, $E$13)</f>
        <v>10.9252</v>
      </c>
      <c r="C663" s="63">
        <f>10.9252 * CHOOSE(CONTROL!$C$22, $C$13, 100%, $E$13)</f>
        <v>10.9252</v>
      </c>
      <c r="D663" s="63">
        <f>10.9374 * CHOOSE(CONTROL!$C$22, $C$13, 100%, $E$13)</f>
        <v>10.9374</v>
      </c>
      <c r="E663" s="64">
        <f>12.8687 * CHOOSE(CONTROL!$C$22, $C$13, 100%, $E$13)</f>
        <v>12.8687</v>
      </c>
      <c r="F663" s="64">
        <f>12.8687 * CHOOSE(CONTROL!$C$22, $C$13, 100%, $E$13)</f>
        <v>12.8687</v>
      </c>
      <c r="G663" s="64">
        <f>12.8688 * CHOOSE(CONTROL!$C$22, $C$13, 100%, $E$13)</f>
        <v>12.8688</v>
      </c>
      <c r="H663" s="64">
        <f>21.3321* CHOOSE(CONTROL!$C$22, $C$13, 100%, $E$13)</f>
        <v>21.332100000000001</v>
      </c>
      <c r="I663" s="64">
        <f>21.3323 * CHOOSE(CONTROL!$C$22, $C$13, 100%, $E$13)</f>
        <v>21.3323</v>
      </c>
      <c r="J663" s="64">
        <f>12.8687 * CHOOSE(CONTROL!$C$22, $C$13, 100%, $E$13)</f>
        <v>12.8687</v>
      </c>
      <c r="K663" s="64">
        <f>12.8688 * CHOOSE(CONTROL!$C$22, $C$13, 100%, $E$13)</f>
        <v>12.8688</v>
      </c>
    </row>
    <row r="664" spans="1:11" ht="15">
      <c r="A664" s="13">
        <v>61849</v>
      </c>
      <c r="B664" s="63">
        <f>10.9252 * CHOOSE(CONTROL!$C$22, $C$13, 100%, $E$13)</f>
        <v>10.9252</v>
      </c>
      <c r="C664" s="63">
        <f>10.9252 * CHOOSE(CONTROL!$C$22, $C$13, 100%, $E$13)</f>
        <v>10.9252</v>
      </c>
      <c r="D664" s="63">
        <f>10.9496 * CHOOSE(CONTROL!$C$22, $C$13, 100%, $E$13)</f>
        <v>10.9496</v>
      </c>
      <c r="E664" s="64">
        <f>12.9131 * CHOOSE(CONTROL!$C$22, $C$13, 100%, $E$13)</f>
        <v>12.9131</v>
      </c>
      <c r="F664" s="64">
        <f>12.9131 * CHOOSE(CONTROL!$C$22, $C$13, 100%, $E$13)</f>
        <v>12.9131</v>
      </c>
      <c r="G664" s="64">
        <f>12.9146 * CHOOSE(CONTROL!$C$22, $C$13, 100%, $E$13)</f>
        <v>12.9146</v>
      </c>
      <c r="H664" s="64">
        <f>21.3765* CHOOSE(CONTROL!$C$22, $C$13, 100%, $E$13)</f>
        <v>21.3765</v>
      </c>
      <c r="I664" s="64">
        <f>21.3781 * CHOOSE(CONTROL!$C$22, $C$13, 100%, $E$13)</f>
        <v>21.3781</v>
      </c>
      <c r="J664" s="64">
        <f>12.9131 * CHOOSE(CONTROL!$C$22, $C$13, 100%, $E$13)</f>
        <v>12.9131</v>
      </c>
      <c r="K664" s="64">
        <f>12.9146 * CHOOSE(CONTROL!$C$22, $C$13, 100%, $E$13)</f>
        <v>12.9146</v>
      </c>
    </row>
    <row r="665" spans="1:11" ht="15">
      <c r="A665" s="13">
        <v>61880</v>
      </c>
      <c r="B665" s="63">
        <f>10.9313 * CHOOSE(CONTROL!$C$22, $C$13, 100%, $E$13)</f>
        <v>10.9313</v>
      </c>
      <c r="C665" s="63">
        <f>10.9313 * CHOOSE(CONTROL!$C$22, $C$13, 100%, $E$13)</f>
        <v>10.9313</v>
      </c>
      <c r="D665" s="63">
        <f>10.9557 * CHOOSE(CONTROL!$C$22, $C$13, 100%, $E$13)</f>
        <v>10.9557</v>
      </c>
      <c r="E665" s="64">
        <f>12.8729 * CHOOSE(CONTROL!$C$22, $C$13, 100%, $E$13)</f>
        <v>12.8729</v>
      </c>
      <c r="F665" s="64">
        <f>12.8729 * CHOOSE(CONTROL!$C$22, $C$13, 100%, $E$13)</f>
        <v>12.8729</v>
      </c>
      <c r="G665" s="64">
        <f>12.8745 * CHOOSE(CONTROL!$C$22, $C$13, 100%, $E$13)</f>
        <v>12.874499999999999</v>
      </c>
      <c r="H665" s="64">
        <f>21.4211* CHOOSE(CONTROL!$C$22, $C$13, 100%, $E$13)</f>
        <v>21.421099999999999</v>
      </c>
      <c r="I665" s="64">
        <f>21.4226 * CHOOSE(CONTROL!$C$22, $C$13, 100%, $E$13)</f>
        <v>21.422599999999999</v>
      </c>
      <c r="J665" s="64">
        <f>12.8729 * CHOOSE(CONTROL!$C$22, $C$13, 100%, $E$13)</f>
        <v>12.8729</v>
      </c>
      <c r="K665" s="64">
        <f>12.8745 * CHOOSE(CONTROL!$C$22, $C$13, 100%, $E$13)</f>
        <v>12.874499999999999</v>
      </c>
    </row>
    <row r="666" spans="1:11" ht="15">
      <c r="A666" s="13">
        <v>61910</v>
      </c>
      <c r="B666" s="63">
        <f>11.105 * CHOOSE(CONTROL!$C$22, $C$13, 100%, $E$13)</f>
        <v>11.105</v>
      </c>
      <c r="C666" s="63">
        <f>11.105 * CHOOSE(CONTROL!$C$22, $C$13, 100%, $E$13)</f>
        <v>11.105</v>
      </c>
      <c r="D666" s="63">
        <f>11.1294 * CHOOSE(CONTROL!$C$22, $C$13, 100%, $E$13)</f>
        <v>11.1294</v>
      </c>
      <c r="E666" s="64">
        <f>13.1203 * CHOOSE(CONTROL!$C$22, $C$13, 100%, $E$13)</f>
        <v>13.1203</v>
      </c>
      <c r="F666" s="64">
        <f>13.1203 * CHOOSE(CONTROL!$C$22, $C$13, 100%, $E$13)</f>
        <v>13.1203</v>
      </c>
      <c r="G666" s="64">
        <f>13.1219 * CHOOSE(CONTROL!$C$22, $C$13, 100%, $E$13)</f>
        <v>13.1219</v>
      </c>
      <c r="H666" s="64">
        <f>21.4657* CHOOSE(CONTROL!$C$22, $C$13, 100%, $E$13)</f>
        <v>21.465699999999998</v>
      </c>
      <c r="I666" s="64">
        <f>21.4673 * CHOOSE(CONTROL!$C$22, $C$13, 100%, $E$13)</f>
        <v>21.467300000000002</v>
      </c>
      <c r="J666" s="64">
        <f>13.1203 * CHOOSE(CONTROL!$C$22, $C$13, 100%, $E$13)</f>
        <v>13.1203</v>
      </c>
      <c r="K666" s="64">
        <f>13.1219 * CHOOSE(CONTROL!$C$22, $C$13, 100%, $E$13)</f>
        <v>13.1219</v>
      </c>
    </row>
    <row r="667" spans="1:11" ht="15">
      <c r="A667" s="13">
        <v>61941</v>
      </c>
      <c r="B667" s="63">
        <f>11.1117 * CHOOSE(CONTROL!$C$22, $C$13, 100%, $E$13)</f>
        <v>11.111700000000001</v>
      </c>
      <c r="C667" s="63">
        <f>11.1117 * CHOOSE(CONTROL!$C$22, $C$13, 100%, $E$13)</f>
        <v>11.111700000000001</v>
      </c>
      <c r="D667" s="63">
        <f>11.1361 * CHOOSE(CONTROL!$C$22, $C$13, 100%, $E$13)</f>
        <v>11.136100000000001</v>
      </c>
      <c r="E667" s="64">
        <f>12.9918 * CHOOSE(CONTROL!$C$22, $C$13, 100%, $E$13)</f>
        <v>12.9918</v>
      </c>
      <c r="F667" s="64">
        <f>12.9918 * CHOOSE(CONTROL!$C$22, $C$13, 100%, $E$13)</f>
        <v>12.9918</v>
      </c>
      <c r="G667" s="64">
        <f>12.9933 * CHOOSE(CONTROL!$C$22, $C$13, 100%, $E$13)</f>
        <v>12.9933</v>
      </c>
      <c r="H667" s="64">
        <f>21.5104* CHOOSE(CONTROL!$C$22, $C$13, 100%, $E$13)</f>
        <v>21.510400000000001</v>
      </c>
      <c r="I667" s="64">
        <f>21.512 * CHOOSE(CONTROL!$C$22, $C$13, 100%, $E$13)</f>
        <v>21.512</v>
      </c>
      <c r="J667" s="64">
        <f>12.9918 * CHOOSE(CONTROL!$C$22, $C$13, 100%, $E$13)</f>
        <v>12.9918</v>
      </c>
      <c r="K667" s="64">
        <f>12.9933 * CHOOSE(CONTROL!$C$22, $C$13, 100%, $E$13)</f>
        <v>12.9933</v>
      </c>
    </row>
    <row r="668" spans="1:11" ht="15">
      <c r="A668" s="13">
        <v>61972</v>
      </c>
      <c r="B668" s="63">
        <f>11.1087 * CHOOSE(CONTROL!$C$22, $C$13, 100%, $E$13)</f>
        <v>11.108700000000001</v>
      </c>
      <c r="C668" s="63">
        <f>11.1087 * CHOOSE(CONTROL!$C$22, $C$13, 100%, $E$13)</f>
        <v>11.108700000000001</v>
      </c>
      <c r="D668" s="63">
        <f>11.1331 * CHOOSE(CONTROL!$C$22, $C$13, 100%, $E$13)</f>
        <v>11.133100000000001</v>
      </c>
      <c r="E668" s="64">
        <f>12.9749 * CHOOSE(CONTROL!$C$22, $C$13, 100%, $E$13)</f>
        <v>12.9749</v>
      </c>
      <c r="F668" s="64">
        <f>12.9749 * CHOOSE(CONTROL!$C$22, $C$13, 100%, $E$13)</f>
        <v>12.9749</v>
      </c>
      <c r="G668" s="64">
        <f>12.9764 * CHOOSE(CONTROL!$C$22, $C$13, 100%, $E$13)</f>
        <v>12.9764</v>
      </c>
      <c r="H668" s="64">
        <f>21.5552* CHOOSE(CONTROL!$C$22, $C$13, 100%, $E$13)</f>
        <v>21.555199999999999</v>
      </c>
      <c r="I668" s="64">
        <f>21.5568 * CHOOSE(CONTROL!$C$22, $C$13, 100%, $E$13)</f>
        <v>21.556799999999999</v>
      </c>
      <c r="J668" s="64">
        <f>12.9749 * CHOOSE(CONTROL!$C$22, $C$13, 100%, $E$13)</f>
        <v>12.9749</v>
      </c>
      <c r="K668" s="64">
        <f>12.9764 * CHOOSE(CONTROL!$C$22, $C$13, 100%, $E$13)</f>
        <v>12.9764</v>
      </c>
    </row>
    <row r="669" spans="1:11" ht="15">
      <c r="A669" s="13">
        <v>62002</v>
      </c>
      <c r="B669" s="63">
        <f>11.1272 * CHOOSE(CONTROL!$C$22, $C$13, 100%, $E$13)</f>
        <v>11.1272</v>
      </c>
      <c r="C669" s="63">
        <f>11.1272 * CHOOSE(CONTROL!$C$22, $C$13, 100%, $E$13)</f>
        <v>11.1272</v>
      </c>
      <c r="D669" s="63">
        <f>11.1395 * CHOOSE(CONTROL!$C$22, $C$13, 100%, $E$13)</f>
        <v>11.1395</v>
      </c>
      <c r="E669" s="64">
        <f>13.0206 * CHOOSE(CONTROL!$C$22, $C$13, 100%, $E$13)</f>
        <v>13.0206</v>
      </c>
      <c r="F669" s="64">
        <f>13.0206 * CHOOSE(CONTROL!$C$22, $C$13, 100%, $E$13)</f>
        <v>13.0206</v>
      </c>
      <c r="G669" s="64">
        <f>13.0208 * CHOOSE(CONTROL!$C$22, $C$13, 100%, $E$13)</f>
        <v>13.020799999999999</v>
      </c>
      <c r="H669" s="64">
        <f>21.6001* CHOOSE(CONTROL!$C$22, $C$13, 100%, $E$13)</f>
        <v>21.600100000000001</v>
      </c>
      <c r="I669" s="64">
        <f>21.6003 * CHOOSE(CONTROL!$C$22, $C$13, 100%, $E$13)</f>
        <v>21.600300000000001</v>
      </c>
      <c r="J669" s="64">
        <f>13.0206 * CHOOSE(CONTROL!$C$22, $C$13, 100%, $E$13)</f>
        <v>13.0206</v>
      </c>
      <c r="K669" s="64">
        <f>13.0208 * CHOOSE(CONTROL!$C$22, $C$13, 100%, $E$13)</f>
        <v>13.020799999999999</v>
      </c>
    </row>
    <row r="670" spans="1:11" ht="15">
      <c r="A670" s="13">
        <v>62033</v>
      </c>
      <c r="B670" s="63">
        <f>11.1303 * CHOOSE(CONTROL!$C$22, $C$13, 100%, $E$13)</f>
        <v>11.1303</v>
      </c>
      <c r="C670" s="63">
        <f>11.1303 * CHOOSE(CONTROL!$C$22, $C$13, 100%, $E$13)</f>
        <v>11.1303</v>
      </c>
      <c r="D670" s="63">
        <f>11.1425 * CHOOSE(CONTROL!$C$22, $C$13, 100%, $E$13)</f>
        <v>11.1425</v>
      </c>
      <c r="E670" s="64">
        <f>13.0524 * CHOOSE(CONTROL!$C$22, $C$13, 100%, $E$13)</f>
        <v>13.0524</v>
      </c>
      <c r="F670" s="64">
        <f>13.0524 * CHOOSE(CONTROL!$C$22, $C$13, 100%, $E$13)</f>
        <v>13.0524</v>
      </c>
      <c r="G670" s="64">
        <f>13.0525 * CHOOSE(CONTROL!$C$22, $C$13, 100%, $E$13)</f>
        <v>13.0525</v>
      </c>
      <c r="H670" s="64">
        <f>21.6451* CHOOSE(CONTROL!$C$22, $C$13, 100%, $E$13)</f>
        <v>21.645099999999999</v>
      </c>
      <c r="I670" s="64">
        <f>21.6453 * CHOOSE(CONTROL!$C$22, $C$13, 100%, $E$13)</f>
        <v>21.645299999999999</v>
      </c>
      <c r="J670" s="64">
        <f>13.0524 * CHOOSE(CONTROL!$C$22, $C$13, 100%, $E$13)</f>
        <v>13.0524</v>
      </c>
      <c r="K670" s="64">
        <f>13.0525 * CHOOSE(CONTROL!$C$22, $C$13, 100%, $E$13)</f>
        <v>13.0525</v>
      </c>
    </row>
    <row r="671" spans="1:11" ht="15">
      <c r="A671" s="13">
        <v>62063</v>
      </c>
      <c r="B671" s="63">
        <f>11.1303 * CHOOSE(CONTROL!$C$22, $C$13, 100%, $E$13)</f>
        <v>11.1303</v>
      </c>
      <c r="C671" s="63">
        <f>11.1303 * CHOOSE(CONTROL!$C$22, $C$13, 100%, $E$13)</f>
        <v>11.1303</v>
      </c>
      <c r="D671" s="63">
        <f>11.1425 * CHOOSE(CONTROL!$C$22, $C$13, 100%, $E$13)</f>
        <v>11.1425</v>
      </c>
      <c r="E671" s="64">
        <f>12.9784 * CHOOSE(CONTROL!$C$22, $C$13, 100%, $E$13)</f>
        <v>12.978400000000001</v>
      </c>
      <c r="F671" s="64">
        <f>12.9784 * CHOOSE(CONTROL!$C$22, $C$13, 100%, $E$13)</f>
        <v>12.978400000000001</v>
      </c>
      <c r="G671" s="64">
        <f>12.9785 * CHOOSE(CONTROL!$C$22, $C$13, 100%, $E$13)</f>
        <v>12.9785</v>
      </c>
      <c r="H671" s="64">
        <f>21.6902* CHOOSE(CONTROL!$C$22, $C$13, 100%, $E$13)</f>
        <v>21.690200000000001</v>
      </c>
      <c r="I671" s="64">
        <f>21.6904 * CHOOSE(CONTROL!$C$22, $C$13, 100%, $E$13)</f>
        <v>21.6904</v>
      </c>
      <c r="J671" s="64">
        <f>12.9784 * CHOOSE(CONTROL!$C$22, $C$13, 100%, $E$13)</f>
        <v>12.978400000000001</v>
      </c>
      <c r="K671" s="64">
        <f>12.9785 * CHOOSE(CONTROL!$C$22, $C$13, 100%, $E$13)</f>
        <v>12.9785</v>
      </c>
    </row>
    <row r="672" spans="1:11" ht="15">
      <c r="A672" s="13">
        <v>62094</v>
      </c>
      <c r="B672" s="63">
        <f>11.173 * CHOOSE(CONTROL!$C$22, $C$13, 100%, $E$13)</f>
        <v>11.173</v>
      </c>
      <c r="C672" s="63">
        <f>11.173 * CHOOSE(CONTROL!$C$22, $C$13, 100%, $E$13)</f>
        <v>11.173</v>
      </c>
      <c r="D672" s="63">
        <f>11.1852 * CHOOSE(CONTROL!$C$22, $C$13, 100%, $E$13)</f>
        <v>11.1852</v>
      </c>
      <c r="E672" s="64">
        <f>13.0807 * CHOOSE(CONTROL!$C$22, $C$13, 100%, $E$13)</f>
        <v>13.0807</v>
      </c>
      <c r="F672" s="64">
        <f>13.0807 * CHOOSE(CONTROL!$C$22, $C$13, 100%, $E$13)</f>
        <v>13.0807</v>
      </c>
      <c r="G672" s="64">
        <f>13.0809 * CHOOSE(CONTROL!$C$22, $C$13, 100%, $E$13)</f>
        <v>13.0809</v>
      </c>
      <c r="H672" s="64">
        <f>21.6452* CHOOSE(CONTROL!$C$22, $C$13, 100%, $E$13)</f>
        <v>21.645199999999999</v>
      </c>
      <c r="I672" s="64">
        <f>21.6454 * CHOOSE(CONTROL!$C$22, $C$13, 100%, $E$13)</f>
        <v>21.645399999999999</v>
      </c>
      <c r="J672" s="64">
        <f>13.0807 * CHOOSE(CONTROL!$C$22, $C$13, 100%, $E$13)</f>
        <v>13.0807</v>
      </c>
      <c r="K672" s="64">
        <f>13.0809 * CHOOSE(CONTROL!$C$22, $C$13, 100%, $E$13)</f>
        <v>13.0809</v>
      </c>
    </row>
    <row r="673" spans="1:11" ht="15">
      <c r="A673" s="13">
        <v>62125</v>
      </c>
      <c r="B673" s="63">
        <f>11.1699 * CHOOSE(CONTROL!$C$22, $C$13, 100%, $E$13)</f>
        <v>11.1699</v>
      </c>
      <c r="C673" s="63">
        <f>11.1699 * CHOOSE(CONTROL!$C$22, $C$13, 100%, $E$13)</f>
        <v>11.1699</v>
      </c>
      <c r="D673" s="63">
        <f>11.1822 * CHOOSE(CONTROL!$C$22, $C$13, 100%, $E$13)</f>
        <v>11.1822</v>
      </c>
      <c r="E673" s="64">
        <f>12.9355 * CHOOSE(CONTROL!$C$22, $C$13, 100%, $E$13)</f>
        <v>12.935499999999999</v>
      </c>
      <c r="F673" s="64">
        <f>12.9355 * CHOOSE(CONTROL!$C$22, $C$13, 100%, $E$13)</f>
        <v>12.935499999999999</v>
      </c>
      <c r="G673" s="64">
        <f>12.9357 * CHOOSE(CONTROL!$C$22, $C$13, 100%, $E$13)</f>
        <v>12.935700000000001</v>
      </c>
      <c r="H673" s="64">
        <f>21.6903* CHOOSE(CONTROL!$C$22, $C$13, 100%, $E$13)</f>
        <v>21.690300000000001</v>
      </c>
      <c r="I673" s="64">
        <f>21.6905 * CHOOSE(CONTROL!$C$22, $C$13, 100%, $E$13)</f>
        <v>21.6905</v>
      </c>
      <c r="J673" s="64">
        <f>12.9355 * CHOOSE(CONTROL!$C$22, $C$13, 100%, $E$13)</f>
        <v>12.935499999999999</v>
      </c>
      <c r="K673" s="64">
        <f>12.9357 * CHOOSE(CONTROL!$C$22, $C$13, 100%, $E$13)</f>
        <v>12.935700000000001</v>
      </c>
    </row>
    <row r="674" spans="1:11" ht="15">
      <c r="A674" s="13">
        <v>62153</v>
      </c>
      <c r="B674" s="63">
        <f>11.1669 * CHOOSE(CONTROL!$C$22, $C$13, 100%, $E$13)</f>
        <v>11.1669</v>
      </c>
      <c r="C674" s="63">
        <f>11.1669 * CHOOSE(CONTROL!$C$22, $C$13, 100%, $E$13)</f>
        <v>11.1669</v>
      </c>
      <c r="D674" s="63">
        <f>11.1791 * CHOOSE(CONTROL!$C$22, $C$13, 100%, $E$13)</f>
        <v>11.1791</v>
      </c>
      <c r="E674" s="64">
        <f>13.0462 * CHOOSE(CONTROL!$C$22, $C$13, 100%, $E$13)</f>
        <v>13.046200000000001</v>
      </c>
      <c r="F674" s="64">
        <f>13.0462 * CHOOSE(CONTROL!$C$22, $C$13, 100%, $E$13)</f>
        <v>13.046200000000001</v>
      </c>
      <c r="G674" s="64">
        <f>13.0464 * CHOOSE(CONTROL!$C$22, $C$13, 100%, $E$13)</f>
        <v>13.0464</v>
      </c>
      <c r="H674" s="64">
        <f>21.7355* CHOOSE(CONTROL!$C$22, $C$13, 100%, $E$13)</f>
        <v>21.735499999999998</v>
      </c>
      <c r="I674" s="64">
        <f>21.7357 * CHOOSE(CONTROL!$C$22, $C$13, 100%, $E$13)</f>
        <v>21.735700000000001</v>
      </c>
      <c r="J674" s="64">
        <f>13.0462 * CHOOSE(CONTROL!$C$22, $C$13, 100%, $E$13)</f>
        <v>13.046200000000001</v>
      </c>
      <c r="K674" s="64">
        <f>13.0464 * CHOOSE(CONTROL!$C$22, $C$13, 100%, $E$13)</f>
        <v>13.0464</v>
      </c>
    </row>
    <row r="675" spans="1:11" ht="15">
      <c r="A675" s="13">
        <v>62184</v>
      </c>
      <c r="B675" s="63">
        <f>11.1707 * CHOOSE(CONTROL!$C$22, $C$13, 100%, $E$13)</f>
        <v>11.1707</v>
      </c>
      <c r="C675" s="63">
        <f>11.1707 * CHOOSE(CONTROL!$C$22, $C$13, 100%, $E$13)</f>
        <v>11.1707</v>
      </c>
      <c r="D675" s="63">
        <f>11.1829 * CHOOSE(CONTROL!$C$22, $C$13, 100%, $E$13)</f>
        <v>11.1829</v>
      </c>
      <c r="E675" s="64">
        <f>13.1631 * CHOOSE(CONTROL!$C$22, $C$13, 100%, $E$13)</f>
        <v>13.1631</v>
      </c>
      <c r="F675" s="64">
        <f>13.1631 * CHOOSE(CONTROL!$C$22, $C$13, 100%, $E$13)</f>
        <v>13.1631</v>
      </c>
      <c r="G675" s="64">
        <f>13.1633 * CHOOSE(CONTROL!$C$22, $C$13, 100%, $E$13)</f>
        <v>13.1633</v>
      </c>
      <c r="H675" s="64">
        <f>21.7808* CHOOSE(CONTROL!$C$22, $C$13, 100%, $E$13)</f>
        <v>21.780799999999999</v>
      </c>
      <c r="I675" s="64">
        <f>21.781 * CHOOSE(CONTROL!$C$22, $C$13, 100%, $E$13)</f>
        <v>21.780999999999999</v>
      </c>
      <c r="J675" s="64">
        <f>13.1631 * CHOOSE(CONTROL!$C$22, $C$13, 100%, $E$13)</f>
        <v>13.1631</v>
      </c>
      <c r="K675" s="64">
        <f>13.1633 * CHOOSE(CONTROL!$C$22, $C$13, 100%, $E$13)</f>
        <v>13.1633</v>
      </c>
    </row>
    <row r="676" spans="1:11" ht="15">
      <c r="A676" s="13">
        <v>62214</v>
      </c>
      <c r="B676" s="63">
        <f>11.1707 * CHOOSE(CONTROL!$C$22, $C$13, 100%, $E$13)</f>
        <v>11.1707</v>
      </c>
      <c r="C676" s="63">
        <f>11.1707 * CHOOSE(CONTROL!$C$22, $C$13, 100%, $E$13)</f>
        <v>11.1707</v>
      </c>
      <c r="D676" s="63">
        <f>11.1951 * CHOOSE(CONTROL!$C$22, $C$13, 100%, $E$13)</f>
        <v>11.1951</v>
      </c>
      <c r="E676" s="64">
        <f>13.2085 * CHOOSE(CONTROL!$C$22, $C$13, 100%, $E$13)</f>
        <v>13.208500000000001</v>
      </c>
      <c r="F676" s="64">
        <f>13.2085 * CHOOSE(CONTROL!$C$22, $C$13, 100%, $E$13)</f>
        <v>13.208500000000001</v>
      </c>
      <c r="G676" s="64">
        <f>13.2101 * CHOOSE(CONTROL!$C$22, $C$13, 100%, $E$13)</f>
        <v>13.210100000000001</v>
      </c>
      <c r="H676" s="64">
        <f>21.8262* CHOOSE(CONTROL!$C$22, $C$13, 100%, $E$13)</f>
        <v>21.8262</v>
      </c>
      <c r="I676" s="64">
        <f>21.8277 * CHOOSE(CONTROL!$C$22, $C$13, 100%, $E$13)</f>
        <v>21.8277</v>
      </c>
      <c r="J676" s="64">
        <f>13.2085 * CHOOSE(CONTROL!$C$22, $C$13, 100%, $E$13)</f>
        <v>13.208500000000001</v>
      </c>
      <c r="K676" s="64">
        <f>13.2101 * CHOOSE(CONTROL!$C$22, $C$13, 100%, $E$13)</f>
        <v>13.210100000000001</v>
      </c>
    </row>
    <row r="677" spans="1:11" ht="15">
      <c r="A677" s="13">
        <v>62245</v>
      </c>
      <c r="B677" s="63">
        <f>11.1768 * CHOOSE(CONTROL!$C$22, $C$13, 100%, $E$13)</f>
        <v>11.1768</v>
      </c>
      <c r="C677" s="63">
        <f>11.1768 * CHOOSE(CONTROL!$C$22, $C$13, 100%, $E$13)</f>
        <v>11.1768</v>
      </c>
      <c r="D677" s="63">
        <f>11.2012 * CHOOSE(CONTROL!$C$22, $C$13, 100%, $E$13)</f>
        <v>11.2012</v>
      </c>
      <c r="E677" s="64">
        <f>13.1673 * CHOOSE(CONTROL!$C$22, $C$13, 100%, $E$13)</f>
        <v>13.167299999999999</v>
      </c>
      <c r="F677" s="64">
        <f>13.1673 * CHOOSE(CONTROL!$C$22, $C$13, 100%, $E$13)</f>
        <v>13.167299999999999</v>
      </c>
      <c r="G677" s="64">
        <f>13.1689 * CHOOSE(CONTROL!$C$22, $C$13, 100%, $E$13)</f>
        <v>13.168900000000001</v>
      </c>
      <c r="H677" s="64">
        <f>21.8716* CHOOSE(CONTROL!$C$22, $C$13, 100%, $E$13)</f>
        <v>21.871600000000001</v>
      </c>
      <c r="I677" s="64">
        <f>21.8732 * CHOOSE(CONTROL!$C$22, $C$13, 100%, $E$13)</f>
        <v>21.873200000000001</v>
      </c>
      <c r="J677" s="64">
        <f>13.1673 * CHOOSE(CONTROL!$C$22, $C$13, 100%, $E$13)</f>
        <v>13.167299999999999</v>
      </c>
      <c r="K677" s="64">
        <f>13.1689 * CHOOSE(CONTROL!$C$22, $C$13, 100%, $E$13)</f>
        <v>13.168900000000001</v>
      </c>
    </row>
    <row r="678" spans="1:11" ht="15">
      <c r="A678" s="13">
        <v>62275</v>
      </c>
      <c r="B678" s="63">
        <f>11.3542 * CHOOSE(CONTROL!$C$22, $C$13, 100%, $E$13)</f>
        <v>11.354200000000001</v>
      </c>
      <c r="C678" s="63">
        <f>11.3542 * CHOOSE(CONTROL!$C$22, $C$13, 100%, $E$13)</f>
        <v>11.354200000000001</v>
      </c>
      <c r="D678" s="63">
        <f>11.3786 * CHOOSE(CONTROL!$C$22, $C$13, 100%, $E$13)</f>
        <v>11.3786</v>
      </c>
      <c r="E678" s="64">
        <f>13.4202 * CHOOSE(CONTROL!$C$22, $C$13, 100%, $E$13)</f>
        <v>13.420199999999999</v>
      </c>
      <c r="F678" s="64">
        <f>13.4202 * CHOOSE(CONTROL!$C$22, $C$13, 100%, $E$13)</f>
        <v>13.420199999999999</v>
      </c>
      <c r="G678" s="64">
        <f>13.4218 * CHOOSE(CONTROL!$C$22, $C$13, 100%, $E$13)</f>
        <v>13.421799999999999</v>
      </c>
      <c r="H678" s="64">
        <f>21.9172* CHOOSE(CONTROL!$C$22, $C$13, 100%, $E$13)</f>
        <v>21.917200000000001</v>
      </c>
      <c r="I678" s="64">
        <f>21.9188 * CHOOSE(CONTROL!$C$22, $C$13, 100%, $E$13)</f>
        <v>21.918800000000001</v>
      </c>
      <c r="J678" s="64">
        <f>13.4202 * CHOOSE(CONTROL!$C$22, $C$13, 100%, $E$13)</f>
        <v>13.420199999999999</v>
      </c>
      <c r="K678" s="64">
        <f>13.4218 * CHOOSE(CONTROL!$C$22, $C$13, 100%, $E$13)</f>
        <v>13.421799999999999</v>
      </c>
    </row>
    <row r="679" spans="1:11" ht="15">
      <c r="A679" s="13">
        <v>62306</v>
      </c>
      <c r="B679" s="63">
        <f>11.3609 * CHOOSE(CONTROL!$C$22, $C$13, 100%, $E$13)</f>
        <v>11.360900000000001</v>
      </c>
      <c r="C679" s="63">
        <f>11.3609 * CHOOSE(CONTROL!$C$22, $C$13, 100%, $E$13)</f>
        <v>11.360900000000001</v>
      </c>
      <c r="D679" s="63">
        <f>11.3853 * CHOOSE(CONTROL!$C$22, $C$13, 100%, $E$13)</f>
        <v>11.385300000000001</v>
      </c>
      <c r="E679" s="64">
        <f>13.2886 * CHOOSE(CONTROL!$C$22, $C$13, 100%, $E$13)</f>
        <v>13.288600000000001</v>
      </c>
      <c r="F679" s="64">
        <f>13.2886 * CHOOSE(CONTROL!$C$22, $C$13, 100%, $E$13)</f>
        <v>13.288600000000001</v>
      </c>
      <c r="G679" s="64">
        <f>13.2902 * CHOOSE(CONTROL!$C$22, $C$13, 100%, $E$13)</f>
        <v>13.2902</v>
      </c>
      <c r="H679" s="64">
        <f>21.9629* CHOOSE(CONTROL!$C$22, $C$13, 100%, $E$13)</f>
        <v>21.962900000000001</v>
      </c>
      <c r="I679" s="64">
        <f>21.9644 * CHOOSE(CONTROL!$C$22, $C$13, 100%, $E$13)</f>
        <v>21.964400000000001</v>
      </c>
      <c r="J679" s="64">
        <f>13.2886 * CHOOSE(CONTROL!$C$22, $C$13, 100%, $E$13)</f>
        <v>13.288600000000001</v>
      </c>
      <c r="K679" s="64">
        <f>13.2902 * CHOOSE(CONTROL!$C$22, $C$13, 100%, $E$13)</f>
        <v>13.2902</v>
      </c>
    </row>
    <row r="680" spans="1:11" ht="15">
      <c r="A680" s="13">
        <v>62337</v>
      </c>
      <c r="B680" s="63">
        <f>11.3579 * CHOOSE(CONTROL!$C$22, $C$13, 100%, $E$13)</f>
        <v>11.357900000000001</v>
      </c>
      <c r="C680" s="63">
        <f>11.3579 * CHOOSE(CONTROL!$C$22, $C$13, 100%, $E$13)</f>
        <v>11.357900000000001</v>
      </c>
      <c r="D680" s="63">
        <f>11.3823 * CHOOSE(CONTROL!$C$22, $C$13, 100%, $E$13)</f>
        <v>11.382300000000001</v>
      </c>
      <c r="E680" s="64">
        <f>13.2713 * CHOOSE(CONTROL!$C$22, $C$13, 100%, $E$13)</f>
        <v>13.2713</v>
      </c>
      <c r="F680" s="64">
        <f>13.2713 * CHOOSE(CONTROL!$C$22, $C$13, 100%, $E$13)</f>
        <v>13.2713</v>
      </c>
      <c r="G680" s="64">
        <f>13.2729 * CHOOSE(CONTROL!$C$22, $C$13, 100%, $E$13)</f>
        <v>13.2729</v>
      </c>
      <c r="H680" s="64">
        <f>22.0086* CHOOSE(CONTROL!$C$22, $C$13, 100%, $E$13)</f>
        <v>22.008600000000001</v>
      </c>
      <c r="I680" s="64">
        <f>22.0102 * CHOOSE(CONTROL!$C$22, $C$13, 100%, $E$13)</f>
        <v>22.010200000000001</v>
      </c>
      <c r="J680" s="64">
        <f>13.2713 * CHOOSE(CONTROL!$C$22, $C$13, 100%, $E$13)</f>
        <v>13.2713</v>
      </c>
      <c r="K680" s="64">
        <f>13.2729 * CHOOSE(CONTROL!$C$22, $C$13, 100%, $E$13)</f>
        <v>13.2729</v>
      </c>
    </row>
    <row r="681" spans="1:11" ht="15">
      <c r="A681" s="13">
        <v>62367</v>
      </c>
      <c r="B681" s="63">
        <f>11.3773 * CHOOSE(CONTROL!$C$22, $C$13, 100%, $E$13)</f>
        <v>11.3773</v>
      </c>
      <c r="C681" s="63">
        <f>11.3773 * CHOOSE(CONTROL!$C$22, $C$13, 100%, $E$13)</f>
        <v>11.3773</v>
      </c>
      <c r="D681" s="63">
        <f>11.3895 * CHOOSE(CONTROL!$C$22, $C$13, 100%, $E$13)</f>
        <v>11.3895</v>
      </c>
      <c r="E681" s="64">
        <f>13.3185 * CHOOSE(CONTROL!$C$22, $C$13, 100%, $E$13)</f>
        <v>13.3185</v>
      </c>
      <c r="F681" s="64">
        <f>13.3185 * CHOOSE(CONTROL!$C$22, $C$13, 100%, $E$13)</f>
        <v>13.3185</v>
      </c>
      <c r="G681" s="64">
        <f>13.3187 * CHOOSE(CONTROL!$C$22, $C$13, 100%, $E$13)</f>
        <v>13.3187</v>
      </c>
      <c r="H681" s="64">
        <f>22.0545* CHOOSE(CONTROL!$C$22, $C$13, 100%, $E$13)</f>
        <v>22.054500000000001</v>
      </c>
      <c r="I681" s="64">
        <f>22.0546 * CHOOSE(CONTROL!$C$22, $C$13, 100%, $E$13)</f>
        <v>22.054600000000001</v>
      </c>
      <c r="J681" s="64">
        <f>13.3185 * CHOOSE(CONTROL!$C$22, $C$13, 100%, $E$13)</f>
        <v>13.3185</v>
      </c>
      <c r="K681" s="64">
        <f>13.3187 * CHOOSE(CONTROL!$C$22, $C$13, 100%, $E$13)</f>
        <v>13.3187</v>
      </c>
    </row>
    <row r="682" spans="1:11" ht="15">
      <c r="A682" s="13">
        <v>62398</v>
      </c>
      <c r="B682" s="63">
        <f>11.3803 * CHOOSE(CONTROL!$C$22, $C$13, 100%, $E$13)</f>
        <v>11.3803</v>
      </c>
      <c r="C682" s="63">
        <f>11.3803 * CHOOSE(CONTROL!$C$22, $C$13, 100%, $E$13)</f>
        <v>11.3803</v>
      </c>
      <c r="D682" s="63">
        <f>11.3925 * CHOOSE(CONTROL!$C$22, $C$13, 100%, $E$13)</f>
        <v>11.3925</v>
      </c>
      <c r="E682" s="64">
        <f>13.3509 * CHOOSE(CONTROL!$C$22, $C$13, 100%, $E$13)</f>
        <v>13.350899999999999</v>
      </c>
      <c r="F682" s="64">
        <f>13.3509 * CHOOSE(CONTROL!$C$22, $C$13, 100%, $E$13)</f>
        <v>13.350899999999999</v>
      </c>
      <c r="G682" s="64">
        <f>13.3511 * CHOOSE(CONTROL!$C$22, $C$13, 100%, $E$13)</f>
        <v>13.351100000000001</v>
      </c>
      <c r="H682" s="64">
        <f>22.1004* CHOOSE(CONTROL!$C$22, $C$13, 100%, $E$13)</f>
        <v>22.1004</v>
      </c>
      <c r="I682" s="64">
        <f>22.1006 * CHOOSE(CONTROL!$C$22, $C$13, 100%, $E$13)</f>
        <v>22.1006</v>
      </c>
      <c r="J682" s="64">
        <f>13.3509 * CHOOSE(CONTROL!$C$22, $C$13, 100%, $E$13)</f>
        <v>13.350899999999999</v>
      </c>
      <c r="K682" s="64">
        <f>13.3511 * CHOOSE(CONTROL!$C$22, $C$13, 100%, $E$13)</f>
        <v>13.351100000000001</v>
      </c>
    </row>
    <row r="683" spans="1:11" ht="15">
      <c r="A683" s="13">
        <v>62428</v>
      </c>
      <c r="B683" s="63">
        <f>11.3803 * CHOOSE(CONTROL!$C$22, $C$13, 100%, $E$13)</f>
        <v>11.3803</v>
      </c>
      <c r="C683" s="63">
        <f>11.3803 * CHOOSE(CONTROL!$C$22, $C$13, 100%, $E$13)</f>
        <v>11.3803</v>
      </c>
      <c r="D683" s="63">
        <f>11.3925 * CHOOSE(CONTROL!$C$22, $C$13, 100%, $E$13)</f>
        <v>11.3925</v>
      </c>
      <c r="E683" s="64">
        <f>13.2752 * CHOOSE(CONTROL!$C$22, $C$13, 100%, $E$13)</f>
        <v>13.2752</v>
      </c>
      <c r="F683" s="64">
        <f>13.2752 * CHOOSE(CONTROL!$C$22, $C$13, 100%, $E$13)</f>
        <v>13.2752</v>
      </c>
      <c r="G683" s="64">
        <f>13.2754 * CHOOSE(CONTROL!$C$22, $C$13, 100%, $E$13)</f>
        <v>13.275399999999999</v>
      </c>
      <c r="H683" s="64">
        <f>22.1465* CHOOSE(CONTROL!$C$22, $C$13, 100%, $E$13)</f>
        <v>22.1465</v>
      </c>
      <c r="I683" s="64">
        <f>22.1466 * CHOOSE(CONTROL!$C$22, $C$13, 100%, $E$13)</f>
        <v>22.146599999999999</v>
      </c>
      <c r="J683" s="64">
        <f>13.2752 * CHOOSE(CONTROL!$C$22, $C$13, 100%, $E$13)</f>
        <v>13.2752</v>
      </c>
      <c r="K683" s="64">
        <f>13.2754 * CHOOSE(CONTROL!$C$22, $C$13, 100%, $E$13)</f>
        <v>13.275399999999999</v>
      </c>
    </row>
    <row r="684" spans="1:11" ht="15">
      <c r="A684" s="13">
        <v>62459</v>
      </c>
      <c r="B684" s="63">
        <f>11.4183 * CHOOSE(CONTROL!$C$22, $C$13, 100%, $E$13)</f>
        <v>11.4183</v>
      </c>
      <c r="C684" s="63">
        <f>11.4183 * CHOOSE(CONTROL!$C$22, $C$13, 100%, $E$13)</f>
        <v>11.4183</v>
      </c>
      <c r="D684" s="63">
        <f>11.4305 * CHOOSE(CONTROL!$C$22, $C$13, 100%, $E$13)</f>
        <v>11.4305</v>
      </c>
      <c r="E684" s="64">
        <f>13.3731 * CHOOSE(CONTROL!$C$22, $C$13, 100%, $E$13)</f>
        <v>13.373100000000001</v>
      </c>
      <c r="F684" s="64">
        <f>13.3731 * CHOOSE(CONTROL!$C$22, $C$13, 100%, $E$13)</f>
        <v>13.373100000000001</v>
      </c>
      <c r="G684" s="64">
        <f>13.3733 * CHOOSE(CONTROL!$C$22, $C$13, 100%, $E$13)</f>
        <v>13.3733</v>
      </c>
      <c r="H684" s="64">
        <f>22.0911* CHOOSE(CONTROL!$C$22, $C$13, 100%, $E$13)</f>
        <v>22.091100000000001</v>
      </c>
      <c r="I684" s="64">
        <f>22.0913 * CHOOSE(CONTROL!$C$22, $C$13, 100%, $E$13)</f>
        <v>22.0913</v>
      </c>
      <c r="J684" s="64">
        <f>13.3731 * CHOOSE(CONTROL!$C$22, $C$13, 100%, $E$13)</f>
        <v>13.373100000000001</v>
      </c>
      <c r="K684" s="64">
        <f>13.3733 * CHOOSE(CONTROL!$C$22, $C$13, 100%, $E$13)</f>
        <v>13.3733</v>
      </c>
    </row>
    <row r="685" spans="1:11" ht="15">
      <c r="A685" s="13">
        <v>62490</v>
      </c>
      <c r="B685" s="63">
        <f>11.4153 * CHOOSE(CONTROL!$C$22, $C$13, 100%, $E$13)</f>
        <v>11.4153</v>
      </c>
      <c r="C685" s="63">
        <f>11.4153 * CHOOSE(CONTROL!$C$22, $C$13, 100%, $E$13)</f>
        <v>11.4153</v>
      </c>
      <c r="D685" s="63">
        <f>11.4275 * CHOOSE(CONTROL!$C$22, $C$13, 100%, $E$13)</f>
        <v>11.4275</v>
      </c>
      <c r="E685" s="64">
        <f>13.2247 * CHOOSE(CONTROL!$C$22, $C$13, 100%, $E$13)</f>
        <v>13.2247</v>
      </c>
      <c r="F685" s="64">
        <f>13.2247 * CHOOSE(CONTROL!$C$22, $C$13, 100%, $E$13)</f>
        <v>13.2247</v>
      </c>
      <c r="G685" s="64">
        <f>13.2249 * CHOOSE(CONTROL!$C$22, $C$13, 100%, $E$13)</f>
        <v>13.2249</v>
      </c>
      <c r="H685" s="64">
        <f>22.1371* CHOOSE(CONTROL!$C$22, $C$13, 100%, $E$13)</f>
        <v>22.1371</v>
      </c>
      <c r="I685" s="64">
        <f>22.1373 * CHOOSE(CONTROL!$C$22, $C$13, 100%, $E$13)</f>
        <v>22.1373</v>
      </c>
      <c r="J685" s="64">
        <f>13.2247 * CHOOSE(CONTROL!$C$22, $C$13, 100%, $E$13)</f>
        <v>13.2247</v>
      </c>
      <c r="K685" s="64">
        <f>13.2249 * CHOOSE(CONTROL!$C$22, $C$13, 100%, $E$13)</f>
        <v>13.2249</v>
      </c>
    </row>
    <row r="686" spans="1:11" ht="15">
      <c r="A686" s="13">
        <v>62518</v>
      </c>
      <c r="B686" s="63">
        <f>11.4122 * CHOOSE(CONTROL!$C$22, $C$13, 100%, $E$13)</f>
        <v>11.4122</v>
      </c>
      <c r="C686" s="63">
        <f>11.4122 * CHOOSE(CONTROL!$C$22, $C$13, 100%, $E$13)</f>
        <v>11.4122</v>
      </c>
      <c r="D686" s="63">
        <f>11.4244 * CHOOSE(CONTROL!$C$22, $C$13, 100%, $E$13)</f>
        <v>11.4244</v>
      </c>
      <c r="E686" s="64">
        <f>13.3379 * CHOOSE(CONTROL!$C$22, $C$13, 100%, $E$13)</f>
        <v>13.337899999999999</v>
      </c>
      <c r="F686" s="64">
        <f>13.3379 * CHOOSE(CONTROL!$C$22, $C$13, 100%, $E$13)</f>
        <v>13.337899999999999</v>
      </c>
      <c r="G686" s="64">
        <f>13.3381 * CHOOSE(CONTROL!$C$22, $C$13, 100%, $E$13)</f>
        <v>13.338100000000001</v>
      </c>
      <c r="H686" s="64">
        <f>22.1833* CHOOSE(CONTROL!$C$22, $C$13, 100%, $E$13)</f>
        <v>22.183299999999999</v>
      </c>
      <c r="I686" s="64">
        <f>22.1834 * CHOOSE(CONTROL!$C$22, $C$13, 100%, $E$13)</f>
        <v>22.183399999999999</v>
      </c>
      <c r="J686" s="64">
        <f>13.3379 * CHOOSE(CONTROL!$C$22, $C$13, 100%, $E$13)</f>
        <v>13.337899999999999</v>
      </c>
      <c r="K686" s="64">
        <f>13.3381 * CHOOSE(CONTROL!$C$22, $C$13, 100%, $E$13)</f>
        <v>13.338100000000001</v>
      </c>
    </row>
    <row r="687" spans="1:11" ht="15">
      <c r="A687" s="13">
        <v>62549</v>
      </c>
      <c r="B687" s="63">
        <f>11.4162 * CHOOSE(CONTROL!$C$22, $C$13, 100%, $E$13)</f>
        <v>11.4162</v>
      </c>
      <c r="C687" s="63">
        <f>11.4162 * CHOOSE(CONTROL!$C$22, $C$13, 100%, $E$13)</f>
        <v>11.4162</v>
      </c>
      <c r="D687" s="63">
        <f>11.4285 * CHOOSE(CONTROL!$C$22, $C$13, 100%, $E$13)</f>
        <v>11.4285</v>
      </c>
      <c r="E687" s="64">
        <f>13.4575 * CHOOSE(CONTROL!$C$22, $C$13, 100%, $E$13)</f>
        <v>13.4575</v>
      </c>
      <c r="F687" s="64">
        <f>13.4575 * CHOOSE(CONTROL!$C$22, $C$13, 100%, $E$13)</f>
        <v>13.4575</v>
      </c>
      <c r="G687" s="64">
        <f>13.4577 * CHOOSE(CONTROL!$C$22, $C$13, 100%, $E$13)</f>
        <v>13.457700000000001</v>
      </c>
      <c r="H687" s="64">
        <f>22.2295* CHOOSE(CONTROL!$C$22, $C$13, 100%, $E$13)</f>
        <v>22.229500000000002</v>
      </c>
      <c r="I687" s="64">
        <f>22.2296 * CHOOSE(CONTROL!$C$22, $C$13, 100%, $E$13)</f>
        <v>22.229600000000001</v>
      </c>
      <c r="J687" s="64">
        <f>13.4575 * CHOOSE(CONTROL!$C$22, $C$13, 100%, $E$13)</f>
        <v>13.4575</v>
      </c>
      <c r="K687" s="64">
        <f>13.4577 * CHOOSE(CONTROL!$C$22, $C$13, 100%, $E$13)</f>
        <v>13.457700000000001</v>
      </c>
    </row>
    <row r="688" spans="1:11" ht="15">
      <c r="A688" s="13">
        <v>62579</v>
      </c>
      <c r="B688" s="63">
        <f>11.4162 * CHOOSE(CONTROL!$C$22, $C$13, 100%, $E$13)</f>
        <v>11.4162</v>
      </c>
      <c r="C688" s="63">
        <f>11.4162 * CHOOSE(CONTROL!$C$22, $C$13, 100%, $E$13)</f>
        <v>11.4162</v>
      </c>
      <c r="D688" s="63">
        <f>11.4407 * CHOOSE(CONTROL!$C$22, $C$13, 100%, $E$13)</f>
        <v>11.4407</v>
      </c>
      <c r="E688" s="64">
        <f>13.504 * CHOOSE(CONTROL!$C$22, $C$13, 100%, $E$13)</f>
        <v>13.504</v>
      </c>
      <c r="F688" s="64">
        <f>13.504 * CHOOSE(CONTROL!$C$22, $C$13, 100%, $E$13)</f>
        <v>13.504</v>
      </c>
      <c r="G688" s="64">
        <f>13.5056 * CHOOSE(CONTROL!$C$22, $C$13, 100%, $E$13)</f>
        <v>13.505599999999999</v>
      </c>
      <c r="H688" s="64">
        <f>22.2758* CHOOSE(CONTROL!$C$22, $C$13, 100%, $E$13)</f>
        <v>22.2758</v>
      </c>
      <c r="I688" s="64">
        <f>22.2773 * CHOOSE(CONTROL!$C$22, $C$13, 100%, $E$13)</f>
        <v>22.2773</v>
      </c>
      <c r="J688" s="64">
        <f>13.504 * CHOOSE(CONTROL!$C$22, $C$13, 100%, $E$13)</f>
        <v>13.504</v>
      </c>
      <c r="K688" s="64">
        <f>13.5056 * CHOOSE(CONTROL!$C$22, $C$13, 100%, $E$13)</f>
        <v>13.505599999999999</v>
      </c>
    </row>
    <row r="689" spans="1:11" ht="15">
      <c r="A689" s="13">
        <v>62610</v>
      </c>
      <c r="B689" s="63">
        <f>11.4223 * CHOOSE(CONTROL!$C$22, $C$13, 100%, $E$13)</f>
        <v>11.4223</v>
      </c>
      <c r="C689" s="63">
        <f>11.4223 * CHOOSE(CONTROL!$C$22, $C$13, 100%, $E$13)</f>
        <v>11.4223</v>
      </c>
      <c r="D689" s="63">
        <f>11.4468 * CHOOSE(CONTROL!$C$22, $C$13, 100%, $E$13)</f>
        <v>11.4468</v>
      </c>
      <c r="E689" s="64">
        <f>13.4618 * CHOOSE(CONTROL!$C$22, $C$13, 100%, $E$13)</f>
        <v>13.4618</v>
      </c>
      <c r="F689" s="64">
        <f>13.4618 * CHOOSE(CONTROL!$C$22, $C$13, 100%, $E$13)</f>
        <v>13.4618</v>
      </c>
      <c r="G689" s="64">
        <f>13.4633 * CHOOSE(CONTROL!$C$22, $C$13, 100%, $E$13)</f>
        <v>13.4633</v>
      </c>
      <c r="H689" s="64">
        <f>22.3222* CHOOSE(CONTROL!$C$22, $C$13, 100%, $E$13)</f>
        <v>22.322199999999999</v>
      </c>
      <c r="I689" s="64">
        <f>22.3238 * CHOOSE(CONTROL!$C$22, $C$13, 100%, $E$13)</f>
        <v>22.323799999999999</v>
      </c>
      <c r="J689" s="64">
        <f>13.4618 * CHOOSE(CONTROL!$C$22, $C$13, 100%, $E$13)</f>
        <v>13.4618</v>
      </c>
      <c r="K689" s="64">
        <f>13.4633 * CHOOSE(CONTROL!$C$22, $C$13, 100%, $E$13)</f>
        <v>13.4633</v>
      </c>
    </row>
    <row r="690" spans="1:11" ht="15">
      <c r="A690" s="13">
        <v>62640</v>
      </c>
      <c r="B690" s="63">
        <f>11.6034 * CHOOSE(CONTROL!$C$22, $C$13, 100%, $E$13)</f>
        <v>11.603400000000001</v>
      </c>
      <c r="C690" s="63">
        <f>11.6034 * CHOOSE(CONTROL!$C$22, $C$13, 100%, $E$13)</f>
        <v>11.603400000000001</v>
      </c>
      <c r="D690" s="63">
        <f>11.6279 * CHOOSE(CONTROL!$C$22, $C$13, 100%, $E$13)</f>
        <v>11.6279</v>
      </c>
      <c r="E690" s="64">
        <f>13.7201 * CHOOSE(CONTROL!$C$22, $C$13, 100%, $E$13)</f>
        <v>13.7201</v>
      </c>
      <c r="F690" s="64">
        <f>13.7201 * CHOOSE(CONTROL!$C$22, $C$13, 100%, $E$13)</f>
        <v>13.7201</v>
      </c>
      <c r="G690" s="64">
        <f>13.7217 * CHOOSE(CONTROL!$C$22, $C$13, 100%, $E$13)</f>
        <v>13.7217</v>
      </c>
      <c r="H690" s="64">
        <f>22.3687* CHOOSE(CONTROL!$C$22, $C$13, 100%, $E$13)</f>
        <v>22.3687</v>
      </c>
      <c r="I690" s="64">
        <f>22.3703 * CHOOSE(CONTROL!$C$22, $C$13, 100%, $E$13)</f>
        <v>22.3703</v>
      </c>
      <c r="J690" s="64">
        <f>13.7201 * CHOOSE(CONTROL!$C$22, $C$13, 100%, $E$13)</f>
        <v>13.7201</v>
      </c>
      <c r="K690" s="64">
        <f>13.7217 * CHOOSE(CONTROL!$C$22, $C$13, 100%, $E$13)</f>
        <v>13.7217</v>
      </c>
    </row>
    <row r="691" spans="1:11" ht="15">
      <c r="A691" s="13">
        <v>62671</v>
      </c>
      <c r="B691" s="63">
        <f>11.6101 * CHOOSE(CONTROL!$C$22, $C$13, 100%, $E$13)</f>
        <v>11.610099999999999</v>
      </c>
      <c r="C691" s="63">
        <f>11.6101 * CHOOSE(CONTROL!$C$22, $C$13, 100%, $E$13)</f>
        <v>11.610099999999999</v>
      </c>
      <c r="D691" s="63">
        <f>11.6345 * CHOOSE(CONTROL!$C$22, $C$13, 100%, $E$13)</f>
        <v>11.634499999999999</v>
      </c>
      <c r="E691" s="64">
        <f>13.5854 * CHOOSE(CONTROL!$C$22, $C$13, 100%, $E$13)</f>
        <v>13.5854</v>
      </c>
      <c r="F691" s="64">
        <f>13.5854 * CHOOSE(CONTROL!$C$22, $C$13, 100%, $E$13)</f>
        <v>13.5854</v>
      </c>
      <c r="G691" s="64">
        <f>13.587 * CHOOSE(CONTROL!$C$22, $C$13, 100%, $E$13)</f>
        <v>13.587</v>
      </c>
      <c r="H691" s="64">
        <f>22.4153* CHOOSE(CONTROL!$C$22, $C$13, 100%, $E$13)</f>
        <v>22.415299999999998</v>
      </c>
      <c r="I691" s="64">
        <f>22.4169 * CHOOSE(CONTROL!$C$22, $C$13, 100%, $E$13)</f>
        <v>22.416899999999998</v>
      </c>
      <c r="J691" s="64">
        <f>13.5854 * CHOOSE(CONTROL!$C$22, $C$13, 100%, $E$13)</f>
        <v>13.5854</v>
      </c>
      <c r="K691" s="64">
        <f>13.587 * CHOOSE(CONTROL!$C$22, $C$13, 100%, $E$13)</f>
        <v>13.587</v>
      </c>
    </row>
    <row r="692" spans="1:11" ht="15">
      <c r="A692" s="13">
        <v>62702</v>
      </c>
      <c r="B692" s="63">
        <f>11.6071 * CHOOSE(CONTROL!$C$22, $C$13, 100%, $E$13)</f>
        <v>11.607100000000001</v>
      </c>
      <c r="C692" s="63">
        <f>11.6071 * CHOOSE(CONTROL!$C$22, $C$13, 100%, $E$13)</f>
        <v>11.607100000000001</v>
      </c>
      <c r="D692" s="63">
        <f>11.6315 * CHOOSE(CONTROL!$C$22, $C$13, 100%, $E$13)</f>
        <v>11.631500000000001</v>
      </c>
      <c r="E692" s="64">
        <f>13.5678 * CHOOSE(CONTROL!$C$22, $C$13, 100%, $E$13)</f>
        <v>13.5678</v>
      </c>
      <c r="F692" s="64">
        <f>13.5678 * CHOOSE(CONTROL!$C$22, $C$13, 100%, $E$13)</f>
        <v>13.5678</v>
      </c>
      <c r="G692" s="64">
        <f>13.5694 * CHOOSE(CONTROL!$C$22, $C$13, 100%, $E$13)</f>
        <v>13.5694</v>
      </c>
      <c r="H692" s="64">
        <f>22.462* CHOOSE(CONTROL!$C$22, $C$13, 100%, $E$13)</f>
        <v>22.462</v>
      </c>
      <c r="I692" s="64">
        <f>22.4636 * CHOOSE(CONTROL!$C$22, $C$13, 100%, $E$13)</f>
        <v>22.4636</v>
      </c>
      <c r="J692" s="64">
        <f>13.5678 * CHOOSE(CONTROL!$C$22, $C$13, 100%, $E$13)</f>
        <v>13.5678</v>
      </c>
      <c r="K692" s="64">
        <f>13.5694 * CHOOSE(CONTROL!$C$22, $C$13, 100%, $E$13)</f>
        <v>13.5694</v>
      </c>
    </row>
    <row r="693" spans="1:11" ht="15">
      <c r="A693" s="13">
        <v>62732</v>
      </c>
      <c r="B693" s="63">
        <f>11.6273 * CHOOSE(CONTROL!$C$22, $C$13, 100%, $E$13)</f>
        <v>11.6273</v>
      </c>
      <c r="C693" s="63">
        <f>11.6273 * CHOOSE(CONTROL!$C$22, $C$13, 100%, $E$13)</f>
        <v>11.6273</v>
      </c>
      <c r="D693" s="63">
        <f>11.6395 * CHOOSE(CONTROL!$C$22, $C$13, 100%, $E$13)</f>
        <v>11.6395</v>
      </c>
      <c r="E693" s="64">
        <f>13.6163 * CHOOSE(CONTROL!$C$22, $C$13, 100%, $E$13)</f>
        <v>13.616300000000001</v>
      </c>
      <c r="F693" s="64">
        <f>13.6163 * CHOOSE(CONTROL!$C$22, $C$13, 100%, $E$13)</f>
        <v>13.616300000000001</v>
      </c>
      <c r="G693" s="64">
        <f>13.6165 * CHOOSE(CONTROL!$C$22, $C$13, 100%, $E$13)</f>
        <v>13.6165</v>
      </c>
      <c r="H693" s="64">
        <f>22.5088* CHOOSE(CONTROL!$C$22, $C$13, 100%, $E$13)</f>
        <v>22.508800000000001</v>
      </c>
      <c r="I693" s="64">
        <f>22.509 * CHOOSE(CONTROL!$C$22, $C$13, 100%, $E$13)</f>
        <v>22.509</v>
      </c>
      <c r="J693" s="64">
        <f>13.6163 * CHOOSE(CONTROL!$C$22, $C$13, 100%, $E$13)</f>
        <v>13.616300000000001</v>
      </c>
      <c r="K693" s="64">
        <f>13.6165 * CHOOSE(CONTROL!$C$22, $C$13, 100%, $E$13)</f>
        <v>13.6165</v>
      </c>
    </row>
    <row r="694" spans="1:11" ht="15">
      <c r="A694" s="13">
        <v>62763</v>
      </c>
      <c r="B694" s="63">
        <f>11.6303 * CHOOSE(CONTROL!$C$22, $C$13, 100%, $E$13)</f>
        <v>11.6303</v>
      </c>
      <c r="C694" s="63">
        <f>11.6303 * CHOOSE(CONTROL!$C$22, $C$13, 100%, $E$13)</f>
        <v>11.6303</v>
      </c>
      <c r="D694" s="63">
        <f>11.6425 * CHOOSE(CONTROL!$C$22, $C$13, 100%, $E$13)</f>
        <v>11.6425</v>
      </c>
      <c r="E694" s="64">
        <f>13.6494 * CHOOSE(CONTROL!$C$22, $C$13, 100%, $E$13)</f>
        <v>13.6494</v>
      </c>
      <c r="F694" s="64">
        <f>13.6494 * CHOOSE(CONTROL!$C$22, $C$13, 100%, $E$13)</f>
        <v>13.6494</v>
      </c>
      <c r="G694" s="64">
        <f>13.6496 * CHOOSE(CONTROL!$C$22, $C$13, 100%, $E$13)</f>
        <v>13.6496</v>
      </c>
      <c r="H694" s="64">
        <f>22.5557* CHOOSE(CONTROL!$C$22, $C$13, 100%, $E$13)</f>
        <v>22.555700000000002</v>
      </c>
      <c r="I694" s="64">
        <f>22.5559 * CHOOSE(CONTROL!$C$22, $C$13, 100%, $E$13)</f>
        <v>22.555900000000001</v>
      </c>
      <c r="J694" s="64">
        <f>13.6494 * CHOOSE(CONTROL!$C$22, $C$13, 100%, $E$13)</f>
        <v>13.6494</v>
      </c>
      <c r="K694" s="64">
        <f>13.6496 * CHOOSE(CONTROL!$C$22, $C$13, 100%, $E$13)</f>
        <v>13.6496</v>
      </c>
    </row>
    <row r="695" spans="1:11" ht="15">
      <c r="A695" s="13">
        <v>62793</v>
      </c>
      <c r="B695" s="63">
        <f>11.6303 * CHOOSE(CONTROL!$C$22, $C$13, 100%, $E$13)</f>
        <v>11.6303</v>
      </c>
      <c r="C695" s="63">
        <f>11.6303 * CHOOSE(CONTROL!$C$22, $C$13, 100%, $E$13)</f>
        <v>11.6303</v>
      </c>
      <c r="D695" s="63">
        <f>11.6425 * CHOOSE(CONTROL!$C$22, $C$13, 100%, $E$13)</f>
        <v>11.6425</v>
      </c>
      <c r="E695" s="64">
        <f>13.572 * CHOOSE(CONTROL!$C$22, $C$13, 100%, $E$13)</f>
        <v>13.571999999999999</v>
      </c>
      <c r="F695" s="64">
        <f>13.572 * CHOOSE(CONTROL!$C$22, $C$13, 100%, $E$13)</f>
        <v>13.571999999999999</v>
      </c>
      <c r="G695" s="64">
        <f>13.5722 * CHOOSE(CONTROL!$C$22, $C$13, 100%, $E$13)</f>
        <v>13.5722</v>
      </c>
      <c r="H695" s="64">
        <f>22.6027* CHOOSE(CONTROL!$C$22, $C$13, 100%, $E$13)</f>
        <v>22.602699999999999</v>
      </c>
      <c r="I695" s="64">
        <f>22.6028 * CHOOSE(CONTROL!$C$22, $C$13, 100%, $E$13)</f>
        <v>22.602799999999998</v>
      </c>
      <c r="J695" s="64">
        <f>13.572 * CHOOSE(CONTROL!$C$22, $C$13, 100%, $E$13)</f>
        <v>13.571999999999999</v>
      </c>
      <c r="K695" s="64">
        <f>13.5722 * CHOOSE(CONTROL!$C$22, $C$13, 100%, $E$13)</f>
        <v>13.5722</v>
      </c>
    </row>
    <row r="696" spans="1:11" ht="15">
      <c r="A696" s="13">
        <v>62824</v>
      </c>
      <c r="B696" s="63">
        <f>11.6636 * CHOOSE(CONTROL!$C$22, $C$13, 100%, $E$13)</f>
        <v>11.663600000000001</v>
      </c>
      <c r="C696" s="63">
        <f>11.6636 * CHOOSE(CONTROL!$C$22, $C$13, 100%, $E$13)</f>
        <v>11.663600000000001</v>
      </c>
      <c r="D696" s="63">
        <f>11.6758 * CHOOSE(CONTROL!$C$22, $C$13, 100%, $E$13)</f>
        <v>11.675800000000001</v>
      </c>
      <c r="E696" s="64">
        <f>13.6655 * CHOOSE(CONTROL!$C$22, $C$13, 100%, $E$13)</f>
        <v>13.6655</v>
      </c>
      <c r="F696" s="64">
        <f>13.6655 * CHOOSE(CONTROL!$C$22, $C$13, 100%, $E$13)</f>
        <v>13.6655</v>
      </c>
      <c r="G696" s="64">
        <f>13.6657 * CHOOSE(CONTROL!$C$22, $C$13, 100%, $E$13)</f>
        <v>13.665699999999999</v>
      </c>
      <c r="H696" s="64">
        <f>22.537* CHOOSE(CONTROL!$C$22, $C$13, 100%, $E$13)</f>
        <v>22.536999999999999</v>
      </c>
      <c r="I696" s="64">
        <f>22.5372 * CHOOSE(CONTROL!$C$22, $C$13, 100%, $E$13)</f>
        <v>22.537199999999999</v>
      </c>
      <c r="J696" s="64">
        <f>13.6655 * CHOOSE(CONTROL!$C$22, $C$13, 100%, $E$13)</f>
        <v>13.6655</v>
      </c>
      <c r="K696" s="64">
        <f>13.6657 * CHOOSE(CONTROL!$C$22, $C$13, 100%, $E$13)</f>
        <v>13.665699999999999</v>
      </c>
    </row>
    <row r="697" spans="1:11" ht="15">
      <c r="A697" s="13">
        <v>62855</v>
      </c>
      <c r="B697" s="63">
        <f>11.6606 * CHOOSE(CONTROL!$C$22, $C$13, 100%, $E$13)</f>
        <v>11.660600000000001</v>
      </c>
      <c r="C697" s="63">
        <f>11.6606 * CHOOSE(CONTROL!$C$22, $C$13, 100%, $E$13)</f>
        <v>11.660600000000001</v>
      </c>
      <c r="D697" s="63">
        <f>11.6728 * CHOOSE(CONTROL!$C$22, $C$13, 100%, $E$13)</f>
        <v>11.672800000000001</v>
      </c>
      <c r="E697" s="64">
        <f>13.5139 * CHOOSE(CONTROL!$C$22, $C$13, 100%, $E$13)</f>
        <v>13.5139</v>
      </c>
      <c r="F697" s="64">
        <f>13.5139 * CHOOSE(CONTROL!$C$22, $C$13, 100%, $E$13)</f>
        <v>13.5139</v>
      </c>
      <c r="G697" s="64">
        <f>13.5141 * CHOOSE(CONTROL!$C$22, $C$13, 100%, $E$13)</f>
        <v>13.514099999999999</v>
      </c>
      <c r="H697" s="64">
        <f>22.584* CHOOSE(CONTROL!$C$22, $C$13, 100%, $E$13)</f>
        <v>22.584</v>
      </c>
      <c r="I697" s="64">
        <f>22.5841 * CHOOSE(CONTROL!$C$22, $C$13, 100%, $E$13)</f>
        <v>22.584099999999999</v>
      </c>
      <c r="J697" s="64">
        <f>13.5139 * CHOOSE(CONTROL!$C$22, $C$13, 100%, $E$13)</f>
        <v>13.5139</v>
      </c>
      <c r="K697" s="64">
        <f>13.5141 * CHOOSE(CONTROL!$C$22, $C$13, 100%, $E$13)</f>
        <v>13.514099999999999</v>
      </c>
    </row>
    <row r="698" spans="1:11" ht="15">
      <c r="A698" s="13">
        <v>62884</v>
      </c>
      <c r="B698" s="63">
        <f>11.6575 * CHOOSE(CONTROL!$C$22, $C$13, 100%, $E$13)</f>
        <v>11.657500000000001</v>
      </c>
      <c r="C698" s="63">
        <f>11.6575 * CHOOSE(CONTROL!$C$22, $C$13, 100%, $E$13)</f>
        <v>11.657500000000001</v>
      </c>
      <c r="D698" s="63">
        <f>11.6698 * CHOOSE(CONTROL!$C$22, $C$13, 100%, $E$13)</f>
        <v>11.6698</v>
      </c>
      <c r="E698" s="64">
        <f>13.6297 * CHOOSE(CONTROL!$C$22, $C$13, 100%, $E$13)</f>
        <v>13.6297</v>
      </c>
      <c r="F698" s="64">
        <f>13.6297 * CHOOSE(CONTROL!$C$22, $C$13, 100%, $E$13)</f>
        <v>13.6297</v>
      </c>
      <c r="G698" s="64">
        <f>13.6298 * CHOOSE(CONTROL!$C$22, $C$13, 100%, $E$13)</f>
        <v>13.629799999999999</v>
      </c>
      <c r="H698" s="64">
        <f>22.631* CHOOSE(CONTROL!$C$22, $C$13, 100%, $E$13)</f>
        <v>22.631</v>
      </c>
      <c r="I698" s="64">
        <f>22.6312 * CHOOSE(CONTROL!$C$22, $C$13, 100%, $E$13)</f>
        <v>22.6312</v>
      </c>
      <c r="J698" s="64">
        <f>13.6297 * CHOOSE(CONTROL!$C$22, $C$13, 100%, $E$13)</f>
        <v>13.6297</v>
      </c>
      <c r="K698" s="64">
        <f>13.6298 * CHOOSE(CONTROL!$C$22, $C$13, 100%, $E$13)</f>
        <v>13.629799999999999</v>
      </c>
    </row>
    <row r="699" spans="1:11" ht="15">
      <c r="A699" s="13">
        <v>62915</v>
      </c>
      <c r="B699" s="63">
        <f>11.6618 * CHOOSE(CONTROL!$C$22, $C$13, 100%, $E$13)</f>
        <v>11.661799999999999</v>
      </c>
      <c r="C699" s="63">
        <f>11.6618 * CHOOSE(CONTROL!$C$22, $C$13, 100%, $E$13)</f>
        <v>11.661799999999999</v>
      </c>
      <c r="D699" s="63">
        <f>11.674 * CHOOSE(CONTROL!$C$22, $C$13, 100%, $E$13)</f>
        <v>11.673999999999999</v>
      </c>
      <c r="E699" s="64">
        <f>13.752 * CHOOSE(CONTROL!$C$22, $C$13, 100%, $E$13)</f>
        <v>13.752000000000001</v>
      </c>
      <c r="F699" s="64">
        <f>13.752 * CHOOSE(CONTROL!$C$22, $C$13, 100%, $E$13)</f>
        <v>13.752000000000001</v>
      </c>
      <c r="G699" s="64">
        <f>13.7522 * CHOOSE(CONTROL!$C$22, $C$13, 100%, $E$13)</f>
        <v>13.7522</v>
      </c>
      <c r="H699" s="64">
        <f>22.6782* CHOOSE(CONTROL!$C$22, $C$13, 100%, $E$13)</f>
        <v>22.6782</v>
      </c>
      <c r="I699" s="64">
        <f>22.6783 * CHOOSE(CONTROL!$C$22, $C$13, 100%, $E$13)</f>
        <v>22.6783</v>
      </c>
      <c r="J699" s="64">
        <f>13.752 * CHOOSE(CONTROL!$C$22, $C$13, 100%, $E$13)</f>
        <v>13.752000000000001</v>
      </c>
      <c r="K699" s="64">
        <f>13.7522 * CHOOSE(CONTROL!$C$22, $C$13, 100%, $E$13)</f>
        <v>13.7522</v>
      </c>
    </row>
    <row r="700" spans="1:11" ht="15">
      <c r="A700" s="13">
        <v>62945</v>
      </c>
      <c r="B700" s="63">
        <f>11.6618 * CHOOSE(CONTROL!$C$22, $C$13, 100%, $E$13)</f>
        <v>11.661799999999999</v>
      </c>
      <c r="C700" s="63">
        <f>11.6618 * CHOOSE(CONTROL!$C$22, $C$13, 100%, $E$13)</f>
        <v>11.661799999999999</v>
      </c>
      <c r="D700" s="63">
        <f>11.6862 * CHOOSE(CONTROL!$C$22, $C$13, 100%, $E$13)</f>
        <v>11.686199999999999</v>
      </c>
      <c r="E700" s="64">
        <f>13.7995 * CHOOSE(CONTROL!$C$22, $C$13, 100%, $E$13)</f>
        <v>13.7995</v>
      </c>
      <c r="F700" s="64">
        <f>13.7995 * CHOOSE(CONTROL!$C$22, $C$13, 100%, $E$13)</f>
        <v>13.7995</v>
      </c>
      <c r="G700" s="64">
        <f>13.801 * CHOOSE(CONTROL!$C$22, $C$13, 100%, $E$13)</f>
        <v>13.801</v>
      </c>
      <c r="H700" s="64">
        <f>22.7254* CHOOSE(CONTROL!$C$22, $C$13, 100%, $E$13)</f>
        <v>22.7254</v>
      </c>
      <c r="I700" s="64">
        <f>22.727 * CHOOSE(CONTROL!$C$22, $C$13, 100%, $E$13)</f>
        <v>22.727</v>
      </c>
      <c r="J700" s="64">
        <f>13.7995 * CHOOSE(CONTROL!$C$22, $C$13, 100%, $E$13)</f>
        <v>13.7995</v>
      </c>
      <c r="K700" s="64">
        <f>13.801 * CHOOSE(CONTROL!$C$22, $C$13, 100%, $E$13)</f>
        <v>13.801</v>
      </c>
    </row>
    <row r="701" spans="1:11" ht="15">
      <c r="A701" s="13">
        <v>62976</v>
      </c>
      <c r="B701" s="63">
        <f>11.6679 * CHOOSE(CONTROL!$C$22, $C$13, 100%, $E$13)</f>
        <v>11.667899999999999</v>
      </c>
      <c r="C701" s="63">
        <f>11.6679 * CHOOSE(CONTROL!$C$22, $C$13, 100%, $E$13)</f>
        <v>11.667899999999999</v>
      </c>
      <c r="D701" s="63">
        <f>11.6923 * CHOOSE(CONTROL!$C$22, $C$13, 100%, $E$13)</f>
        <v>11.692299999999999</v>
      </c>
      <c r="E701" s="64">
        <f>13.7562 * CHOOSE(CONTROL!$C$22, $C$13, 100%, $E$13)</f>
        <v>13.7562</v>
      </c>
      <c r="F701" s="64">
        <f>13.7562 * CHOOSE(CONTROL!$C$22, $C$13, 100%, $E$13)</f>
        <v>13.7562</v>
      </c>
      <c r="G701" s="64">
        <f>13.7578 * CHOOSE(CONTROL!$C$22, $C$13, 100%, $E$13)</f>
        <v>13.7578</v>
      </c>
      <c r="H701" s="64">
        <f>22.7727* CHOOSE(CONTROL!$C$22, $C$13, 100%, $E$13)</f>
        <v>22.7727</v>
      </c>
      <c r="I701" s="64">
        <f>22.7743 * CHOOSE(CONTROL!$C$22, $C$13, 100%, $E$13)</f>
        <v>22.7743</v>
      </c>
      <c r="J701" s="64">
        <f>13.7562 * CHOOSE(CONTROL!$C$22, $C$13, 100%, $E$13)</f>
        <v>13.7562</v>
      </c>
      <c r="K701" s="64">
        <f>13.7578 * CHOOSE(CONTROL!$C$22, $C$13, 100%, $E$13)</f>
        <v>13.7578</v>
      </c>
    </row>
    <row r="702" spans="1:11" ht="15">
      <c r="A702" s="13">
        <v>63006</v>
      </c>
      <c r="B702" s="63">
        <f>11.8526 * CHOOSE(CONTROL!$C$22, $C$13, 100%, $E$13)</f>
        <v>11.852600000000001</v>
      </c>
      <c r="C702" s="63">
        <f>11.8526 * CHOOSE(CONTROL!$C$22, $C$13, 100%, $E$13)</f>
        <v>11.852600000000001</v>
      </c>
      <c r="D702" s="63">
        <f>11.8771 * CHOOSE(CONTROL!$C$22, $C$13, 100%, $E$13)</f>
        <v>11.8771</v>
      </c>
      <c r="E702" s="64">
        <f>14.02 * CHOOSE(CONTROL!$C$22, $C$13, 100%, $E$13)</f>
        <v>14.02</v>
      </c>
      <c r="F702" s="64">
        <f>14.02 * CHOOSE(CONTROL!$C$22, $C$13, 100%, $E$13)</f>
        <v>14.02</v>
      </c>
      <c r="G702" s="64">
        <f>14.0216 * CHOOSE(CONTROL!$C$22, $C$13, 100%, $E$13)</f>
        <v>14.021599999999999</v>
      </c>
      <c r="H702" s="64">
        <f>22.8202* CHOOSE(CONTROL!$C$22, $C$13, 100%, $E$13)</f>
        <v>22.8202</v>
      </c>
      <c r="I702" s="64">
        <f>22.8217 * CHOOSE(CONTROL!$C$22, $C$13, 100%, $E$13)</f>
        <v>22.8217</v>
      </c>
      <c r="J702" s="64">
        <f>14.02 * CHOOSE(CONTROL!$C$22, $C$13, 100%, $E$13)</f>
        <v>14.02</v>
      </c>
      <c r="K702" s="64">
        <f>14.0216 * CHOOSE(CONTROL!$C$22, $C$13, 100%, $E$13)</f>
        <v>14.021599999999999</v>
      </c>
    </row>
    <row r="703" spans="1:11" ht="15">
      <c r="A703" s="13">
        <v>63037</v>
      </c>
      <c r="B703" s="63">
        <f>11.8593 * CHOOSE(CONTROL!$C$22, $C$13, 100%, $E$13)</f>
        <v>11.859299999999999</v>
      </c>
      <c r="C703" s="63">
        <f>11.8593 * CHOOSE(CONTROL!$C$22, $C$13, 100%, $E$13)</f>
        <v>11.859299999999999</v>
      </c>
      <c r="D703" s="63">
        <f>11.8838 * CHOOSE(CONTROL!$C$22, $C$13, 100%, $E$13)</f>
        <v>11.883800000000001</v>
      </c>
      <c r="E703" s="64">
        <f>13.8823 * CHOOSE(CONTROL!$C$22, $C$13, 100%, $E$13)</f>
        <v>13.882300000000001</v>
      </c>
      <c r="F703" s="64">
        <f>13.8823 * CHOOSE(CONTROL!$C$22, $C$13, 100%, $E$13)</f>
        <v>13.882300000000001</v>
      </c>
      <c r="G703" s="64">
        <f>13.8838 * CHOOSE(CONTROL!$C$22, $C$13, 100%, $E$13)</f>
        <v>13.883800000000001</v>
      </c>
      <c r="H703" s="64">
        <f>22.8677* CHOOSE(CONTROL!$C$22, $C$13, 100%, $E$13)</f>
        <v>22.867699999999999</v>
      </c>
      <c r="I703" s="64">
        <f>22.8693 * CHOOSE(CONTROL!$C$22, $C$13, 100%, $E$13)</f>
        <v>22.869299999999999</v>
      </c>
      <c r="J703" s="64">
        <f>13.8823 * CHOOSE(CONTROL!$C$22, $C$13, 100%, $E$13)</f>
        <v>13.882300000000001</v>
      </c>
      <c r="K703" s="64">
        <f>13.8838 * CHOOSE(CONTROL!$C$22, $C$13, 100%, $E$13)</f>
        <v>13.883800000000001</v>
      </c>
    </row>
    <row r="704" spans="1:11" ht="15">
      <c r="A704" s="13">
        <v>63068</v>
      </c>
      <c r="B704" s="63">
        <f>11.8563 * CHOOSE(CONTROL!$C$22, $C$13, 100%, $E$13)</f>
        <v>11.856299999999999</v>
      </c>
      <c r="C704" s="63">
        <f>11.8563 * CHOOSE(CONTROL!$C$22, $C$13, 100%, $E$13)</f>
        <v>11.856299999999999</v>
      </c>
      <c r="D704" s="63">
        <f>11.8807 * CHOOSE(CONTROL!$C$22, $C$13, 100%, $E$13)</f>
        <v>11.880699999999999</v>
      </c>
      <c r="E704" s="64">
        <f>13.8643 * CHOOSE(CONTROL!$C$22, $C$13, 100%, $E$13)</f>
        <v>13.8643</v>
      </c>
      <c r="F704" s="64">
        <f>13.8643 * CHOOSE(CONTROL!$C$22, $C$13, 100%, $E$13)</f>
        <v>13.8643</v>
      </c>
      <c r="G704" s="64">
        <f>13.8659 * CHOOSE(CONTROL!$C$22, $C$13, 100%, $E$13)</f>
        <v>13.8659</v>
      </c>
      <c r="H704" s="64">
        <f>22.9154* CHOOSE(CONTROL!$C$22, $C$13, 100%, $E$13)</f>
        <v>22.915400000000002</v>
      </c>
      <c r="I704" s="64">
        <f>22.9169 * CHOOSE(CONTROL!$C$22, $C$13, 100%, $E$13)</f>
        <v>22.916899999999998</v>
      </c>
      <c r="J704" s="64">
        <f>13.8643 * CHOOSE(CONTROL!$C$22, $C$13, 100%, $E$13)</f>
        <v>13.8643</v>
      </c>
      <c r="K704" s="64">
        <f>13.8659 * CHOOSE(CONTROL!$C$22, $C$13, 100%, $E$13)</f>
        <v>13.8659</v>
      </c>
    </row>
    <row r="705" spans="1:11" ht="15">
      <c r="A705" s="13">
        <v>63098</v>
      </c>
      <c r="B705" s="63">
        <f>11.8773 * CHOOSE(CONTROL!$C$22, $C$13, 100%, $E$13)</f>
        <v>11.8773</v>
      </c>
      <c r="C705" s="63">
        <f>11.8773 * CHOOSE(CONTROL!$C$22, $C$13, 100%, $E$13)</f>
        <v>11.8773</v>
      </c>
      <c r="D705" s="63">
        <f>11.8895 * CHOOSE(CONTROL!$C$22, $C$13, 100%, $E$13)</f>
        <v>11.8895</v>
      </c>
      <c r="E705" s="64">
        <f>13.9142 * CHOOSE(CONTROL!$C$22, $C$13, 100%, $E$13)</f>
        <v>13.914199999999999</v>
      </c>
      <c r="F705" s="64">
        <f>13.9142 * CHOOSE(CONTROL!$C$22, $C$13, 100%, $E$13)</f>
        <v>13.914199999999999</v>
      </c>
      <c r="G705" s="64">
        <f>13.9144 * CHOOSE(CONTROL!$C$22, $C$13, 100%, $E$13)</f>
        <v>13.914400000000001</v>
      </c>
      <c r="H705" s="64">
        <f>22.9631* CHOOSE(CONTROL!$C$22, $C$13, 100%, $E$13)</f>
        <v>22.963100000000001</v>
      </c>
      <c r="I705" s="64">
        <f>22.9633 * CHOOSE(CONTROL!$C$22, $C$13, 100%, $E$13)</f>
        <v>22.9633</v>
      </c>
      <c r="J705" s="64">
        <f>13.9142 * CHOOSE(CONTROL!$C$22, $C$13, 100%, $E$13)</f>
        <v>13.914199999999999</v>
      </c>
      <c r="K705" s="64">
        <f>13.9144 * CHOOSE(CONTROL!$C$22, $C$13, 100%, $E$13)</f>
        <v>13.914400000000001</v>
      </c>
    </row>
    <row r="706" spans="1:11" ht="15">
      <c r="A706" s="13">
        <v>63129</v>
      </c>
      <c r="B706" s="63">
        <f>11.8803 * CHOOSE(CONTROL!$C$22, $C$13, 100%, $E$13)</f>
        <v>11.8803</v>
      </c>
      <c r="C706" s="63">
        <f>11.8803 * CHOOSE(CONTROL!$C$22, $C$13, 100%, $E$13)</f>
        <v>11.8803</v>
      </c>
      <c r="D706" s="63">
        <f>11.8926 * CHOOSE(CONTROL!$C$22, $C$13, 100%, $E$13)</f>
        <v>11.8926</v>
      </c>
      <c r="E706" s="64">
        <f>13.9479 * CHOOSE(CONTROL!$C$22, $C$13, 100%, $E$13)</f>
        <v>13.947900000000001</v>
      </c>
      <c r="F706" s="64">
        <f>13.9479 * CHOOSE(CONTROL!$C$22, $C$13, 100%, $E$13)</f>
        <v>13.947900000000001</v>
      </c>
      <c r="G706" s="64">
        <f>13.9481 * CHOOSE(CONTROL!$C$22, $C$13, 100%, $E$13)</f>
        <v>13.9481</v>
      </c>
      <c r="H706" s="64">
        <f>23.0109* CHOOSE(CONTROL!$C$22, $C$13, 100%, $E$13)</f>
        <v>23.010899999999999</v>
      </c>
      <c r="I706" s="64">
        <f>23.0111 * CHOOSE(CONTROL!$C$22, $C$13, 100%, $E$13)</f>
        <v>23.011099999999999</v>
      </c>
      <c r="J706" s="64">
        <f>13.9479 * CHOOSE(CONTROL!$C$22, $C$13, 100%, $E$13)</f>
        <v>13.947900000000001</v>
      </c>
      <c r="K706" s="64">
        <f>13.9481 * CHOOSE(CONTROL!$C$22, $C$13, 100%, $E$13)</f>
        <v>13.9481</v>
      </c>
    </row>
    <row r="707" spans="1:11" ht="15">
      <c r="A707" s="13">
        <v>63159</v>
      </c>
      <c r="B707" s="63">
        <f>11.8803 * CHOOSE(CONTROL!$C$22, $C$13, 100%, $E$13)</f>
        <v>11.8803</v>
      </c>
      <c r="C707" s="63">
        <f>11.8803 * CHOOSE(CONTROL!$C$22, $C$13, 100%, $E$13)</f>
        <v>11.8803</v>
      </c>
      <c r="D707" s="63">
        <f>11.8926 * CHOOSE(CONTROL!$C$22, $C$13, 100%, $E$13)</f>
        <v>11.8926</v>
      </c>
      <c r="E707" s="64">
        <f>13.8688 * CHOOSE(CONTROL!$C$22, $C$13, 100%, $E$13)</f>
        <v>13.8688</v>
      </c>
      <c r="F707" s="64">
        <f>13.8688 * CHOOSE(CONTROL!$C$22, $C$13, 100%, $E$13)</f>
        <v>13.8688</v>
      </c>
      <c r="G707" s="64">
        <f>13.869 * CHOOSE(CONTROL!$C$22, $C$13, 100%, $E$13)</f>
        <v>13.869</v>
      </c>
      <c r="H707" s="64">
        <f>23.0589* CHOOSE(CONTROL!$C$22, $C$13, 100%, $E$13)</f>
        <v>23.058900000000001</v>
      </c>
      <c r="I707" s="64">
        <f>23.0591 * CHOOSE(CONTROL!$C$22, $C$13, 100%, $E$13)</f>
        <v>23.059100000000001</v>
      </c>
      <c r="J707" s="64">
        <f>13.8688 * CHOOSE(CONTROL!$C$22, $C$13, 100%, $E$13)</f>
        <v>13.8688</v>
      </c>
      <c r="K707" s="64">
        <f>13.869 * CHOOSE(CONTROL!$C$22, $C$13, 100%, $E$13)</f>
        <v>13.869</v>
      </c>
    </row>
    <row r="708" spans="1:11" ht="15">
      <c r="A708" s="13">
        <v>63190</v>
      </c>
      <c r="B708" s="63">
        <f>11.9089 * CHOOSE(CONTROL!$C$22, $C$13, 100%, $E$13)</f>
        <v>11.908899999999999</v>
      </c>
      <c r="C708" s="63">
        <f>11.9089 * CHOOSE(CONTROL!$C$22, $C$13, 100%, $E$13)</f>
        <v>11.908899999999999</v>
      </c>
      <c r="D708" s="63">
        <f>11.9212 * CHOOSE(CONTROL!$C$22, $C$13, 100%, $E$13)</f>
        <v>11.921200000000001</v>
      </c>
      <c r="E708" s="64">
        <f>13.958 * CHOOSE(CONTROL!$C$22, $C$13, 100%, $E$13)</f>
        <v>13.958</v>
      </c>
      <c r="F708" s="64">
        <f>13.958 * CHOOSE(CONTROL!$C$22, $C$13, 100%, $E$13)</f>
        <v>13.958</v>
      </c>
      <c r="G708" s="64">
        <f>13.9581 * CHOOSE(CONTROL!$C$22, $C$13, 100%, $E$13)</f>
        <v>13.9581</v>
      </c>
      <c r="H708" s="64">
        <f>22.9829* CHOOSE(CONTROL!$C$22, $C$13, 100%, $E$13)</f>
        <v>22.982900000000001</v>
      </c>
      <c r="I708" s="64">
        <f>22.9831 * CHOOSE(CONTROL!$C$22, $C$13, 100%, $E$13)</f>
        <v>22.9831</v>
      </c>
      <c r="J708" s="64">
        <f>13.958 * CHOOSE(CONTROL!$C$22, $C$13, 100%, $E$13)</f>
        <v>13.958</v>
      </c>
      <c r="K708" s="64">
        <f>13.9581 * CHOOSE(CONTROL!$C$22, $C$13, 100%, $E$13)</f>
        <v>13.9581</v>
      </c>
    </row>
    <row r="709" spans="1:11" ht="15">
      <c r="A709" s="13">
        <v>63221</v>
      </c>
      <c r="B709" s="63">
        <f>11.9059 * CHOOSE(CONTROL!$C$22, $C$13, 100%, $E$13)</f>
        <v>11.905900000000001</v>
      </c>
      <c r="C709" s="63">
        <f>11.9059 * CHOOSE(CONTROL!$C$22, $C$13, 100%, $E$13)</f>
        <v>11.905900000000001</v>
      </c>
      <c r="D709" s="63">
        <f>11.9181 * CHOOSE(CONTROL!$C$22, $C$13, 100%, $E$13)</f>
        <v>11.918100000000001</v>
      </c>
      <c r="E709" s="64">
        <f>13.8031 * CHOOSE(CONTROL!$C$22, $C$13, 100%, $E$13)</f>
        <v>13.803100000000001</v>
      </c>
      <c r="F709" s="64">
        <f>13.8031 * CHOOSE(CONTROL!$C$22, $C$13, 100%, $E$13)</f>
        <v>13.803100000000001</v>
      </c>
      <c r="G709" s="64">
        <f>13.8033 * CHOOSE(CONTROL!$C$22, $C$13, 100%, $E$13)</f>
        <v>13.8033</v>
      </c>
      <c r="H709" s="64">
        <f>23.0308* CHOOSE(CONTROL!$C$22, $C$13, 100%, $E$13)</f>
        <v>23.030799999999999</v>
      </c>
      <c r="I709" s="64">
        <f>23.031 * CHOOSE(CONTROL!$C$22, $C$13, 100%, $E$13)</f>
        <v>23.030999999999999</v>
      </c>
      <c r="J709" s="64">
        <f>13.8031 * CHOOSE(CONTROL!$C$22, $C$13, 100%, $E$13)</f>
        <v>13.803100000000001</v>
      </c>
      <c r="K709" s="64">
        <f>13.8033 * CHOOSE(CONTROL!$C$22, $C$13, 100%, $E$13)</f>
        <v>13.8033</v>
      </c>
    </row>
    <row r="710" spans="1:11" ht="15">
      <c r="A710" s="13">
        <v>63249</v>
      </c>
      <c r="B710" s="63">
        <f>11.9029 * CHOOSE(CONTROL!$C$22, $C$13, 100%, $E$13)</f>
        <v>11.902900000000001</v>
      </c>
      <c r="C710" s="63">
        <f>11.9029 * CHOOSE(CONTROL!$C$22, $C$13, 100%, $E$13)</f>
        <v>11.902900000000001</v>
      </c>
      <c r="D710" s="63">
        <f>11.9151 * CHOOSE(CONTROL!$C$22, $C$13, 100%, $E$13)</f>
        <v>11.915100000000001</v>
      </c>
      <c r="E710" s="64">
        <f>13.9214 * CHOOSE(CONTROL!$C$22, $C$13, 100%, $E$13)</f>
        <v>13.9214</v>
      </c>
      <c r="F710" s="64">
        <f>13.9214 * CHOOSE(CONTROL!$C$22, $C$13, 100%, $E$13)</f>
        <v>13.9214</v>
      </c>
      <c r="G710" s="64">
        <f>13.9216 * CHOOSE(CONTROL!$C$22, $C$13, 100%, $E$13)</f>
        <v>13.9216</v>
      </c>
      <c r="H710" s="64">
        <f>23.0788* CHOOSE(CONTROL!$C$22, $C$13, 100%, $E$13)</f>
        <v>23.078800000000001</v>
      </c>
      <c r="I710" s="64">
        <f>23.0789 * CHOOSE(CONTROL!$C$22, $C$13, 100%, $E$13)</f>
        <v>23.078900000000001</v>
      </c>
      <c r="J710" s="64">
        <f>13.9214 * CHOOSE(CONTROL!$C$22, $C$13, 100%, $E$13)</f>
        <v>13.9214</v>
      </c>
      <c r="K710" s="64">
        <f>13.9216 * CHOOSE(CONTROL!$C$22, $C$13, 100%, $E$13)</f>
        <v>13.9216</v>
      </c>
    </row>
    <row r="711" spans="1:11" ht="15">
      <c r="A711" s="13">
        <v>63280</v>
      </c>
      <c r="B711" s="63">
        <f>11.9073 * CHOOSE(CONTROL!$C$22, $C$13, 100%, $E$13)</f>
        <v>11.907299999999999</v>
      </c>
      <c r="C711" s="63">
        <f>11.9073 * CHOOSE(CONTROL!$C$22, $C$13, 100%, $E$13)</f>
        <v>11.907299999999999</v>
      </c>
      <c r="D711" s="63">
        <f>11.9195 * CHOOSE(CONTROL!$C$22, $C$13, 100%, $E$13)</f>
        <v>11.919499999999999</v>
      </c>
      <c r="E711" s="64">
        <f>14.0464 * CHOOSE(CONTROL!$C$22, $C$13, 100%, $E$13)</f>
        <v>14.0464</v>
      </c>
      <c r="F711" s="64">
        <f>14.0464 * CHOOSE(CONTROL!$C$22, $C$13, 100%, $E$13)</f>
        <v>14.0464</v>
      </c>
      <c r="G711" s="64">
        <f>14.0466 * CHOOSE(CONTROL!$C$22, $C$13, 100%, $E$13)</f>
        <v>14.0466</v>
      </c>
      <c r="H711" s="64">
        <f>23.1268* CHOOSE(CONTROL!$C$22, $C$13, 100%, $E$13)</f>
        <v>23.126799999999999</v>
      </c>
      <c r="I711" s="64">
        <f>23.127 * CHOOSE(CONTROL!$C$22, $C$13, 100%, $E$13)</f>
        <v>23.126999999999999</v>
      </c>
      <c r="J711" s="64">
        <f>14.0464 * CHOOSE(CONTROL!$C$22, $C$13, 100%, $E$13)</f>
        <v>14.0464</v>
      </c>
      <c r="K711" s="64">
        <f>14.0466 * CHOOSE(CONTROL!$C$22, $C$13, 100%, $E$13)</f>
        <v>14.0466</v>
      </c>
    </row>
    <row r="712" spans="1:11" ht="15">
      <c r="A712" s="13">
        <v>63310</v>
      </c>
      <c r="B712" s="63">
        <f>11.9073 * CHOOSE(CONTROL!$C$22, $C$13, 100%, $E$13)</f>
        <v>11.907299999999999</v>
      </c>
      <c r="C712" s="63">
        <f>11.9073 * CHOOSE(CONTROL!$C$22, $C$13, 100%, $E$13)</f>
        <v>11.907299999999999</v>
      </c>
      <c r="D712" s="63">
        <f>11.9317 * CHOOSE(CONTROL!$C$22, $C$13, 100%, $E$13)</f>
        <v>11.931699999999999</v>
      </c>
      <c r="E712" s="64">
        <f>14.0949 * CHOOSE(CONTROL!$C$22, $C$13, 100%, $E$13)</f>
        <v>14.094900000000001</v>
      </c>
      <c r="F712" s="64">
        <f>14.0949 * CHOOSE(CONTROL!$C$22, $C$13, 100%, $E$13)</f>
        <v>14.094900000000001</v>
      </c>
      <c r="G712" s="64">
        <f>14.0965 * CHOOSE(CONTROL!$C$22, $C$13, 100%, $E$13)</f>
        <v>14.096500000000001</v>
      </c>
      <c r="H712" s="64">
        <f>23.175* CHOOSE(CONTROL!$C$22, $C$13, 100%, $E$13)</f>
        <v>23.175000000000001</v>
      </c>
      <c r="I712" s="64">
        <f>23.1766 * CHOOSE(CONTROL!$C$22, $C$13, 100%, $E$13)</f>
        <v>23.176600000000001</v>
      </c>
      <c r="J712" s="64">
        <f>14.0949 * CHOOSE(CONTROL!$C$22, $C$13, 100%, $E$13)</f>
        <v>14.094900000000001</v>
      </c>
      <c r="K712" s="64">
        <f>14.0965 * CHOOSE(CONTROL!$C$22, $C$13, 100%, $E$13)</f>
        <v>14.096500000000001</v>
      </c>
    </row>
    <row r="713" spans="1:11" ht="15">
      <c r="A713" s="13">
        <v>63341</v>
      </c>
      <c r="B713" s="63">
        <f>11.9134 * CHOOSE(CONTROL!$C$22, $C$13, 100%, $E$13)</f>
        <v>11.913399999999999</v>
      </c>
      <c r="C713" s="63">
        <f>11.9134 * CHOOSE(CONTROL!$C$22, $C$13, 100%, $E$13)</f>
        <v>11.913399999999999</v>
      </c>
      <c r="D713" s="63">
        <f>11.9378 * CHOOSE(CONTROL!$C$22, $C$13, 100%, $E$13)</f>
        <v>11.937799999999999</v>
      </c>
      <c r="E713" s="64">
        <f>14.0507 * CHOOSE(CONTROL!$C$22, $C$13, 100%, $E$13)</f>
        <v>14.050700000000001</v>
      </c>
      <c r="F713" s="64">
        <f>14.0507 * CHOOSE(CONTROL!$C$22, $C$13, 100%, $E$13)</f>
        <v>14.050700000000001</v>
      </c>
      <c r="G713" s="64">
        <f>14.0522 * CHOOSE(CONTROL!$C$22, $C$13, 100%, $E$13)</f>
        <v>14.052199999999999</v>
      </c>
      <c r="H713" s="64">
        <f>23.2233* CHOOSE(CONTROL!$C$22, $C$13, 100%, $E$13)</f>
        <v>23.223299999999998</v>
      </c>
      <c r="I713" s="64">
        <f>23.2249 * CHOOSE(CONTROL!$C$22, $C$13, 100%, $E$13)</f>
        <v>23.224900000000002</v>
      </c>
      <c r="J713" s="64">
        <f>14.0507 * CHOOSE(CONTROL!$C$22, $C$13, 100%, $E$13)</f>
        <v>14.050700000000001</v>
      </c>
      <c r="K713" s="64">
        <f>14.0522 * CHOOSE(CONTROL!$C$22, $C$13, 100%, $E$13)</f>
        <v>14.052199999999999</v>
      </c>
    </row>
    <row r="714" spans="1:11" ht="15">
      <c r="A714" s="13">
        <v>63371</v>
      </c>
      <c r="B714" s="63">
        <f>12.1019 * CHOOSE(CONTROL!$C$22, $C$13, 100%, $E$13)</f>
        <v>12.101900000000001</v>
      </c>
      <c r="C714" s="63">
        <f>12.1019 * CHOOSE(CONTROL!$C$22, $C$13, 100%, $E$13)</f>
        <v>12.101900000000001</v>
      </c>
      <c r="D714" s="63">
        <f>12.1263 * CHOOSE(CONTROL!$C$22, $C$13, 100%, $E$13)</f>
        <v>12.126300000000001</v>
      </c>
      <c r="E714" s="64">
        <f>14.3199 * CHOOSE(CONTROL!$C$22, $C$13, 100%, $E$13)</f>
        <v>14.319900000000001</v>
      </c>
      <c r="F714" s="64">
        <f>14.3199 * CHOOSE(CONTROL!$C$22, $C$13, 100%, $E$13)</f>
        <v>14.319900000000001</v>
      </c>
      <c r="G714" s="64">
        <f>14.3214 * CHOOSE(CONTROL!$C$22, $C$13, 100%, $E$13)</f>
        <v>14.321400000000001</v>
      </c>
      <c r="H714" s="64">
        <f>23.2717* CHOOSE(CONTROL!$C$22, $C$13, 100%, $E$13)</f>
        <v>23.271699999999999</v>
      </c>
      <c r="I714" s="64">
        <f>23.2732 * CHOOSE(CONTROL!$C$22, $C$13, 100%, $E$13)</f>
        <v>23.273199999999999</v>
      </c>
      <c r="J714" s="64">
        <f>14.3199 * CHOOSE(CONTROL!$C$22, $C$13, 100%, $E$13)</f>
        <v>14.319900000000001</v>
      </c>
      <c r="K714" s="64">
        <f>14.3214 * CHOOSE(CONTROL!$C$22, $C$13, 100%, $E$13)</f>
        <v>14.321400000000001</v>
      </c>
    </row>
    <row r="715" spans="1:11" ht="15">
      <c r="A715" s="13">
        <v>63402</v>
      </c>
      <c r="B715" s="63">
        <f>12.1086 * CHOOSE(CONTROL!$C$22, $C$13, 100%, $E$13)</f>
        <v>12.108599999999999</v>
      </c>
      <c r="C715" s="63">
        <f>12.1086 * CHOOSE(CONTROL!$C$22, $C$13, 100%, $E$13)</f>
        <v>12.108599999999999</v>
      </c>
      <c r="D715" s="63">
        <f>12.133 * CHOOSE(CONTROL!$C$22, $C$13, 100%, $E$13)</f>
        <v>12.132999999999999</v>
      </c>
      <c r="E715" s="64">
        <f>14.1791 * CHOOSE(CONTROL!$C$22, $C$13, 100%, $E$13)</f>
        <v>14.1791</v>
      </c>
      <c r="F715" s="64">
        <f>14.1791 * CHOOSE(CONTROL!$C$22, $C$13, 100%, $E$13)</f>
        <v>14.1791</v>
      </c>
      <c r="G715" s="64">
        <f>14.1807 * CHOOSE(CONTROL!$C$22, $C$13, 100%, $E$13)</f>
        <v>14.1807</v>
      </c>
      <c r="H715" s="64">
        <f>23.3202* CHOOSE(CONTROL!$C$22, $C$13, 100%, $E$13)</f>
        <v>23.3202</v>
      </c>
      <c r="I715" s="64">
        <f>23.3217 * CHOOSE(CONTROL!$C$22, $C$13, 100%, $E$13)</f>
        <v>23.3217</v>
      </c>
      <c r="J715" s="64">
        <f>14.1791 * CHOOSE(CONTROL!$C$22, $C$13, 100%, $E$13)</f>
        <v>14.1791</v>
      </c>
      <c r="K715" s="64">
        <f>14.1807 * CHOOSE(CONTROL!$C$22, $C$13, 100%, $E$13)</f>
        <v>14.1807</v>
      </c>
    </row>
    <row r="716" spans="1:11" ht="15">
      <c r="A716" s="13">
        <v>63433</v>
      </c>
      <c r="B716" s="63">
        <f>12.1055 * CHOOSE(CONTROL!$C$22, $C$13, 100%, $E$13)</f>
        <v>12.105499999999999</v>
      </c>
      <c r="C716" s="63">
        <f>12.1055 * CHOOSE(CONTROL!$C$22, $C$13, 100%, $E$13)</f>
        <v>12.105499999999999</v>
      </c>
      <c r="D716" s="63">
        <f>12.1299 * CHOOSE(CONTROL!$C$22, $C$13, 100%, $E$13)</f>
        <v>12.129899999999999</v>
      </c>
      <c r="E716" s="64">
        <f>14.1608 * CHOOSE(CONTROL!$C$22, $C$13, 100%, $E$13)</f>
        <v>14.1608</v>
      </c>
      <c r="F716" s="64">
        <f>14.1608 * CHOOSE(CONTROL!$C$22, $C$13, 100%, $E$13)</f>
        <v>14.1608</v>
      </c>
      <c r="G716" s="64">
        <f>14.1624 * CHOOSE(CONTROL!$C$22, $C$13, 100%, $E$13)</f>
        <v>14.1624</v>
      </c>
      <c r="H716" s="64">
        <f>23.3687* CHOOSE(CONTROL!$C$22, $C$13, 100%, $E$13)</f>
        <v>23.3687</v>
      </c>
      <c r="I716" s="64">
        <f>23.3703 * CHOOSE(CONTROL!$C$22, $C$13, 100%, $E$13)</f>
        <v>23.3703</v>
      </c>
      <c r="J716" s="64">
        <f>14.1608 * CHOOSE(CONTROL!$C$22, $C$13, 100%, $E$13)</f>
        <v>14.1608</v>
      </c>
      <c r="K716" s="64">
        <f>14.1624 * CHOOSE(CONTROL!$C$22, $C$13, 100%, $E$13)</f>
        <v>14.1624</v>
      </c>
    </row>
    <row r="717" spans="1:11" ht="15">
      <c r="A717" s="13">
        <v>63463</v>
      </c>
      <c r="B717" s="63">
        <f>12.1273 * CHOOSE(CONTROL!$C$22, $C$13, 100%, $E$13)</f>
        <v>12.1273</v>
      </c>
      <c r="C717" s="63">
        <f>12.1273 * CHOOSE(CONTROL!$C$22, $C$13, 100%, $E$13)</f>
        <v>12.1273</v>
      </c>
      <c r="D717" s="63">
        <f>12.1395 * CHOOSE(CONTROL!$C$22, $C$13, 100%, $E$13)</f>
        <v>12.1395</v>
      </c>
      <c r="E717" s="64">
        <f>14.212 * CHOOSE(CONTROL!$C$22, $C$13, 100%, $E$13)</f>
        <v>14.212</v>
      </c>
      <c r="F717" s="64">
        <f>14.212 * CHOOSE(CONTROL!$C$22, $C$13, 100%, $E$13)</f>
        <v>14.212</v>
      </c>
      <c r="G717" s="64">
        <f>14.2122 * CHOOSE(CONTROL!$C$22, $C$13, 100%, $E$13)</f>
        <v>14.212199999999999</v>
      </c>
      <c r="H717" s="64">
        <f>23.4174* CHOOSE(CONTROL!$C$22, $C$13, 100%, $E$13)</f>
        <v>23.417400000000001</v>
      </c>
      <c r="I717" s="64">
        <f>23.4176 * CHOOSE(CONTROL!$C$22, $C$13, 100%, $E$13)</f>
        <v>23.4176</v>
      </c>
      <c r="J717" s="64">
        <f>14.212 * CHOOSE(CONTROL!$C$22, $C$13, 100%, $E$13)</f>
        <v>14.212</v>
      </c>
      <c r="K717" s="64">
        <f>14.2122 * CHOOSE(CONTROL!$C$22, $C$13, 100%, $E$13)</f>
        <v>14.212199999999999</v>
      </c>
    </row>
    <row r="718" spans="1:11" ht="15">
      <c r="A718" s="13">
        <v>63494</v>
      </c>
      <c r="B718" s="63">
        <f>12.1304 * CHOOSE(CONTROL!$C$22, $C$13, 100%, $E$13)</f>
        <v>12.1304</v>
      </c>
      <c r="C718" s="63">
        <f>12.1304 * CHOOSE(CONTROL!$C$22, $C$13, 100%, $E$13)</f>
        <v>12.1304</v>
      </c>
      <c r="D718" s="63">
        <f>12.1426 * CHOOSE(CONTROL!$C$22, $C$13, 100%, $E$13)</f>
        <v>12.1426</v>
      </c>
      <c r="E718" s="64">
        <f>14.2465 * CHOOSE(CONTROL!$C$22, $C$13, 100%, $E$13)</f>
        <v>14.246499999999999</v>
      </c>
      <c r="F718" s="64">
        <f>14.2465 * CHOOSE(CONTROL!$C$22, $C$13, 100%, $E$13)</f>
        <v>14.246499999999999</v>
      </c>
      <c r="G718" s="64">
        <f>14.2467 * CHOOSE(CONTROL!$C$22, $C$13, 100%, $E$13)</f>
        <v>14.246700000000001</v>
      </c>
      <c r="H718" s="64">
        <f>23.4662* CHOOSE(CONTROL!$C$22, $C$13, 100%, $E$13)</f>
        <v>23.466200000000001</v>
      </c>
      <c r="I718" s="64">
        <f>23.4664 * CHOOSE(CONTROL!$C$22, $C$13, 100%, $E$13)</f>
        <v>23.4664</v>
      </c>
      <c r="J718" s="64">
        <f>14.2465 * CHOOSE(CONTROL!$C$22, $C$13, 100%, $E$13)</f>
        <v>14.246499999999999</v>
      </c>
      <c r="K718" s="64">
        <f>14.2467 * CHOOSE(CONTROL!$C$22, $C$13, 100%, $E$13)</f>
        <v>14.246700000000001</v>
      </c>
    </row>
    <row r="719" spans="1:11" ht="15">
      <c r="A719" s="13">
        <v>63524</v>
      </c>
      <c r="B719" s="63">
        <f>12.1304 * CHOOSE(CONTROL!$C$22, $C$13, 100%, $E$13)</f>
        <v>12.1304</v>
      </c>
      <c r="C719" s="63">
        <f>12.1304 * CHOOSE(CONTROL!$C$22, $C$13, 100%, $E$13)</f>
        <v>12.1304</v>
      </c>
      <c r="D719" s="63">
        <f>12.1426 * CHOOSE(CONTROL!$C$22, $C$13, 100%, $E$13)</f>
        <v>12.1426</v>
      </c>
      <c r="E719" s="64">
        <f>14.1657 * CHOOSE(CONTROL!$C$22, $C$13, 100%, $E$13)</f>
        <v>14.165699999999999</v>
      </c>
      <c r="F719" s="64">
        <f>14.1657 * CHOOSE(CONTROL!$C$22, $C$13, 100%, $E$13)</f>
        <v>14.165699999999999</v>
      </c>
      <c r="G719" s="64">
        <f>14.1659 * CHOOSE(CONTROL!$C$22, $C$13, 100%, $E$13)</f>
        <v>14.165900000000001</v>
      </c>
      <c r="H719" s="64">
        <f>23.5151* CHOOSE(CONTROL!$C$22, $C$13, 100%, $E$13)</f>
        <v>23.5151</v>
      </c>
      <c r="I719" s="64">
        <f>23.5153 * CHOOSE(CONTROL!$C$22, $C$13, 100%, $E$13)</f>
        <v>23.5153</v>
      </c>
      <c r="J719" s="64">
        <f>14.1657 * CHOOSE(CONTROL!$C$22, $C$13, 100%, $E$13)</f>
        <v>14.165699999999999</v>
      </c>
      <c r="K719" s="64">
        <f>14.1659 * CHOOSE(CONTROL!$C$22, $C$13, 100%, $E$13)</f>
        <v>14.165900000000001</v>
      </c>
    </row>
    <row r="720" spans="1:11" ht="15">
      <c r="A720" s="13">
        <v>63555</v>
      </c>
      <c r="B720" s="63">
        <f>12.1543 * CHOOSE(CONTROL!$C$22, $C$13, 100%, $E$13)</f>
        <v>12.154299999999999</v>
      </c>
      <c r="C720" s="63">
        <f>12.1543 * CHOOSE(CONTROL!$C$22, $C$13, 100%, $E$13)</f>
        <v>12.154299999999999</v>
      </c>
      <c r="D720" s="63">
        <f>12.1665 * CHOOSE(CONTROL!$C$22, $C$13, 100%, $E$13)</f>
        <v>12.166499999999999</v>
      </c>
      <c r="E720" s="64">
        <f>14.2504 * CHOOSE(CONTROL!$C$22, $C$13, 100%, $E$13)</f>
        <v>14.250400000000001</v>
      </c>
      <c r="F720" s="64">
        <f>14.2504 * CHOOSE(CONTROL!$C$22, $C$13, 100%, $E$13)</f>
        <v>14.250400000000001</v>
      </c>
      <c r="G720" s="64">
        <f>14.2505 * CHOOSE(CONTROL!$C$22, $C$13, 100%, $E$13)</f>
        <v>14.250500000000001</v>
      </c>
      <c r="H720" s="64">
        <f>23.4288* CHOOSE(CONTROL!$C$22, $C$13, 100%, $E$13)</f>
        <v>23.428799999999999</v>
      </c>
      <c r="I720" s="64">
        <f>23.429 * CHOOSE(CONTROL!$C$22, $C$13, 100%, $E$13)</f>
        <v>23.428999999999998</v>
      </c>
      <c r="J720" s="64">
        <f>14.2504 * CHOOSE(CONTROL!$C$22, $C$13, 100%, $E$13)</f>
        <v>14.250400000000001</v>
      </c>
      <c r="K720" s="64">
        <f>14.2505 * CHOOSE(CONTROL!$C$22, $C$13, 100%, $E$13)</f>
        <v>14.250500000000001</v>
      </c>
    </row>
    <row r="721" spans="1:11" ht="15">
      <c r="A721" s="13">
        <v>63586</v>
      </c>
      <c r="B721" s="63">
        <f>12.1512 * CHOOSE(CONTROL!$C$22, $C$13, 100%, $E$13)</f>
        <v>12.151199999999999</v>
      </c>
      <c r="C721" s="63">
        <f>12.1512 * CHOOSE(CONTROL!$C$22, $C$13, 100%, $E$13)</f>
        <v>12.151199999999999</v>
      </c>
      <c r="D721" s="63">
        <f>12.1634 * CHOOSE(CONTROL!$C$22, $C$13, 100%, $E$13)</f>
        <v>12.163399999999999</v>
      </c>
      <c r="E721" s="64">
        <f>14.0923 * CHOOSE(CONTROL!$C$22, $C$13, 100%, $E$13)</f>
        <v>14.0923</v>
      </c>
      <c r="F721" s="64">
        <f>14.0923 * CHOOSE(CONTROL!$C$22, $C$13, 100%, $E$13)</f>
        <v>14.0923</v>
      </c>
      <c r="G721" s="64">
        <f>14.0925 * CHOOSE(CONTROL!$C$22, $C$13, 100%, $E$13)</f>
        <v>14.092499999999999</v>
      </c>
      <c r="H721" s="64">
        <f>23.4776* CHOOSE(CONTROL!$C$22, $C$13, 100%, $E$13)</f>
        <v>23.477599999999999</v>
      </c>
      <c r="I721" s="64">
        <f>23.4778 * CHOOSE(CONTROL!$C$22, $C$13, 100%, $E$13)</f>
        <v>23.477799999999998</v>
      </c>
      <c r="J721" s="64">
        <f>14.0923 * CHOOSE(CONTROL!$C$22, $C$13, 100%, $E$13)</f>
        <v>14.0923</v>
      </c>
      <c r="K721" s="64">
        <f>14.0925 * CHOOSE(CONTROL!$C$22, $C$13, 100%, $E$13)</f>
        <v>14.092499999999999</v>
      </c>
    </row>
    <row r="722" spans="1:11" ht="15">
      <c r="A722" s="13">
        <v>63614</v>
      </c>
      <c r="B722" s="63">
        <f>12.1482 * CHOOSE(CONTROL!$C$22, $C$13, 100%, $E$13)</f>
        <v>12.148199999999999</v>
      </c>
      <c r="C722" s="63">
        <f>12.1482 * CHOOSE(CONTROL!$C$22, $C$13, 100%, $E$13)</f>
        <v>12.148199999999999</v>
      </c>
      <c r="D722" s="63">
        <f>12.1604 * CHOOSE(CONTROL!$C$22, $C$13, 100%, $E$13)</f>
        <v>12.160399999999999</v>
      </c>
      <c r="E722" s="64">
        <f>14.2131 * CHOOSE(CONTROL!$C$22, $C$13, 100%, $E$13)</f>
        <v>14.213100000000001</v>
      </c>
      <c r="F722" s="64">
        <f>14.2131 * CHOOSE(CONTROL!$C$22, $C$13, 100%, $E$13)</f>
        <v>14.213100000000001</v>
      </c>
      <c r="G722" s="64">
        <f>14.2133 * CHOOSE(CONTROL!$C$22, $C$13, 100%, $E$13)</f>
        <v>14.2133</v>
      </c>
      <c r="H722" s="64">
        <f>23.5265* CHOOSE(CONTROL!$C$22, $C$13, 100%, $E$13)</f>
        <v>23.526499999999999</v>
      </c>
      <c r="I722" s="64">
        <f>23.5267 * CHOOSE(CONTROL!$C$22, $C$13, 100%, $E$13)</f>
        <v>23.526700000000002</v>
      </c>
      <c r="J722" s="64">
        <f>14.2131 * CHOOSE(CONTROL!$C$22, $C$13, 100%, $E$13)</f>
        <v>14.213100000000001</v>
      </c>
      <c r="K722" s="64">
        <f>14.2133 * CHOOSE(CONTROL!$C$22, $C$13, 100%, $E$13)</f>
        <v>14.2133</v>
      </c>
    </row>
    <row r="723" spans="1:11" ht="15">
      <c r="A723" s="13">
        <v>63645</v>
      </c>
      <c r="B723" s="63">
        <f>12.1528 * CHOOSE(CONTROL!$C$22, $C$13, 100%, $E$13)</f>
        <v>12.152799999999999</v>
      </c>
      <c r="C723" s="63">
        <f>12.1528 * CHOOSE(CONTROL!$C$22, $C$13, 100%, $E$13)</f>
        <v>12.152799999999999</v>
      </c>
      <c r="D723" s="63">
        <f>12.165 * CHOOSE(CONTROL!$C$22, $C$13, 100%, $E$13)</f>
        <v>12.164999999999999</v>
      </c>
      <c r="E723" s="64">
        <f>14.3409 * CHOOSE(CONTROL!$C$22, $C$13, 100%, $E$13)</f>
        <v>14.3409</v>
      </c>
      <c r="F723" s="64">
        <f>14.3409 * CHOOSE(CONTROL!$C$22, $C$13, 100%, $E$13)</f>
        <v>14.3409</v>
      </c>
      <c r="G723" s="64">
        <f>14.3411 * CHOOSE(CONTROL!$C$22, $C$13, 100%, $E$13)</f>
        <v>14.341100000000001</v>
      </c>
      <c r="H723" s="64">
        <f>23.5755* CHOOSE(CONTROL!$C$22, $C$13, 100%, $E$13)</f>
        <v>23.575500000000002</v>
      </c>
      <c r="I723" s="64">
        <f>23.5757 * CHOOSE(CONTROL!$C$22, $C$13, 100%, $E$13)</f>
        <v>23.575700000000001</v>
      </c>
      <c r="J723" s="64">
        <f>14.3409 * CHOOSE(CONTROL!$C$22, $C$13, 100%, $E$13)</f>
        <v>14.3409</v>
      </c>
      <c r="K723" s="64">
        <f>14.3411 * CHOOSE(CONTROL!$C$22, $C$13, 100%, $E$13)</f>
        <v>14.341100000000001</v>
      </c>
    </row>
    <row r="724" spans="1:11" ht="15">
      <c r="A724" s="13">
        <v>63675</v>
      </c>
      <c r="B724" s="63">
        <f>12.1528 * CHOOSE(CONTROL!$C$22, $C$13, 100%, $E$13)</f>
        <v>12.152799999999999</v>
      </c>
      <c r="C724" s="63">
        <f>12.1528 * CHOOSE(CONTROL!$C$22, $C$13, 100%, $E$13)</f>
        <v>12.152799999999999</v>
      </c>
      <c r="D724" s="63">
        <f>12.1772 * CHOOSE(CONTROL!$C$22, $C$13, 100%, $E$13)</f>
        <v>12.177199999999999</v>
      </c>
      <c r="E724" s="64">
        <f>14.3904 * CHOOSE(CONTROL!$C$22, $C$13, 100%, $E$13)</f>
        <v>14.3904</v>
      </c>
      <c r="F724" s="64">
        <f>14.3904 * CHOOSE(CONTROL!$C$22, $C$13, 100%, $E$13)</f>
        <v>14.3904</v>
      </c>
      <c r="G724" s="64">
        <f>14.3919 * CHOOSE(CONTROL!$C$22, $C$13, 100%, $E$13)</f>
        <v>14.3919</v>
      </c>
      <c r="H724" s="64">
        <f>23.6246* CHOOSE(CONTROL!$C$22, $C$13, 100%, $E$13)</f>
        <v>23.624600000000001</v>
      </c>
      <c r="I724" s="64">
        <f>23.6262 * CHOOSE(CONTROL!$C$22, $C$13, 100%, $E$13)</f>
        <v>23.626200000000001</v>
      </c>
      <c r="J724" s="64">
        <f>14.3904 * CHOOSE(CONTROL!$C$22, $C$13, 100%, $E$13)</f>
        <v>14.3904</v>
      </c>
      <c r="K724" s="64">
        <f>14.3919 * CHOOSE(CONTROL!$C$22, $C$13, 100%, $E$13)</f>
        <v>14.3919</v>
      </c>
    </row>
    <row r="725" spans="1:11" ht="15">
      <c r="A725" s="13">
        <v>63706</v>
      </c>
      <c r="B725" s="63">
        <f>12.1589 * CHOOSE(CONTROL!$C$22, $C$13, 100%, $E$13)</f>
        <v>12.158899999999999</v>
      </c>
      <c r="C725" s="63">
        <f>12.1589 * CHOOSE(CONTROL!$C$22, $C$13, 100%, $E$13)</f>
        <v>12.158899999999999</v>
      </c>
      <c r="D725" s="63">
        <f>12.1833 * CHOOSE(CONTROL!$C$22, $C$13, 100%, $E$13)</f>
        <v>12.183299999999999</v>
      </c>
      <c r="E725" s="64">
        <f>14.3451 * CHOOSE(CONTROL!$C$22, $C$13, 100%, $E$13)</f>
        <v>14.3451</v>
      </c>
      <c r="F725" s="64">
        <f>14.3451 * CHOOSE(CONTROL!$C$22, $C$13, 100%, $E$13)</f>
        <v>14.3451</v>
      </c>
      <c r="G725" s="64">
        <f>14.3467 * CHOOSE(CONTROL!$C$22, $C$13, 100%, $E$13)</f>
        <v>14.3467</v>
      </c>
      <c r="H725" s="64">
        <f>23.6739* CHOOSE(CONTROL!$C$22, $C$13, 100%, $E$13)</f>
        <v>23.6739</v>
      </c>
      <c r="I725" s="64">
        <f>23.6754 * CHOOSE(CONTROL!$C$22, $C$13, 100%, $E$13)</f>
        <v>23.6754</v>
      </c>
      <c r="J725" s="64">
        <f>14.3451 * CHOOSE(CONTROL!$C$22, $C$13, 100%, $E$13)</f>
        <v>14.3451</v>
      </c>
      <c r="K725" s="64">
        <f>14.3467 * CHOOSE(CONTROL!$C$22, $C$13, 100%, $E$13)</f>
        <v>14.3467</v>
      </c>
    </row>
    <row r="726" spans="1:11" ht="15">
      <c r="A726" s="13">
        <v>63736</v>
      </c>
      <c r="B726" s="63">
        <f>12.3511 * CHOOSE(CONTROL!$C$22, $C$13, 100%, $E$13)</f>
        <v>12.351100000000001</v>
      </c>
      <c r="C726" s="63">
        <f>12.3511 * CHOOSE(CONTROL!$C$22, $C$13, 100%, $E$13)</f>
        <v>12.351100000000001</v>
      </c>
      <c r="D726" s="63">
        <f>12.3755 * CHOOSE(CONTROL!$C$22, $C$13, 100%, $E$13)</f>
        <v>12.375500000000001</v>
      </c>
      <c r="E726" s="64">
        <f>14.6198 * CHOOSE(CONTROL!$C$22, $C$13, 100%, $E$13)</f>
        <v>14.6198</v>
      </c>
      <c r="F726" s="64">
        <f>14.6198 * CHOOSE(CONTROL!$C$22, $C$13, 100%, $E$13)</f>
        <v>14.6198</v>
      </c>
      <c r="G726" s="64">
        <f>14.6213 * CHOOSE(CONTROL!$C$22, $C$13, 100%, $E$13)</f>
        <v>14.6213</v>
      </c>
      <c r="H726" s="64">
        <f>23.7232* CHOOSE(CONTROL!$C$22, $C$13, 100%, $E$13)</f>
        <v>23.723199999999999</v>
      </c>
      <c r="I726" s="64">
        <f>23.7247 * CHOOSE(CONTROL!$C$22, $C$13, 100%, $E$13)</f>
        <v>23.724699999999999</v>
      </c>
      <c r="J726" s="64">
        <f>14.6198 * CHOOSE(CONTROL!$C$22, $C$13, 100%, $E$13)</f>
        <v>14.6198</v>
      </c>
      <c r="K726" s="64">
        <f>14.6213 * CHOOSE(CONTROL!$C$22, $C$13, 100%, $E$13)</f>
        <v>14.6213</v>
      </c>
    </row>
    <row r="727" spans="1:11" ht="15">
      <c r="A727" s="13">
        <v>63767</v>
      </c>
      <c r="B727" s="63">
        <f>12.3578 * CHOOSE(CONTROL!$C$22, $C$13, 100%, $E$13)</f>
        <v>12.357799999999999</v>
      </c>
      <c r="C727" s="63">
        <f>12.3578 * CHOOSE(CONTROL!$C$22, $C$13, 100%, $E$13)</f>
        <v>12.357799999999999</v>
      </c>
      <c r="D727" s="63">
        <f>12.3822 * CHOOSE(CONTROL!$C$22, $C$13, 100%, $E$13)</f>
        <v>12.382199999999999</v>
      </c>
      <c r="E727" s="64">
        <f>14.4759 * CHOOSE(CONTROL!$C$22, $C$13, 100%, $E$13)</f>
        <v>14.475899999999999</v>
      </c>
      <c r="F727" s="64">
        <f>14.4759 * CHOOSE(CONTROL!$C$22, $C$13, 100%, $E$13)</f>
        <v>14.475899999999999</v>
      </c>
      <c r="G727" s="64">
        <f>14.4775 * CHOOSE(CONTROL!$C$22, $C$13, 100%, $E$13)</f>
        <v>14.477499999999999</v>
      </c>
      <c r="H727" s="64">
        <f>23.7726* CHOOSE(CONTROL!$C$22, $C$13, 100%, $E$13)</f>
        <v>23.772600000000001</v>
      </c>
      <c r="I727" s="64">
        <f>23.7742 * CHOOSE(CONTROL!$C$22, $C$13, 100%, $E$13)</f>
        <v>23.7742</v>
      </c>
      <c r="J727" s="64">
        <f>14.4759 * CHOOSE(CONTROL!$C$22, $C$13, 100%, $E$13)</f>
        <v>14.475899999999999</v>
      </c>
      <c r="K727" s="64">
        <f>14.4775 * CHOOSE(CONTROL!$C$22, $C$13, 100%, $E$13)</f>
        <v>14.477499999999999</v>
      </c>
    </row>
    <row r="728" spans="1:11" ht="15">
      <c r="A728" s="13">
        <v>63798</v>
      </c>
      <c r="B728" s="63">
        <f>12.3547 * CHOOSE(CONTROL!$C$22, $C$13, 100%, $E$13)</f>
        <v>12.354699999999999</v>
      </c>
      <c r="C728" s="63">
        <f>12.3547 * CHOOSE(CONTROL!$C$22, $C$13, 100%, $E$13)</f>
        <v>12.354699999999999</v>
      </c>
      <c r="D728" s="63">
        <f>12.3792 * CHOOSE(CONTROL!$C$22, $C$13, 100%, $E$13)</f>
        <v>12.379200000000001</v>
      </c>
      <c r="E728" s="64">
        <f>14.4573 * CHOOSE(CONTROL!$C$22, $C$13, 100%, $E$13)</f>
        <v>14.4573</v>
      </c>
      <c r="F728" s="64">
        <f>14.4573 * CHOOSE(CONTROL!$C$22, $C$13, 100%, $E$13)</f>
        <v>14.4573</v>
      </c>
      <c r="G728" s="64">
        <f>14.4589 * CHOOSE(CONTROL!$C$22, $C$13, 100%, $E$13)</f>
        <v>14.4589</v>
      </c>
      <c r="H728" s="64">
        <f>23.8221* CHOOSE(CONTROL!$C$22, $C$13, 100%, $E$13)</f>
        <v>23.822099999999999</v>
      </c>
      <c r="I728" s="64">
        <f>23.8237 * CHOOSE(CONTROL!$C$22, $C$13, 100%, $E$13)</f>
        <v>23.823699999999999</v>
      </c>
      <c r="J728" s="64">
        <f>14.4573 * CHOOSE(CONTROL!$C$22, $C$13, 100%, $E$13)</f>
        <v>14.4573</v>
      </c>
      <c r="K728" s="64">
        <f>14.4589 * CHOOSE(CONTROL!$C$22, $C$13, 100%, $E$13)</f>
        <v>14.4589</v>
      </c>
    </row>
    <row r="729" spans="1:11" ht="15">
      <c r="A729" s="13">
        <v>63828</v>
      </c>
      <c r="B729" s="63">
        <f>12.3773 * CHOOSE(CONTROL!$C$22, $C$13, 100%, $E$13)</f>
        <v>12.3773</v>
      </c>
      <c r="C729" s="63">
        <f>12.3773 * CHOOSE(CONTROL!$C$22, $C$13, 100%, $E$13)</f>
        <v>12.3773</v>
      </c>
      <c r="D729" s="63">
        <f>12.3895 * CHOOSE(CONTROL!$C$22, $C$13, 100%, $E$13)</f>
        <v>12.3895</v>
      </c>
      <c r="E729" s="64">
        <f>14.5099 * CHOOSE(CONTROL!$C$22, $C$13, 100%, $E$13)</f>
        <v>14.5099</v>
      </c>
      <c r="F729" s="64">
        <f>14.5099 * CHOOSE(CONTROL!$C$22, $C$13, 100%, $E$13)</f>
        <v>14.5099</v>
      </c>
      <c r="G729" s="64">
        <f>14.5101 * CHOOSE(CONTROL!$C$22, $C$13, 100%, $E$13)</f>
        <v>14.5101</v>
      </c>
      <c r="H729" s="64">
        <f>23.8718* CHOOSE(CONTROL!$C$22, $C$13, 100%, $E$13)</f>
        <v>23.8718</v>
      </c>
      <c r="I729" s="64">
        <f>23.8719 * CHOOSE(CONTROL!$C$22, $C$13, 100%, $E$13)</f>
        <v>23.8719</v>
      </c>
      <c r="J729" s="64">
        <f>14.5099 * CHOOSE(CONTROL!$C$22, $C$13, 100%, $E$13)</f>
        <v>14.5099</v>
      </c>
      <c r="K729" s="64">
        <f>14.5101 * CHOOSE(CONTROL!$C$22, $C$13, 100%, $E$13)</f>
        <v>14.5101</v>
      </c>
    </row>
    <row r="730" spans="1:11" ht="15">
      <c r="A730" s="13">
        <v>63859</v>
      </c>
      <c r="B730" s="63">
        <f>12.3804 * CHOOSE(CONTROL!$C$22, $C$13, 100%, $E$13)</f>
        <v>12.3804</v>
      </c>
      <c r="C730" s="63">
        <f>12.3804 * CHOOSE(CONTROL!$C$22, $C$13, 100%, $E$13)</f>
        <v>12.3804</v>
      </c>
      <c r="D730" s="63">
        <f>12.3926 * CHOOSE(CONTROL!$C$22, $C$13, 100%, $E$13)</f>
        <v>12.3926</v>
      </c>
      <c r="E730" s="64">
        <f>14.545 * CHOOSE(CONTROL!$C$22, $C$13, 100%, $E$13)</f>
        <v>14.545</v>
      </c>
      <c r="F730" s="64">
        <f>14.545 * CHOOSE(CONTROL!$C$22, $C$13, 100%, $E$13)</f>
        <v>14.545</v>
      </c>
      <c r="G730" s="64">
        <f>14.5452 * CHOOSE(CONTROL!$C$22, $C$13, 100%, $E$13)</f>
        <v>14.545199999999999</v>
      </c>
      <c r="H730" s="64">
        <f>23.9215* CHOOSE(CONTROL!$C$22, $C$13, 100%, $E$13)</f>
        <v>23.921500000000002</v>
      </c>
      <c r="I730" s="64">
        <f>23.9217 * CHOOSE(CONTROL!$C$22, $C$13, 100%, $E$13)</f>
        <v>23.921700000000001</v>
      </c>
      <c r="J730" s="64">
        <f>14.545 * CHOOSE(CONTROL!$C$22, $C$13, 100%, $E$13)</f>
        <v>14.545</v>
      </c>
      <c r="K730" s="64">
        <f>14.5452 * CHOOSE(CONTROL!$C$22, $C$13, 100%, $E$13)</f>
        <v>14.545199999999999</v>
      </c>
    </row>
    <row r="731" spans="1:11" ht="15">
      <c r="A731" s="13">
        <v>63889</v>
      </c>
      <c r="B731" s="63">
        <f>12.3804 * CHOOSE(CONTROL!$C$22, $C$13, 100%, $E$13)</f>
        <v>12.3804</v>
      </c>
      <c r="C731" s="63">
        <f>12.3804 * CHOOSE(CONTROL!$C$22, $C$13, 100%, $E$13)</f>
        <v>12.3804</v>
      </c>
      <c r="D731" s="63">
        <f>12.3926 * CHOOSE(CONTROL!$C$22, $C$13, 100%, $E$13)</f>
        <v>12.3926</v>
      </c>
      <c r="E731" s="64">
        <f>14.4625 * CHOOSE(CONTROL!$C$22, $C$13, 100%, $E$13)</f>
        <v>14.4625</v>
      </c>
      <c r="F731" s="64">
        <f>14.4625 * CHOOSE(CONTROL!$C$22, $C$13, 100%, $E$13)</f>
        <v>14.4625</v>
      </c>
      <c r="G731" s="64">
        <f>14.4627 * CHOOSE(CONTROL!$C$22, $C$13, 100%, $E$13)</f>
        <v>14.4627</v>
      </c>
      <c r="H731" s="64">
        <f>23.9713* CHOOSE(CONTROL!$C$22, $C$13, 100%, $E$13)</f>
        <v>23.971299999999999</v>
      </c>
      <c r="I731" s="64">
        <f>23.9715 * CHOOSE(CONTROL!$C$22, $C$13, 100%, $E$13)</f>
        <v>23.971499999999999</v>
      </c>
      <c r="J731" s="64">
        <f>14.4625 * CHOOSE(CONTROL!$C$22, $C$13, 100%, $E$13)</f>
        <v>14.4625</v>
      </c>
      <c r="K731" s="64">
        <f>14.4627 * CHOOSE(CONTROL!$C$22, $C$13, 100%, $E$13)</f>
        <v>14.4627</v>
      </c>
    </row>
    <row r="732" spans="1:11" ht="15">
      <c r="A732" s="13">
        <v>63920</v>
      </c>
      <c r="B732" s="63">
        <f>12.3996 * CHOOSE(CONTROL!$C$22, $C$13, 100%, $E$13)</f>
        <v>12.3996</v>
      </c>
      <c r="C732" s="63">
        <f>12.3996 * CHOOSE(CONTROL!$C$22, $C$13, 100%, $E$13)</f>
        <v>12.3996</v>
      </c>
      <c r="D732" s="63">
        <f>12.4118 * CHOOSE(CONTROL!$C$22, $C$13, 100%, $E$13)</f>
        <v>12.411799999999999</v>
      </c>
      <c r="E732" s="64">
        <f>14.5428 * CHOOSE(CONTROL!$C$22, $C$13, 100%, $E$13)</f>
        <v>14.5428</v>
      </c>
      <c r="F732" s="64">
        <f>14.5428 * CHOOSE(CONTROL!$C$22, $C$13, 100%, $E$13)</f>
        <v>14.5428</v>
      </c>
      <c r="G732" s="64">
        <f>14.543 * CHOOSE(CONTROL!$C$22, $C$13, 100%, $E$13)</f>
        <v>14.542999999999999</v>
      </c>
      <c r="H732" s="64">
        <f>23.8747* CHOOSE(CONTROL!$C$22, $C$13, 100%, $E$13)</f>
        <v>23.874700000000001</v>
      </c>
      <c r="I732" s="64">
        <f>23.8749 * CHOOSE(CONTROL!$C$22, $C$13, 100%, $E$13)</f>
        <v>23.8749</v>
      </c>
      <c r="J732" s="64">
        <f>14.5428 * CHOOSE(CONTROL!$C$22, $C$13, 100%, $E$13)</f>
        <v>14.5428</v>
      </c>
      <c r="K732" s="64">
        <f>14.543 * CHOOSE(CONTROL!$C$22, $C$13, 100%, $E$13)</f>
        <v>14.542999999999999</v>
      </c>
    </row>
    <row r="733" spans="1:11" ht="15">
      <c r="A733" s="13">
        <v>63951</v>
      </c>
      <c r="B733" s="63">
        <f>12.3965 * CHOOSE(CONTROL!$C$22, $C$13, 100%, $E$13)</f>
        <v>12.3965</v>
      </c>
      <c r="C733" s="63">
        <f>12.3965 * CHOOSE(CONTROL!$C$22, $C$13, 100%, $E$13)</f>
        <v>12.3965</v>
      </c>
      <c r="D733" s="63">
        <f>12.4088 * CHOOSE(CONTROL!$C$22, $C$13, 100%, $E$13)</f>
        <v>12.408799999999999</v>
      </c>
      <c r="E733" s="64">
        <f>14.3815 * CHOOSE(CONTROL!$C$22, $C$13, 100%, $E$13)</f>
        <v>14.381500000000001</v>
      </c>
      <c r="F733" s="64">
        <f>14.3815 * CHOOSE(CONTROL!$C$22, $C$13, 100%, $E$13)</f>
        <v>14.381500000000001</v>
      </c>
      <c r="G733" s="64">
        <f>14.3817 * CHOOSE(CONTROL!$C$22, $C$13, 100%, $E$13)</f>
        <v>14.3817</v>
      </c>
      <c r="H733" s="64">
        <f>23.9244* CHOOSE(CONTROL!$C$22, $C$13, 100%, $E$13)</f>
        <v>23.924399999999999</v>
      </c>
      <c r="I733" s="64">
        <f>23.9246 * CHOOSE(CONTROL!$C$22, $C$13, 100%, $E$13)</f>
        <v>23.924600000000002</v>
      </c>
      <c r="J733" s="64">
        <f>14.3815 * CHOOSE(CONTROL!$C$22, $C$13, 100%, $E$13)</f>
        <v>14.381500000000001</v>
      </c>
      <c r="K733" s="64">
        <f>14.3817 * CHOOSE(CONTROL!$C$22, $C$13, 100%, $E$13)</f>
        <v>14.3817</v>
      </c>
    </row>
    <row r="734" spans="1:11" ht="15">
      <c r="A734" s="13">
        <v>63979</v>
      </c>
      <c r="B734" s="63">
        <f>12.3935 * CHOOSE(CONTROL!$C$22, $C$13, 100%, $E$13)</f>
        <v>12.3935</v>
      </c>
      <c r="C734" s="63">
        <f>12.3935 * CHOOSE(CONTROL!$C$22, $C$13, 100%, $E$13)</f>
        <v>12.3935</v>
      </c>
      <c r="D734" s="63">
        <f>12.4057 * CHOOSE(CONTROL!$C$22, $C$13, 100%, $E$13)</f>
        <v>12.4057</v>
      </c>
      <c r="E734" s="64">
        <f>14.5049 * CHOOSE(CONTROL!$C$22, $C$13, 100%, $E$13)</f>
        <v>14.504899999999999</v>
      </c>
      <c r="F734" s="64">
        <f>14.5049 * CHOOSE(CONTROL!$C$22, $C$13, 100%, $E$13)</f>
        <v>14.504899999999999</v>
      </c>
      <c r="G734" s="64">
        <f>14.505 * CHOOSE(CONTROL!$C$22, $C$13, 100%, $E$13)</f>
        <v>14.505000000000001</v>
      </c>
      <c r="H734" s="64">
        <f>23.9743* CHOOSE(CONTROL!$C$22, $C$13, 100%, $E$13)</f>
        <v>23.974299999999999</v>
      </c>
      <c r="I734" s="64">
        <f>23.9744 * CHOOSE(CONTROL!$C$22, $C$13, 100%, $E$13)</f>
        <v>23.974399999999999</v>
      </c>
      <c r="J734" s="64">
        <f>14.5049 * CHOOSE(CONTROL!$C$22, $C$13, 100%, $E$13)</f>
        <v>14.504899999999999</v>
      </c>
      <c r="K734" s="64">
        <f>14.505 * CHOOSE(CONTROL!$C$22, $C$13, 100%, $E$13)</f>
        <v>14.505000000000001</v>
      </c>
    </row>
    <row r="735" spans="1:11" ht="15">
      <c r="A735" s="13">
        <v>64010</v>
      </c>
      <c r="B735" s="63">
        <f>12.3983 * CHOOSE(CONTROL!$C$22, $C$13, 100%, $E$13)</f>
        <v>12.398300000000001</v>
      </c>
      <c r="C735" s="63">
        <f>12.3983 * CHOOSE(CONTROL!$C$22, $C$13, 100%, $E$13)</f>
        <v>12.398300000000001</v>
      </c>
      <c r="D735" s="63">
        <f>12.4106 * CHOOSE(CONTROL!$C$22, $C$13, 100%, $E$13)</f>
        <v>12.410600000000001</v>
      </c>
      <c r="E735" s="64">
        <f>14.6353 * CHOOSE(CONTROL!$C$22, $C$13, 100%, $E$13)</f>
        <v>14.635300000000001</v>
      </c>
      <c r="F735" s="64">
        <f>14.6353 * CHOOSE(CONTROL!$C$22, $C$13, 100%, $E$13)</f>
        <v>14.635300000000001</v>
      </c>
      <c r="G735" s="64">
        <f>14.6355 * CHOOSE(CONTROL!$C$22, $C$13, 100%, $E$13)</f>
        <v>14.6355</v>
      </c>
      <c r="H735" s="64">
        <f>24.0242* CHOOSE(CONTROL!$C$22, $C$13, 100%, $E$13)</f>
        <v>24.0242</v>
      </c>
      <c r="I735" s="64">
        <f>24.0244 * CHOOSE(CONTROL!$C$22, $C$13, 100%, $E$13)</f>
        <v>24.0244</v>
      </c>
      <c r="J735" s="64">
        <f>14.6353 * CHOOSE(CONTROL!$C$22, $C$13, 100%, $E$13)</f>
        <v>14.635300000000001</v>
      </c>
      <c r="K735" s="64">
        <f>14.6355 * CHOOSE(CONTROL!$C$22, $C$13, 100%, $E$13)</f>
        <v>14.6355</v>
      </c>
    </row>
    <row r="736" spans="1:11" ht="15">
      <c r="A736" s="13">
        <v>64040</v>
      </c>
      <c r="B736" s="63">
        <f>12.3983 * CHOOSE(CONTROL!$C$22, $C$13, 100%, $E$13)</f>
        <v>12.398300000000001</v>
      </c>
      <c r="C736" s="63">
        <f>12.3983 * CHOOSE(CONTROL!$C$22, $C$13, 100%, $E$13)</f>
        <v>12.398300000000001</v>
      </c>
      <c r="D736" s="63">
        <f>12.4228 * CHOOSE(CONTROL!$C$22, $C$13, 100%, $E$13)</f>
        <v>12.422800000000001</v>
      </c>
      <c r="E736" s="64">
        <f>14.6859 * CHOOSE(CONTROL!$C$22, $C$13, 100%, $E$13)</f>
        <v>14.6859</v>
      </c>
      <c r="F736" s="64">
        <f>14.6859 * CHOOSE(CONTROL!$C$22, $C$13, 100%, $E$13)</f>
        <v>14.6859</v>
      </c>
      <c r="G736" s="64">
        <f>14.6874 * CHOOSE(CONTROL!$C$22, $C$13, 100%, $E$13)</f>
        <v>14.6874</v>
      </c>
      <c r="H736" s="64">
        <f>24.0743* CHOOSE(CONTROL!$C$22, $C$13, 100%, $E$13)</f>
        <v>24.074300000000001</v>
      </c>
      <c r="I736" s="64">
        <f>24.0758 * CHOOSE(CONTROL!$C$22, $C$13, 100%, $E$13)</f>
        <v>24.075800000000001</v>
      </c>
      <c r="J736" s="64">
        <f>14.6859 * CHOOSE(CONTROL!$C$22, $C$13, 100%, $E$13)</f>
        <v>14.6859</v>
      </c>
      <c r="K736" s="64">
        <f>14.6874 * CHOOSE(CONTROL!$C$22, $C$13, 100%, $E$13)</f>
        <v>14.6874</v>
      </c>
    </row>
    <row r="737" spans="1:11" ht="15">
      <c r="A737" s="13">
        <v>64071</v>
      </c>
      <c r="B737" s="63">
        <f>12.4044 * CHOOSE(CONTROL!$C$22, $C$13, 100%, $E$13)</f>
        <v>12.404400000000001</v>
      </c>
      <c r="C737" s="63">
        <f>12.4044 * CHOOSE(CONTROL!$C$22, $C$13, 100%, $E$13)</f>
        <v>12.404400000000001</v>
      </c>
      <c r="D737" s="63">
        <f>12.4289 * CHOOSE(CONTROL!$C$22, $C$13, 100%, $E$13)</f>
        <v>12.428900000000001</v>
      </c>
      <c r="E737" s="64">
        <f>14.6396 * CHOOSE(CONTROL!$C$22, $C$13, 100%, $E$13)</f>
        <v>14.6396</v>
      </c>
      <c r="F737" s="64">
        <f>14.6396 * CHOOSE(CONTROL!$C$22, $C$13, 100%, $E$13)</f>
        <v>14.6396</v>
      </c>
      <c r="G737" s="64">
        <f>14.6411 * CHOOSE(CONTROL!$C$22, $C$13, 100%, $E$13)</f>
        <v>14.6411</v>
      </c>
      <c r="H737" s="64">
        <f>24.1244* CHOOSE(CONTROL!$C$22, $C$13, 100%, $E$13)</f>
        <v>24.124400000000001</v>
      </c>
      <c r="I737" s="64">
        <f>24.126 * CHOOSE(CONTROL!$C$22, $C$13, 100%, $E$13)</f>
        <v>24.126000000000001</v>
      </c>
      <c r="J737" s="64">
        <f>14.6396 * CHOOSE(CONTROL!$C$22, $C$13, 100%, $E$13)</f>
        <v>14.6396</v>
      </c>
      <c r="K737" s="64">
        <f>14.6411 * CHOOSE(CONTROL!$C$22, $C$13, 100%, $E$13)</f>
        <v>14.6411</v>
      </c>
    </row>
    <row r="738" spans="1:11" ht="15">
      <c r="A738" s="13">
        <v>64101</v>
      </c>
      <c r="B738" s="63">
        <f>12.6003 * CHOOSE(CONTROL!$C$22, $C$13, 100%, $E$13)</f>
        <v>12.600300000000001</v>
      </c>
      <c r="C738" s="63">
        <f>12.6003 * CHOOSE(CONTROL!$C$22, $C$13, 100%, $E$13)</f>
        <v>12.600300000000001</v>
      </c>
      <c r="D738" s="63">
        <f>12.6247 * CHOOSE(CONTROL!$C$22, $C$13, 100%, $E$13)</f>
        <v>12.624700000000001</v>
      </c>
      <c r="E738" s="64">
        <f>14.9196 * CHOOSE(CONTROL!$C$22, $C$13, 100%, $E$13)</f>
        <v>14.919600000000001</v>
      </c>
      <c r="F738" s="64">
        <f>14.9196 * CHOOSE(CONTROL!$C$22, $C$13, 100%, $E$13)</f>
        <v>14.919600000000001</v>
      </c>
      <c r="G738" s="64">
        <f>14.9212 * CHOOSE(CONTROL!$C$22, $C$13, 100%, $E$13)</f>
        <v>14.921200000000001</v>
      </c>
      <c r="H738" s="64">
        <f>24.1747* CHOOSE(CONTROL!$C$22, $C$13, 100%, $E$13)</f>
        <v>24.174700000000001</v>
      </c>
      <c r="I738" s="64">
        <f>24.1762 * CHOOSE(CONTROL!$C$22, $C$13, 100%, $E$13)</f>
        <v>24.176200000000001</v>
      </c>
      <c r="J738" s="64">
        <f>14.9196 * CHOOSE(CONTROL!$C$22, $C$13, 100%, $E$13)</f>
        <v>14.919600000000001</v>
      </c>
      <c r="K738" s="64">
        <f>14.9212 * CHOOSE(CONTROL!$C$22, $C$13, 100%, $E$13)</f>
        <v>14.921200000000001</v>
      </c>
    </row>
    <row r="739" spans="1:11" ht="15">
      <c r="A739" s="13">
        <v>64132</v>
      </c>
      <c r="B739" s="63">
        <f>12.607 * CHOOSE(CONTROL!$C$22, $C$13, 100%, $E$13)</f>
        <v>12.606999999999999</v>
      </c>
      <c r="C739" s="63">
        <f>12.607 * CHOOSE(CONTROL!$C$22, $C$13, 100%, $E$13)</f>
        <v>12.606999999999999</v>
      </c>
      <c r="D739" s="63">
        <f>12.6314 * CHOOSE(CONTROL!$C$22, $C$13, 100%, $E$13)</f>
        <v>12.631399999999999</v>
      </c>
      <c r="E739" s="64">
        <f>14.7728 * CHOOSE(CONTROL!$C$22, $C$13, 100%, $E$13)</f>
        <v>14.7728</v>
      </c>
      <c r="F739" s="64">
        <f>14.7728 * CHOOSE(CONTROL!$C$22, $C$13, 100%, $E$13)</f>
        <v>14.7728</v>
      </c>
      <c r="G739" s="64">
        <f>14.7743 * CHOOSE(CONTROL!$C$22, $C$13, 100%, $E$13)</f>
        <v>14.7743</v>
      </c>
      <c r="H739" s="64">
        <f>24.225* CHOOSE(CONTROL!$C$22, $C$13, 100%, $E$13)</f>
        <v>24.225000000000001</v>
      </c>
      <c r="I739" s="64">
        <f>24.2266 * CHOOSE(CONTROL!$C$22, $C$13, 100%, $E$13)</f>
        <v>24.226600000000001</v>
      </c>
      <c r="J739" s="64">
        <f>14.7728 * CHOOSE(CONTROL!$C$22, $C$13, 100%, $E$13)</f>
        <v>14.7728</v>
      </c>
      <c r="K739" s="64">
        <f>14.7743 * CHOOSE(CONTROL!$C$22, $C$13, 100%, $E$13)</f>
        <v>14.7743</v>
      </c>
    </row>
    <row r="740" spans="1:11" ht="15">
      <c r="A740" s="13">
        <v>64163</v>
      </c>
      <c r="B740" s="63">
        <f>12.6039 * CHOOSE(CONTROL!$C$22, $C$13, 100%, $E$13)</f>
        <v>12.603899999999999</v>
      </c>
      <c r="C740" s="63">
        <f>12.6039 * CHOOSE(CONTROL!$C$22, $C$13, 100%, $E$13)</f>
        <v>12.603899999999999</v>
      </c>
      <c r="D740" s="63">
        <f>12.6284 * CHOOSE(CONTROL!$C$22, $C$13, 100%, $E$13)</f>
        <v>12.628399999999999</v>
      </c>
      <c r="E740" s="64">
        <f>14.7538 * CHOOSE(CONTROL!$C$22, $C$13, 100%, $E$13)</f>
        <v>14.7538</v>
      </c>
      <c r="F740" s="64">
        <f>14.7538 * CHOOSE(CONTROL!$C$22, $C$13, 100%, $E$13)</f>
        <v>14.7538</v>
      </c>
      <c r="G740" s="64">
        <f>14.7554 * CHOOSE(CONTROL!$C$22, $C$13, 100%, $E$13)</f>
        <v>14.7554</v>
      </c>
      <c r="H740" s="64">
        <f>24.2755* CHOOSE(CONTROL!$C$22, $C$13, 100%, $E$13)</f>
        <v>24.275500000000001</v>
      </c>
      <c r="I740" s="64">
        <f>24.2771 * CHOOSE(CONTROL!$C$22, $C$13, 100%, $E$13)</f>
        <v>24.277100000000001</v>
      </c>
      <c r="J740" s="64">
        <f>14.7538 * CHOOSE(CONTROL!$C$22, $C$13, 100%, $E$13)</f>
        <v>14.7538</v>
      </c>
      <c r="K740" s="64">
        <f>14.7554 * CHOOSE(CONTROL!$C$22, $C$13, 100%, $E$13)</f>
        <v>14.7554</v>
      </c>
    </row>
    <row r="741" spans="1:11" ht="15">
      <c r="A741" s="13">
        <v>64193</v>
      </c>
      <c r="B741" s="63">
        <f>12.6274 * CHOOSE(CONTROL!$C$22, $C$13, 100%, $E$13)</f>
        <v>12.6274</v>
      </c>
      <c r="C741" s="63">
        <f>12.6274 * CHOOSE(CONTROL!$C$22, $C$13, 100%, $E$13)</f>
        <v>12.6274</v>
      </c>
      <c r="D741" s="63">
        <f>12.6396 * CHOOSE(CONTROL!$C$22, $C$13, 100%, $E$13)</f>
        <v>12.6396</v>
      </c>
      <c r="E741" s="64">
        <f>14.8077 * CHOOSE(CONTROL!$C$22, $C$13, 100%, $E$13)</f>
        <v>14.807700000000001</v>
      </c>
      <c r="F741" s="64">
        <f>14.8077 * CHOOSE(CONTROL!$C$22, $C$13, 100%, $E$13)</f>
        <v>14.807700000000001</v>
      </c>
      <c r="G741" s="64">
        <f>14.8079 * CHOOSE(CONTROL!$C$22, $C$13, 100%, $E$13)</f>
        <v>14.8079</v>
      </c>
      <c r="H741" s="64">
        <f>24.3261* CHOOSE(CONTROL!$C$22, $C$13, 100%, $E$13)</f>
        <v>24.3261</v>
      </c>
      <c r="I741" s="64">
        <f>24.3263 * CHOOSE(CONTROL!$C$22, $C$13, 100%, $E$13)</f>
        <v>24.3263</v>
      </c>
      <c r="J741" s="64">
        <f>14.8077 * CHOOSE(CONTROL!$C$22, $C$13, 100%, $E$13)</f>
        <v>14.807700000000001</v>
      </c>
      <c r="K741" s="64">
        <f>14.8079 * CHOOSE(CONTROL!$C$22, $C$13, 100%, $E$13)</f>
        <v>14.8079</v>
      </c>
    </row>
    <row r="742" spans="1:11" ht="15">
      <c r="A742" s="13">
        <v>64224</v>
      </c>
      <c r="B742" s="63">
        <f>12.6304 * CHOOSE(CONTROL!$C$22, $C$13, 100%, $E$13)</f>
        <v>12.6304</v>
      </c>
      <c r="C742" s="63">
        <f>12.6304 * CHOOSE(CONTROL!$C$22, $C$13, 100%, $E$13)</f>
        <v>12.6304</v>
      </c>
      <c r="D742" s="63">
        <f>12.6426 * CHOOSE(CONTROL!$C$22, $C$13, 100%, $E$13)</f>
        <v>12.6426</v>
      </c>
      <c r="E742" s="64">
        <f>14.8435 * CHOOSE(CONTROL!$C$22, $C$13, 100%, $E$13)</f>
        <v>14.843500000000001</v>
      </c>
      <c r="F742" s="64">
        <f>14.8435 * CHOOSE(CONTROL!$C$22, $C$13, 100%, $E$13)</f>
        <v>14.843500000000001</v>
      </c>
      <c r="G742" s="64">
        <f>14.8437 * CHOOSE(CONTROL!$C$22, $C$13, 100%, $E$13)</f>
        <v>14.8437</v>
      </c>
      <c r="H742" s="64">
        <f>24.3768* CHOOSE(CONTROL!$C$22, $C$13, 100%, $E$13)</f>
        <v>24.376799999999999</v>
      </c>
      <c r="I742" s="64">
        <f>24.3769 * CHOOSE(CONTROL!$C$22, $C$13, 100%, $E$13)</f>
        <v>24.376899999999999</v>
      </c>
      <c r="J742" s="64">
        <f>14.8435 * CHOOSE(CONTROL!$C$22, $C$13, 100%, $E$13)</f>
        <v>14.843500000000001</v>
      </c>
      <c r="K742" s="64">
        <f>14.8437 * CHOOSE(CONTROL!$C$22, $C$13, 100%, $E$13)</f>
        <v>14.8437</v>
      </c>
    </row>
    <row r="743" spans="1:11" ht="15">
      <c r="A743" s="13">
        <v>64254</v>
      </c>
      <c r="B743" s="63">
        <f>12.6304 * CHOOSE(CONTROL!$C$22, $C$13, 100%, $E$13)</f>
        <v>12.6304</v>
      </c>
      <c r="C743" s="63">
        <f>12.6304 * CHOOSE(CONTROL!$C$22, $C$13, 100%, $E$13)</f>
        <v>12.6304</v>
      </c>
      <c r="D743" s="63">
        <f>12.6426 * CHOOSE(CONTROL!$C$22, $C$13, 100%, $E$13)</f>
        <v>12.6426</v>
      </c>
      <c r="E743" s="64">
        <f>14.7593 * CHOOSE(CONTROL!$C$22, $C$13, 100%, $E$13)</f>
        <v>14.7593</v>
      </c>
      <c r="F743" s="64">
        <f>14.7593 * CHOOSE(CONTROL!$C$22, $C$13, 100%, $E$13)</f>
        <v>14.7593</v>
      </c>
      <c r="G743" s="64">
        <f>14.7595 * CHOOSE(CONTROL!$C$22, $C$13, 100%, $E$13)</f>
        <v>14.759499999999999</v>
      </c>
      <c r="H743" s="64">
        <f>24.4275* CHOOSE(CONTROL!$C$22, $C$13, 100%, $E$13)</f>
        <v>24.427499999999998</v>
      </c>
      <c r="I743" s="64">
        <f>24.4277 * CHOOSE(CONTROL!$C$22, $C$13, 100%, $E$13)</f>
        <v>24.427700000000002</v>
      </c>
      <c r="J743" s="64">
        <f>14.7593 * CHOOSE(CONTROL!$C$22, $C$13, 100%, $E$13)</f>
        <v>14.7593</v>
      </c>
      <c r="K743" s="64">
        <f>14.7595 * CHOOSE(CONTROL!$C$22, $C$13, 100%, $E$13)</f>
        <v>14.759499999999999</v>
      </c>
    </row>
    <row r="744" spans="1:11" ht="15">
      <c r="A744" s="13">
        <v>64285</v>
      </c>
      <c r="B744" s="63">
        <f>12.6449 * CHOOSE(CONTROL!$C$22, $C$13, 100%, $E$13)</f>
        <v>12.6449</v>
      </c>
      <c r="C744" s="63">
        <f>12.6449 * CHOOSE(CONTROL!$C$22, $C$13, 100%, $E$13)</f>
        <v>12.6449</v>
      </c>
      <c r="D744" s="63">
        <f>12.6571 * CHOOSE(CONTROL!$C$22, $C$13, 100%, $E$13)</f>
        <v>12.6571</v>
      </c>
      <c r="E744" s="64">
        <f>14.8352 * CHOOSE(CONTROL!$C$22, $C$13, 100%, $E$13)</f>
        <v>14.8352</v>
      </c>
      <c r="F744" s="64">
        <f>14.8352 * CHOOSE(CONTROL!$C$22, $C$13, 100%, $E$13)</f>
        <v>14.8352</v>
      </c>
      <c r="G744" s="64">
        <f>14.8354 * CHOOSE(CONTROL!$C$22, $C$13, 100%, $E$13)</f>
        <v>14.8354</v>
      </c>
      <c r="H744" s="64">
        <f>24.3206* CHOOSE(CONTROL!$C$22, $C$13, 100%, $E$13)</f>
        <v>24.320599999999999</v>
      </c>
      <c r="I744" s="64">
        <f>24.3207 * CHOOSE(CONTROL!$C$22, $C$13, 100%, $E$13)</f>
        <v>24.320699999999999</v>
      </c>
      <c r="J744" s="64">
        <f>14.8352 * CHOOSE(CONTROL!$C$22, $C$13, 100%, $E$13)</f>
        <v>14.8352</v>
      </c>
      <c r="K744" s="64">
        <f>14.8354 * CHOOSE(CONTROL!$C$22, $C$13, 100%, $E$13)</f>
        <v>14.8354</v>
      </c>
    </row>
    <row r="745" spans="1:11" ht="15">
      <c r="A745" s="13">
        <v>64316</v>
      </c>
      <c r="B745" s="63">
        <f>12.6419 * CHOOSE(CONTROL!$C$22, $C$13, 100%, $E$13)</f>
        <v>12.6419</v>
      </c>
      <c r="C745" s="63">
        <f>12.6419 * CHOOSE(CONTROL!$C$22, $C$13, 100%, $E$13)</f>
        <v>12.6419</v>
      </c>
      <c r="D745" s="63">
        <f>12.6541 * CHOOSE(CONTROL!$C$22, $C$13, 100%, $E$13)</f>
        <v>12.6541</v>
      </c>
      <c r="E745" s="64">
        <f>14.6708 * CHOOSE(CONTROL!$C$22, $C$13, 100%, $E$13)</f>
        <v>14.6708</v>
      </c>
      <c r="F745" s="64">
        <f>14.6708 * CHOOSE(CONTROL!$C$22, $C$13, 100%, $E$13)</f>
        <v>14.6708</v>
      </c>
      <c r="G745" s="64">
        <f>14.6709 * CHOOSE(CONTROL!$C$22, $C$13, 100%, $E$13)</f>
        <v>14.6709</v>
      </c>
      <c r="H745" s="64">
        <f>24.3712* CHOOSE(CONTROL!$C$22, $C$13, 100%, $E$13)</f>
        <v>24.371200000000002</v>
      </c>
      <c r="I745" s="64">
        <f>24.3714 * CHOOSE(CONTROL!$C$22, $C$13, 100%, $E$13)</f>
        <v>24.371400000000001</v>
      </c>
      <c r="J745" s="64">
        <f>14.6708 * CHOOSE(CONTROL!$C$22, $C$13, 100%, $E$13)</f>
        <v>14.6708</v>
      </c>
      <c r="K745" s="64">
        <f>14.6709 * CHOOSE(CONTROL!$C$22, $C$13, 100%, $E$13)</f>
        <v>14.6709</v>
      </c>
    </row>
    <row r="746" spans="1:11" ht="15">
      <c r="A746" s="13">
        <v>64345</v>
      </c>
      <c r="B746" s="63">
        <f>12.6388 * CHOOSE(CONTROL!$C$22, $C$13, 100%, $E$13)</f>
        <v>12.6388</v>
      </c>
      <c r="C746" s="63">
        <f>12.6388 * CHOOSE(CONTROL!$C$22, $C$13, 100%, $E$13)</f>
        <v>12.6388</v>
      </c>
      <c r="D746" s="63">
        <f>12.651 * CHOOSE(CONTROL!$C$22, $C$13, 100%, $E$13)</f>
        <v>12.651</v>
      </c>
      <c r="E746" s="64">
        <f>14.7966 * CHOOSE(CONTROL!$C$22, $C$13, 100%, $E$13)</f>
        <v>14.7966</v>
      </c>
      <c r="F746" s="64">
        <f>14.7966 * CHOOSE(CONTROL!$C$22, $C$13, 100%, $E$13)</f>
        <v>14.7966</v>
      </c>
      <c r="G746" s="64">
        <f>14.7968 * CHOOSE(CONTROL!$C$22, $C$13, 100%, $E$13)</f>
        <v>14.796799999999999</v>
      </c>
      <c r="H746" s="64">
        <f>24.422* CHOOSE(CONTROL!$C$22, $C$13, 100%, $E$13)</f>
        <v>24.422000000000001</v>
      </c>
      <c r="I746" s="64">
        <f>24.4222 * CHOOSE(CONTROL!$C$22, $C$13, 100%, $E$13)</f>
        <v>24.4222</v>
      </c>
      <c r="J746" s="64">
        <f>14.7966 * CHOOSE(CONTROL!$C$22, $C$13, 100%, $E$13)</f>
        <v>14.7966</v>
      </c>
      <c r="K746" s="64">
        <f>14.7968 * CHOOSE(CONTROL!$C$22, $C$13, 100%, $E$13)</f>
        <v>14.796799999999999</v>
      </c>
    </row>
    <row r="747" spans="1:11" ht="15">
      <c r="A747" s="13">
        <v>64376</v>
      </c>
      <c r="B747" s="63">
        <f>12.6439 * CHOOSE(CONTROL!$C$22, $C$13, 100%, $E$13)</f>
        <v>12.6439</v>
      </c>
      <c r="C747" s="63">
        <f>12.6439 * CHOOSE(CONTROL!$C$22, $C$13, 100%, $E$13)</f>
        <v>12.6439</v>
      </c>
      <c r="D747" s="63">
        <f>12.6561 * CHOOSE(CONTROL!$C$22, $C$13, 100%, $E$13)</f>
        <v>12.6561</v>
      </c>
      <c r="E747" s="64">
        <f>14.9298 * CHOOSE(CONTROL!$C$22, $C$13, 100%, $E$13)</f>
        <v>14.9298</v>
      </c>
      <c r="F747" s="64">
        <f>14.9298 * CHOOSE(CONTROL!$C$22, $C$13, 100%, $E$13)</f>
        <v>14.9298</v>
      </c>
      <c r="G747" s="64">
        <f>14.93 * CHOOSE(CONTROL!$C$22, $C$13, 100%, $E$13)</f>
        <v>14.93</v>
      </c>
      <c r="H747" s="64">
        <f>24.4729* CHOOSE(CONTROL!$C$22, $C$13, 100%, $E$13)</f>
        <v>24.472899999999999</v>
      </c>
      <c r="I747" s="64">
        <f>24.4731 * CHOOSE(CONTROL!$C$22, $C$13, 100%, $E$13)</f>
        <v>24.473099999999999</v>
      </c>
      <c r="J747" s="64">
        <f>14.9298 * CHOOSE(CONTROL!$C$22, $C$13, 100%, $E$13)</f>
        <v>14.9298</v>
      </c>
      <c r="K747" s="64">
        <f>14.93 * CHOOSE(CONTROL!$C$22, $C$13, 100%, $E$13)</f>
        <v>14.93</v>
      </c>
    </row>
    <row r="748" spans="1:11" ht="15">
      <c r="A748" s="13">
        <v>64406</v>
      </c>
      <c r="B748" s="63">
        <f>12.6439 * CHOOSE(CONTROL!$C$22, $C$13, 100%, $E$13)</f>
        <v>12.6439</v>
      </c>
      <c r="C748" s="63">
        <f>12.6439 * CHOOSE(CONTROL!$C$22, $C$13, 100%, $E$13)</f>
        <v>12.6439</v>
      </c>
      <c r="D748" s="63">
        <f>12.6683 * CHOOSE(CONTROL!$C$22, $C$13, 100%, $E$13)</f>
        <v>12.6683</v>
      </c>
      <c r="E748" s="64">
        <f>14.9813 * CHOOSE(CONTROL!$C$22, $C$13, 100%, $E$13)</f>
        <v>14.981299999999999</v>
      </c>
      <c r="F748" s="64">
        <f>14.9813 * CHOOSE(CONTROL!$C$22, $C$13, 100%, $E$13)</f>
        <v>14.981299999999999</v>
      </c>
      <c r="G748" s="64">
        <f>14.9829 * CHOOSE(CONTROL!$C$22, $C$13, 100%, $E$13)</f>
        <v>14.982900000000001</v>
      </c>
      <c r="H748" s="64">
        <f>24.5239* CHOOSE(CONTROL!$C$22, $C$13, 100%, $E$13)</f>
        <v>24.523900000000001</v>
      </c>
      <c r="I748" s="64">
        <f>24.5254 * CHOOSE(CONTROL!$C$22, $C$13, 100%, $E$13)</f>
        <v>24.525400000000001</v>
      </c>
      <c r="J748" s="64">
        <f>14.9813 * CHOOSE(CONTROL!$C$22, $C$13, 100%, $E$13)</f>
        <v>14.981299999999999</v>
      </c>
      <c r="K748" s="64">
        <f>14.9829 * CHOOSE(CONTROL!$C$22, $C$13, 100%, $E$13)</f>
        <v>14.982900000000001</v>
      </c>
    </row>
    <row r="749" spans="1:11" ht="15">
      <c r="A749" s="13">
        <v>64437</v>
      </c>
      <c r="B749" s="63">
        <f>12.65 * CHOOSE(CONTROL!$C$22, $C$13, 100%, $E$13)</f>
        <v>12.65</v>
      </c>
      <c r="C749" s="63">
        <f>12.65 * CHOOSE(CONTROL!$C$22, $C$13, 100%, $E$13)</f>
        <v>12.65</v>
      </c>
      <c r="D749" s="63">
        <f>12.6744 * CHOOSE(CONTROL!$C$22, $C$13, 100%, $E$13)</f>
        <v>12.6744</v>
      </c>
      <c r="E749" s="64">
        <f>14.934 * CHOOSE(CONTROL!$C$22, $C$13, 100%, $E$13)</f>
        <v>14.933999999999999</v>
      </c>
      <c r="F749" s="64">
        <f>14.934 * CHOOSE(CONTROL!$C$22, $C$13, 100%, $E$13)</f>
        <v>14.933999999999999</v>
      </c>
      <c r="G749" s="64">
        <f>14.9356 * CHOOSE(CONTROL!$C$22, $C$13, 100%, $E$13)</f>
        <v>14.935600000000001</v>
      </c>
      <c r="H749" s="64">
        <f>24.575* CHOOSE(CONTROL!$C$22, $C$13, 100%, $E$13)</f>
        <v>24.574999999999999</v>
      </c>
      <c r="I749" s="64">
        <f>24.5765 * CHOOSE(CONTROL!$C$22, $C$13, 100%, $E$13)</f>
        <v>24.576499999999999</v>
      </c>
      <c r="J749" s="64">
        <f>14.934 * CHOOSE(CONTROL!$C$22, $C$13, 100%, $E$13)</f>
        <v>14.933999999999999</v>
      </c>
      <c r="K749" s="64">
        <f>14.9356 * CHOOSE(CONTROL!$C$22, $C$13, 100%, $E$13)</f>
        <v>14.935600000000001</v>
      </c>
    </row>
    <row r="750" spans="1:11" ht="15">
      <c r="A750" s="13">
        <v>64467</v>
      </c>
      <c r="B750" s="63">
        <f>12.8495 * CHOOSE(CONTROL!$C$22, $C$13, 100%, $E$13)</f>
        <v>12.849500000000001</v>
      </c>
      <c r="C750" s="63">
        <f>12.8495 * CHOOSE(CONTROL!$C$22, $C$13, 100%, $E$13)</f>
        <v>12.849500000000001</v>
      </c>
      <c r="D750" s="63">
        <f>12.8739 * CHOOSE(CONTROL!$C$22, $C$13, 100%, $E$13)</f>
        <v>12.873900000000001</v>
      </c>
      <c r="E750" s="64">
        <f>15.2195 * CHOOSE(CONTROL!$C$22, $C$13, 100%, $E$13)</f>
        <v>15.2195</v>
      </c>
      <c r="F750" s="64">
        <f>15.2195 * CHOOSE(CONTROL!$C$22, $C$13, 100%, $E$13)</f>
        <v>15.2195</v>
      </c>
      <c r="G750" s="64">
        <f>15.2211 * CHOOSE(CONTROL!$C$22, $C$13, 100%, $E$13)</f>
        <v>15.2211</v>
      </c>
      <c r="H750" s="64">
        <f>24.6262* CHOOSE(CONTROL!$C$22, $C$13, 100%, $E$13)</f>
        <v>24.626200000000001</v>
      </c>
      <c r="I750" s="64">
        <f>24.6277 * CHOOSE(CONTROL!$C$22, $C$13, 100%, $E$13)</f>
        <v>24.627700000000001</v>
      </c>
      <c r="J750" s="64">
        <f>15.2195 * CHOOSE(CONTROL!$C$22, $C$13, 100%, $E$13)</f>
        <v>15.2195</v>
      </c>
      <c r="K750" s="64">
        <f>15.2211 * CHOOSE(CONTROL!$C$22, $C$13, 100%, $E$13)</f>
        <v>15.2211</v>
      </c>
    </row>
    <row r="751" spans="1:11" ht="15">
      <c r="A751" s="13">
        <v>64498</v>
      </c>
      <c r="B751" s="63">
        <f>12.8562 * CHOOSE(CONTROL!$C$22, $C$13, 100%, $E$13)</f>
        <v>12.856199999999999</v>
      </c>
      <c r="C751" s="63">
        <f>12.8562 * CHOOSE(CONTROL!$C$22, $C$13, 100%, $E$13)</f>
        <v>12.856199999999999</v>
      </c>
      <c r="D751" s="63">
        <f>12.8806 * CHOOSE(CONTROL!$C$22, $C$13, 100%, $E$13)</f>
        <v>12.880599999999999</v>
      </c>
      <c r="E751" s="64">
        <f>15.0696 * CHOOSE(CONTROL!$C$22, $C$13, 100%, $E$13)</f>
        <v>15.069599999999999</v>
      </c>
      <c r="F751" s="64">
        <f>15.0696 * CHOOSE(CONTROL!$C$22, $C$13, 100%, $E$13)</f>
        <v>15.069599999999999</v>
      </c>
      <c r="G751" s="64">
        <f>15.0711 * CHOOSE(CONTROL!$C$22, $C$13, 100%, $E$13)</f>
        <v>15.071099999999999</v>
      </c>
      <c r="H751" s="64">
        <f>24.6775* CHOOSE(CONTROL!$C$22, $C$13, 100%, $E$13)</f>
        <v>24.677499999999998</v>
      </c>
      <c r="I751" s="64">
        <f>24.679 * CHOOSE(CONTROL!$C$22, $C$13, 100%, $E$13)</f>
        <v>24.678999999999998</v>
      </c>
      <c r="J751" s="64">
        <f>15.0696 * CHOOSE(CONTROL!$C$22, $C$13, 100%, $E$13)</f>
        <v>15.069599999999999</v>
      </c>
      <c r="K751" s="64">
        <f>15.0711 * CHOOSE(CONTROL!$C$22, $C$13, 100%, $E$13)</f>
        <v>15.071099999999999</v>
      </c>
    </row>
    <row r="752" spans="1:11" ht="15">
      <c r="A752" s="13">
        <v>64529</v>
      </c>
      <c r="B752" s="63">
        <f>12.8532 * CHOOSE(CONTROL!$C$22, $C$13, 100%, $E$13)</f>
        <v>12.853199999999999</v>
      </c>
      <c r="C752" s="63">
        <f>12.8532 * CHOOSE(CONTROL!$C$22, $C$13, 100%, $E$13)</f>
        <v>12.853199999999999</v>
      </c>
      <c r="D752" s="63">
        <f>12.8776 * CHOOSE(CONTROL!$C$22, $C$13, 100%, $E$13)</f>
        <v>12.877599999999999</v>
      </c>
      <c r="E752" s="64">
        <f>15.0503 * CHOOSE(CONTROL!$C$22, $C$13, 100%, $E$13)</f>
        <v>15.0503</v>
      </c>
      <c r="F752" s="64">
        <f>15.0503 * CHOOSE(CONTROL!$C$22, $C$13, 100%, $E$13)</f>
        <v>15.0503</v>
      </c>
      <c r="G752" s="64">
        <f>15.0518 * CHOOSE(CONTROL!$C$22, $C$13, 100%, $E$13)</f>
        <v>15.0518</v>
      </c>
      <c r="H752" s="64">
        <f>24.7289* CHOOSE(CONTROL!$C$22, $C$13, 100%, $E$13)</f>
        <v>24.728899999999999</v>
      </c>
      <c r="I752" s="64">
        <f>24.7304 * CHOOSE(CONTROL!$C$22, $C$13, 100%, $E$13)</f>
        <v>24.730399999999999</v>
      </c>
      <c r="J752" s="64">
        <f>15.0503 * CHOOSE(CONTROL!$C$22, $C$13, 100%, $E$13)</f>
        <v>15.0503</v>
      </c>
      <c r="K752" s="64">
        <f>15.0518 * CHOOSE(CONTROL!$C$22, $C$13, 100%, $E$13)</f>
        <v>15.0518</v>
      </c>
    </row>
    <row r="753" spans="1:11" ht="15">
      <c r="A753" s="13">
        <v>64559</v>
      </c>
      <c r="B753" s="63">
        <f>12.8774 * CHOOSE(CONTROL!$C$22, $C$13, 100%, $E$13)</f>
        <v>12.8774</v>
      </c>
      <c r="C753" s="63">
        <f>12.8774 * CHOOSE(CONTROL!$C$22, $C$13, 100%, $E$13)</f>
        <v>12.8774</v>
      </c>
      <c r="D753" s="63">
        <f>12.8896 * CHOOSE(CONTROL!$C$22, $C$13, 100%, $E$13)</f>
        <v>12.8896</v>
      </c>
      <c r="E753" s="64">
        <f>15.1056 * CHOOSE(CONTROL!$C$22, $C$13, 100%, $E$13)</f>
        <v>15.105600000000001</v>
      </c>
      <c r="F753" s="64">
        <f>15.1056 * CHOOSE(CONTROL!$C$22, $C$13, 100%, $E$13)</f>
        <v>15.105600000000001</v>
      </c>
      <c r="G753" s="64">
        <f>15.1058 * CHOOSE(CONTROL!$C$22, $C$13, 100%, $E$13)</f>
        <v>15.1058</v>
      </c>
      <c r="H753" s="64">
        <f>24.7804* CHOOSE(CONTROL!$C$22, $C$13, 100%, $E$13)</f>
        <v>24.7804</v>
      </c>
      <c r="I753" s="64">
        <f>24.7806 * CHOOSE(CONTROL!$C$22, $C$13, 100%, $E$13)</f>
        <v>24.7806</v>
      </c>
      <c r="J753" s="64">
        <f>15.1056 * CHOOSE(CONTROL!$C$22, $C$13, 100%, $E$13)</f>
        <v>15.105600000000001</v>
      </c>
      <c r="K753" s="64">
        <f>15.1058 * CHOOSE(CONTROL!$C$22, $C$13, 100%, $E$13)</f>
        <v>15.1058</v>
      </c>
    </row>
    <row r="754" spans="1:11" ht="15">
      <c r="A754" s="13">
        <v>64590</v>
      </c>
      <c r="B754" s="63">
        <f>12.8804 * CHOOSE(CONTROL!$C$22, $C$13, 100%, $E$13)</f>
        <v>12.8804</v>
      </c>
      <c r="C754" s="63">
        <f>12.8804 * CHOOSE(CONTROL!$C$22, $C$13, 100%, $E$13)</f>
        <v>12.8804</v>
      </c>
      <c r="D754" s="63">
        <f>12.8926 * CHOOSE(CONTROL!$C$22, $C$13, 100%, $E$13)</f>
        <v>12.8926</v>
      </c>
      <c r="E754" s="64">
        <f>15.1421 * CHOOSE(CONTROL!$C$22, $C$13, 100%, $E$13)</f>
        <v>15.142099999999999</v>
      </c>
      <c r="F754" s="64">
        <f>15.1421 * CHOOSE(CONTROL!$C$22, $C$13, 100%, $E$13)</f>
        <v>15.142099999999999</v>
      </c>
      <c r="G754" s="64">
        <f>15.1422 * CHOOSE(CONTROL!$C$22, $C$13, 100%, $E$13)</f>
        <v>15.142200000000001</v>
      </c>
      <c r="H754" s="64">
        <f>24.832* CHOOSE(CONTROL!$C$22, $C$13, 100%, $E$13)</f>
        <v>24.832000000000001</v>
      </c>
      <c r="I754" s="64">
        <f>24.8322 * CHOOSE(CONTROL!$C$22, $C$13, 100%, $E$13)</f>
        <v>24.8322</v>
      </c>
      <c r="J754" s="64">
        <f>15.1421 * CHOOSE(CONTROL!$C$22, $C$13, 100%, $E$13)</f>
        <v>15.142099999999999</v>
      </c>
      <c r="K754" s="64">
        <f>15.1422 * CHOOSE(CONTROL!$C$22, $C$13, 100%, $E$13)</f>
        <v>15.142200000000001</v>
      </c>
    </row>
    <row r="755" spans="1:11" ht="15">
      <c r="A755" s="13">
        <v>64620</v>
      </c>
      <c r="B755" s="63">
        <f>12.8804 * CHOOSE(CONTROL!$C$22, $C$13, 100%, $E$13)</f>
        <v>12.8804</v>
      </c>
      <c r="C755" s="63">
        <f>12.8804 * CHOOSE(CONTROL!$C$22, $C$13, 100%, $E$13)</f>
        <v>12.8804</v>
      </c>
      <c r="D755" s="63">
        <f>12.8926 * CHOOSE(CONTROL!$C$22, $C$13, 100%, $E$13)</f>
        <v>12.8926</v>
      </c>
      <c r="E755" s="64">
        <f>15.0562 * CHOOSE(CONTROL!$C$22, $C$13, 100%, $E$13)</f>
        <v>15.0562</v>
      </c>
      <c r="F755" s="64">
        <f>15.0562 * CHOOSE(CONTROL!$C$22, $C$13, 100%, $E$13)</f>
        <v>15.0562</v>
      </c>
      <c r="G755" s="64">
        <f>15.0563 * CHOOSE(CONTROL!$C$22, $C$13, 100%, $E$13)</f>
        <v>15.0563</v>
      </c>
      <c r="H755" s="64">
        <f>24.8838* CHOOSE(CONTROL!$C$22, $C$13, 100%, $E$13)</f>
        <v>24.883800000000001</v>
      </c>
      <c r="I755" s="64">
        <f>24.8839 * CHOOSE(CONTROL!$C$22, $C$13, 100%, $E$13)</f>
        <v>24.883900000000001</v>
      </c>
      <c r="J755" s="64">
        <f>15.0562 * CHOOSE(CONTROL!$C$22, $C$13, 100%, $E$13)</f>
        <v>15.0562</v>
      </c>
      <c r="K755" s="64">
        <f>15.0563 * CHOOSE(CONTROL!$C$22, $C$13, 100%, $E$13)</f>
        <v>15.0563</v>
      </c>
    </row>
    <row r="756" spans="1:11" ht="15">
      <c r="A756" s="13">
        <v>64651</v>
      </c>
      <c r="B756" s="63">
        <f>12.8902 * CHOOSE(CONTROL!$C$22, $C$13, 100%, $E$13)</f>
        <v>12.8902</v>
      </c>
      <c r="C756" s="63">
        <f>12.8902 * CHOOSE(CONTROL!$C$22, $C$13, 100%, $E$13)</f>
        <v>12.8902</v>
      </c>
      <c r="D756" s="63">
        <f>12.9024 * CHOOSE(CONTROL!$C$22, $C$13, 100%, $E$13)</f>
        <v>12.9024</v>
      </c>
      <c r="E756" s="64">
        <f>15.1276 * CHOOSE(CONTROL!$C$22, $C$13, 100%, $E$13)</f>
        <v>15.127599999999999</v>
      </c>
      <c r="F756" s="64">
        <f>15.1276 * CHOOSE(CONTROL!$C$22, $C$13, 100%, $E$13)</f>
        <v>15.127599999999999</v>
      </c>
      <c r="G756" s="64">
        <f>15.1278 * CHOOSE(CONTROL!$C$22, $C$13, 100%, $E$13)</f>
        <v>15.127800000000001</v>
      </c>
      <c r="H756" s="64">
        <f>24.7665* CHOOSE(CONTROL!$C$22, $C$13, 100%, $E$13)</f>
        <v>24.766500000000001</v>
      </c>
      <c r="I756" s="64">
        <f>24.7666 * CHOOSE(CONTROL!$C$22, $C$13, 100%, $E$13)</f>
        <v>24.7666</v>
      </c>
      <c r="J756" s="64">
        <f>15.1276 * CHOOSE(CONTROL!$C$22, $C$13, 100%, $E$13)</f>
        <v>15.127599999999999</v>
      </c>
      <c r="K756" s="64">
        <f>15.1278 * CHOOSE(CONTROL!$C$22, $C$13, 100%, $E$13)</f>
        <v>15.127800000000001</v>
      </c>
    </row>
    <row r="757" spans="1:11" ht="15">
      <c r="A757" s="13">
        <v>64682</v>
      </c>
      <c r="B757" s="63">
        <f>12.8872 * CHOOSE(CONTROL!$C$22, $C$13, 100%, $E$13)</f>
        <v>12.8872</v>
      </c>
      <c r="C757" s="63">
        <f>12.8872 * CHOOSE(CONTROL!$C$22, $C$13, 100%, $E$13)</f>
        <v>12.8872</v>
      </c>
      <c r="D757" s="63">
        <f>12.8994 * CHOOSE(CONTROL!$C$22, $C$13, 100%, $E$13)</f>
        <v>12.8994</v>
      </c>
      <c r="E757" s="64">
        <f>14.96 * CHOOSE(CONTROL!$C$22, $C$13, 100%, $E$13)</f>
        <v>14.96</v>
      </c>
      <c r="F757" s="64">
        <f>14.96 * CHOOSE(CONTROL!$C$22, $C$13, 100%, $E$13)</f>
        <v>14.96</v>
      </c>
      <c r="G757" s="64">
        <f>14.9601 * CHOOSE(CONTROL!$C$22, $C$13, 100%, $E$13)</f>
        <v>14.960100000000001</v>
      </c>
      <c r="H757" s="64">
        <f>24.8181* CHOOSE(CONTROL!$C$22, $C$13, 100%, $E$13)</f>
        <v>24.818100000000001</v>
      </c>
      <c r="I757" s="64">
        <f>24.8182 * CHOOSE(CONTROL!$C$22, $C$13, 100%, $E$13)</f>
        <v>24.818200000000001</v>
      </c>
      <c r="J757" s="64">
        <f>14.96 * CHOOSE(CONTROL!$C$22, $C$13, 100%, $E$13)</f>
        <v>14.96</v>
      </c>
      <c r="K757" s="64">
        <f>14.9601 * CHOOSE(CONTROL!$C$22, $C$13, 100%, $E$13)</f>
        <v>14.960100000000001</v>
      </c>
    </row>
    <row r="758" spans="1:11" ht="15">
      <c r="A758" s="13">
        <v>64710</v>
      </c>
      <c r="B758" s="63">
        <f>12.8841 * CHOOSE(CONTROL!$C$22, $C$13, 100%, $E$13)</f>
        <v>12.8841</v>
      </c>
      <c r="C758" s="63">
        <f>12.8841 * CHOOSE(CONTROL!$C$22, $C$13, 100%, $E$13)</f>
        <v>12.8841</v>
      </c>
      <c r="D758" s="63">
        <f>12.8964 * CHOOSE(CONTROL!$C$22, $C$13, 100%, $E$13)</f>
        <v>12.8964</v>
      </c>
      <c r="E758" s="64">
        <f>15.0883 * CHOOSE(CONTROL!$C$22, $C$13, 100%, $E$13)</f>
        <v>15.0883</v>
      </c>
      <c r="F758" s="64">
        <f>15.0883 * CHOOSE(CONTROL!$C$22, $C$13, 100%, $E$13)</f>
        <v>15.0883</v>
      </c>
      <c r="G758" s="64">
        <f>15.0885 * CHOOSE(CONTROL!$C$22, $C$13, 100%, $E$13)</f>
        <v>15.0885</v>
      </c>
      <c r="H758" s="64">
        <f>24.8698* CHOOSE(CONTROL!$C$22, $C$13, 100%, $E$13)</f>
        <v>24.869800000000001</v>
      </c>
      <c r="I758" s="64">
        <f>24.8699 * CHOOSE(CONTROL!$C$22, $C$13, 100%, $E$13)</f>
        <v>24.869900000000001</v>
      </c>
      <c r="J758" s="64">
        <f>15.0883 * CHOOSE(CONTROL!$C$22, $C$13, 100%, $E$13)</f>
        <v>15.0883</v>
      </c>
      <c r="K758" s="64">
        <f>15.0885 * CHOOSE(CONTROL!$C$22, $C$13, 100%, $E$13)</f>
        <v>15.0885</v>
      </c>
    </row>
    <row r="759" spans="1:11" ht="15">
      <c r="A759" s="13">
        <v>64741</v>
      </c>
      <c r="B759" s="63">
        <f>12.8894 * CHOOSE(CONTROL!$C$22, $C$13, 100%, $E$13)</f>
        <v>12.8894</v>
      </c>
      <c r="C759" s="63">
        <f>12.8894 * CHOOSE(CONTROL!$C$22, $C$13, 100%, $E$13)</f>
        <v>12.8894</v>
      </c>
      <c r="D759" s="63">
        <f>12.9016 * CHOOSE(CONTROL!$C$22, $C$13, 100%, $E$13)</f>
        <v>12.9016</v>
      </c>
      <c r="E759" s="64">
        <f>15.2242 * CHOOSE(CONTROL!$C$22, $C$13, 100%, $E$13)</f>
        <v>15.2242</v>
      </c>
      <c r="F759" s="64">
        <f>15.2242 * CHOOSE(CONTROL!$C$22, $C$13, 100%, $E$13)</f>
        <v>15.2242</v>
      </c>
      <c r="G759" s="64">
        <f>15.2244 * CHOOSE(CONTROL!$C$22, $C$13, 100%, $E$13)</f>
        <v>15.224399999999999</v>
      </c>
      <c r="H759" s="64">
        <f>24.9216* CHOOSE(CONTROL!$C$22, $C$13, 100%, $E$13)</f>
        <v>24.921600000000002</v>
      </c>
      <c r="I759" s="64">
        <f>24.9217 * CHOOSE(CONTROL!$C$22, $C$13, 100%, $E$13)</f>
        <v>24.921700000000001</v>
      </c>
      <c r="J759" s="64">
        <f>15.2242 * CHOOSE(CONTROL!$C$22, $C$13, 100%, $E$13)</f>
        <v>15.2242</v>
      </c>
      <c r="K759" s="64">
        <f>15.2244 * CHOOSE(CONTROL!$C$22, $C$13, 100%, $E$13)</f>
        <v>15.224399999999999</v>
      </c>
    </row>
    <row r="760" spans="1:11" ht="15">
      <c r="A760" s="13">
        <v>64771</v>
      </c>
      <c r="B760" s="63">
        <f>12.8894 * CHOOSE(CONTROL!$C$22, $C$13, 100%, $E$13)</f>
        <v>12.8894</v>
      </c>
      <c r="C760" s="63">
        <f>12.8894 * CHOOSE(CONTROL!$C$22, $C$13, 100%, $E$13)</f>
        <v>12.8894</v>
      </c>
      <c r="D760" s="63">
        <f>12.9138 * CHOOSE(CONTROL!$C$22, $C$13, 100%, $E$13)</f>
        <v>12.9138</v>
      </c>
      <c r="E760" s="64">
        <f>15.2768 * CHOOSE(CONTROL!$C$22, $C$13, 100%, $E$13)</f>
        <v>15.2768</v>
      </c>
      <c r="F760" s="64">
        <f>15.2768 * CHOOSE(CONTROL!$C$22, $C$13, 100%, $E$13)</f>
        <v>15.2768</v>
      </c>
      <c r="G760" s="64">
        <f>15.2783 * CHOOSE(CONTROL!$C$22, $C$13, 100%, $E$13)</f>
        <v>15.2783</v>
      </c>
      <c r="H760" s="64">
        <f>24.9735* CHOOSE(CONTROL!$C$22, $C$13, 100%, $E$13)</f>
        <v>24.973500000000001</v>
      </c>
      <c r="I760" s="64">
        <f>24.9751 * CHOOSE(CONTROL!$C$22, $C$13, 100%, $E$13)</f>
        <v>24.975100000000001</v>
      </c>
      <c r="J760" s="64">
        <f>15.2768 * CHOOSE(CONTROL!$C$22, $C$13, 100%, $E$13)</f>
        <v>15.2768</v>
      </c>
      <c r="K760" s="64">
        <f>15.2783 * CHOOSE(CONTROL!$C$22, $C$13, 100%, $E$13)</f>
        <v>15.2783</v>
      </c>
    </row>
    <row r="761" spans="1:11" ht="15">
      <c r="A761" s="13">
        <v>64802</v>
      </c>
      <c r="B761" s="63">
        <f>12.8955 * CHOOSE(CONTROL!$C$22, $C$13, 100%, $E$13)</f>
        <v>12.8955</v>
      </c>
      <c r="C761" s="63">
        <f>12.8955 * CHOOSE(CONTROL!$C$22, $C$13, 100%, $E$13)</f>
        <v>12.8955</v>
      </c>
      <c r="D761" s="63">
        <f>12.9199 * CHOOSE(CONTROL!$C$22, $C$13, 100%, $E$13)</f>
        <v>12.9199</v>
      </c>
      <c r="E761" s="64">
        <f>15.2285 * CHOOSE(CONTROL!$C$22, $C$13, 100%, $E$13)</f>
        <v>15.2285</v>
      </c>
      <c r="F761" s="64">
        <f>15.2285 * CHOOSE(CONTROL!$C$22, $C$13, 100%, $E$13)</f>
        <v>15.2285</v>
      </c>
      <c r="G761" s="64">
        <f>15.23 * CHOOSE(CONTROL!$C$22, $C$13, 100%, $E$13)</f>
        <v>15.23</v>
      </c>
      <c r="H761" s="64">
        <f>25.0255* CHOOSE(CONTROL!$C$22, $C$13, 100%, $E$13)</f>
        <v>25.025500000000001</v>
      </c>
      <c r="I761" s="64">
        <f>25.0271 * CHOOSE(CONTROL!$C$22, $C$13, 100%, $E$13)</f>
        <v>25.027100000000001</v>
      </c>
      <c r="J761" s="64">
        <f>15.2285 * CHOOSE(CONTROL!$C$22, $C$13, 100%, $E$13)</f>
        <v>15.2285</v>
      </c>
      <c r="K761" s="64">
        <f>15.23 * CHOOSE(CONTROL!$C$22, $C$13, 100%, $E$13)</f>
        <v>15.23</v>
      </c>
    </row>
    <row r="762" spans="1:11" ht="15">
      <c r="A762" s="13">
        <v>64832</v>
      </c>
      <c r="B762" s="63">
        <f>13.0987 * CHOOSE(CONTROL!$C$22, $C$13, 100%, $E$13)</f>
        <v>13.098699999999999</v>
      </c>
      <c r="C762" s="63">
        <f>13.0987 * CHOOSE(CONTROL!$C$22, $C$13, 100%, $E$13)</f>
        <v>13.098699999999999</v>
      </c>
      <c r="D762" s="63">
        <f>13.1231 * CHOOSE(CONTROL!$C$22, $C$13, 100%, $E$13)</f>
        <v>13.123100000000001</v>
      </c>
      <c r="E762" s="64">
        <f>15.5194 * CHOOSE(CONTROL!$C$22, $C$13, 100%, $E$13)</f>
        <v>15.519399999999999</v>
      </c>
      <c r="F762" s="64">
        <f>15.5194 * CHOOSE(CONTROL!$C$22, $C$13, 100%, $E$13)</f>
        <v>15.519399999999999</v>
      </c>
      <c r="G762" s="64">
        <f>15.521 * CHOOSE(CONTROL!$C$22, $C$13, 100%, $E$13)</f>
        <v>15.521000000000001</v>
      </c>
      <c r="H762" s="64">
        <f>25.0777* CHOOSE(CONTROL!$C$22, $C$13, 100%, $E$13)</f>
        <v>25.0777</v>
      </c>
      <c r="I762" s="64">
        <f>25.0792 * CHOOSE(CONTROL!$C$22, $C$13, 100%, $E$13)</f>
        <v>25.0792</v>
      </c>
      <c r="J762" s="64">
        <f>15.5194 * CHOOSE(CONTROL!$C$22, $C$13, 100%, $E$13)</f>
        <v>15.519399999999999</v>
      </c>
      <c r="K762" s="64">
        <f>15.521 * CHOOSE(CONTROL!$C$22, $C$13, 100%, $E$13)</f>
        <v>15.521000000000001</v>
      </c>
    </row>
    <row r="763" spans="1:11" ht="15">
      <c r="A763" s="13">
        <v>64863</v>
      </c>
      <c r="B763" s="63">
        <f>13.1054 * CHOOSE(CONTROL!$C$22, $C$13, 100%, $E$13)</f>
        <v>13.105399999999999</v>
      </c>
      <c r="C763" s="63">
        <f>13.1054 * CHOOSE(CONTROL!$C$22, $C$13, 100%, $E$13)</f>
        <v>13.105399999999999</v>
      </c>
      <c r="D763" s="63">
        <f>13.1298 * CHOOSE(CONTROL!$C$22, $C$13, 100%, $E$13)</f>
        <v>13.129799999999999</v>
      </c>
      <c r="E763" s="64">
        <f>15.3664 * CHOOSE(CONTROL!$C$22, $C$13, 100%, $E$13)</f>
        <v>15.366400000000001</v>
      </c>
      <c r="F763" s="64">
        <f>15.3664 * CHOOSE(CONTROL!$C$22, $C$13, 100%, $E$13)</f>
        <v>15.366400000000001</v>
      </c>
      <c r="G763" s="64">
        <f>15.368 * CHOOSE(CONTROL!$C$22, $C$13, 100%, $E$13)</f>
        <v>15.368</v>
      </c>
      <c r="H763" s="64">
        <f>25.1299* CHOOSE(CONTROL!$C$22, $C$13, 100%, $E$13)</f>
        <v>25.129899999999999</v>
      </c>
      <c r="I763" s="64">
        <f>25.1315 * CHOOSE(CONTROL!$C$22, $C$13, 100%, $E$13)</f>
        <v>25.131499999999999</v>
      </c>
      <c r="J763" s="64">
        <f>15.3664 * CHOOSE(CONTROL!$C$22, $C$13, 100%, $E$13)</f>
        <v>15.366400000000001</v>
      </c>
      <c r="K763" s="64">
        <f>15.368 * CHOOSE(CONTROL!$C$22, $C$13, 100%, $E$13)</f>
        <v>15.368</v>
      </c>
    </row>
    <row r="764" spans="1:11" ht="15">
      <c r="A764" s="13">
        <v>64894</v>
      </c>
      <c r="B764" s="63">
        <f>13.1024 * CHOOSE(CONTROL!$C$22, $C$13, 100%, $E$13)</f>
        <v>13.102399999999999</v>
      </c>
      <c r="C764" s="63">
        <f>13.1024 * CHOOSE(CONTROL!$C$22, $C$13, 100%, $E$13)</f>
        <v>13.102399999999999</v>
      </c>
      <c r="D764" s="63">
        <f>13.1268 * CHOOSE(CONTROL!$C$22, $C$13, 100%, $E$13)</f>
        <v>13.126799999999999</v>
      </c>
      <c r="E764" s="64">
        <f>15.3468 * CHOOSE(CONTROL!$C$22, $C$13, 100%, $E$13)</f>
        <v>15.3468</v>
      </c>
      <c r="F764" s="64">
        <f>15.3468 * CHOOSE(CONTROL!$C$22, $C$13, 100%, $E$13)</f>
        <v>15.3468</v>
      </c>
      <c r="G764" s="64">
        <f>15.3483 * CHOOSE(CONTROL!$C$22, $C$13, 100%, $E$13)</f>
        <v>15.3483</v>
      </c>
      <c r="H764" s="64">
        <f>25.1823* CHOOSE(CONTROL!$C$22, $C$13, 100%, $E$13)</f>
        <v>25.182300000000001</v>
      </c>
      <c r="I764" s="64">
        <f>25.1838 * CHOOSE(CONTROL!$C$22, $C$13, 100%, $E$13)</f>
        <v>25.183800000000002</v>
      </c>
      <c r="J764" s="64">
        <f>15.3468 * CHOOSE(CONTROL!$C$22, $C$13, 100%, $E$13)</f>
        <v>15.3468</v>
      </c>
      <c r="K764" s="64">
        <f>15.3483 * CHOOSE(CONTROL!$C$22, $C$13, 100%, $E$13)</f>
        <v>15.3483</v>
      </c>
    </row>
    <row r="765" spans="1:11" ht="15">
      <c r="A765" s="13">
        <v>64924</v>
      </c>
      <c r="B765" s="63">
        <f>13.1274 * CHOOSE(CONTROL!$C$22, $C$13, 100%, $E$13)</f>
        <v>13.1274</v>
      </c>
      <c r="C765" s="63">
        <f>13.1274 * CHOOSE(CONTROL!$C$22, $C$13, 100%, $E$13)</f>
        <v>13.1274</v>
      </c>
      <c r="D765" s="63">
        <f>13.1396 * CHOOSE(CONTROL!$C$22, $C$13, 100%, $E$13)</f>
        <v>13.1396</v>
      </c>
      <c r="E765" s="64">
        <f>15.4034 * CHOOSE(CONTROL!$C$22, $C$13, 100%, $E$13)</f>
        <v>15.4034</v>
      </c>
      <c r="F765" s="64">
        <f>15.4034 * CHOOSE(CONTROL!$C$22, $C$13, 100%, $E$13)</f>
        <v>15.4034</v>
      </c>
      <c r="G765" s="64">
        <f>15.4036 * CHOOSE(CONTROL!$C$22, $C$13, 100%, $E$13)</f>
        <v>15.403600000000001</v>
      </c>
      <c r="H765" s="64">
        <f>25.2347* CHOOSE(CONTROL!$C$22, $C$13, 100%, $E$13)</f>
        <v>25.2347</v>
      </c>
      <c r="I765" s="64">
        <f>25.2349 * CHOOSE(CONTROL!$C$22, $C$13, 100%, $E$13)</f>
        <v>25.2349</v>
      </c>
      <c r="J765" s="64">
        <f>15.4034 * CHOOSE(CONTROL!$C$22, $C$13, 100%, $E$13)</f>
        <v>15.4034</v>
      </c>
      <c r="K765" s="64">
        <f>15.4036 * CHOOSE(CONTROL!$C$22, $C$13, 100%, $E$13)</f>
        <v>15.403600000000001</v>
      </c>
    </row>
    <row r="766" spans="1:11" ht="15">
      <c r="A766" s="13">
        <v>64955</v>
      </c>
      <c r="B766" s="63">
        <f>13.1304 * CHOOSE(CONTROL!$C$22, $C$13, 100%, $E$13)</f>
        <v>13.1304</v>
      </c>
      <c r="C766" s="63">
        <f>13.1304 * CHOOSE(CONTROL!$C$22, $C$13, 100%, $E$13)</f>
        <v>13.1304</v>
      </c>
      <c r="D766" s="63">
        <f>13.1426 * CHOOSE(CONTROL!$C$22, $C$13, 100%, $E$13)</f>
        <v>13.1426</v>
      </c>
      <c r="E766" s="64">
        <f>15.4406 * CHOOSE(CONTROL!$C$22, $C$13, 100%, $E$13)</f>
        <v>15.4406</v>
      </c>
      <c r="F766" s="64">
        <f>15.4406 * CHOOSE(CONTROL!$C$22, $C$13, 100%, $E$13)</f>
        <v>15.4406</v>
      </c>
      <c r="G766" s="64">
        <f>15.4408 * CHOOSE(CONTROL!$C$22, $C$13, 100%, $E$13)</f>
        <v>15.440799999999999</v>
      </c>
      <c r="H766" s="64">
        <f>25.2873* CHOOSE(CONTROL!$C$22, $C$13, 100%, $E$13)</f>
        <v>25.287299999999998</v>
      </c>
      <c r="I766" s="64">
        <f>25.2875 * CHOOSE(CONTROL!$C$22, $C$13, 100%, $E$13)</f>
        <v>25.287500000000001</v>
      </c>
      <c r="J766" s="64">
        <f>15.4406 * CHOOSE(CONTROL!$C$22, $C$13, 100%, $E$13)</f>
        <v>15.4406</v>
      </c>
      <c r="K766" s="64">
        <f>15.4408 * CHOOSE(CONTROL!$C$22, $C$13, 100%, $E$13)</f>
        <v>15.440799999999999</v>
      </c>
    </row>
    <row r="767" spans="1:11" ht="15">
      <c r="A767" s="13">
        <v>64985</v>
      </c>
      <c r="B767" s="63">
        <f>13.1304 * CHOOSE(CONTROL!$C$22, $C$13, 100%, $E$13)</f>
        <v>13.1304</v>
      </c>
      <c r="C767" s="63">
        <f>13.1304 * CHOOSE(CONTROL!$C$22, $C$13, 100%, $E$13)</f>
        <v>13.1304</v>
      </c>
      <c r="D767" s="63">
        <f>13.1426 * CHOOSE(CONTROL!$C$22, $C$13, 100%, $E$13)</f>
        <v>13.1426</v>
      </c>
      <c r="E767" s="64">
        <f>15.353 * CHOOSE(CONTROL!$C$22, $C$13, 100%, $E$13)</f>
        <v>15.353</v>
      </c>
      <c r="F767" s="64">
        <f>15.353 * CHOOSE(CONTROL!$C$22, $C$13, 100%, $E$13)</f>
        <v>15.353</v>
      </c>
      <c r="G767" s="64">
        <f>15.3532 * CHOOSE(CONTROL!$C$22, $C$13, 100%, $E$13)</f>
        <v>15.353199999999999</v>
      </c>
      <c r="H767" s="64">
        <f>25.34* CHOOSE(CONTROL!$C$22, $C$13, 100%, $E$13)</f>
        <v>25.34</v>
      </c>
      <c r="I767" s="64">
        <f>25.3401 * CHOOSE(CONTROL!$C$22, $C$13, 100%, $E$13)</f>
        <v>25.3401</v>
      </c>
      <c r="J767" s="64">
        <f>15.353 * CHOOSE(CONTROL!$C$22, $C$13, 100%, $E$13)</f>
        <v>15.353</v>
      </c>
      <c r="K767" s="64">
        <f>15.3532 * CHOOSE(CONTROL!$C$22, $C$13, 100%, $E$13)</f>
        <v>15.353199999999999</v>
      </c>
    </row>
    <row r="768" spans="1:11" ht="15">
      <c r="A768" s="13">
        <v>65016</v>
      </c>
      <c r="B768" s="63">
        <f>13.1355 * CHOOSE(CONTROL!$C$22, $C$13, 100%, $E$13)</f>
        <v>13.1355</v>
      </c>
      <c r="C768" s="63">
        <f>13.1355 * CHOOSE(CONTROL!$C$22, $C$13, 100%, $E$13)</f>
        <v>13.1355</v>
      </c>
      <c r="D768" s="63">
        <f>13.1477 * CHOOSE(CONTROL!$C$22, $C$13, 100%, $E$13)</f>
        <v>13.1477</v>
      </c>
      <c r="E768" s="64">
        <f>15.42 * CHOOSE(CONTROL!$C$22, $C$13, 100%, $E$13)</f>
        <v>15.42</v>
      </c>
      <c r="F768" s="64">
        <f>15.42 * CHOOSE(CONTROL!$C$22, $C$13, 100%, $E$13)</f>
        <v>15.42</v>
      </c>
      <c r="G768" s="64">
        <f>15.4202 * CHOOSE(CONTROL!$C$22, $C$13, 100%, $E$13)</f>
        <v>15.420199999999999</v>
      </c>
      <c r="H768" s="64">
        <f>25.2123* CHOOSE(CONTROL!$C$22, $C$13, 100%, $E$13)</f>
        <v>25.212299999999999</v>
      </c>
      <c r="I768" s="64">
        <f>25.2125 * CHOOSE(CONTROL!$C$22, $C$13, 100%, $E$13)</f>
        <v>25.212499999999999</v>
      </c>
      <c r="J768" s="64">
        <f>15.42 * CHOOSE(CONTROL!$C$22, $C$13, 100%, $E$13)</f>
        <v>15.42</v>
      </c>
      <c r="K768" s="64">
        <f>15.4202 * CHOOSE(CONTROL!$C$22, $C$13, 100%, $E$13)</f>
        <v>15.420199999999999</v>
      </c>
    </row>
    <row r="769" spans="1:11" ht="15">
      <c r="A769" s="13">
        <v>65047</v>
      </c>
      <c r="B769" s="63">
        <f>13.1325 * CHOOSE(CONTROL!$C$22, $C$13, 100%, $E$13)</f>
        <v>13.1325</v>
      </c>
      <c r="C769" s="63">
        <f>13.1325 * CHOOSE(CONTROL!$C$22, $C$13, 100%, $E$13)</f>
        <v>13.1325</v>
      </c>
      <c r="D769" s="63">
        <f>13.1447 * CHOOSE(CONTROL!$C$22, $C$13, 100%, $E$13)</f>
        <v>13.1447</v>
      </c>
      <c r="E769" s="64">
        <f>15.2492 * CHOOSE(CONTROL!$C$22, $C$13, 100%, $E$13)</f>
        <v>15.2492</v>
      </c>
      <c r="F769" s="64">
        <f>15.2492 * CHOOSE(CONTROL!$C$22, $C$13, 100%, $E$13)</f>
        <v>15.2492</v>
      </c>
      <c r="G769" s="64">
        <f>15.2493 * CHOOSE(CONTROL!$C$22, $C$13, 100%, $E$13)</f>
        <v>15.2493</v>
      </c>
      <c r="H769" s="64">
        <f>25.2649* CHOOSE(CONTROL!$C$22, $C$13, 100%, $E$13)</f>
        <v>25.264900000000001</v>
      </c>
      <c r="I769" s="64">
        <f>25.2651 * CHOOSE(CONTROL!$C$22, $C$13, 100%, $E$13)</f>
        <v>25.2651</v>
      </c>
      <c r="J769" s="64">
        <f>15.2492 * CHOOSE(CONTROL!$C$22, $C$13, 100%, $E$13)</f>
        <v>15.2492</v>
      </c>
      <c r="K769" s="64">
        <f>15.2493 * CHOOSE(CONTROL!$C$22, $C$13, 100%, $E$13)</f>
        <v>15.2493</v>
      </c>
    </row>
    <row r="770" spans="1:11" ht="15">
      <c r="A770" s="13">
        <v>65075</v>
      </c>
      <c r="B770" s="63">
        <f>13.1295 * CHOOSE(CONTROL!$C$22, $C$13, 100%, $E$13)</f>
        <v>13.1295</v>
      </c>
      <c r="C770" s="63">
        <f>13.1295 * CHOOSE(CONTROL!$C$22, $C$13, 100%, $E$13)</f>
        <v>13.1295</v>
      </c>
      <c r="D770" s="63">
        <f>13.1417 * CHOOSE(CONTROL!$C$22, $C$13, 100%, $E$13)</f>
        <v>13.1417</v>
      </c>
      <c r="E770" s="64">
        <f>15.3801 * CHOOSE(CONTROL!$C$22, $C$13, 100%, $E$13)</f>
        <v>15.380100000000001</v>
      </c>
      <c r="F770" s="64">
        <f>15.3801 * CHOOSE(CONTROL!$C$22, $C$13, 100%, $E$13)</f>
        <v>15.380100000000001</v>
      </c>
      <c r="G770" s="64">
        <f>15.3802 * CHOOSE(CONTROL!$C$22, $C$13, 100%, $E$13)</f>
        <v>15.3802</v>
      </c>
      <c r="H770" s="64">
        <f>25.3175* CHOOSE(CONTROL!$C$22, $C$13, 100%, $E$13)</f>
        <v>25.317499999999999</v>
      </c>
      <c r="I770" s="64">
        <f>25.3177 * CHOOSE(CONTROL!$C$22, $C$13, 100%, $E$13)</f>
        <v>25.317699999999999</v>
      </c>
      <c r="J770" s="64">
        <f>15.3801 * CHOOSE(CONTROL!$C$22, $C$13, 100%, $E$13)</f>
        <v>15.380100000000001</v>
      </c>
      <c r="K770" s="64">
        <f>15.3802 * CHOOSE(CONTROL!$C$22, $C$13, 100%, $E$13)</f>
        <v>15.3802</v>
      </c>
    </row>
    <row r="771" spans="1:11" ht="15">
      <c r="A771" s="13">
        <v>65106</v>
      </c>
      <c r="B771" s="63">
        <f>13.1349 * CHOOSE(CONTROL!$C$22, $C$13, 100%, $E$13)</f>
        <v>13.1349</v>
      </c>
      <c r="C771" s="63">
        <f>13.1349 * CHOOSE(CONTROL!$C$22, $C$13, 100%, $E$13)</f>
        <v>13.1349</v>
      </c>
      <c r="D771" s="63">
        <f>13.1471 * CHOOSE(CONTROL!$C$22, $C$13, 100%, $E$13)</f>
        <v>13.1471</v>
      </c>
      <c r="E771" s="64">
        <f>15.5187 * CHOOSE(CONTROL!$C$22, $C$13, 100%, $E$13)</f>
        <v>15.518700000000001</v>
      </c>
      <c r="F771" s="64">
        <f>15.5187 * CHOOSE(CONTROL!$C$22, $C$13, 100%, $E$13)</f>
        <v>15.518700000000001</v>
      </c>
      <c r="G771" s="64">
        <f>15.5189 * CHOOSE(CONTROL!$C$22, $C$13, 100%, $E$13)</f>
        <v>15.5189</v>
      </c>
      <c r="H771" s="64">
        <f>25.3703* CHOOSE(CONTROL!$C$22, $C$13, 100%, $E$13)</f>
        <v>25.3703</v>
      </c>
      <c r="I771" s="64">
        <f>25.3704 * CHOOSE(CONTROL!$C$22, $C$13, 100%, $E$13)</f>
        <v>25.3704</v>
      </c>
      <c r="J771" s="64">
        <f>15.5187 * CHOOSE(CONTROL!$C$22, $C$13, 100%, $E$13)</f>
        <v>15.518700000000001</v>
      </c>
      <c r="K771" s="64">
        <f>15.5189 * CHOOSE(CONTROL!$C$22, $C$13, 100%, $E$13)</f>
        <v>15.5189</v>
      </c>
    </row>
    <row r="772" spans="1:11" ht="15">
      <c r="A772" s="13">
        <v>65136</v>
      </c>
      <c r="B772" s="63">
        <f>13.1349 * CHOOSE(CONTROL!$C$22, $C$13, 100%, $E$13)</f>
        <v>13.1349</v>
      </c>
      <c r="C772" s="63">
        <f>13.1349 * CHOOSE(CONTROL!$C$22, $C$13, 100%, $E$13)</f>
        <v>13.1349</v>
      </c>
      <c r="D772" s="63">
        <f>13.1593 * CHOOSE(CONTROL!$C$22, $C$13, 100%, $E$13)</f>
        <v>13.1593</v>
      </c>
      <c r="E772" s="64">
        <f>15.5722 * CHOOSE(CONTROL!$C$22, $C$13, 100%, $E$13)</f>
        <v>15.5722</v>
      </c>
      <c r="F772" s="64">
        <f>15.5722 * CHOOSE(CONTROL!$C$22, $C$13, 100%, $E$13)</f>
        <v>15.5722</v>
      </c>
      <c r="G772" s="64">
        <f>15.5738 * CHOOSE(CONTROL!$C$22, $C$13, 100%, $E$13)</f>
        <v>15.5738</v>
      </c>
      <c r="H772" s="64">
        <f>25.4231* CHOOSE(CONTROL!$C$22, $C$13, 100%, $E$13)</f>
        <v>25.423100000000002</v>
      </c>
      <c r="I772" s="64">
        <f>25.4247 * CHOOSE(CONTROL!$C$22, $C$13, 100%, $E$13)</f>
        <v>25.424700000000001</v>
      </c>
      <c r="J772" s="64">
        <f>15.5722 * CHOOSE(CONTROL!$C$22, $C$13, 100%, $E$13)</f>
        <v>15.5722</v>
      </c>
      <c r="K772" s="64">
        <f>15.5738 * CHOOSE(CONTROL!$C$22, $C$13, 100%, $E$13)</f>
        <v>15.5738</v>
      </c>
    </row>
    <row r="773" spans="1:11" ht="15">
      <c r="A773" s="13">
        <v>65167</v>
      </c>
      <c r="B773" s="63">
        <f>13.141 * CHOOSE(CONTROL!$C$22, $C$13, 100%, $E$13)</f>
        <v>13.141</v>
      </c>
      <c r="C773" s="63">
        <f>13.141 * CHOOSE(CONTROL!$C$22, $C$13, 100%, $E$13)</f>
        <v>13.141</v>
      </c>
      <c r="D773" s="63">
        <f>13.1654 * CHOOSE(CONTROL!$C$22, $C$13, 100%, $E$13)</f>
        <v>13.1654</v>
      </c>
      <c r="E773" s="64">
        <f>15.5229 * CHOOSE(CONTROL!$C$22, $C$13, 100%, $E$13)</f>
        <v>15.5229</v>
      </c>
      <c r="F773" s="64">
        <f>15.5229 * CHOOSE(CONTROL!$C$22, $C$13, 100%, $E$13)</f>
        <v>15.5229</v>
      </c>
      <c r="G773" s="64">
        <f>15.5245 * CHOOSE(CONTROL!$C$22, $C$13, 100%, $E$13)</f>
        <v>15.5245</v>
      </c>
      <c r="H773" s="64">
        <f>25.4761* CHOOSE(CONTROL!$C$22, $C$13, 100%, $E$13)</f>
        <v>25.476099999999999</v>
      </c>
      <c r="I773" s="64">
        <f>25.4776 * CHOOSE(CONTROL!$C$22, $C$13, 100%, $E$13)</f>
        <v>25.477599999999999</v>
      </c>
      <c r="J773" s="64">
        <f>15.5229 * CHOOSE(CONTROL!$C$22, $C$13, 100%, $E$13)</f>
        <v>15.5229</v>
      </c>
      <c r="K773" s="64">
        <f>15.5245 * CHOOSE(CONTROL!$C$22, $C$13, 100%, $E$13)</f>
        <v>15.5245</v>
      </c>
    </row>
    <row r="774" spans="1:11" ht="15">
      <c r="A774" s="13">
        <v>65197</v>
      </c>
      <c r="B774" s="63">
        <f>13.3479 * CHOOSE(CONTROL!$C$22, $C$13, 100%, $E$13)</f>
        <v>13.347899999999999</v>
      </c>
      <c r="C774" s="63">
        <f>13.3479 * CHOOSE(CONTROL!$C$22, $C$13, 100%, $E$13)</f>
        <v>13.347899999999999</v>
      </c>
      <c r="D774" s="63">
        <f>13.3724 * CHOOSE(CONTROL!$C$22, $C$13, 100%, $E$13)</f>
        <v>13.372400000000001</v>
      </c>
      <c r="E774" s="64">
        <f>15.8193 * CHOOSE(CONTROL!$C$22, $C$13, 100%, $E$13)</f>
        <v>15.8193</v>
      </c>
      <c r="F774" s="64">
        <f>15.8193 * CHOOSE(CONTROL!$C$22, $C$13, 100%, $E$13)</f>
        <v>15.8193</v>
      </c>
      <c r="G774" s="64">
        <f>15.8209 * CHOOSE(CONTROL!$C$22, $C$13, 100%, $E$13)</f>
        <v>15.8209</v>
      </c>
      <c r="H774" s="64">
        <f>25.5291* CHOOSE(CONTROL!$C$22, $C$13, 100%, $E$13)</f>
        <v>25.5291</v>
      </c>
      <c r="I774" s="64">
        <f>25.5307 * CHOOSE(CONTROL!$C$22, $C$13, 100%, $E$13)</f>
        <v>25.5307</v>
      </c>
      <c r="J774" s="64">
        <f>15.8193 * CHOOSE(CONTROL!$C$22, $C$13, 100%, $E$13)</f>
        <v>15.8193</v>
      </c>
      <c r="K774" s="64">
        <f>15.8209 * CHOOSE(CONTROL!$C$22, $C$13, 100%, $E$13)</f>
        <v>15.8209</v>
      </c>
    </row>
    <row r="775" spans="1:11" ht="15">
      <c r="A775" s="13">
        <v>65228</v>
      </c>
      <c r="B775" s="63">
        <f>13.3546 * CHOOSE(CONTROL!$C$22, $C$13, 100%, $E$13)</f>
        <v>13.3546</v>
      </c>
      <c r="C775" s="63">
        <f>13.3546 * CHOOSE(CONTROL!$C$22, $C$13, 100%, $E$13)</f>
        <v>13.3546</v>
      </c>
      <c r="D775" s="63">
        <f>13.3791 * CHOOSE(CONTROL!$C$22, $C$13, 100%, $E$13)</f>
        <v>13.379099999999999</v>
      </c>
      <c r="E775" s="64">
        <f>15.6632 * CHOOSE(CONTROL!$C$22, $C$13, 100%, $E$13)</f>
        <v>15.6632</v>
      </c>
      <c r="F775" s="64">
        <f>15.6632 * CHOOSE(CONTROL!$C$22, $C$13, 100%, $E$13)</f>
        <v>15.6632</v>
      </c>
      <c r="G775" s="64">
        <f>15.6648 * CHOOSE(CONTROL!$C$22, $C$13, 100%, $E$13)</f>
        <v>15.6648</v>
      </c>
      <c r="H775" s="64">
        <f>25.5823* CHOOSE(CONTROL!$C$22, $C$13, 100%, $E$13)</f>
        <v>25.5823</v>
      </c>
      <c r="I775" s="64">
        <f>25.5839 * CHOOSE(CONTROL!$C$22, $C$13, 100%, $E$13)</f>
        <v>25.5839</v>
      </c>
      <c r="J775" s="64">
        <f>15.6632 * CHOOSE(CONTROL!$C$22, $C$13, 100%, $E$13)</f>
        <v>15.6632</v>
      </c>
      <c r="K775" s="64">
        <f>15.6648 * CHOOSE(CONTROL!$C$22, $C$13, 100%, $E$13)</f>
        <v>15.6648</v>
      </c>
    </row>
    <row r="776" spans="1:11" ht="15">
      <c r="A776" s="13">
        <v>65259</v>
      </c>
      <c r="B776" s="63">
        <f>13.3516 * CHOOSE(CONTROL!$C$22, $C$13, 100%, $E$13)</f>
        <v>13.351599999999999</v>
      </c>
      <c r="C776" s="63">
        <f>13.3516 * CHOOSE(CONTROL!$C$22, $C$13, 100%, $E$13)</f>
        <v>13.351599999999999</v>
      </c>
      <c r="D776" s="63">
        <f>13.376 * CHOOSE(CONTROL!$C$22, $C$13, 100%, $E$13)</f>
        <v>13.375999999999999</v>
      </c>
      <c r="E776" s="64">
        <f>15.6433 * CHOOSE(CONTROL!$C$22, $C$13, 100%, $E$13)</f>
        <v>15.6433</v>
      </c>
      <c r="F776" s="64">
        <f>15.6433 * CHOOSE(CONTROL!$C$22, $C$13, 100%, $E$13)</f>
        <v>15.6433</v>
      </c>
      <c r="G776" s="64">
        <f>15.6448 * CHOOSE(CONTROL!$C$22, $C$13, 100%, $E$13)</f>
        <v>15.6448</v>
      </c>
      <c r="H776" s="64">
        <f>25.6356* CHOOSE(CONTROL!$C$22, $C$13, 100%, $E$13)</f>
        <v>25.6356</v>
      </c>
      <c r="I776" s="64">
        <f>25.6372 * CHOOSE(CONTROL!$C$22, $C$13, 100%, $E$13)</f>
        <v>25.6372</v>
      </c>
      <c r="J776" s="64">
        <f>15.6433 * CHOOSE(CONTROL!$C$22, $C$13, 100%, $E$13)</f>
        <v>15.6433</v>
      </c>
      <c r="K776" s="64">
        <f>15.6448 * CHOOSE(CONTROL!$C$22, $C$13, 100%, $E$13)</f>
        <v>15.6448</v>
      </c>
    </row>
    <row r="777" spans="1:11" ht="15">
      <c r="A777" s="13">
        <v>65289</v>
      </c>
      <c r="B777" s="63">
        <f>13.3774 * CHOOSE(CONTROL!$C$22, $C$13, 100%, $E$13)</f>
        <v>13.3774</v>
      </c>
      <c r="C777" s="63">
        <f>13.3774 * CHOOSE(CONTROL!$C$22, $C$13, 100%, $E$13)</f>
        <v>13.3774</v>
      </c>
      <c r="D777" s="63">
        <f>13.3896 * CHOOSE(CONTROL!$C$22, $C$13, 100%, $E$13)</f>
        <v>13.3896</v>
      </c>
      <c r="E777" s="64">
        <f>15.7013 * CHOOSE(CONTROL!$C$22, $C$13, 100%, $E$13)</f>
        <v>15.7013</v>
      </c>
      <c r="F777" s="64">
        <f>15.7013 * CHOOSE(CONTROL!$C$22, $C$13, 100%, $E$13)</f>
        <v>15.7013</v>
      </c>
      <c r="G777" s="64">
        <f>15.7015 * CHOOSE(CONTROL!$C$22, $C$13, 100%, $E$13)</f>
        <v>15.701499999999999</v>
      </c>
      <c r="H777" s="64">
        <f>25.689* CHOOSE(CONTROL!$C$22, $C$13, 100%, $E$13)</f>
        <v>25.689</v>
      </c>
      <c r="I777" s="64">
        <f>25.6892 * CHOOSE(CONTROL!$C$22, $C$13, 100%, $E$13)</f>
        <v>25.6892</v>
      </c>
      <c r="J777" s="64">
        <f>15.7013 * CHOOSE(CONTROL!$C$22, $C$13, 100%, $E$13)</f>
        <v>15.7013</v>
      </c>
      <c r="K777" s="64">
        <f>15.7015 * CHOOSE(CONTROL!$C$22, $C$13, 100%, $E$13)</f>
        <v>15.701499999999999</v>
      </c>
    </row>
    <row r="778" spans="1:11" ht="15">
      <c r="A778" s="13">
        <v>65320</v>
      </c>
      <c r="B778" s="63">
        <f>13.3804 * CHOOSE(CONTROL!$C$22, $C$13, 100%, $E$13)</f>
        <v>13.3804</v>
      </c>
      <c r="C778" s="63">
        <f>13.3804 * CHOOSE(CONTROL!$C$22, $C$13, 100%, $E$13)</f>
        <v>13.3804</v>
      </c>
      <c r="D778" s="63">
        <f>13.3927 * CHOOSE(CONTROL!$C$22, $C$13, 100%, $E$13)</f>
        <v>13.3927</v>
      </c>
      <c r="E778" s="64">
        <f>15.7391 * CHOOSE(CONTROL!$C$22, $C$13, 100%, $E$13)</f>
        <v>15.739100000000001</v>
      </c>
      <c r="F778" s="64">
        <f>15.7391 * CHOOSE(CONTROL!$C$22, $C$13, 100%, $E$13)</f>
        <v>15.739100000000001</v>
      </c>
      <c r="G778" s="64">
        <f>15.7393 * CHOOSE(CONTROL!$C$22, $C$13, 100%, $E$13)</f>
        <v>15.7393</v>
      </c>
      <c r="H778" s="64">
        <f>25.7426* CHOOSE(CONTROL!$C$22, $C$13, 100%, $E$13)</f>
        <v>25.742599999999999</v>
      </c>
      <c r="I778" s="64">
        <f>25.7427 * CHOOSE(CONTROL!$C$22, $C$13, 100%, $E$13)</f>
        <v>25.742699999999999</v>
      </c>
      <c r="J778" s="64">
        <f>15.7391 * CHOOSE(CONTROL!$C$22, $C$13, 100%, $E$13)</f>
        <v>15.739100000000001</v>
      </c>
      <c r="K778" s="64">
        <f>15.7393 * CHOOSE(CONTROL!$C$22, $C$13, 100%, $E$13)</f>
        <v>15.7393</v>
      </c>
    </row>
    <row r="779" spans="1:11" ht="15">
      <c r="A779" s="13">
        <v>65350</v>
      </c>
      <c r="B779" s="63">
        <f>13.3804 * CHOOSE(CONTROL!$C$22, $C$13, 100%, $E$13)</f>
        <v>13.3804</v>
      </c>
      <c r="C779" s="63">
        <f>13.3804 * CHOOSE(CONTROL!$C$22, $C$13, 100%, $E$13)</f>
        <v>13.3804</v>
      </c>
      <c r="D779" s="63">
        <f>13.3927 * CHOOSE(CONTROL!$C$22, $C$13, 100%, $E$13)</f>
        <v>13.3927</v>
      </c>
      <c r="E779" s="64">
        <f>15.6498 * CHOOSE(CONTROL!$C$22, $C$13, 100%, $E$13)</f>
        <v>15.649800000000001</v>
      </c>
      <c r="F779" s="64">
        <f>15.6498 * CHOOSE(CONTROL!$C$22, $C$13, 100%, $E$13)</f>
        <v>15.649800000000001</v>
      </c>
      <c r="G779" s="64">
        <f>15.65 * CHOOSE(CONTROL!$C$22, $C$13, 100%, $E$13)</f>
        <v>15.65</v>
      </c>
      <c r="H779" s="64">
        <f>25.7962* CHOOSE(CONTROL!$C$22, $C$13, 100%, $E$13)</f>
        <v>25.796199999999999</v>
      </c>
      <c r="I779" s="64">
        <f>25.7964 * CHOOSE(CONTROL!$C$22, $C$13, 100%, $E$13)</f>
        <v>25.796399999999998</v>
      </c>
      <c r="J779" s="64">
        <f>15.6498 * CHOOSE(CONTROL!$C$22, $C$13, 100%, $E$13)</f>
        <v>15.649800000000001</v>
      </c>
      <c r="K779" s="64">
        <f>15.65 * CHOOSE(CONTROL!$C$22, $C$13, 100%, $E$13)</f>
        <v>15.65</v>
      </c>
    </row>
    <row r="780" spans="1:11" ht="15">
      <c r="A780" s="13">
        <v>65381</v>
      </c>
      <c r="B780" s="63">
        <f>13.3809 * CHOOSE(CONTROL!$C$22, $C$13, 100%, $E$13)</f>
        <v>13.3809</v>
      </c>
      <c r="C780" s="63">
        <f>13.3809 * CHOOSE(CONTROL!$C$22, $C$13, 100%, $E$13)</f>
        <v>13.3809</v>
      </c>
      <c r="D780" s="63">
        <f>13.3931 * CHOOSE(CONTROL!$C$22, $C$13, 100%, $E$13)</f>
        <v>13.3931</v>
      </c>
      <c r="E780" s="64">
        <f>15.7124 * CHOOSE(CONTROL!$C$22, $C$13, 100%, $E$13)</f>
        <v>15.712400000000001</v>
      </c>
      <c r="F780" s="64">
        <f>15.7124 * CHOOSE(CONTROL!$C$22, $C$13, 100%, $E$13)</f>
        <v>15.712400000000001</v>
      </c>
      <c r="G780" s="64">
        <f>15.7126 * CHOOSE(CONTROL!$C$22, $C$13, 100%, $E$13)</f>
        <v>15.7126</v>
      </c>
      <c r="H780" s="64">
        <f>25.6582* CHOOSE(CONTROL!$C$22, $C$13, 100%, $E$13)</f>
        <v>25.658200000000001</v>
      </c>
      <c r="I780" s="64">
        <f>25.6584 * CHOOSE(CONTROL!$C$22, $C$13, 100%, $E$13)</f>
        <v>25.6584</v>
      </c>
      <c r="J780" s="64">
        <f>15.7124 * CHOOSE(CONTROL!$C$22, $C$13, 100%, $E$13)</f>
        <v>15.712400000000001</v>
      </c>
      <c r="K780" s="64">
        <f>15.7126 * CHOOSE(CONTROL!$C$22, $C$13, 100%, $E$13)</f>
        <v>15.7126</v>
      </c>
    </row>
    <row r="781" spans="1:11" ht="15">
      <c r="A781" s="13">
        <v>65412</v>
      </c>
      <c r="B781" s="63">
        <f>13.3778 * CHOOSE(CONTROL!$C$22, $C$13, 100%, $E$13)</f>
        <v>13.377800000000001</v>
      </c>
      <c r="C781" s="63">
        <f>13.3778 * CHOOSE(CONTROL!$C$22, $C$13, 100%, $E$13)</f>
        <v>13.377800000000001</v>
      </c>
      <c r="D781" s="63">
        <f>13.39 * CHOOSE(CONTROL!$C$22, $C$13, 100%, $E$13)</f>
        <v>13.39</v>
      </c>
      <c r="E781" s="64">
        <f>15.5384 * CHOOSE(CONTROL!$C$22, $C$13, 100%, $E$13)</f>
        <v>15.538399999999999</v>
      </c>
      <c r="F781" s="64">
        <f>15.5384 * CHOOSE(CONTROL!$C$22, $C$13, 100%, $E$13)</f>
        <v>15.538399999999999</v>
      </c>
      <c r="G781" s="64">
        <f>15.5385 * CHOOSE(CONTROL!$C$22, $C$13, 100%, $E$13)</f>
        <v>15.538500000000001</v>
      </c>
      <c r="H781" s="64">
        <f>25.7117* CHOOSE(CONTROL!$C$22, $C$13, 100%, $E$13)</f>
        <v>25.7117</v>
      </c>
      <c r="I781" s="64">
        <f>25.7119 * CHOOSE(CONTROL!$C$22, $C$13, 100%, $E$13)</f>
        <v>25.7119</v>
      </c>
      <c r="J781" s="64">
        <f>15.5384 * CHOOSE(CONTROL!$C$22, $C$13, 100%, $E$13)</f>
        <v>15.538399999999999</v>
      </c>
      <c r="K781" s="64">
        <f>15.5385 * CHOOSE(CONTROL!$C$22, $C$13, 100%, $E$13)</f>
        <v>15.538500000000001</v>
      </c>
    </row>
    <row r="782" spans="1:11" ht="15">
      <c r="A782" s="13">
        <v>65440</v>
      </c>
      <c r="B782" s="63">
        <f>13.3748 * CHOOSE(CONTROL!$C$22, $C$13, 100%, $E$13)</f>
        <v>13.3748</v>
      </c>
      <c r="C782" s="63">
        <f>13.3748 * CHOOSE(CONTROL!$C$22, $C$13, 100%, $E$13)</f>
        <v>13.3748</v>
      </c>
      <c r="D782" s="63">
        <f>13.387 * CHOOSE(CONTROL!$C$22, $C$13, 100%, $E$13)</f>
        <v>13.387</v>
      </c>
      <c r="E782" s="64">
        <f>15.6718 * CHOOSE(CONTROL!$C$22, $C$13, 100%, $E$13)</f>
        <v>15.671799999999999</v>
      </c>
      <c r="F782" s="64">
        <f>15.6718 * CHOOSE(CONTROL!$C$22, $C$13, 100%, $E$13)</f>
        <v>15.671799999999999</v>
      </c>
      <c r="G782" s="64">
        <f>15.672 * CHOOSE(CONTROL!$C$22, $C$13, 100%, $E$13)</f>
        <v>15.672000000000001</v>
      </c>
      <c r="H782" s="64">
        <f>25.7653* CHOOSE(CONTROL!$C$22, $C$13, 100%, $E$13)</f>
        <v>25.7653</v>
      </c>
      <c r="I782" s="64">
        <f>25.7654 * CHOOSE(CONTROL!$C$22, $C$13, 100%, $E$13)</f>
        <v>25.7654</v>
      </c>
      <c r="J782" s="64">
        <f>15.6718 * CHOOSE(CONTROL!$C$22, $C$13, 100%, $E$13)</f>
        <v>15.671799999999999</v>
      </c>
      <c r="K782" s="64">
        <f>15.672 * CHOOSE(CONTROL!$C$22, $C$13, 100%, $E$13)</f>
        <v>15.672000000000001</v>
      </c>
    </row>
    <row r="783" spans="1:11" ht="15">
      <c r="A783" s="13">
        <v>65471</v>
      </c>
      <c r="B783" s="63">
        <f>13.3804 * CHOOSE(CONTROL!$C$22, $C$13, 100%, $E$13)</f>
        <v>13.3804</v>
      </c>
      <c r="C783" s="63">
        <f>13.3804 * CHOOSE(CONTROL!$C$22, $C$13, 100%, $E$13)</f>
        <v>13.3804</v>
      </c>
      <c r="D783" s="63">
        <f>13.3927 * CHOOSE(CONTROL!$C$22, $C$13, 100%, $E$13)</f>
        <v>13.3927</v>
      </c>
      <c r="E783" s="64">
        <f>15.8131 * CHOOSE(CONTROL!$C$22, $C$13, 100%, $E$13)</f>
        <v>15.8131</v>
      </c>
      <c r="F783" s="64">
        <f>15.8131 * CHOOSE(CONTROL!$C$22, $C$13, 100%, $E$13)</f>
        <v>15.8131</v>
      </c>
      <c r="G783" s="64">
        <f>15.8133 * CHOOSE(CONTROL!$C$22, $C$13, 100%, $E$13)</f>
        <v>15.8133</v>
      </c>
      <c r="H783" s="64">
        <f>25.8189* CHOOSE(CONTROL!$C$22, $C$13, 100%, $E$13)</f>
        <v>25.818899999999999</v>
      </c>
      <c r="I783" s="64">
        <f>25.8191 * CHOOSE(CONTROL!$C$22, $C$13, 100%, $E$13)</f>
        <v>25.819099999999999</v>
      </c>
      <c r="J783" s="64">
        <f>15.8131 * CHOOSE(CONTROL!$C$22, $C$13, 100%, $E$13)</f>
        <v>15.8131</v>
      </c>
      <c r="K783" s="64">
        <f>15.8133 * CHOOSE(CONTROL!$C$22, $C$13, 100%, $E$13)</f>
        <v>15.8133</v>
      </c>
    </row>
    <row r="784" spans="1:11" ht="15">
      <c r="A784" s="13">
        <v>65501</v>
      </c>
      <c r="B784" s="63">
        <f>13.3804 * CHOOSE(CONTROL!$C$22, $C$13, 100%, $E$13)</f>
        <v>13.3804</v>
      </c>
      <c r="C784" s="63">
        <f>13.3804 * CHOOSE(CONTROL!$C$22, $C$13, 100%, $E$13)</f>
        <v>13.3804</v>
      </c>
      <c r="D784" s="63">
        <f>13.4049 * CHOOSE(CONTROL!$C$22, $C$13, 100%, $E$13)</f>
        <v>13.4049</v>
      </c>
      <c r="E784" s="64">
        <f>15.8677 * CHOOSE(CONTROL!$C$22, $C$13, 100%, $E$13)</f>
        <v>15.867699999999999</v>
      </c>
      <c r="F784" s="64">
        <f>15.8677 * CHOOSE(CONTROL!$C$22, $C$13, 100%, $E$13)</f>
        <v>15.867699999999999</v>
      </c>
      <c r="G784" s="64">
        <f>15.8693 * CHOOSE(CONTROL!$C$22, $C$13, 100%, $E$13)</f>
        <v>15.869300000000001</v>
      </c>
      <c r="H784" s="64">
        <f>25.8727* CHOOSE(CONTROL!$C$22, $C$13, 100%, $E$13)</f>
        <v>25.872699999999998</v>
      </c>
      <c r="I784" s="64">
        <f>25.8743 * CHOOSE(CONTROL!$C$22, $C$13, 100%, $E$13)</f>
        <v>25.874300000000002</v>
      </c>
      <c r="J784" s="64">
        <f>15.8677 * CHOOSE(CONTROL!$C$22, $C$13, 100%, $E$13)</f>
        <v>15.867699999999999</v>
      </c>
      <c r="K784" s="64">
        <f>15.8693 * CHOOSE(CONTROL!$C$22, $C$13, 100%, $E$13)</f>
        <v>15.869300000000001</v>
      </c>
    </row>
    <row r="785" spans="1:11" ht="15">
      <c r="A785" s="13">
        <v>65532</v>
      </c>
      <c r="B785" s="63">
        <f>13.3865 * CHOOSE(CONTROL!$C$22, $C$13, 100%, $E$13)</f>
        <v>13.3865</v>
      </c>
      <c r="C785" s="63">
        <f>13.3865 * CHOOSE(CONTROL!$C$22, $C$13, 100%, $E$13)</f>
        <v>13.3865</v>
      </c>
      <c r="D785" s="63">
        <f>13.411 * CHOOSE(CONTROL!$C$22, $C$13, 100%, $E$13)</f>
        <v>13.411</v>
      </c>
      <c r="E785" s="64">
        <f>15.8174 * CHOOSE(CONTROL!$C$22, $C$13, 100%, $E$13)</f>
        <v>15.817399999999999</v>
      </c>
      <c r="F785" s="64">
        <f>15.8174 * CHOOSE(CONTROL!$C$22, $C$13, 100%, $E$13)</f>
        <v>15.817399999999999</v>
      </c>
      <c r="G785" s="64">
        <f>15.8189 * CHOOSE(CONTROL!$C$22, $C$13, 100%, $E$13)</f>
        <v>15.818899999999999</v>
      </c>
      <c r="H785" s="64">
        <f>25.9266* CHOOSE(CONTROL!$C$22, $C$13, 100%, $E$13)</f>
        <v>25.926600000000001</v>
      </c>
      <c r="I785" s="64">
        <f>25.9282 * CHOOSE(CONTROL!$C$22, $C$13, 100%, $E$13)</f>
        <v>25.9282</v>
      </c>
      <c r="J785" s="64">
        <f>15.8174 * CHOOSE(CONTROL!$C$22, $C$13, 100%, $E$13)</f>
        <v>15.817399999999999</v>
      </c>
      <c r="K785" s="64">
        <f>15.8189 * CHOOSE(CONTROL!$C$22, $C$13, 100%, $E$13)</f>
        <v>15.818899999999999</v>
      </c>
    </row>
    <row r="786" spans="1:11" ht="15">
      <c r="A786" s="13">
        <v>65562</v>
      </c>
      <c r="B786" s="63">
        <f>13.5972 * CHOOSE(CONTROL!$C$22, $C$13, 100%, $E$13)</f>
        <v>13.597200000000001</v>
      </c>
      <c r="C786" s="63">
        <f>13.5972 * CHOOSE(CONTROL!$C$22, $C$13, 100%, $E$13)</f>
        <v>13.597200000000001</v>
      </c>
      <c r="D786" s="63">
        <f>13.6216 * CHOOSE(CONTROL!$C$22, $C$13, 100%, $E$13)</f>
        <v>13.621600000000001</v>
      </c>
      <c r="E786" s="64">
        <f>16.1192 * CHOOSE(CONTROL!$C$22, $C$13, 100%, $E$13)</f>
        <v>16.119199999999999</v>
      </c>
      <c r="F786" s="64">
        <f>16.1192 * CHOOSE(CONTROL!$C$22, $C$13, 100%, $E$13)</f>
        <v>16.119199999999999</v>
      </c>
      <c r="G786" s="64">
        <f>16.1207 * CHOOSE(CONTROL!$C$22, $C$13, 100%, $E$13)</f>
        <v>16.120699999999999</v>
      </c>
      <c r="H786" s="64">
        <f>25.9806* CHOOSE(CONTROL!$C$22, $C$13, 100%, $E$13)</f>
        <v>25.980599999999999</v>
      </c>
      <c r="I786" s="64">
        <f>25.9822 * CHOOSE(CONTROL!$C$22, $C$13, 100%, $E$13)</f>
        <v>25.982199999999999</v>
      </c>
      <c r="J786" s="64">
        <f>16.1192 * CHOOSE(CONTROL!$C$22, $C$13, 100%, $E$13)</f>
        <v>16.119199999999999</v>
      </c>
      <c r="K786" s="64">
        <f>16.1207 * CHOOSE(CONTROL!$C$22, $C$13, 100%, $E$13)</f>
        <v>16.120699999999999</v>
      </c>
    </row>
    <row r="787" spans="1:11" ht="15">
      <c r="A787" s="13">
        <v>65593</v>
      </c>
      <c r="B787" s="63">
        <f>13.6038 * CHOOSE(CONTROL!$C$22, $C$13, 100%, $E$13)</f>
        <v>13.6038</v>
      </c>
      <c r="C787" s="63">
        <f>13.6038 * CHOOSE(CONTROL!$C$22, $C$13, 100%, $E$13)</f>
        <v>13.6038</v>
      </c>
      <c r="D787" s="63">
        <f>13.6283 * CHOOSE(CONTROL!$C$22, $C$13, 100%, $E$13)</f>
        <v>13.628299999999999</v>
      </c>
      <c r="E787" s="64">
        <f>15.9601 * CHOOSE(CONTROL!$C$22, $C$13, 100%, $E$13)</f>
        <v>15.960100000000001</v>
      </c>
      <c r="F787" s="64">
        <f>15.9601 * CHOOSE(CONTROL!$C$22, $C$13, 100%, $E$13)</f>
        <v>15.960100000000001</v>
      </c>
      <c r="G787" s="64">
        <f>15.9616 * CHOOSE(CONTROL!$C$22, $C$13, 100%, $E$13)</f>
        <v>15.961600000000001</v>
      </c>
      <c r="H787" s="64">
        <f>26.0348* CHOOSE(CONTROL!$C$22, $C$13, 100%, $E$13)</f>
        <v>26.034800000000001</v>
      </c>
      <c r="I787" s="64">
        <f>26.0363 * CHOOSE(CONTROL!$C$22, $C$13, 100%, $E$13)</f>
        <v>26.036300000000001</v>
      </c>
      <c r="J787" s="64">
        <f>15.9601 * CHOOSE(CONTROL!$C$22, $C$13, 100%, $E$13)</f>
        <v>15.960100000000001</v>
      </c>
      <c r="K787" s="64">
        <f>15.9616 * CHOOSE(CONTROL!$C$22, $C$13, 100%, $E$13)</f>
        <v>15.961600000000001</v>
      </c>
    </row>
    <row r="788" spans="1:11" ht="15">
      <c r="A788" s="13">
        <v>65624</v>
      </c>
      <c r="B788" s="63">
        <f>13.6008 * CHOOSE(CONTROL!$C$22, $C$13, 100%, $E$13)</f>
        <v>13.6008</v>
      </c>
      <c r="C788" s="63">
        <f>13.6008 * CHOOSE(CONTROL!$C$22, $C$13, 100%, $E$13)</f>
        <v>13.6008</v>
      </c>
      <c r="D788" s="63">
        <f>13.6252 * CHOOSE(CONTROL!$C$22, $C$13, 100%, $E$13)</f>
        <v>13.6252</v>
      </c>
      <c r="E788" s="64">
        <f>15.9398 * CHOOSE(CONTROL!$C$22, $C$13, 100%, $E$13)</f>
        <v>15.9398</v>
      </c>
      <c r="F788" s="64">
        <f>15.9398 * CHOOSE(CONTROL!$C$22, $C$13, 100%, $E$13)</f>
        <v>15.9398</v>
      </c>
      <c r="G788" s="64">
        <f>15.9413 * CHOOSE(CONTROL!$C$22, $C$13, 100%, $E$13)</f>
        <v>15.9413</v>
      </c>
      <c r="H788" s="64">
        <f>26.089* CHOOSE(CONTROL!$C$22, $C$13, 100%, $E$13)</f>
        <v>26.088999999999999</v>
      </c>
      <c r="I788" s="64">
        <f>26.0906 * CHOOSE(CONTROL!$C$22, $C$13, 100%, $E$13)</f>
        <v>26.090599999999998</v>
      </c>
      <c r="J788" s="64">
        <f>15.9398 * CHOOSE(CONTROL!$C$22, $C$13, 100%, $E$13)</f>
        <v>15.9398</v>
      </c>
      <c r="K788" s="64">
        <f>15.9413 * CHOOSE(CONTROL!$C$22, $C$13, 100%, $E$13)</f>
        <v>15.9413</v>
      </c>
    </row>
    <row r="789" spans="1:11" ht="15">
      <c r="A789" s="13">
        <v>65654</v>
      </c>
      <c r="B789" s="63">
        <f>13.6274 * CHOOSE(CONTROL!$C$22, $C$13, 100%, $E$13)</f>
        <v>13.6274</v>
      </c>
      <c r="C789" s="63">
        <f>13.6274 * CHOOSE(CONTROL!$C$22, $C$13, 100%, $E$13)</f>
        <v>13.6274</v>
      </c>
      <c r="D789" s="63">
        <f>13.6396 * CHOOSE(CONTROL!$C$22, $C$13, 100%, $E$13)</f>
        <v>13.6396</v>
      </c>
      <c r="E789" s="64">
        <f>15.9991 * CHOOSE(CONTROL!$C$22, $C$13, 100%, $E$13)</f>
        <v>15.9991</v>
      </c>
      <c r="F789" s="64">
        <f>15.9991 * CHOOSE(CONTROL!$C$22, $C$13, 100%, $E$13)</f>
        <v>15.9991</v>
      </c>
      <c r="G789" s="64">
        <f>15.9993 * CHOOSE(CONTROL!$C$22, $C$13, 100%, $E$13)</f>
        <v>15.9993</v>
      </c>
      <c r="H789" s="64">
        <f>26.1434* CHOOSE(CONTROL!$C$22, $C$13, 100%, $E$13)</f>
        <v>26.1434</v>
      </c>
      <c r="I789" s="64">
        <f>26.1435 * CHOOSE(CONTROL!$C$22, $C$13, 100%, $E$13)</f>
        <v>26.1435</v>
      </c>
      <c r="J789" s="64">
        <f>15.9991 * CHOOSE(CONTROL!$C$22, $C$13, 100%, $E$13)</f>
        <v>15.9991</v>
      </c>
      <c r="K789" s="64">
        <f>15.9993 * CHOOSE(CONTROL!$C$22, $C$13, 100%, $E$13)</f>
        <v>15.9993</v>
      </c>
    </row>
    <row r="790" spans="1:11" ht="15">
      <c r="A790" s="13">
        <v>65685</v>
      </c>
      <c r="B790" s="63">
        <f>13.6305 * CHOOSE(CONTROL!$C$22, $C$13, 100%, $E$13)</f>
        <v>13.6305</v>
      </c>
      <c r="C790" s="63">
        <f>13.6305 * CHOOSE(CONTROL!$C$22, $C$13, 100%, $E$13)</f>
        <v>13.6305</v>
      </c>
      <c r="D790" s="63">
        <f>13.6427 * CHOOSE(CONTROL!$C$22, $C$13, 100%, $E$13)</f>
        <v>13.6427</v>
      </c>
      <c r="E790" s="64">
        <f>16.0376 * CHOOSE(CONTROL!$C$22, $C$13, 100%, $E$13)</f>
        <v>16.037600000000001</v>
      </c>
      <c r="F790" s="64">
        <f>16.0376 * CHOOSE(CONTROL!$C$22, $C$13, 100%, $E$13)</f>
        <v>16.037600000000001</v>
      </c>
      <c r="G790" s="64">
        <f>16.0378 * CHOOSE(CONTROL!$C$22, $C$13, 100%, $E$13)</f>
        <v>16.037800000000001</v>
      </c>
      <c r="H790" s="64">
        <f>26.1978* CHOOSE(CONTROL!$C$22, $C$13, 100%, $E$13)</f>
        <v>26.197800000000001</v>
      </c>
      <c r="I790" s="64">
        <f>26.198 * CHOOSE(CONTROL!$C$22, $C$13, 100%, $E$13)</f>
        <v>26.198</v>
      </c>
      <c r="J790" s="64">
        <f>16.0376 * CHOOSE(CONTROL!$C$22, $C$13, 100%, $E$13)</f>
        <v>16.037600000000001</v>
      </c>
      <c r="K790" s="64">
        <f>16.0378 * CHOOSE(CONTROL!$C$22, $C$13, 100%, $E$13)</f>
        <v>16.037800000000001</v>
      </c>
    </row>
    <row r="791" spans="1:11" ht="15">
      <c r="A791" s="13">
        <v>65715</v>
      </c>
      <c r="B791" s="63">
        <f>13.6305 * CHOOSE(CONTROL!$C$22, $C$13, 100%, $E$13)</f>
        <v>13.6305</v>
      </c>
      <c r="C791" s="63">
        <f>13.6305 * CHOOSE(CONTROL!$C$22, $C$13, 100%, $E$13)</f>
        <v>13.6305</v>
      </c>
      <c r="D791" s="63">
        <f>13.6427 * CHOOSE(CONTROL!$C$22, $C$13, 100%, $E$13)</f>
        <v>13.6427</v>
      </c>
      <c r="E791" s="64">
        <f>15.9467 * CHOOSE(CONTROL!$C$22, $C$13, 100%, $E$13)</f>
        <v>15.9467</v>
      </c>
      <c r="F791" s="64">
        <f>15.9467 * CHOOSE(CONTROL!$C$22, $C$13, 100%, $E$13)</f>
        <v>15.9467</v>
      </c>
      <c r="G791" s="64">
        <f>15.9468 * CHOOSE(CONTROL!$C$22, $C$13, 100%, $E$13)</f>
        <v>15.9468</v>
      </c>
      <c r="H791" s="64">
        <f>26.2524* CHOOSE(CONTROL!$C$22, $C$13, 100%, $E$13)</f>
        <v>26.252400000000002</v>
      </c>
      <c r="I791" s="64">
        <f>26.2526 * CHOOSE(CONTROL!$C$22, $C$13, 100%, $E$13)</f>
        <v>26.252600000000001</v>
      </c>
      <c r="J791" s="64">
        <f>15.9467 * CHOOSE(CONTROL!$C$22, $C$13, 100%, $E$13)</f>
        <v>15.9467</v>
      </c>
      <c r="K791" s="64">
        <f>15.9468 * CHOOSE(CONTROL!$C$22, $C$13, 100%, $E$13)</f>
        <v>15.9468</v>
      </c>
    </row>
    <row r="792" spans="1:11" ht="15">
      <c r="A792" s="13">
        <v>65746</v>
      </c>
      <c r="B792" s="63">
        <f>13.6262 * CHOOSE(CONTROL!$C$22, $C$13, 100%, $E$13)</f>
        <v>13.626200000000001</v>
      </c>
      <c r="C792" s="63">
        <f>13.6262 * CHOOSE(CONTROL!$C$22, $C$13, 100%, $E$13)</f>
        <v>13.626200000000001</v>
      </c>
      <c r="D792" s="63">
        <f>13.6384 * CHOOSE(CONTROL!$C$22, $C$13, 100%, $E$13)</f>
        <v>13.638400000000001</v>
      </c>
      <c r="E792" s="64">
        <f>16.0048 * CHOOSE(CONTROL!$C$22, $C$13, 100%, $E$13)</f>
        <v>16.004799999999999</v>
      </c>
      <c r="F792" s="64">
        <f>16.0048 * CHOOSE(CONTROL!$C$22, $C$13, 100%, $E$13)</f>
        <v>16.004799999999999</v>
      </c>
      <c r="G792" s="64">
        <f>16.005 * CHOOSE(CONTROL!$C$22, $C$13, 100%, $E$13)</f>
        <v>16.004999999999999</v>
      </c>
      <c r="H792" s="64">
        <f>26.1041* CHOOSE(CONTROL!$C$22, $C$13, 100%, $E$13)</f>
        <v>26.104099999999999</v>
      </c>
      <c r="I792" s="64">
        <f>26.1043 * CHOOSE(CONTROL!$C$22, $C$13, 100%, $E$13)</f>
        <v>26.104299999999999</v>
      </c>
      <c r="J792" s="64">
        <f>16.0048 * CHOOSE(CONTROL!$C$22, $C$13, 100%, $E$13)</f>
        <v>16.004799999999999</v>
      </c>
      <c r="K792" s="64">
        <f>16.005 * CHOOSE(CONTROL!$C$22, $C$13, 100%, $E$13)</f>
        <v>16.004999999999999</v>
      </c>
    </row>
    <row r="793" spans="1:11" ht="15">
      <c r="A793" s="13">
        <v>65777</v>
      </c>
      <c r="B793" s="63">
        <f>13.6231 * CHOOSE(CONTROL!$C$22, $C$13, 100%, $E$13)</f>
        <v>13.623100000000001</v>
      </c>
      <c r="C793" s="63">
        <f>13.6231 * CHOOSE(CONTROL!$C$22, $C$13, 100%, $E$13)</f>
        <v>13.623100000000001</v>
      </c>
      <c r="D793" s="63">
        <f>13.6353 * CHOOSE(CONTROL!$C$22, $C$13, 100%, $E$13)</f>
        <v>13.635300000000001</v>
      </c>
      <c r="E793" s="64">
        <f>15.8276 * CHOOSE(CONTROL!$C$22, $C$13, 100%, $E$13)</f>
        <v>15.8276</v>
      </c>
      <c r="F793" s="64">
        <f>15.8276 * CHOOSE(CONTROL!$C$22, $C$13, 100%, $E$13)</f>
        <v>15.8276</v>
      </c>
      <c r="G793" s="64">
        <f>15.8278 * CHOOSE(CONTROL!$C$22, $C$13, 100%, $E$13)</f>
        <v>15.8278</v>
      </c>
      <c r="H793" s="64">
        <f>26.1585* CHOOSE(CONTROL!$C$22, $C$13, 100%, $E$13)</f>
        <v>26.1585</v>
      </c>
      <c r="I793" s="64">
        <f>26.1587 * CHOOSE(CONTROL!$C$22, $C$13, 100%, $E$13)</f>
        <v>26.1587</v>
      </c>
      <c r="J793" s="64">
        <f>15.8276 * CHOOSE(CONTROL!$C$22, $C$13, 100%, $E$13)</f>
        <v>15.8276</v>
      </c>
      <c r="K793" s="64">
        <f>15.8278 * CHOOSE(CONTROL!$C$22, $C$13, 100%, $E$13)</f>
        <v>15.8278</v>
      </c>
    </row>
    <row r="794" spans="1:11" ht="15">
      <c r="A794" s="13">
        <v>65806</v>
      </c>
      <c r="B794" s="63">
        <f>13.6201 * CHOOSE(CONTROL!$C$22, $C$13, 100%, $E$13)</f>
        <v>13.620100000000001</v>
      </c>
      <c r="C794" s="63">
        <f>13.6201 * CHOOSE(CONTROL!$C$22, $C$13, 100%, $E$13)</f>
        <v>13.620100000000001</v>
      </c>
      <c r="D794" s="63">
        <f>13.6323 * CHOOSE(CONTROL!$C$22, $C$13, 100%, $E$13)</f>
        <v>13.632300000000001</v>
      </c>
      <c r="E794" s="64">
        <f>15.9635 * CHOOSE(CONTROL!$C$22, $C$13, 100%, $E$13)</f>
        <v>15.9635</v>
      </c>
      <c r="F794" s="64">
        <f>15.9635 * CHOOSE(CONTROL!$C$22, $C$13, 100%, $E$13)</f>
        <v>15.9635</v>
      </c>
      <c r="G794" s="64">
        <f>15.9637 * CHOOSE(CONTROL!$C$22, $C$13, 100%, $E$13)</f>
        <v>15.963699999999999</v>
      </c>
      <c r="H794" s="64">
        <f>26.213* CHOOSE(CONTROL!$C$22, $C$13, 100%, $E$13)</f>
        <v>26.213000000000001</v>
      </c>
      <c r="I794" s="64">
        <f>26.2132 * CHOOSE(CONTROL!$C$22, $C$13, 100%, $E$13)</f>
        <v>26.213200000000001</v>
      </c>
      <c r="J794" s="64">
        <f>15.9635 * CHOOSE(CONTROL!$C$22, $C$13, 100%, $E$13)</f>
        <v>15.9635</v>
      </c>
      <c r="K794" s="64">
        <f>15.9637 * CHOOSE(CONTROL!$C$22, $C$13, 100%, $E$13)</f>
        <v>15.963699999999999</v>
      </c>
    </row>
    <row r="795" spans="1:11" ht="15">
      <c r="A795" s="13">
        <v>65837</v>
      </c>
      <c r="B795" s="63">
        <f>13.626 * CHOOSE(CONTROL!$C$22, $C$13, 100%, $E$13)</f>
        <v>13.625999999999999</v>
      </c>
      <c r="C795" s="63">
        <f>13.626 * CHOOSE(CONTROL!$C$22, $C$13, 100%, $E$13)</f>
        <v>13.625999999999999</v>
      </c>
      <c r="D795" s="63">
        <f>13.6382 * CHOOSE(CONTROL!$C$22, $C$13, 100%, $E$13)</f>
        <v>13.638199999999999</v>
      </c>
      <c r="E795" s="64">
        <f>16.1076 * CHOOSE(CONTROL!$C$22, $C$13, 100%, $E$13)</f>
        <v>16.107600000000001</v>
      </c>
      <c r="F795" s="64">
        <f>16.1076 * CHOOSE(CONTROL!$C$22, $C$13, 100%, $E$13)</f>
        <v>16.107600000000001</v>
      </c>
      <c r="G795" s="64">
        <f>16.1077 * CHOOSE(CONTROL!$C$22, $C$13, 100%, $E$13)</f>
        <v>16.107700000000001</v>
      </c>
      <c r="H795" s="64">
        <f>26.2676* CHOOSE(CONTROL!$C$22, $C$13, 100%, $E$13)</f>
        <v>26.267600000000002</v>
      </c>
      <c r="I795" s="64">
        <f>26.2678 * CHOOSE(CONTROL!$C$22, $C$13, 100%, $E$13)</f>
        <v>26.267800000000001</v>
      </c>
      <c r="J795" s="64">
        <f>16.1076 * CHOOSE(CONTROL!$C$22, $C$13, 100%, $E$13)</f>
        <v>16.107600000000001</v>
      </c>
      <c r="K795" s="64">
        <f>16.1077 * CHOOSE(CONTROL!$C$22, $C$13, 100%, $E$13)</f>
        <v>16.107700000000001</v>
      </c>
    </row>
    <row r="796" spans="1:11" ht="15">
      <c r="A796" s="13">
        <v>65867</v>
      </c>
      <c r="B796" s="63">
        <f>13.626 * CHOOSE(CONTROL!$C$22, $C$13, 100%, $E$13)</f>
        <v>13.625999999999999</v>
      </c>
      <c r="C796" s="63">
        <f>13.626 * CHOOSE(CONTROL!$C$22, $C$13, 100%, $E$13)</f>
        <v>13.625999999999999</v>
      </c>
      <c r="D796" s="63">
        <f>13.6504 * CHOOSE(CONTROL!$C$22, $C$13, 100%, $E$13)</f>
        <v>13.650399999999999</v>
      </c>
      <c r="E796" s="64">
        <f>16.1632 * CHOOSE(CONTROL!$C$22, $C$13, 100%, $E$13)</f>
        <v>16.1632</v>
      </c>
      <c r="F796" s="64">
        <f>16.1632 * CHOOSE(CONTROL!$C$22, $C$13, 100%, $E$13)</f>
        <v>16.1632</v>
      </c>
      <c r="G796" s="64">
        <f>16.1647 * CHOOSE(CONTROL!$C$22, $C$13, 100%, $E$13)</f>
        <v>16.1647</v>
      </c>
      <c r="H796" s="64">
        <f>26.3223* CHOOSE(CONTROL!$C$22, $C$13, 100%, $E$13)</f>
        <v>26.322299999999998</v>
      </c>
      <c r="I796" s="64">
        <f>26.3239 * CHOOSE(CONTROL!$C$22, $C$13, 100%, $E$13)</f>
        <v>26.323899999999998</v>
      </c>
      <c r="J796" s="64">
        <f>16.1632 * CHOOSE(CONTROL!$C$22, $C$13, 100%, $E$13)</f>
        <v>16.1632</v>
      </c>
      <c r="K796" s="64">
        <f>16.1647 * CHOOSE(CONTROL!$C$22, $C$13, 100%, $E$13)</f>
        <v>16.1647</v>
      </c>
    </row>
    <row r="797" spans="1:11" ht="15">
      <c r="A797" s="13">
        <v>65898</v>
      </c>
      <c r="B797" s="63">
        <f>13.6321 * CHOOSE(CONTROL!$C$22, $C$13, 100%, $E$13)</f>
        <v>13.632099999999999</v>
      </c>
      <c r="C797" s="63">
        <f>13.6321 * CHOOSE(CONTROL!$C$22, $C$13, 100%, $E$13)</f>
        <v>13.632099999999999</v>
      </c>
      <c r="D797" s="63">
        <f>13.6565 * CHOOSE(CONTROL!$C$22, $C$13, 100%, $E$13)</f>
        <v>13.656499999999999</v>
      </c>
      <c r="E797" s="64">
        <f>16.1118 * CHOOSE(CONTROL!$C$22, $C$13, 100%, $E$13)</f>
        <v>16.111799999999999</v>
      </c>
      <c r="F797" s="64">
        <f>16.1118 * CHOOSE(CONTROL!$C$22, $C$13, 100%, $E$13)</f>
        <v>16.111799999999999</v>
      </c>
      <c r="G797" s="64">
        <f>16.1134 * CHOOSE(CONTROL!$C$22, $C$13, 100%, $E$13)</f>
        <v>16.113399999999999</v>
      </c>
      <c r="H797" s="64">
        <f>26.3772* CHOOSE(CONTROL!$C$22, $C$13, 100%, $E$13)</f>
        <v>26.377199999999998</v>
      </c>
      <c r="I797" s="64">
        <f>26.3787 * CHOOSE(CONTROL!$C$22, $C$13, 100%, $E$13)</f>
        <v>26.378699999999998</v>
      </c>
      <c r="J797" s="64">
        <f>16.1118 * CHOOSE(CONTROL!$C$22, $C$13, 100%, $E$13)</f>
        <v>16.111799999999999</v>
      </c>
      <c r="K797" s="64">
        <f>16.1134 * CHOOSE(CONTROL!$C$22, $C$13, 100%, $E$13)</f>
        <v>16.113399999999999</v>
      </c>
    </row>
    <row r="798" spans="1:11" ht="15">
      <c r="A798" s="13">
        <v>65928</v>
      </c>
      <c r="B798" s="63">
        <f>13.8464 * CHOOSE(CONTROL!$C$22, $C$13, 100%, $E$13)</f>
        <v>13.846399999999999</v>
      </c>
      <c r="C798" s="63">
        <f>13.8464 * CHOOSE(CONTROL!$C$22, $C$13, 100%, $E$13)</f>
        <v>13.846399999999999</v>
      </c>
      <c r="D798" s="63">
        <f>13.8708 * CHOOSE(CONTROL!$C$22, $C$13, 100%, $E$13)</f>
        <v>13.870799999999999</v>
      </c>
      <c r="E798" s="64">
        <f>16.4191 * CHOOSE(CONTROL!$C$22, $C$13, 100%, $E$13)</f>
        <v>16.4191</v>
      </c>
      <c r="F798" s="64">
        <f>16.4191 * CHOOSE(CONTROL!$C$22, $C$13, 100%, $E$13)</f>
        <v>16.4191</v>
      </c>
      <c r="G798" s="64">
        <f>16.4206 * CHOOSE(CONTROL!$C$22, $C$13, 100%, $E$13)</f>
        <v>16.4206</v>
      </c>
      <c r="H798" s="64">
        <f>26.4321* CHOOSE(CONTROL!$C$22, $C$13, 100%, $E$13)</f>
        <v>26.432099999999998</v>
      </c>
      <c r="I798" s="64">
        <f>26.4337 * CHOOSE(CONTROL!$C$22, $C$13, 100%, $E$13)</f>
        <v>26.433700000000002</v>
      </c>
      <c r="J798" s="64">
        <f>16.4191 * CHOOSE(CONTROL!$C$22, $C$13, 100%, $E$13)</f>
        <v>16.4191</v>
      </c>
      <c r="K798" s="64">
        <f>16.4206 * CHOOSE(CONTROL!$C$22, $C$13, 100%, $E$13)</f>
        <v>16.4206</v>
      </c>
    </row>
    <row r="799" spans="1:11" ht="15">
      <c r="A799" s="13">
        <v>65959</v>
      </c>
      <c r="B799" s="63">
        <f>13.8531 * CHOOSE(CONTROL!$C$22, $C$13, 100%, $E$13)</f>
        <v>13.8531</v>
      </c>
      <c r="C799" s="63">
        <f>13.8531 * CHOOSE(CONTROL!$C$22, $C$13, 100%, $E$13)</f>
        <v>13.8531</v>
      </c>
      <c r="D799" s="63">
        <f>13.8775 * CHOOSE(CONTROL!$C$22, $C$13, 100%, $E$13)</f>
        <v>13.8775</v>
      </c>
      <c r="E799" s="64">
        <f>16.2569 * CHOOSE(CONTROL!$C$22, $C$13, 100%, $E$13)</f>
        <v>16.256900000000002</v>
      </c>
      <c r="F799" s="64">
        <f>16.2569 * CHOOSE(CONTROL!$C$22, $C$13, 100%, $E$13)</f>
        <v>16.256900000000002</v>
      </c>
      <c r="G799" s="64">
        <f>16.2585 * CHOOSE(CONTROL!$C$22, $C$13, 100%, $E$13)</f>
        <v>16.258500000000002</v>
      </c>
      <c r="H799" s="64">
        <f>26.4872* CHOOSE(CONTROL!$C$22, $C$13, 100%, $E$13)</f>
        <v>26.487200000000001</v>
      </c>
      <c r="I799" s="64">
        <f>26.4888 * CHOOSE(CONTROL!$C$22, $C$13, 100%, $E$13)</f>
        <v>26.488800000000001</v>
      </c>
      <c r="J799" s="64">
        <f>16.2569 * CHOOSE(CONTROL!$C$22, $C$13, 100%, $E$13)</f>
        <v>16.256900000000002</v>
      </c>
      <c r="K799" s="64">
        <f>16.2585 * CHOOSE(CONTROL!$C$22, $C$13, 100%, $E$13)</f>
        <v>16.258500000000002</v>
      </c>
    </row>
    <row r="800" spans="1:11" ht="15">
      <c r="A800" s="13">
        <v>65990</v>
      </c>
      <c r="B800" s="63">
        <f>13.85 * CHOOSE(CONTROL!$C$22, $C$13, 100%, $E$13)</f>
        <v>13.85</v>
      </c>
      <c r="C800" s="63">
        <f>13.85 * CHOOSE(CONTROL!$C$22, $C$13, 100%, $E$13)</f>
        <v>13.85</v>
      </c>
      <c r="D800" s="63">
        <f>13.8744 * CHOOSE(CONTROL!$C$22, $C$13, 100%, $E$13)</f>
        <v>13.8744</v>
      </c>
      <c r="E800" s="64">
        <f>16.2362 * CHOOSE(CONTROL!$C$22, $C$13, 100%, $E$13)</f>
        <v>16.2362</v>
      </c>
      <c r="F800" s="64">
        <f>16.2362 * CHOOSE(CONTROL!$C$22, $C$13, 100%, $E$13)</f>
        <v>16.2362</v>
      </c>
      <c r="G800" s="64">
        <f>16.2378 * CHOOSE(CONTROL!$C$22, $C$13, 100%, $E$13)</f>
        <v>16.2378</v>
      </c>
      <c r="H800" s="64">
        <f>26.5424* CHOOSE(CONTROL!$C$22, $C$13, 100%, $E$13)</f>
        <v>26.542400000000001</v>
      </c>
      <c r="I800" s="64">
        <f>26.5439 * CHOOSE(CONTROL!$C$22, $C$13, 100%, $E$13)</f>
        <v>26.543900000000001</v>
      </c>
      <c r="J800" s="64">
        <f>16.2362 * CHOOSE(CONTROL!$C$22, $C$13, 100%, $E$13)</f>
        <v>16.2362</v>
      </c>
      <c r="K800" s="64">
        <f>16.2378 * CHOOSE(CONTROL!$C$22, $C$13, 100%, $E$13)</f>
        <v>16.2378</v>
      </c>
    </row>
    <row r="801" spans="1:11" ht="15">
      <c r="A801" s="13">
        <v>66020</v>
      </c>
      <c r="B801" s="63">
        <f>13.8774 * CHOOSE(CONTROL!$C$22, $C$13, 100%, $E$13)</f>
        <v>13.8774</v>
      </c>
      <c r="C801" s="63">
        <f>13.8774 * CHOOSE(CONTROL!$C$22, $C$13, 100%, $E$13)</f>
        <v>13.8774</v>
      </c>
      <c r="D801" s="63">
        <f>13.8897 * CHOOSE(CONTROL!$C$22, $C$13, 100%, $E$13)</f>
        <v>13.889699999999999</v>
      </c>
      <c r="E801" s="64">
        <f>16.297 * CHOOSE(CONTROL!$C$22, $C$13, 100%, $E$13)</f>
        <v>16.297000000000001</v>
      </c>
      <c r="F801" s="64">
        <f>16.297 * CHOOSE(CONTROL!$C$22, $C$13, 100%, $E$13)</f>
        <v>16.297000000000001</v>
      </c>
      <c r="G801" s="64">
        <f>16.2971 * CHOOSE(CONTROL!$C$22, $C$13, 100%, $E$13)</f>
        <v>16.2971</v>
      </c>
      <c r="H801" s="64">
        <f>26.5977* CHOOSE(CONTROL!$C$22, $C$13, 100%, $E$13)</f>
        <v>26.5977</v>
      </c>
      <c r="I801" s="64">
        <f>26.5979 * CHOOSE(CONTROL!$C$22, $C$13, 100%, $E$13)</f>
        <v>26.597899999999999</v>
      </c>
      <c r="J801" s="64">
        <f>16.297 * CHOOSE(CONTROL!$C$22, $C$13, 100%, $E$13)</f>
        <v>16.297000000000001</v>
      </c>
      <c r="K801" s="64">
        <f>16.2971 * CHOOSE(CONTROL!$C$22, $C$13, 100%, $E$13)</f>
        <v>16.2971</v>
      </c>
    </row>
    <row r="802" spans="1:11" ht="15">
      <c r="A802" s="13">
        <v>66051</v>
      </c>
      <c r="B802" s="63">
        <f>13.8805 * CHOOSE(CONTROL!$C$22, $C$13, 100%, $E$13)</f>
        <v>13.8805</v>
      </c>
      <c r="C802" s="63">
        <f>13.8805 * CHOOSE(CONTROL!$C$22, $C$13, 100%, $E$13)</f>
        <v>13.8805</v>
      </c>
      <c r="D802" s="63">
        <f>13.8927 * CHOOSE(CONTROL!$C$22, $C$13, 100%, $E$13)</f>
        <v>13.8927</v>
      </c>
      <c r="E802" s="64">
        <f>16.3362 * CHOOSE(CONTROL!$C$22, $C$13, 100%, $E$13)</f>
        <v>16.336200000000002</v>
      </c>
      <c r="F802" s="64">
        <f>16.3362 * CHOOSE(CONTROL!$C$22, $C$13, 100%, $E$13)</f>
        <v>16.336200000000002</v>
      </c>
      <c r="G802" s="64">
        <f>16.3363 * CHOOSE(CONTROL!$C$22, $C$13, 100%, $E$13)</f>
        <v>16.336300000000001</v>
      </c>
      <c r="H802" s="64">
        <f>26.6531* CHOOSE(CONTROL!$C$22, $C$13, 100%, $E$13)</f>
        <v>26.653099999999998</v>
      </c>
      <c r="I802" s="64">
        <f>26.6533 * CHOOSE(CONTROL!$C$22, $C$13, 100%, $E$13)</f>
        <v>26.653300000000002</v>
      </c>
      <c r="J802" s="64">
        <f>16.3362 * CHOOSE(CONTROL!$C$22, $C$13, 100%, $E$13)</f>
        <v>16.336200000000002</v>
      </c>
      <c r="K802" s="64">
        <f>16.3363 * CHOOSE(CONTROL!$C$22, $C$13, 100%, $E$13)</f>
        <v>16.336300000000001</v>
      </c>
    </row>
    <row r="803" spans="1:11" ht="15">
      <c r="A803" s="13">
        <v>66081</v>
      </c>
      <c r="B803" s="63">
        <f>13.8805 * CHOOSE(CONTROL!$C$22, $C$13, 100%, $E$13)</f>
        <v>13.8805</v>
      </c>
      <c r="C803" s="63">
        <f>13.8805 * CHOOSE(CONTROL!$C$22, $C$13, 100%, $E$13)</f>
        <v>13.8805</v>
      </c>
      <c r="D803" s="63">
        <f>13.8927 * CHOOSE(CONTROL!$C$22, $C$13, 100%, $E$13)</f>
        <v>13.8927</v>
      </c>
      <c r="E803" s="64">
        <f>16.2435 * CHOOSE(CONTROL!$C$22, $C$13, 100%, $E$13)</f>
        <v>16.243500000000001</v>
      </c>
      <c r="F803" s="64">
        <f>16.2435 * CHOOSE(CONTROL!$C$22, $C$13, 100%, $E$13)</f>
        <v>16.243500000000001</v>
      </c>
      <c r="G803" s="64">
        <f>16.2437 * CHOOSE(CONTROL!$C$22, $C$13, 100%, $E$13)</f>
        <v>16.2437</v>
      </c>
      <c r="H803" s="64">
        <f>26.7086* CHOOSE(CONTROL!$C$22, $C$13, 100%, $E$13)</f>
        <v>26.708600000000001</v>
      </c>
      <c r="I803" s="64">
        <f>26.7088 * CHOOSE(CONTROL!$C$22, $C$13, 100%, $E$13)</f>
        <v>26.7088</v>
      </c>
      <c r="J803" s="64">
        <f>16.2435 * CHOOSE(CONTROL!$C$22, $C$13, 100%, $E$13)</f>
        <v>16.243500000000001</v>
      </c>
      <c r="K803" s="64">
        <f>16.2437 * CHOOSE(CONTROL!$C$22, $C$13, 100%, $E$13)</f>
        <v>16.2437</v>
      </c>
    </row>
    <row r="804" spans="1:11" ht="15">
      <c r="A804" s="13">
        <v>66112</v>
      </c>
      <c r="B804" s="63">
        <f>13.8715 * CHOOSE(CONTROL!$C$22, $C$13, 100%, $E$13)</f>
        <v>13.871499999999999</v>
      </c>
      <c r="C804" s="63">
        <f>13.8715 * CHOOSE(CONTROL!$C$22, $C$13, 100%, $E$13)</f>
        <v>13.871499999999999</v>
      </c>
      <c r="D804" s="63">
        <f>13.8837 * CHOOSE(CONTROL!$C$22, $C$13, 100%, $E$13)</f>
        <v>13.883699999999999</v>
      </c>
      <c r="E804" s="64">
        <f>16.2972 * CHOOSE(CONTROL!$C$22, $C$13, 100%, $E$13)</f>
        <v>16.2972</v>
      </c>
      <c r="F804" s="64">
        <f>16.2972 * CHOOSE(CONTROL!$C$22, $C$13, 100%, $E$13)</f>
        <v>16.2972</v>
      </c>
      <c r="G804" s="64">
        <f>16.2974 * CHOOSE(CONTROL!$C$22, $C$13, 100%, $E$13)</f>
        <v>16.2974</v>
      </c>
      <c r="H804" s="64">
        <f>26.55* CHOOSE(CONTROL!$C$22, $C$13, 100%, $E$13)</f>
        <v>26.55</v>
      </c>
      <c r="I804" s="64">
        <f>26.5502 * CHOOSE(CONTROL!$C$22, $C$13, 100%, $E$13)</f>
        <v>26.5502</v>
      </c>
      <c r="J804" s="64">
        <f>16.2972 * CHOOSE(CONTROL!$C$22, $C$13, 100%, $E$13)</f>
        <v>16.2972</v>
      </c>
      <c r="K804" s="64">
        <f>16.2974 * CHOOSE(CONTROL!$C$22, $C$13, 100%, $E$13)</f>
        <v>16.2974</v>
      </c>
    </row>
    <row r="805" spans="1:11" ht="15">
      <c r="A805" s="13">
        <v>66143</v>
      </c>
      <c r="B805" s="63">
        <f>13.8685 * CHOOSE(CONTROL!$C$22, $C$13, 100%, $E$13)</f>
        <v>13.868499999999999</v>
      </c>
      <c r="C805" s="63">
        <f>13.8685 * CHOOSE(CONTROL!$C$22, $C$13, 100%, $E$13)</f>
        <v>13.868499999999999</v>
      </c>
      <c r="D805" s="63">
        <f>13.8807 * CHOOSE(CONTROL!$C$22, $C$13, 100%, $E$13)</f>
        <v>13.880699999999999</v>
      </c>
      <c r="E805" s="64">
        <f>16.1168 * CHOOSE(CONTROL!$C$22, $C$13, 100%, $E$13)</f>
        <v>16.116800000000001</v>
      </c>
      <c r="F805" s="64">
        <f>16.1168 * CHOOSE(CONTROL!$C$22, $C$13, 100%, $E$13)</f>
        <v>16.116800000000001</v>
      </c>
      <c r="G805" s="64">
        <f>16.117 * CHOOSE(CONTROL!$C$22, $C$13, 100%, $E$13)</f>
        <v>16.117000000000001</v>
      </c>
      <c r="H805" s="64">
        <f>26.6053* CHOOSE(CONTROL!$C$22, $C$13, 100%, $E$13)</f>
        <v>26.6053</v>
      </c>
      <c r="I805" s="64">
        <f>26.6055 * CHOOSE(CONTROL!$C$22, $C$13, 100%, $E$13)</f>
        <v>26.605499999999999</v>
      </c>
      <c r="J805" s="64">
        <f>16.1168 * CHOOSE(CONTROL!$C$22, $C$13, 100%, $E$13)</f>
        <v>16.116800000000001</v>
      </c>
      <c r="K805" s="64">
        <f>16.117 * CHOOSE(CONTROL!$C$22, $C$13, 100%, $E$13)</f>
        <v>16.117000000000001</v>
      </c>
    </row>
    <row r="806" spans="1:11" ht="15">
      <c r="A806" s="13">
        <v>66171</v>
      </c>
      <c r="B806" s="63">
        <f>13.8654 * CHOOSE(CONTROL!$C$22, $C$13, 100%, $E$13)</f>
        <v>13.865399999999999</v>
      </c>
      <c r="C806" s="63">
        <f>13.8654 * CHOOSE(CONTROL!$C$22, $C$13, 100%, $E$13)</f>
        <v>13.865399999999999</v>
      </c>
      <c r="D806" s="63">
        <f>13.8776 * CHOOSE(CONTROL!$C$22, $C$13, 100%, $E$13)</f>
        <v>13.877599999999999</v>
      </c>
      <c r="E806" s="64">
        <f>16.2553 * CHOOSE(CONTROL!$C$22, $C$13, 100%, $E$13)</f>
        <v>16.255299999999998</v>
      </c>
      <c r="F806" s="64">
        <f>16.2553 * CHOOSE(CONTROL!$C$22, $C$13, 100%, $E$13)</f>
        <v>16.255299999999998</v>
      </c>
      <c r="G806" s="64">
        <f>16.2554 * CHOOSE(CONTROL!$C$22, $C$13, 100%, $E$13)</f>
        <v>16.255400000000002</v>
      </c>
      <c r="H806" s="64">
        <f>26.6608* CHOOSE(CONTROL!$C$22, $C$13, 100%, $E$13)</f>
        <v>26.660799999999998</v>
      </c>
      <c r="I806" s="64">
        <f>26.6609 * CHOOSE(CONTROL!$C$22, $C$13, 100%, $E$13)</f>
        <v>26.660900000000002</v>
      </c>
      <c r="J806" s="64">
        <f>16.2553 * CHOOSE(CONTROL!$C$22, $C$13, 100%, $E$13)</f>
        <v>16.255299999999998</v>
      </c>
      <c r="K806" s="64">
        <f>16.2554 * CHOOSE(CONTROL!$C$22, $C$13, 100%, $E$13)</f>
        <v>16.255400000000002</v>
      </c>
    </row>
    <row r="807" spans="1:11" ht="15">
      <c r="A807" s="13">
        <v>66202</v>
      </c>
      <c r="B807" s="63">
        <f>13.8715 * CHOOSE(CONTROL!$C$22, $C$13, 100%, $E$13)</f>
        <v>13.871499999999999</v>
      </c>
      <c r="C807" s="63">
        <f>13.8715 * CHOOSE(CONTROL!$C$22, $C$13, 100%, $E$13)</f>
        <v>13.871499999999999</v>
      </c>
      <c r="D807" s="63">
        <f>13.8837 * CHOOSE(CONTROL!$C$22, $C$13, 100%, $E$13)</f>
        <v>13.883699999999999</v>
      </c>
      <c r="E807" s="64">
        <f>16.402 * CHOOSE(CONTROL!$C$22, $C$13, 100%, $E$13)</f>
        <v>16.402000000000001</v>
      </c>
      <c r="F807" s="64">
        <f>16.402 * CHOOSE(CONTROL!$C$22, $C$13, 100%, $E$13)</f>
        <v>16.402000000000001</v>
      </c>
      <c r="G807" s="64">
        <f>16.4022 * CHOOSE(CONTROL!$C$22, $C$13, 100%, $E$13)</f>
        <v>16.402200000000001</v>
      </c>
      <c r="H807" s="64">
        <f>26.7163* CHOOSE(CONTROL!$C$22, $C$13, 100%, $E$13)</f>
        <v>26.7163</v>
      </c>
      <c r="I807" s="64">
        <f>26.7165 * CHOOSE(CONTROL!$C$22, $C$13, 100%, $E$13)</f>
        <v>26.7165</v>
      </c>
      <c r="J807" s="64">
        <f>16.402 * CHOOSE(CONTROL!$C$22, $C$13, 100%, $E$13)</f>
        <v>16.402000000000001</v>
      </c>
      <c r="K807" s="64">
        <f>16.4022 * CHOOSE(CONTROL!$C$22, $C$13, 100%, $E$13)</f>
        <v>16.402200000000001</v>
      </c>
    </row>
    <row r="808" spans="1:11" ht="15">
      <c r="A808" s="13">
        <v>66232</v>
      </c>
      <c r="B808" s="63">
        <f>13.8715 * CHOOSE(CONTROL!$C$22, $C$13, 100%, $E$13)</f>
        <v>13.871499999999999</v>
      </c>
      <c r="C808" s="63">
        <f>13.8715 * CHOOSE(CONTROL!$C$22, $C$13, 100%, $E$13)</f>
        <v>13.871499999999999</v>
      </c>
      <c r="D808" s="63">
        <f>13.8959 * CHOOSE(CONTROL!$C$22, $C$13, 100%, $E$13)</f>
        <v>13.895899999999999</v>
      </c>
      <c r="E808" s="64">
        <f>16.4586 * CHOOSE(CONTROL!$C$22, $C$13, 100%, $E$13)</f>
        <v>16.458600000000001</v>
      </c>
      <c r="F808" s="64">
        <f>16.4586 * CHOOSE(CONTROL!$C$22, $C$13, 100%, $E$13)</f>
        <v>16.458600000000001</v>
      </c>
      <c r="G808" s="64">
        <f>16.4602 * CHOOSE(CONTROL!$C$22, $C$13, 100%, $E$13)</f>
        <v>16.4602</v>
      </c>
      <c r="H808" s="64">
        <f>26.772* CHOOSE(CONTROL!$C$22, $C$13, 100%, $E$13)</f>
        <v>26.771999999999998</v>
      </c>
      <c r="I808" s="64">
        <f>26.7735 * CHOOSE(CONTROL!$C$22, $C$13, 100%, $E$13)</f>
        <v>26.773499999999999</v>
      </c>
      <c r="J808" s="64">
        <f>16.4586 * CHOOSE(CONTROL!$C$22, $C$13, 100%, $E$13)</f>
        <v>16.458600000000001</v>
      </c>
      <c r="K808" s="64">
        <f>16.4602 * CHOOSE(CONTROL!$C$22, $C$13, 100%, $E$13)</f>
        <v>16.4602</v>
      </c>
    </row>
    <row r="809" spans="1:11" ht="15">
      <c r="A809" s="13">
        <v>66263</v>
      </c>
      <c r="B809" s="63">
        <f>13.8776 * CHOOSE(CONTROL!$C$22, $C$13, 100%, $E$13)</f>
        <v>13.877599999999999</v>
      </c>
      <c r="C809" s="63">
        <f>13.8776 * CHOOSE(CONTROL!$C$22, $C$13, 100%, $E$13)</f>
        <v>13.877599999999999</v>
      </c>
      <c r="D809" s="63">
        <f>13.902 * CHOOSE(CONTROL!$C$22, $C$13, 100%, $E$13)</f>
        <v>13.901999999999999</v>
      </c>
      <c r="E809" s="64">
        <f>16.4063 * CHOOSE(CONTROL!$C$22, $C$13, 100%, $E$13)</f>
        <v>16.406300000000002</v>
      </c>
      <c r="F809" s="64">
        <f>16.4063 * CHOOSE(CONTROL!$C$22, $C$13, 100%, $E$13)</f>
        <v>16.406300000000002</v>
      </c>
      <c r="G809" s="64">
        <f>16.4078 * CHOOSE(CONTROL!$C$22, $C$13, 100%, $E$13)</f>
        <v>16.407800000000002</v>
      </c>
      <c r="H809" s="64">
        <f>26.8277* CHOOSE(CONTROL!$C$22, $C$13, 100%, $E$13)</f>
        <v>26.8277</v>
      </c>
      <c r="I809" s="64">
        <f>26.8293 * CHOOSE(CONTROL!$C$22, $C$13, 100%, $E$13)</f>
        <v>26.8293</v>
      </c>
      <c r="J809" s="64">
        <f>16.4063 * CHOOSE(CONTROL!$C$22, $C$13, 100%, $E$13)</f>
        <v>16.406300000000002</v>
      </c>
      <c r="K809" s="64">
        <f>16.4078 * CHOOSE(CONTROL!$C$22, $C$13, 100%, $E$13)</f>
        <v>16.407800000000002</v>
      </c>
    </row>
    <row r="810" spans="1:11" ht="15">
      <c r="A810" s="13">
        <v>66293</v>
      </c>
      <c r="B810" s="63">
        <f>14.0956 * CHOOSE(CONTROL!$C$22, $C$13, 100%, $E$13)</f>
        <v>14.095599999999999</v>
      </c>
      <c r="C810" s="63">
        <f>14.0956 * CHOOSE(CONTROL!$C$22, $C$13, 100%, $E$13)</f>
        <v>14.095599999999999</v>
      </c>
      <c r="D810" s="63">
        <f>14.12 * CHOOSE(CONTROL!$C$22, $C$13, 100%, $E$13)</f>
        <v>14.12</v>
      </c>
      <c r="E810" s="64">
        <f>16.7189 * CHOOSE(CONTROL!$C$22, $C$13, 100%, $E$13)</f>
        <v>16.718900000000001</v>
      </c>
      <c r="F810" s="64">
        <f>16.7189 * CHOOSE(CONTROL!$C$22, $C$13, 100%, $E$13)</f>
        <v>16.718900000000001</v>
      </c>
      <c r="G810" s="64">
        <f>16.7205 * CHOOSE(CONTROL!$C$22, $C$13, 100%, $E$13)</f>
        <v>16.720500000000001</v>
      </c>
      <c r="H810" s="64">
        <f>26.8836* CHOOSE(CONTROL!$C$22, $C$13, 100%, $E$13)</f>
        <v>26.883600000000001</v>
      </c>
      <c r="I810" s="64">
        <f>26.8852 * CHOOSE(CONTROL!$C$22, $C$13, 100%, $E$13)</f>
        <v>26.885200000000001</v>
      </c>
      <c r="J810" s="64">
        <f>16.7189 * CHOOSE(CONTROL!$C$22, $C$13, 100%, $E$13)</f>
        <v>16.718900000000001</v>
      </c>
      <c r="K810" s="64">
        <f>16.7205 * CHOOSE(CONTROL!$C$22, $C$13, 100%, $E$13)</f>
        <v>16.720500000000001</v>
      </c>
    </row>
    <row r="811" spans="1:11" ht="15">
      <c r="A811" s="13">
        <v>66324</v>
      </c>
      <c r="B811" s="63">
        <f>14.1023 * CHOOSE(CONTROL!$C$22, $C$13, 100%, $E$13)</f>
        <v>14.1023</v>
      </c>
      <c r="C811" s="63">
        <f>14.1023 * CHOOSE(CONTROL!$C$22, $C$13, 100%, $E$13)</f>
        <v>14.1023</v>
      </c>
      <c r="D811" s="63">
        <f>14.1267 * CHOOSE(CONTROL!$C$22, $C$13, 100%, $E$13)</f>
        <v>14.1267</v>
      </c>
      <c r="E811" s="64">
        <f>16.5537 * CHOOSE(CONTROL!$C$22, $C$13, 100%, $E$13)</f>
        <v>16.553699999999999</v>
      </c>
      <c r="F811" s="64">
        <f>16.5537 * CHOOSE(CONTROL!$C$22, $C$13, 100%, $E$13)</f>
        <v>16.553699999999999</v>
      </c>
      <c r="G811" s="64">
        <f>16.5553 * CHOOSE(CONTROL!$C$22, $C$13, 100%, $E$13)</f>
        <v>16.555299999999999</v>
      </c>
      <c r="H811" s="64">
        <f>26.9396* CHOOSE(CONTROL!$C$22, $C$13, 100%, $E$13)</f>
        <v>26.939599999999999</v>
      </c>
      <c r="I811" s="64">
        <f>26.9412 * CHOOSE(CONTROL!$C$22, $C$13, 100%, $E$13)</f>
        <v>26.941199999999998</v>
      </c>
      <c r="J811" s="64">
        <f>16.5537 * CHOOSE(CONTROL!$C$22, $C$13, 100%, $E$13)</f>
        <v>16.553699999999999</v>
      </c>
      <c r="K811" s="64">
        <f>16.5553 * CHOOSE(CONTROL!$C$22, $C$13, 100%, $E$13)</f>
        <v>16.555299999999999</v>
      </c>
    </row>
    <row r="812" spans="1:11" ht="15">
      <c r="A812" s="13">
        <v>66355</v>
      </c>
      <c r="B812" s="63">
        <f>14.0992 * CHOOSE(CONTROL!$C$22, $C$13, 100%, $E$13)</f>
        <v>14.0992</v>
      </c>
      <c r="C812" s="63">
        <f>14.0992 * CHOOSE(CONTROL!$C$22, $C$13, 100%, $E$13)</f>
        <v>14.0992</v>
      </c>
      <c r="D812" s="63">
        <f>14.1237 * CHOOSE(CONTROL!$C$22, $C$13, 100%, $E$13)</f>
        <v>14.123699999999999</v>
      </c>
      <c r="E812" s="64">
        <f>16.5327 * CHOOSE(CONTROL!$C$22, $C$13, 100%, $E$13)</f>
        <v>16.532699999999998</v>
      </c>
      <c r="F812" s="64">
        <f>16.5327 * CHOOSE(CONTROL!$C$22, $C$13, 100%, $E$13)</f>
        <v>16.532699999999998</v>
      </c>
      <c r="G812" s="64">
        <f>16.5343 * CHOOSE(CONTROL!$C$22, $C$13, 100%, $E$13)</f>
        <v>16.534300000000002</v>
      </c>
      <c r="H812" s="64">
        <f>26.9958* CHOOSE(CONTROL!$C$22, $C$13, 100%, $E$13)</f>
        <v>26.995799999999999</v>
      </c>
      <c r="I812" s="64">
        <f>26.9973 * CHOOSE(CONTROL!$C$22, $C$13, 100%, $E$13)</f>
        <v>26.997299999999999</v>
      </c>
      <c r="J812" s="64">
        <f>16.5327 * CHOOSE(CONTROL!$C$22, $C$13, 100%, $E$13)</f>
        <v>16.532699999999998</v>
      </c>
      <c r="K812" s="64">
        <f>16.5343 * CHOOSE(CONTROL!$C$22, $C$13, 100%, $E$13)</f>
        <v>16.534300000000002</v>
      </c>
    </row>
    <row r="813" spans="1:11" ht="15">
      <c r="A813" s="13">
        <v>66385</v>
      </c>
      <c r="B813" s="63">
        <f>14.1275 * CHOOSE(CONTROL!$C$22, $C$13, 100%, $E$13)</f>
        <v>14.1275</v>
      </c>
      <c r="C813" s="63">
        <f>14.1275 * CHOOSE(CONTROL!$C$22, $C$13, 100%, $E$13)</f>
        <v>14.1275</v>
      </c>
      <c r="D813" s="63">
        <f>14.1397 * CHOOSE(CONTROL!$C$22, $C$13, 100%, $E$13)</f>
        <v>14.139699999999999</v>
      </c>
      <c r="E813" s="64">
        <f>16.5948 * CHOOSE(CONTROL!$C$22, $C$13, 100%, $E$13)</f>
        <v>16.594799999999999</v>
      </c>
      <c r="F813" s="64">
        <f>16.5948 * CHOOSE(CONTROL!$C$22, $C$13, 100%, $E$13)</f>
        <v>16.594799999999999</v>
      </c>
      <c r="G813" s="64">
        <f>16.595 * CHOOSE(CONTROL!$C$22, $C$13, 100%, $E$13)</f>
        <v>16.594999999999999</v>
      </c>
      <c r="H813" s="64">
        <f>27.052* CHOOSE(CONTROL!$C$22, $C$13, 100%, $E$13)</f>
        <v>27.052</v>
      </c>
      <c r="I813" s="64">
        <f>27.0522 * CHOOSE(CONTROL!$C$22, $C$13, 100%, $E$13)</f>
        <v>27.052199999999999</v>
      </c>
      <c r="J813" s="64">
        <f>16.5948 * CHOOSE(CONTROL!$C$22, $C$13, 100%, $E$13)</f>
        <v>16.594799999999999</v>
      </c>
      <c r="K813" s="64">
        <f>16.595 * CHOOSE(CONTROL!$C$22, $C$13, 100%, $E$13)</f>
        <v>16.594999999999999</v>
      </c>
    </row>
    <row r="814" spans="1:11" ht="15">
      <c r="A814" s="13">
        <v>66416</v>
      </c>
      <c r="B814" s="63">
        <f>14.1305 * CHOOSE(CONTROL!$C$22, $C$13, 100%, $E$13)</f>
        <v>14.1305</v>
      </c>
      <c r="C814" s="63">
        <f>14.1305 * CHOOSE(CONTROL!$C$22, $C$13, 100%, $E$13)</f>
        <v>14.1305</v>
      </c>
      <c r="D814" s="63">
        <f>14.1427 * CHOOSE(CONTROL!$C$22, $C$13, 100%, $E$13)</f>
        <v>14.1427</v>
      </c>
      <c r="E814" s="64">
        <f>16.6347 * CHOOSE(CONTROL!$C$22, $C$13, 100%, $E$13)</f>
        <v>16.634699999999999</v>
      </c>
      <c r="F814" s="64">
        <f>16.6347 * CHOOSE(CONTROL!$C$22, $C$13, 100%, $E$13)</f>
        <v>16.634699999999999</v>
      </c>
      <c r="G814" s="64">
        <f>16.6349 * CHOOSE(CONTROL!$C$22, $C$13, 100%, $E$13)</f>
        <v>16.634899999999998</v>
      </c>
      <c r="H814" s="64">
        <f>27.1084* CHOOSE(CONTROL!$C$22, $C$13, 100%, $E$13)</f>
        <v>27.1084</v>
      </c>
      <c r="I814" s="64">
        <f>27.1085 * CHOOSE(CONTROL!$C$22, $C$13, 100%, $E$13)</f>
        <v>27.108499999999999</v>
      </c>
      <c r="J814" s="64">
        <f>16.6347 * CHOOSE(CONTROL!$C$22, $C$13, 100%, $E$13)</f>
        <v>16.634699999999999</v>
      </c>
      <c r="K814" s="64">
        <f>16.6349 * CHOOSE(CONTROL!$C$22, $C$13, 100%, $E$13)</f>
        <v>16.634899999999998</v>
      </c>
    </row>
    <row r="815" spans="1:11" ht="15">
      <c r="A815" s="13">
        <v>66446</v>
      </c>
      <c r="B815" s="63">
        <f>14.1305 * CHOOSE(CONTROL!$C$22, $C$13, 100%, $E$13)</f>
        <v>14.1305</v>
      </c>
      <c r="C815" s="63">
        <f>14.1305 * CHOOSE(CONTROL!$C$22, $C$13, 100%, $E$13)</f>
        <v>14.1305</v>
      </c>
      <c r="D815" s="63">
        <f>14.1427 * CHOOSE(CONTROL!$C$22, $C$13, 100%, $E$13)</f>
        <v>14.1427</v>
      </c>
      <c r="E815" s="64">
        <f>16.5403 * CHOOSE(CONTROL!$C$22, $C$13, 100%, $E$13)</f>
        <v>16.540299999999998</v>
      </c>
      <c r="F815" s="64">
        <f>16.5403 * CHOOSE(CONTROL!$C$22, $C$13, 100%, $E$13)</f>
        <v>16.540299999999998</v>
      </c>
      <c r="G815" s="64">
        <f>16.5405 * CHOOSE(CONTROL!$C$22, $C$13, 100%, $E$13)</f>
        <v>16.540500000000002</v>
      </c>
      <c r="H815" s="64">
        <f>27.1648* CHOOSE(CONTROL!$C$22, $C$13, 100%, $E$13)</f>
        <v>27.1648</v>
      </c>
      <c r="I815" s="64">
        <f>27.165 * CHOOSE(CONTROL!$C$22, $C$13, 100%, $E$13)</f>
        <v>27.164999999999999</v>
      </c>
      <c r="J815" s="64">
        <f>16.5403 * CHOOSE(CONTROL!$C$22, $C$13, 100%, $E$13)</f>
        <v>16.540299999999998</v>
      </c>
      <c r="K815" s="64">
        <f>16.5405 * CHOOSE(CONTROL!$C$22, $C$13, 100%, $E$13)</f>
        <v>16.540500000000002</v>
      </c>
    </row>
    <row r="816" spans="1:11" ht="15">
      <c r="A816" s="13">
        <v>66477</v>
      </c>
      <c r="B816" s="63">
        <f>14.1168 * CHOOSE(CONTROL!$C$22, $C$13, 100%, $E$13)</f>
        <v>14.1168</v>
      </c>
      <c r="C816" s="63">
        <f>14.1168 * CHOOSE(CONTROL!$C$22, $C$13, 100%, $E$13)</f>
        <v>14.1168</v>
      </c>
      <c r="D816" s="63">
        <f>14.129 * CHOOSE(CONTROL!$C$22, $C$13, 100%, $E$13)</f>
        <v>14.129</v>
      </c>
      <c r="E816" s="64">
        <f>16.5897 * CHOOSE(CONTROL!$C$22, $C$13, 100%, $E$13)</f>
        <v>16.589700000000001</v>
      </c>
      <c r="F816" s="64">
        <f>16.5897 * CHOOSE(CONTROL!$C$22, $C$13, 100%, $E$13)</f>
        <v>16.589700000000001</v>
      </c>
      <c r="G816" s="64">
        <f>16.5898 * CHOOSE(CONTROL!$C$22, $C$13, 100%, $E$13)</f>
        <v>16.5898</v>
      </c>
      <c r="H816" s="64">
        <f>26.9959* CHOOSE(CONTROL!$C$22, $C$13, 100%, $E$13)</f>
        <v>26.995899999999999</v>
      </c>
      <c r="I816" s="64">
        <f>26.9961 * CHOOSE(CONTROL!$C$22, $C$13, 100%, $E$13)</f>
        <v>26.996099999999998</v>
      </c>
      <c r="J816" s="64">
        <f>16.5897 * CHOOSE(CONTROL!$C$22, $C$13, 100%, $E$13)</f>
        <v>16.589700000000001</v>
      </c>
      <c r="K816" s="64">
        <f>16.5898 * CHOOSE(CONTROL!$C$22, $C$13, 100%, $E$13)</f>
        <v>16.5898</v>
      </c>
    </row>
    <row r="817" spans="1:11" ht="15">
      <c r="A817" s="13">
        <v>66508</v>
      </c>
      <c r="B817" s="63">
        <f>14.1138 * CHOOSE(CONTROL!$C$22, $C$13, 100%, $E$13)</f>
        <v>14.113799999999999</v>
      </c>
      <c r="C817" s="63">
        <f>14.1138 * CHOOSE(CONTROL!$C$22, $C$13, 100%, $E$13)</f>
        <v>14.113799999999999</v>
      </c>
      <c r="D817" s="63">
        <f>14.126 * CHOOSE(CONTROL!$C$22, $C$13, 100%, $E$13)</f>
        <v>14.125999999999999</v>
      </c>
      <c r="E817" s="64">
        <f>16.406 * CHOOSE(CONTROL!$C$22, $C$13, 100%, $E$13)</f>
        <v>16.405999999999999</v>
      </c>
      <c r="F817" s="64">
        <f>16.406 * CHOOSE(CONTROL!$C$22, $C$13, 100%, $E$13)</f>
        <v>16.405999999999999</v>
      </c>
      <c r="G817" s="64">
        <f>16.4062 * CHOOSE(CONTROL!$C$22, $C$13, 100%, $E$13)</f>
        <v>16.406199999999998</v>
      </c>
      <c r="H817" s="64">
        <f>27.0522* CHOOSE(CONTROL!$C$22, $C$13, 100%, $E$13)</f>
        <v>27.052199999999999</v>
      </c>
      <c r="I817" s="64">
        <f>27.0523 * CHOOSE(CONTROL!$C$22, $C$13, 100%, $E$13)</f>
        <v>27.052299999999999</v>
      </c>
      <c r="J817" s="64">
        <f>16.406 * CHOOSE(CONTROL!$C$22, $C$13, 100%, $E$13)</f>
        <v>16.405999999999999</v>
      </c>
      <c r="K817" s="64">
        <f>16.4062 * CHOOSE(CONTROL!$C$22, $C$13, 100%, $E$13)</f>
        <v>16.406199999999998</v>
      </c>
    </row>
    <row r="818" spans="1:11" ht="15">
      <c r="A818" s="13">
        <v>66536</v>
      </c>
      <c r="B818" s="63">
        <f>14.1107 * CHOOSE(CONTROL!$C$22, $C$13, 100%, $E$13)</f>
        <v>14.1107</v>
      </c>
      <c r="C818" s="63">
        <f>14.1107 * CHOOSE(CONTROL!$C$22, $C$13, 100%, $E$13)</f>
        <v>14.1107</v>
      </c>
      <c r="D818" s="63">
        <f>14.1229 * CHOOSE(CONTROL!$C$22, $C$13, 100%, $E$13)</f>
        <v>14.1229</v>
      </c>
      <c r="E818" s="64">
        <f>16.547 * CHOOSE(CONTROL!$C$22, $C$13, 100%, $E$13)</f>
        <v>16.547000000000001</v>
      </c>
      <c r="F818" s="64">
        <f>16.547 * CHOOSE(CONTROL!$C$22, $C$13, 100%, $E$13)</f>
        <v>16.547000000000001</v>
      </c>
      <c r="G818" s="64">
        <f>16.5472 * CHOOSE(CONTROL!$C$22, $C$13, 100%, $E$13)</f>
        <v>16.5472</v>
      </c>
      <c r="H818" s="64">
        <f>27.1085* CHOOSE(CONTROL!$C$22, $C$13, 100%, $E$13)</f>
        <v>27.108499999999999</v>
      </c>
      <c r="I818" s="64">
        <f>27.1087 * CHOOSE(CONTROL!$C$22, $C$13, 100%, $E$13)</f>
        <v>27.108699999999999</v>
      </c>
      <c r="J818" s="64">
        <f>16.547 * CHOOSE(CONTROL!$C$22, $C$13, 100%, $E$13)</f>
        <v>16.547000000000001</v>
      </c>
      <c r="K818" s="64">
        <f>16.5472 * CHOOSE(CONTROL!$C$22, $C$13, 100%, $E$13)</f>
        <v>16.5472</v>
      </c>
    </row>
    <row r="819" spans="1:11" ht="15">
      <c r="A819" s="13">
        <v>66567</v>
      </c>
      <c r="B819" s="63">
        <f>14.117 * CHOOSE(CONTROL!$C$22, $C$13, 100%, $E$13)</f>
        <v>14.117000000000001</v>
      </c>
      <c r="C819" s="63">
        <f>14.117 * CHOOSE(CONTROL!$C$22, $C$13, 100%, $E$13)</f>
        <v>14.117000000000001</v>
      </c>
      <c r="D819" s="63">
        <f>14.1292 * CHOOSE(CONTROL!$C$22, $C$13, 100%, $E$13)</f>
        <v>14.129200000000001</v>
      </c>
      <c r="E819" s="64">
        <f>16.6965 * CHOOSE(CONTROL!$C$22, $C$13, 100%, $E$13)</f>
        <v>16.6965</v>
      </c>
      <c r="F819" s="64">
        <f>16.6965 * CHOOSE(CONTROL!$C$22, $C$13, 100%, $E$13)</f>
        <v>16.6965</v>
      </c>
      <c r="G819" s="64">
        <f>16.6966 * CHOOSE(CONTROL!$C$22, $C$13, 100%, $E$13)</f>
        <v>16.6966</v>
      </c>
      <c r="H819" s="64">
        <f>27.165* CHOOSE(CONTROL!$C$22, $C$13, 100%, $E$13)</f>
        <v>27.164999999999999</v>
      </c>
      <c r="I819" s="64">
        <f>27.1652 * CHOOSE(CONTROL!$C$22, $C$13, 100%, $E$13)</f>
        <v>27.165199999999999</v>
      </c>
      <c r="J819" s="64">
        <f>16.6965 * CHOOSE(CONTROL!$C$22, $C$13, 100%, $E$13)</f>
        <v>16.6965</v>
      </c>
      <c r="K819" s="64">
        <f>16.6966 * CHOOSE(CONTROL!$C$22, $C$13, 100%, $E$13)</f>
        <v>16.6966</v>
      </c>
    </row>
    <row r="820" spans="1:11" ht="15">
      <c r="A820" s="13">
        <v>66597</v>
      </c>
      <c r="B820" s="63">
        <f>14.117 * CHOOSE(CONTROL!$C$22, $C$13, 100%, $E$13)</f>
        <v>14.117000000000001</v>
      </c>
      <c r="C820" s="63">
        <f>14.117 * CHOOSE(CONTROL!$C$22, $C$13, 100%, $E$13)</f>
        <v>14.117000000000001</v>
      </c>
      <c r="D820" s="63">
        <f>14.1414 * CHOOSE(CONTROL!$C$22, $C$13, 100%, $E$13)</f>
        <v>14.141400000000001</v>
      </c>
      <c r="E820" s="64">
        <f>16.7541 * CHOOSE(CONTROL!$C$22, $C$13, 100%, $E$13)</f>
        <v>16.754100000000001</v>
      </c>
      <c r="F820" s="64">
        <f>16.7541 * CHOOSE(CONTROL!$C$22, $C$13, 100%, $E$13)</f>
        <v>16.754100000000001</v>
      </c>
      <c r="G820" s="64">
        <f>16.7557 * CHOOSE(CONTROL!$C$22, $C$13, 100%, $E$13)</f>
        <v>16.755700000000001</v>
      </c>
      <c r="H820" s="64">
        <f>27.2216* CHOOSE(CONTROL!$C$22, $C$13, 100%, $E$13)</f>
        <v>27.221599999999999</v>
      </c>
      <c r="I820" s="64">
        <f>27.2231 * CHOOSE(CONTROL!$C$22, $C$13, 100%, $E$13)</f>
        <v>27.223099999999999</v>
      </c>
      <c r="J820" s="64">
        <f>16.7541 * CHOOSE(CONTROL!$C$22, $C$13, 100%, $E$13)</f>
        <v>16.754100000000001</v>
      </c>
      <c r="K820" s="64">
        <f>16.7557 * CHOOSE(CONTROL!$C$22, $C$13, 100%, $E$13)</f>
        <v>16.755700000000001</v>
      </c>
    </row>
    <row r="821" spans="1:11" ht="15">
      <c r="A821" s="13">
        <v>66628</v>
      </c>
      <c r="B821" s="63">
        <f>14.1231 * CHOOSE(CONTROL!$C$22, $C$13, 100%, $E$13)</f>
        <v>14.123100000000001</v>
      </c>
      <c r="C821" s="63">
        <f>14.1231 * CHOOSE(CONTROL!$C$22, $C$13, 100%, $E$13)</f>
        <v>14.123100000000001</v>
      </c>
      <c r="D821" s="63">
        <f>14.1475 * CHOOSE(CONTROL!$C$22, $C$13, 100%, $E$13)</f>
        <v>14.147500000000001</v>
      </c>
      <c r="E821" s="64">
        <f>16.7007 * CHOOSE(CONTROL!$C$22, $C$13, 100%, $E$13)</f>
        <v>16.700700000000001</v>
      </c>
      <c r="F821" s="64">
        <f>16.7007 * CHOOSE(CONTROL!$C$22, $C$13, 100%, $E$13)</f>
        <v>16.700700000000001</v>
      </c>
      <c r="G821" s="64">
        <f>16.7023 * CHOOSE(CONTROL!$C$22, $C$13, 100%, $E$13)</f>
        <v>16.702300000000001</v>
      </c>
      <c r="H821" s="64">
        <f>27.2783* CHOOSE(CONTROL!$C$22, $C$13, 100%, $E$13)</f>
        <v>27.278300000000002</v>
      </c>
      <c r="I821" s="64">
        <f>27.2799 * CHOOSE(CONTROL!$C$22, $C$13, 100%, $E$13)</f>
        <v>27.279900000000001</v>
      </c>
      <c r="J821" s="64">
        <f>16.7007 * CHOOSE(CONTROL!$C$22, $C$13, 100%, $E$13)</f>
        <v>16.700700000000001</v>
      </c>
      <c r="K821" s="64">
        <f>16.7023 * CHOOSE(CONTROL!$C$22, $C$13, 100%, $E$13)</f>
        <v>16.702300000000001</v>
      </c>
    </row>
    <row r="822" spans="1:11" ht="15">
      <c r="A822" s="13">
        <v>66658</v>
      </c>
      <c r="B822" s="63">
        <f>14.3448 * CHOOSE(CONTROL!$C$22, $C$13, 100%, $E$13)</f>
        <v>14.344799999999999</v>
      </c>
      <c r="C822" s="63">
        <f>14.3448 * CHOOSE(CONTROL!$C$22, $C$13, 100%, $E$13)</f>
        <v>14.344799999999999</v>
      </c>
      <c r="D822" s="63">
        <f>14.3692 * CHOOSE(CONTROL!$C$22, $C$13, 100%, $E$13)</f>
        <v>14.369199999999999</v>
      </c>
      <c r="E822" s="64">
        <f>17.0188 * CHOOSE(CONTROL!$C$22, $C$13, 100%, $E$13)</f>
        <v>17.018799999999999</v>
      </c>
      <c r="F822" s="64">
        <f>17.0188 * CHOOSE(CONTROL!$C$22, $C$13, 100%, $E$13)</f>
        <v>17.018799999999999</v>
      </c>
      <c r="G822" s="64">
        <f>17.0204 * CHOOSE(CONTROL!$C$22, $C$13, 100%, $E$13)</f>
        <v>17.020399999999999</v>
      </c>
      <c r="H822" s="64">
        <f>27.3351* CHOOSE(CONTROL!$C$22, $C$13, 100%, $E$13)</f>
        <v>27.335100000000001</v>
      </c>
      <c r="I822" s="64">
        <f>27.3367 * CHOOSE(CONTROL!$C$22, $C$13, 100%, $E$13)</f>
        <v>27.3367</v>
      </c>
      <c r="J822" s="64">
        <f>17.0188 * CHOOSE(CONTROL!$C$22, $C$13, 100%, $E$13)</f>
        <v>17.018799999999999</v>
      </c>
      <c r="K822" s="64">
        <f>17.0204 * CHOOSE(CONTROL!$C$22, $C$13, 100%, $E$13)</f>
        <v>17.020399999999999</v>
      </c>
    </row>
    <row r="823" spans="1:11" ht="15">
      <c r="A823" s="13">
        <v>66689</v>
      </c>
      <c r="B823" s="63">
        <f>14.3515 * CHOOSE(CONTROL!$C$22, $C$13, 100%, $E$13)</f>
        <v>14.3515</v>
      </c>
      <c r="C823" s="63">
        <f>14.3515 * CHOOSE(CONTROL!$C$22, $C$13, 100%, $E$13)</f>
        <v>14.3515</v>
      </c>
      <c r="D823" s="63">
        <f>14.3759 * CHOOSE(CONTROL!$C$22, $C$13, 100%, $E$13)</f>
        <v>14.3759</v>
      </c>
      <c r="E823" s="64">
        <f>16.8506 * CHOOSE(CONTROL!$C$22, $C$13, 100%, $E$13)</f>
        <v>16.8506</v>
      </c>
      <c r="F823" s="64">
        <f>16.8506 * CHOOSE(CONTROL!$C$22, $C$13, 100%, $E$13)</f>
        <v>16.8506</v>
      </c>
      <c r="G823" s="64">
        <f>16.8521 * CHOOSE(CONTROL!$C$22, $C$13, 100%, $E$13)</f>
        <v>16.8521</v>
      </c>
      <c r="H823" s="64">
        <f>27.3921* CHOOSE(CONTROL!$C$22, $C$13, 100%, $E$13)</f>
        <v>27.392099999999999</v>
      </c>
      <c r="I823" s="64">
        <f>27.3936 * CHOOSE(CONTROL!$C$22, $C$13, 100%, $E$13)</f>
        <v>27.393599999999999</v>
      </c>
      <c r="J823" s="64">
        <f>16.8506 * CHOOSE(CONTROL!$C$22, $C$13, 100%, $E$13)</f>
        <v>16.8506</v>
      </c>
      <c r="K823" s="64">
        <f>16.8521 * CHOOSE(CONTROL!$C$22, $C$13, 100%, $E$13)</f>
        <v>16.8521</v>
      </c>
    </row>
    <row r="824" spans="1:11" ht="15">
      <c r="A824" s="13">
        <v>66720</v>
      </c>
      <c r="B824" s="63">
        <f>14.3484 * CHOOSE(CONTROL!$C$22, $C$13, 100%, $E$13)</f>
        <v>14.3484</v>
      </c>
      <c r="C824" s="63">
        <f>14.3484 * CHOOSE(CONTROL!$C$22, $C$13, 100%, $E$13)</f>
        <v>14.3484</v>
      </c>
      <c r="D824" s="63">
        <f>14.3729 * CHOOSE(CONTROL!$C$22, $C$13, 100%, $E$13)</f>
        <v>14.3729</v>
      </c>
      <c r="E824" s="64">
        <f>16.8292 * CHOOSE(CONTROL!$C$22, $C$13, 100%, $E$13)</f>
        <v>16.8292</v>
      </c>
      <c r="F824" s="64">
        <f>16.8292 * CHOOSE(CONTROL!$C$22, $C$13, 100%, $E$13)</f>
        <v>16.8292</v>
      </c>
      <c r="G824" s="64">
        <f>16.8308 * CHOOSE(CONTROL!$C$22, $C$13, 100%, $E$13)</f>
        <v>16.8308</v>
      </c>
      <c r="H824" s="64">
        <f>27.4491* CHOOSE(CONTROL!$C$22, $C$13, 100%, $E$13)</f>
        <v>27.449100000000001</v>
      </c>
      <c r="I824" s="64">
        <f>27.4507 * CHOOSE(CONTROL!$C$22, $C$13, 100%, $E$13)</f>
        <v>27.450700000000001</v>
      </c>
      <c r="J824" s="64">
        <f>16.8292 * CHOOSE(CONTROL!$C$22, $C$13, 100%, $E$13)</f>
        <v>16.8292</v>
      </c>
      <c r="K824" s="64">
        <f>16.8308 * CHOOSE(CONTROL!$C$22, $C$13, 100%, $E$13)</f>
        <v>16.8308</v>
      </c>
    </row>
    <row r="825" spans="1:11" ht="15">
      <c r="A825" s="13">
        <v>66750</v>
      </c>
      <c r="B825" s="63">
        <f>14.3775 * CHOOSE(CONTROL!$C$22, $C$13, 100%, $E$13)</f>
        <v>14.3775</v>
      </c>
      <c r="C825" s="63">
        <f>14.3775 * CHOOSE(CONTROL!$C$22, $C$13, 100%, $E$13)</f>
        <v>14.3775</v>
      </c>
      <c r="D825" s="63">
        <f>14.3897 * CHOOSE(CONTROL!$C$22, $C$13, 100%, $E$13)</f>
        <v>14.389699999999999</v>
      </c>
      <c r="E825" s="64">
        <f>16.8927 * CHOOSE(CONTROL!$C$22, $C$13, 100%, $E$13)</f>
        <v>16.892700000000001</v>
      </c>
      <c r="F825" s="64">
        <f>16.8927 * CHOOSE(CONTROL!$C$22, $C$13, 100%, $E$13)</f>
        <v>16.892700000000001</v>
      </c>
      <c r="G825" s="64">
        <f>16.8928 * CHOOSE(CONTROL!$C$22, $C$13, 100%, $E$13)</f>
        <v>16.892800000000001</v>
      </c>
      <c r="H825" s="64">
        <f>27.5063* CHOOSE(CONTROL!$C$22, $C$13, 100%, $E$13)</f>
        <v>27.5063</v>
      </c>
      <c r="I825" s="64">
        <f>27.5065 * CHOOSE(CONTROL!$C$22, $C$13, 100%, $E$13)</f>
        <v>27.506499999999999</v>
      </c>
      <c r="J825" s="64">
        <f>16.8927 * CHOOSE(CONTROL!$C$22, $C$13, 100%, $E$13)</f>
        <v>16.892700000000001</v>
      </c>
      <c r="K825" s="64">
        <f>16.8928 * CHOOSE(CONTROL!$C$22, $C$13, 100%, $E$13)</f>
        <v>16.892800000000001</v>
      </c>
    </row>
    <row r="826" spans="1:11" ht="15">
      <c r="A826" s="13">
        <v>66781</v>
      </c>
      <c r="B826" s="63">
        <f>14.3805 * CHOOSE(CONTROL!$C$22, $C$13, 100%, $E$13)</f>
        <v>14.3805</v>
      </c>
      <c r="C826" s="63">
        <f>14.3805 * CHOOSE(CONTROL!$C$22, $C$13, 100%, $E$13)</f>
        <v>14.3805</v>
      </c>
      <c r="D826" s="63">
        <f>14.3927 * CHOOSE(CONTROL!$C$22, $C$13, 100%, $E$13)</f>
        <v>14.3927</v>
      </c>
      <c r="E826" s="64">
        <f>16.9332 * CHOOSE(CONTROL!$C$22, $C$13, 100%, $E$13)</f>
        <v>16.933199999999999</v>
      </c>
      <c r="F826" s="64">
        <f>16.9332 * CHOOSE(CONTROL!$C$22, $C$13, 100%, $E$13)</f>
        <v>16.933199999999999</v>
      </c>
      <c r="G826" s="64">
        <f>16.9334 * CHOOSE(CONTROL!$C$22, $C$13, 100%, $E$13)</f>
        <v>16.933399999999999</v>
      </c>
      <c r="H826" s="64">
        <f>27.5636* CHOOSE(CONTROL!$C$22, $C$13, 100%, $E$13)</f>
        <v>27.563600000000001</v>
      </c>
      <c r="I826" s="64">
        <f>27.5638 * CHOOSE(CONTROL!$C$22, $C$13, 100%, $E$13)</f>
        <v>27.563800000000001</v>
      </c>
      <c r="J826" s="64">
        <f>16.9332 * CHOOSE(CONTROL!$C$22, $C$13, 100%, $E$13)</f>
        <v>16.933199999999999</v>
      </c>
      <c r="K826" s="64">
        <f>16.9334 * CHOOSE(CONTROL!$C$22, $C$13, 100%, $E$13)</f>
        <v>16.933399999999999</v>
      </c>
    </row>
    <row r="827" spans="1:11" ht="15">
      <c r="A827" s="13">
        <v>66811</v>
      </c>
      <c r="B827" s="63">
        <f>14.3805 * CHOOSE(CONTROL!$C$22, $C$13, 100%, $E$13)</f>
        <v>14.3805</v>
      </c>
      <c r="C827" s="63">
        <f>14.3805 * CHOOSE(CONTROL!$C$22, $C$13, 100%, $E$13)</f>
        <v>14.3805</v>
      </c>
      <c r="D827" s="63">
        <f>14.3927 * CHOOSE(CONTROL!$C$22, $C$13, 100%, $E$13)</f>
        <v>14.3927</v>
      </c>
      <c r="E827" s="64">
        <f>16.8371 * CHOOSE(CONTROL!$C$22, $C$13, 100%, $E$13)</f>
        <v>16.8371</v>
      </c>
      <c r="F827" s="64">
        <f>16.8371 * CHOOSE(CONTROL!$C$22, $C$13, 100%, $E$13)</f>
        <v>16.8371</v>
      </c>
      <c r="G827" s="64">
        <f>16.8373 * CHOOSE(CONTROL!$C$22, $C$13, 100%, $E$13)</f>
        <v>16.837299999999999</v>
      </c>
      <c r="H827" s="64">
        <f>27.6211* CHOOSE(CONTROL!$C$22, $C$13, 100%, $E$13)</f>
        <v>27.621099999999998</v>
      </c>
      <c r="I827" s="64">
        <f>27.6212 * CHOOSE(CONTROL!$C$22, $C$13, 100%, $E$13)</f>
        <v>27.621200000000002</v>
      </c>
      <c r="J827" s="64">
        <f>16.8371 * CHOOSE(CONTROL!$C$22, $C$13, 100%, $E$13)</f>
        <v>16.8371</v>
      </c>
      <c r="K827" s="64">
        <f>16.8373 * CHOOSE(CONTROL!$C$22, $C$13, 100%, $E$13)</f>
        <v>16.837299999999999</v>
      </c>
    </row>
    <row r="828" spans="1:11" ht="15">
      <c r="A828" s="13">
        <v>66842</v>
      </c>
      <c r="B828" s="63">
        <f>14.3621 * CHOOSE(CONTROL!$C$22, $C$13, 100%, $E$13)</f>
        <v>14.3621</v>
      </c>
      <c r="C828" s="63">
        <f>14.3621 * CHOOSE(CONTROL!$C$22, $C$13, 100%, $E$13)</f>
        <v>14.3621</v>
      </c>
      <c r="D828" s="63">
        <f>14.3743 * CHOOSE(CONTROL!$C$22, $C$13, 100%, $E$13)</f>
        <v>14.3743</v>
      </c>
      <c r="E828" s="64">
        <f>16.8821 * CHOOSE(CONTROL!$C$22, $C$13, 100%, $E$13)</f>
        <v>16.882100000000001</v>
      </c>
      <c r="F828" s="64">
        <f>16.8821 * CHOOSE(CONTROL!$C$22, $C$13, 100%, $E$13)</f>
        <v>16.882100000000001</v>
      </c>
      <c r="G828" s="64">
        <f>16.8822 * CHOOSE(CONTROL!$C$22, $C$13, 100%, $E$13)</f>
        <v>16.882200000000001</v>
      </c>
      <c r="H828" s="64">
        <f>27.4418* CHOOSE(CONTROL!$C$22, $C$13, 100%, $E$13)</f>
        <v>27.441800000000001</v>
      </c>
      <c r="I828" s="64">
        <f>27.442 * CHOOSE(CONTROL!$C$22, $C$13, 100%, $E$13)</f>
        <v>27.442</v>
      </c>
      <c r="J828" s="64">
        <f>16.8821 * CHOOSE(CONTROL!$C$22, $C$13, 100%, $E$13)</f>
        <v>16.882100000000001</v>
      </c>
      <c r="K828" s="64">
        <f>16.8822 * CHOOSE(CONTROL!$C$22, $C$13, 100%, $E$13)</f>
        <v>16.882200000000001</v>
      </c>
    </row>
    <row r="829" spans="1:11" ht="15">
      <c r="A829" s="13">
        <v>66873</v>
      </c>
      <c r="B829" s="63">
        <f>14.3591 * CHOOSE(CONTROL!$C$22, $C$13, 100%, $E$13)</f>
        <v>14.3591</v>
      </c>
      <c r="C829" s="63">
        <f>14.3591 * CHOOSE(CONTROL!$C$22, $C$13, 100%, $E$13)</f>
        <v>14.3591</v>
      </c>
      <c r="D829" s="63">
        <f>14.3713 * CHOOSE(CONTROL!$C$22, $C$13, 100%, $E$13)</f>
        <v>14.3713</v>
      </c>
      <c r="E829" s="64">
        <f>16.6952 * CHOOSE(CONTROL!$C$22, $C$13, 100%, $E$13)</f>
        <v>16.6952</v>
      </c>
      <c r="F829" s="64">
        <f>16.6952 * CHOOSE(CONTROL!$C$22, $C$13, 100%, $E$13)</f>
        <v>16.6952</v>
      </c>
      <c r="G829" s="64">
        <f>16.6954 * CHOOSE(CONTROL!$C$22, $C$13, 100%, $E$13)</f>
        <v>16.695399999999999</v>
      </c>
      <c r="H829" s="64">
        <f>27.499* CHOOSE(CONTROL!$C$22, $C$13, 100%, $E$13)</f>
        <v>27.498999999999999</v>
      </c>
      <c r="I829" s="64">
        <f>27.4992 * CHOOSE(CONTROL!$C$22, $C$13, 100%, $E$13)</f>
        <v>27.499199999999998</v>
      </c>
      <c r="J829" s="64">
        <f>16.6952 * CHOOSE(CONTROL!$C$22, $C$13, 100%, $E$13)</f>
        <v>16.6952</v>
      </c>
      <c r="K829" s="64">
        <f>16.6954 * CHOOSE(CONTROL!$C$22, $C$13, 100%, $E$13)</f>
        <v>16.695399999999999</v>
      </c>
    </row>
    <row r="830" spans="1:11" ht="15">
      <c r="A830" s="13">
        <v>66901</v>
      </c>
      <c r="B830" s="63">
        <f>14.3561 * CHOOSE(CONTROL!$C$22, $C$13, 100%, $E$13)</f>
        <v>14.3561</v>
      </c>
      <c r="C830" s="63">
        <f>14.3561 * CHOOSE(CONTROL!$C$22, $C$13, 100%, $E$13)</f>
        <v>14.3561</v>
      </c>
      <c r="D830" s="63">
        <f>14.3683 * CHOOSE(CONTROL!$C$22, $C$13, 100%, $E$13)</f>
        <v>14.3683</v>
      </c>
      <c r="E830" s="64">
        <f>16.8387 * CHOOSE(CONTROL!$C$22, $C$13, 100%, $E$13)</f>
        <v>16.838699999999999</v>
      </c>
      <c r="F830" s="64">
        <f>16.8387 * CHOOSE(CONTROL!$C$22, $C$13, 100%, $E$13)</f>
        <v>16.838699999999999</v>
      </c>
      <c r="G830" s="64">
        <f>16.8389 * CHOOSE(CONTROL!$C$22, $C$13, 100%, $E$13)</f>
        <v>16.838899999999999</v>
      </c>
      <c r="H830" s="64">
        <f>27.5563* CHOOSE(CONTROL!$C$22, $C$13, 100%, $E$13)</f>
        <v>27.5563</v>
      </c>
      <c r="I830" s="64">
        <f>27.5564 * CHOOSE(CONTROL!$C$22, $C$13, 100%, $E$13)</f>
        <v>27.5564</v>
      </c>
      <c r="J830" s="64">
        <f>16.8387 * CHOOSE(CONTROL!$C$22, $C$13, 100%, $E$13)</f>
        <v>16.838699999999999</v>
      </c>
      <c r="K830" s="64">
        <f>16.8389 * CHOOSE(CONTROL!$C$22, $C$13, 100%, $E$13)</f>
        <v>16.838899999999999</v>
      </c>
    </row>
    <row r="831" spans="1:11" ht="15">
      <c r="A831" s="13">
        <v>66932</v>
      </c>
      <c r="B831" s="63">
        <f>14.3625 * CHOOSE(CONTROL!$C$22, $C$13, 100%, $E$13)</f>
        <v>14.362500000000001</v>
      </c>
      <c r="C831" s="63">
        <f>14.3625 * CHOOSE(CONTROL!$C$22, $C$13, 100%, $E$13)</f>
        <v>14.362500000000001</v>
      </c>
      <c r="D831" s="63">
        <f>14.3748 * CHOOSE(CONTROL!$C$22, $C$13, 100%, $E$13)</f>
        <v>14.3748</v>
      </c>
      <c r="E831" s="64">
        <f>16.9909 * CHOOSE(CONTROL!$C$22, $C$13, 100%, $E$13)</f>
        <v>16.9909</v>
      </c>
      <c r="F831" s="64">
        <f>16.9909 * CHOOSE(CONTROL!$C$22, $C$13, 100%, $E$13)</f>
        <v>16.9909</v>
      </c>
      <c r="G831" s="64">
        <f>16.9911 * CHOOSE(CONTROL!$C$22, $C$13, 100%, $E$13)</f>
        <v>16.991099999999999</v>
      </c>
      <c r="H831" s="64">
        <f>27.6137* CHOOSE(CONTROL!$C$22, $C$13, 100%, $E$13)</f>
        <v>27.613700000000001</v>
      </c>
      <c r="I831" s="64">
        <f>27.6138 * CHOOSE(CONTROL!$C$22, $C$13, 100%, $E$13)</f>
        <v>27.613800000000001</v>
      </c>
      <c r="J831" s="64">
        <f>16.9909 * CHOOSE(CONTROL!$C$22, $C$13, 100%, $E$13)</f>
        <v>16.9909</v>
      </c>
      <c r="K831" s="64">
        <f>16.9911 * CHOOSE(CONTROL!$C$22, $C$13, 100%, $E$13)</f>
        <v>16.991099999999999</v>
      </c>
    </row>
    <row r="832" spans="1:11" ht="15">
      <c r="A832" s="13">
        <v>66962</v>
      </c>
      <c r="B832" s="63">
        <f>14.3625 * CHOOSE(CONTROL!$C$22, $C$13, 100%, $E$13)</f>
        <v>14.362500000000001</v>
      </c>
      <c r="C832" s="63">
        <f>14.3625 * CHOOSE(CONTROL!$C$22, $C$13, 100%, $E$13)</f>
        <v>14.362500000000001</v>
      </c>
      <c r="D832" s="63">
        <f>14.387 * CHOOSE(CONTROL!$C$22, $C$13, 100%, $E$13)</f>
        <v>14.387</v>
      </c>
      <c r="E832" s="64">
        <f>17.0496 * CHOOSE(CONTROL!$C$22, $C$13, 100%, $E$13)</f>
        <v>17.049600000000002</v>
      </c>
      <c r="F832" s="64">
        <f>17.0496 * CHOOSE(CONTROL!$C$22, $C$13, 100%, $E$13)</f>
        <v>17.049600000000002</v>
      </c>
      <c r="G832" s="64">
        <f>17.0511 * CHOOSE(CONTROL!$C$22, $C$13, 100%, $E$13)</f>
        <v>17.051100000000002</v>
      </c>
      <c r="H832" s="64">
        <f>27.6712* CHOOSE(CONTROL!$C$22, $C$13, 100%, $E$13)</f>
        <v>27.671199999999999</v>
      </c>
      <c r="I832" s="64">
        <f>27.6728 * CHOOSE(CONTROL!$C$22, $C$13, 100%, $E$13)</f>
        <v>27.672799999999999</v>
      </c>
      <c r="J832" s="64">
        <f>17.0496 * CHOOSE(CONTROL!$C$22, $C$13, 100%, $E$13)</f>
        <v>17.049600000000002</v>
      </c>
      <c r="K832" s="64">
        <f>17.0511 * CHOOSE(CONTROL!$C$22, $C$13, 100%, $E$13)</f>
        <v>17.051100000000002</v>
      </c>
    </row>
    <row r="833" spans="1:11" ht="15">
      <c r="A833" s="13">
        <v>66993</v>
      </c>
      <c r="B833" s="63">
        <f>14.3686 * CHOOSE(CONTROL!$C$22, $C$13, 100%, $E$13)</f>
        <v>14.368600000000001</v>
      </c>
      <c r="C833" s="63">
        <f>14.3686 * CHOOSE(CONTROL!$C$22, $C$13, 100%, $E$13)</f>
        <v>14.368600000000001</v>
      </c>
      <c r="D833" s="63">
        <f>14.393 * CHOOSE(CONTROL!$C$22, $C$13, 100%, $E$13)</f>
        <v>14.393000000000001</v>
      </c>
      <c r="E833" s="64">
        <f>16.9951 * CHOOSE(CONTROL!$C$22, $C$13, 100%, $E$13)</f>
        <v>16.995100000000001</v>
      </c>
      <c r="F833" s="64">
        <f>16.9951 * CHOOSE(CONTROL!$C$22, $C$13, 100%, $E$13)</f>
        <v>16.995100000000001</v>
      </c>
      <c r="G833" s="64">
        <f>16.9967 * CHOOSE(CONTROL!$C$22, $C$13, 100%, $E$13)</f>
        <v>16.996700000000001</v>
      </c>
      <c r="H833" s="64">
        <f>27.7288* CHOOSE(CONTROL!$C$22, $C$13, 100%, $E$13)</f>
        <v>27.7288</v>
      </c>
      <c r="I833" s="64">
        <f>27.7304 * CHOOSE(CONTROL!$C$22, $C$13, 100%, $E$13)</f>
        <v>27.730399999999999</v>
      </c>
      <c r="J833" s="64">
        <f>16.9951 * CHOOSE(CONTROL!$C$22, $C$13, 100%, $E$13)</f>
        <v>16.995100000000001</v>
      </c>
      <c r="K833" s="64">
        <f>16.9967 * CHOOSE(CONTROL!$C$22, $C$13, 100%, $E$13)</f>
        <v>16.996700000000001</v>
      </c>
    </row>
    <row r="834" spans="1:11" ht="15">
      <c r="A834" s="13">
        <v>67023</v>
      </c>
      <c r="B834" s="63">
        <f>14.594 * CHOOSE(CONTROL!$C$22, $C$13, 100%, $E$13)</f>
        <v>14.593999999999999</v>
      </c>
      <c r="C834" s="63">
        <f>14.594 * CHOOSE(CONTROL!$C$22, $C$13, 100%, $E$13)</f>
        <v>14.593999999999999</v>
      </c>
      <c r="D834" s="63">
        <f>14.6184 * CHOOSE(CONTROL!$C$22, $C$13, 100%, $E$13)</f>
        <v>14.618399999999999</v>
      </c>
      <c r="E834" s="64">
        <f>17.3187 * CHOOSE(CONTROL!$C$22, $C$13, 100%, $E$13)</f>
        <v>17.3187</v>
      </c>
      <c r="F834" s="64">
        <f>17.3187 * CHOOSE(CONTROL!$C$22, $C$13, 100%, $E$13)</f>
        <v>17.3187</v>
      </c>
      <c r="G834" s="64">
        <f>17.3203 * CHOOSE(CONTROL!$C$22, $C$13, 100%, $E$13)</f>
        <v>17.3203</v>
      </c>
      <c r="H834" s="64">
        <f>27.7866* CHOOSE(CONTROL!$C$22, $C$13, 100%, $E$13)</f>
        <v>27.7866</v>
      </c>
      <c r="I834" s="64">
        <f>27.7882 * CHOOSE(CONTROL!$C$22, $C$13, 100%, $E$13)</f>
        <v>27.7882</v>
      </c>
      <c r="J834" s="64">
        <f>17.3187 * CHOOSE(CONTROL!$C$22, $C$13, 100%, $E$13)</f>
        <v>17.3187</v>
      </c>
      <c r="K834" s="64">
        <f>17.3203 * CHOOSE(CONTROL!$C$22, $C$13, 100%, $E$13)</f>
        <v>17.3203</v>
      </c>
    </row>
    <row r="835" spans="1:11" ht="15">
      <c r="A835" s="13">
        <v>67054</v>
      </c>
      <c r="B835" s="63">
        <f>14.6007 * CHOOSE(CONTROL!$C$22, $C$13, 100%, $E$13)</f>
        <v>14.6007</v>
      </c>
      <c r="C835" s="63">
        <f>14.6007 * CHOOSE(CONTROL!$C$22, $C$13, 100%, $E$13)</f>
        <v>14.6007</v>
      </c>
      <c r="D835" s="63">
        <f>14.6251 * CHOOSE(CONTROL!$C$22, $C$13, 100%, $E$13)</f>
        <v>14.6251</v>
      </c>
      <c r="E835" s="64">
        <f>17.1474 * CHOOSE(CONTROL!$C$22, $C$13, 100%, $E$13)</f>
        <v>17.147400000000001</v>
      </c>
      <c r="F835" s="64">
        <f>17.1474 * CHOOSE(CONTROL!$C$22, $C$13, 100%, $E$13)</f>
        <v>17.147400000000001</v>
      </c>
      <c r="G835" s="64">
        <f>17.149 * CHOOSE(CONTROL!$C$22, $C$13, 100%, $E$13)</f>
        <v>17.149000000000001</v>
      </c>
      <c r="H835" s="64">
        <f>27.8445* CHOOSE(CONTROL!$C$22, $C$13, 100%, $E$13)</f>
        <v>27.8445</v>
      </c>
      <c r="I835" s="64">
        <f>27.8461 * CHOOSE(CONTROL!$C$22, $C$13, 100%, $E$13)</f>
        <v>27.8461</v>
      </c>
      <c r="J835" s="64">
        <f>17.1474 * CHOOSE(CONTROL!$C$22, $C$13, 100%, $E$13)</f>
        <v>17.147400000000001</v>
      </c>
      <c r="K835" s="64">
        <f>17.149 * CHOOSE(CONTROL!$C$22, $C$13, 100%, $E$13)</f>
        <v>17.149000000000001</v>
      </c>
    </row>
    <row r="836" spans="1:11" ht="15">
      <c r="A836" s="13">
        <v>67085</v>
      </c>
      <c r="B836" s="63">
        <f>14.5977 * CHOOSE(CONTROL!$C$22, $C$13, 100%, $E$13)</f>
        <v>14.5977</v>
      </c>
      <c r="C836" s="63">
        <f>14.5977 * CHOOSE(CONTROL!$C$22, $C$13, 100%, $E$13)</f>
        <v>14.5977</v>
      </c>
      <c r="D836" s="63">
        <f>14.6221 * CHOOSE(CONTROL!$C$22, $C$13, 100%, $E$13)</f>
        <v>14.6221</v>
      </c>
      <c r="E836" s="64">
        <f>17.1257 * CHOOSE(CONTROL!$C$22, $C$13, 100%, $E$13)</f>
        <v>17.125699999999998</v>
      </c>
      <c r="F836" s="64">
        <f>17.1257 * CHOOSE(CONTROL!$C$22, $C$13, 100%, $E$13)</f>
        <v>17.125699999999998</v>
      </c>
      <c r="G836" s="64">
        <f>17.1273 * CHOOSE(CONTROL!$C$22, $C$13, 100%, $E$13)</f>
        <v>17.127300000000002</v>
      </c>
      <c r="H836" s="64">
        <f>27.9025* CHOOSE(CONTROL!$C$22, $C$13, 100%, $E$13)</f>
        <v>27.9025</v>
      </c>
      <c r="I836" s="64">
        <f>27.9041 * CHOOSE(CONTROL!$C$22, $C$13, 100%, $E$13)</f>
        <v>27.9041</v>
      </c>
      <c r="J836" s="64">
        <f>17.1257 * CHOOSE(CONTROL!$C$22, $C$13, 100%, $E$13)</f>
        <v>17.125699999999998</v>
      </c>
      <c r="K836" s="64">
        <f>17.1273 * CHOOSE(CONTROL!$C$22, $C$13, 100%, $E$13)</f>
        <v>17.127300000000002</v>
      </c>
    </row>
    <row r="837" spans="1:11" ht="15">
      <c r="A837" s="13">
        <v>67115</v>
      </c>
      <c r="B837" s="63">
        <f>14.6275 * CHOOSE(CONTROL!$C$22, $C$13, 100%, $E$13)</f>
        <v>14.6275</v>
      </c>
      <c r="C837" s="63">
        <f>14.6275 * CHOOSE(CONTROL!$C$22, $C$13, 100%, $E$13)</f>
        <v>14.6275</v>
      </c>
      <c r="D837" s="63">
        <f>14.6397 * CHOOSE(CONTROL!$C$22, $C$13, 100%, $E$13)</f>
        <v>14.639699999999999</v>
      </c>
      <c r="E837" s="64">
        <f>17.1905 * CHOOSE(CONTROL!$C$22, $C$13, 100%, $E$13)</f>
        <v>17.1905</v>
      </c>
      <c r="F837" s="64">
        <f>17.1905 * CHOOSE(CONTROL!$C$22, $C$13, 100%, $E$13)</f>
        <v>17.1905</v>
      </c>
      <c r="G837" s="64">
        <f>17.1907 * CHOOSE(CONTROL!$C$22, $C$13, 100%, $E$13)</f>
        <v>17.1907</v>
      </c>
      <c r="H837" s="64">
        <f>27.9606* CHOOSE(CONTROL!$C$22, $C$13, 100%, $E$13)</f>
        <v>27.960599999999999</v>
      </c>
      <c r="I837" s="64">
        <f>27.9608 * CHOOSE(CONTROL!$C$22, $C$13, 100%, $E$13)</f>
        <v>27.960799999999999</v>
      </c>
      <c r="J837" s="64">
        <f>17.1905 * CHOOSE(CONTROL!$C$22, $C$13, 100%, $E$13)</f>
        <v>17.1905</v>
      </c>
      <c r="K837" s="64">
        <f>17.1907 * CHOOSE(CONTROL!$C$22, $C$13, 100%, $E$13)</f>
        <v>17.1907</v>
      </c>
    </row>
    <row r="838" spans="1:11" ht="15">
      <c r="A838" s="13">
        <v>67146</v>
      </c>
      <c r="B838" s="63">
        <f>14.6305 * CHOOSE(CONTROL!$C$22, $C$13, 100%, $E$13)</f>
        <v>14.6305</v>
      </c>
      <c r="C838" s="63">
        <f>14.6305 * CHOOSE(CONTROL!$C$22, $C$13, 100%, $E$13)</f>
        <v>14.6305</v>
      </c>
      <c r="D838" s="63">
        <f>14.6427 * CHOOSE(CONTROL!$C$22, $C$13, 100%, $E$13)</f>
        <v>14.6427</v>
      </c>
      <c r="E838" s="64">
        <f>17.2317 * CHOOSE(CONTROL!$C$22, $C$13, 100%, $E$13)</f>
        <v>17.2317</v>
      </c>
      <c r="F838" s="64">
        <f>17.2317 * CHOOSE(CONTROL!$C$22, $C$13, 100%, $E$13)</f>
        <v>17.2317</v>
      </c>
      <c r="G838" s="64">
        <f>17.2319 * CHOOSE(CONTROL!$C$22, $C$13, 100%, $E$13)</f>
        <v>17.2319</v>
      </c>
      <c r="H838" s="64">
        <f>28.0189* CHOOSE(CONTROL!$C$22, $C$13, 100%, $E$13)</f>
        <v>28.018899999999999</v>
      </c>
      <c r="I838" s="64">
        <f>28.0191 * CHOOSE(CONTROL!$C$22, $C$13, 100%, $E$13)</f>
        <v>28.019100000000002</v>
      </c>
      <c r="J838" s="64">
        <f>17.2317 * CHOOSE(CONTROL!$C$22, $C$13, 100%, $E$13)</f>
        <v>17.2317</v>
      </c>
      <c r="K838" s="64">
        <f>17.2319 * CHOOSE(CONTROL!$C$22, $C$13, 100%, $E$13)</f>
        <v>17.2319</v>
      </c>
    </row>
    <row r="839" spans="1:11" ht="15">
      <c r="A839" s="13">
        <v>67176</v>
      </c>
      <c r="B839" s="63">
        <f>14.6305 * CHOOSE(CONTROL!$C$22, $C$13, 100%, $E$13)</f>
        <v>14.6305</v>
      </c>
      <c r="C839" s="63">
        <f>14.6305 * CHOOSE(CONTROL!$C$22, $C$13, 100%, $E$13)</f>
        <v>14.6305</v>
      </c>
      <c r="D839" s="63">
        <f>14.6427 * CHOOSE(CONTROL!$C$22, $C$13, 100%, $E$13)</f>
        <v>14.6427</v>
      </c>
      <c r="E839" s="64">
        <f>17.134 * CHOOSE(CONTROL!$C$22, $C$13, 100%, $E$13)</f>
        <v>17.134</v>
      </c>
      <c r="F839" s="64">
        <f>17.134 * CHOOSE(CONTROL!$C$22, $C$13, 100%, $E$13)</f>
        <v>17.134</v>
      </c>
      <c r="G839" s="64">
        <f>17.1342 * CHOOSE(CONTROL!$C$22, $C$13, 100%, $E$13)</f>
        <v>17.1342</v>
      </c>
      <c r="H839" s="64">
        <f>28.0773* CHOOSE(CONTROL!$C$22, $C$13, 100%, $E$13)</f>
        <v>28.077300000000001</v>
      </c>
      <c r="I839" s="64">
        <f>28.0774 * CHOOSE(CONTROL!$C$22, $C$13, 100%, $E$13)</f>
        <v>28.077400000000001</v>
      </c>
      <c r="J839" s="64">
        <f>17.134 * CHOOSE(CONTROL!$C$22, $C$13, 100%, $E$13)</f>
        <v>17.134</v>
      </c>
      <c r="K839" s="64">
        <f>17.1342 * CHOOSE(CONTROL!$C$22, $C$13, 100%, $E$13)</f>
        <v>17.1342</v>
      </c>
    </row>
    <row r="840" spans="1:11" ht="15">
      <c r="A840" s="13">
        <v>67207</v>
      </c>
      <c r="B840" s="63">
        <f>14.6075 * CHOOSE(CONTROL!$C$22, $C$13, 100%, $E$13)</f>
        <v>14.6075</v>
      </c>
      <c r="C840" s="63">
        <f>14.6075 * CHOOSE(CONTROL!$C$22, $C$13, 100%, $E$13)</f>
        <v>14.6075</v>
      </c>
      <c r="D840" s="63">
        <f>14.6197 * CHOOSE(CONTROL!$C$22, $C$13, 100%, $E$13)</f>
        <v>14.6197</v>
      </c>
      <c r="E840" s="64">
        <f>17.1745 * CHOOSE(CONTROL!$C$22, $C$13, 100%, $E$13)</f>
        <v>17.174499999999998</v>
      </c>
      <c r="F840" s="64">
        <f>17.1745 * CHOOSE(CONTROL!$C$22, $C$13, 100%, $E$13)</f>
        <v>17.174499999999998</v>
      </c>
      <c r="G840" s="64">
        <f>17.1747 * CHOOSE(CONTROL!$C$22, $C$13, 100%, $E$13)</f>
        <v>17.174700000000001</v>
      </c>
      <c r="H840" s="64">
        <f>27.8877* CHOOSE(CONTROL!$C$22, $C$13, 100%, $E$13)</f>
        <v>27.887699999999999</v>
      </c>
      <c r="I840" s="64">
        <f>27.8879 * CHOOSE(CONTROL!$C$22, $C$13, 100%, $E$13)</f>
        <v>27.887899999999998</v>
      </c>
      <c r="J840" s="64">
        <f>17.1745 * CHOOSE(CONTROL!$C$22, $C$13, 100%, $E$13)</f>
        <v>17.174499999999998</v>
      </c>
      <c r="K840" s="64">
        <f>17.1747 * CHOOSE(CONTROL!$C$22, $C$13, 100%, $E$13)</f>
        <v>17.174700000000001</v>
      </c>
    </row>
    <row r="841" spans="1:11" ht="15">
      <c r="A841" s="13">
        <v>67238</v>
      </c>
      <c r="B841" s="63">
        <f>14.6044 * CHOOSE(CONTROL!$C$22, $C$13, 100%, $E$13)</f>
        <v>14.6044</v>
      </c>
      <c r="C841" s="63">
        <f>14.6044 * CHOOSE(CONTROL!$C$22, $C$13, 100%, $E$13)</f>
        <v>14.6044</v>
      </c>
      <c r="D841" s="63">
        <f>14.6166 * CHOOSE(CONTROL!$C$22, $C$13, 100%, $E$13)</f>
        <v>14.6166</v>
      </c>
      <c r="E841" s="64">
        <f>16.9844 * CHOOSE(CONTROL!$C$22, $C$13, 100%, $E$13)</f>
        <v>16.984400000000001</v>
      </c>
      <c r="F841" s="64">
        <f>16.9844 * CHOOSE(CONTROL!$C$22, $C$13, 100%, $E$13)</f>
        <v>16.984400000000001</v>
      </c>
      <c r="G841" s="64">
        <f>16.9846 * CHOOSE(CONTROL!$C$22, $C$13, 100%, $E$13)</f>
        <v>16.9846</v>
      </c>
      <c r="H841" s="64">
        <f>27.9458* CHOOSE(CONTROL!$C$22, $C$13, 100%, $E$13)</f>
        <v>27.945799999999998</v>
      </c>
      <c r="I841" s="64">
        <f>27.946 * CHOOSE(CONTROL!$C$22, $C$13, 100%, $E$13)</f>
        <v>27.946000000000002</v>
      </c>
      <c r="J841" s="64">
        <f>16.9844 * CHOOSE(CONTROL!$C$22, $C$13, 100%, $E$13)</f>
        <v>16.984400000000001</v>
      </c>
      <c r="K841" s="64">
        <f>16.9846 * CHOOSE(CONTROL!$C$22, $C$13, 100%, $E$13)</f>
        <v>16.9846</v>
      </c>
    </row>
    <row r="842" spans="1:11" ht="15">
      <c r="A842" s="13">
        <v>67267</v>
      </c>
      <c r="B842" s="63">
        <f>14.6014 * CHOOSE(CONTROL!$C$22, $C$13, 100%, $E$13)</f>
        <v>14.6014</v>
      </c>
      <c r="C842" s="63">
        <f>14.6014 * CHOOSE(CONTROL!$C$22, $C$13, 100%, $E$13)</f>
        <v>14.6014</v>
      </c>
      <c r="D842" s="63">
        <f>14.6136 * CHOOSE(CONTROL!$C$22, $C$13, 100%, $E$13)</f>
        <v>14.6136</v>
      </c>
      <c r="E842" s="64">
        <f>17.1305 * CHOOSE(CONTROL!$C$22, $C$13, 100%, $E$13)</f>
        <v>17.130500000000001</v>
      </c>
      <c r="F842" s="64">
        <f>17.1305 * CHOOSE(CONTROL!$C$22, $C$13, 100%, $E$13)</f>
        <v>17.130500000000001</v>
      </c>
      <c r="G842" s="64">
        <f>17.1306 * CHOOSE(CONTROL!$C$22, $C$13, 100%, $E$13)</f>
        <v>17.130600000000001</v>
      </c>
      <c r="H842" s="64">
        <f>28.004* CHOOSE(CONTROL!$C$22, $C$13, 100%, $E$13)</f>
        <v>28.004000000000001</v>
      </c>
      <c r="I842" s="64">
        <f>28.0042 * CHOOSE(CONTROL!$C$22, $C$13, 100%, $E$13)</f>
        <v>28.004200000000001</v>
      </c>
      <c r="J842" s="64">
        <f>17.1305 * CHOOSE(CONTROL!$C$22, $C$13, 100%, $E$13)</f>
        <v>17.130500000000001</v>
      </c>
      <c r="K842" s="64">
        <f>17.1306 * CHOOSE(CONTROL!$C$22, $C$13, 100%, $E$13)</f>
        <v>17.130600000000001</v>
      </c>
    </row>
    <row r="843" spans="1:11" ht="15">
      <c r="A843" s="13">
        <v>67298</v>
      </c>
      <c r="B843" s="63">
        <f>14.6081 * CHOOSE(CONTROL!$C$22, $C$13, 100%, $E$13)</f>
        <v>14.6081</v>
      </c>
      <c r="C843" s="63">
        <f>14.6081 * CHOOSE(CONTROL!$C$22, $C$13, 100%, $E$13)</f>
        <v>14.6081</v>
      </c>
      <c r="D843" s="63">
        <f>14.6203 * CHOOSE(CONTROL!$C$22, $C$13, 100%, $E$13)</f>
        <v>14.6203</v>
      </c>
      <c r="E843" s="64">
        <f>17.2854 * CHOOSE(CONTROL!$C$22, $C$13, 100%, $E$13)</f>
        <v>17.285399999999999</v>
      </c>
      <c r="F843" s="64">
        <f>17.2854 * CHOOSE(CONTROL!$C$22, $C$13, 100%, $E$13)</f>
        <v>17.285399999999999</v>
      </c>
      <c r="G843" s="64">
        <f>17.2855 * CHOOSE(CONTROL!$C$22, $C$13, 100%, $E$13)</f>
        <v>17.285499999999999</v>
      </c>
      <c r="H843" s="64">
        <f>28.0624* CHOOSE(CONTROL!$C$22, $C$13, 100%, $E$13)</f>
        <v>28.0624</v>
      </c>
      <c r="I843" s="64">
        <f>28.0625 * CHOOSE(CONTROL!$C$22, $C$13, 100%, $E$13)</f>
        <v>28.0625</v>
      </c>
      <c r="J843" s="64">
        <f>17.2854 * CHOOSE(CONTROL!$C$22, $C$13, 100%, $E$13)</f>
        <v>17.285399999999999</v>
      </c>
      <c r="K843" s="64">
        <f>17.2855 * CHOOSE(CONTROL!$C$22, $C$13, 100%, $E$13)</f>
        <v>17.285499999999999</v>
      </c>
    </row>
    <row r="844" spans="1:11" ht="15">
      <c r="A844" s="13">
        <v>67328</v>
      </c>
      <c r="B844" s="63">
        <f>14.6081 * CHOOSE(CONTROL!$C$22, $C$13, 100%, $E$13)</f>
        <v>14.6081</v>
      </c>
      <c r="C844" s="63">
        <f>14.6081 * CHOOSE(CONTROL!$C$22, $C$13, 100%, $E$13)</f>
        <v>14.6081</v>
      </c>
      <c r="D844" s="63">
        <f>14.6325 * CHOOSE(CONTROL!$C$22, $C$13, 100%, $E$13)</f>
        <v>14.6325</v>
      </c>
      <c r="E844" s="64">
        <f>17.345 * CHOOSE(CONTROL!$C$22, $C$13, 100%, $E$13)</f>
        <v>17.344999999999999</v>
      </c>
      <c r="F844" s="64">
        <f>17.345 * CHOOSE(CONTROL!$C$22, $C$13, 100%, $E$13)</f>
        <v>17.344999999999999</v>
      </c>
      <c r="G844" s="64">
        <f>17.3466 * CHOOSE(CONTROL!$C$22, $C$13, 100%, $E$13)</f>
        <v>17.346599999999999</v>
      </c>
      <c r="H844" s="64">
        <f>28.1208* CHOOSE(CONTROL!$C$22, $C$13, 100%, $E$13)</f>
        <v>28.120799999999999</v>
      </c>
      <c r="I844" s="64">
        <f>28.1224 * CHOOSE(CONTROL!$C$22, $C$13, 100%, $E$13)</f>
        <v>28.122399999999999</v>
      </c>
      <c r="J844" s="64">
        <f>17.345 * CHOOSE(CONTROL!$C$22, $C$13, 100%, $E$13)</f>
        <v>17.344999999999999</v>
      </c>
      <c r="K844" s="64">
        <f>17.3466 * CHOOSE(CONTROL!$C$22, $C$13, 100%, $E$13)</f>
        <v>17.346599999999999</v>
      </c>
    </row>
    <row r="845" spans="1:11" ht="15">
      <c r="A845" s="13">
        <v>67359</v>
      </c>
      <c r="B845" s="63">
        <f>14.6142 * CHOOSE(CONTROL!$C$22, $C$13, 100%, $E$13)</f>
        <v>14.6142</v>
      </c>
      <c r="C845" s="63">
        <f>14.6142 * CHOOSE(CONTROL!$C$22, $C$13, 100%, $E$13)</f>
        <v>14.6142</v>
      </c>
      <c r="D845" s="63">
        <f>14.6386 * CHOOSE(CONTROL!$C$22, $C$13, 100%, $E$13)</f>
        <v>14.6386</v>
      </c>
      <c r="E845" s="64">
        <f>17.2896 * CHOOSE(CONTROL!$C$22, $C$13, 100%, $E$13)</f>
        <v>17.2896</v>
      </c>
      <c r="F845" s="64">
        <f>17.2896 * CHOOSE(CONTROL!$C$22, $C$13, 100%, $E$13)</f>
        <v>17.2896</v>
      </c>
      <c r="G845" s="64">
        <f>17.2912 * CHOOSE(CONTROL!$C$22, $C$13, 100%, $E$13)</f>
        <v>17.2912</v>
      </c>
      <c r="H845" s="64">
        <f>28.1794* CHOOSE(CONTROL!$C$22, $C$13, 100%, $E$13)</f>
        <v>28.179400000000001</v>
      </c>
      <c r="I845" s="64">
        <f>28.181 * CHOOSE(CONTROL!$C$22, $C$13, 100%, $E$13)</f>
        <v>28.181000000000001</v>
      </c>
      <c r="J845" s="64">
        <f>17.2896 * CHOOSE(CONTROL!$C$22, $C$13, 100%, $E$13)</f>
        <v>17.2896</v>
      </c>
      <c r="K845" s="64">
        <f>17.2912 * CHOOSE(CONTROL!$C$22, $C$13, 100%, $E$13)</f>
        <v>17.2912</v>
      </c>
    </row>
    <row r="846" spans="1:11" ht="15">
      <c r="A846" s="13">
        <v>67389</v>
      </c>
      <c r="B846" s="63">
        <f>14.8432 * CHOOSE(CONTROL!$C$22, $C$13, 100%, $E$13)</f>
        <v>14.8432</v>
      </c>
      <c r="C846" s="63">
        <f>14.8432 * CHOOSE(CONTROL!$C$22, $C$13, 100%, $E$13)</f>
        <v>14.8432</v>
      </c>
      <c r="D846" s="63">
        <f>14.8677 * CHOOSE(CONTROL!$C$22, $C$13, 100%, $E$13)</f>
        <v>14.867699999999999</v>
      </c>
      <c r="E846" s="64">
        <f>17.6186 * CHOOSE(CONTROL!$C$22, $C$13, 100%, $E$13)</f>
        <v>17.618600000000001</v>
      </c>
      <c r="F846" s="64">
        <f>17.6186 * CHOOSE(CONTROL!$C$22, $C$13, 100%, $E$13)</f>
        <v>17.618600000000001</v>
      </c>
      <c r="G846" s="64">
        <f>17.6202 * CHOOSE(CONTROL!$C$22, $C$13, 100%, $E$13)</f>
        <v>17.620200000000001</v>
      </c>
      <c r="H846" s="64">
        <f>28.2381* CHOOSE(CONTROL!$C$22, $C$13, 100%, $E$13)</f>
        <v>28.238099999999999</v>
      </c>
      <c r="I846" s="64">
        <f>28.2397 * CHOOSE(CONTROL!$C$22, $C$13, 100%, $E$13)</f>
        <v>28.239699999999999</v>
      </c>
      <c r="J846" s="64">
        <f>17.6186 * CHOOSE(CONTROL!$C$22, $C$13, 100%, $E$13)</f>
        <v>17.618600000000001</v>
      </c>
      <c r="K846" s="64">
        <f>17.6202 * CHOOSE(CONTROL!$C$22, $C$13, 100%, $E$13)</f>
        <v>17.620200000000001</v>
      </c>
    </row>
    <row r="847" spans="1:11" ht="15">
      <c r="A847" s="13">
        <v>67420</v>
      </c>
      <c r="B847" s="63">
        <f>14.8499 * CHOOSE(CONTROL!$C$22, $C$13, 100%, $E$13)</f>
        <v>14.8499</v>
      </c>
      <c r="C847" s="63">
        <f>14.8499 * CHOOSE(CONTROL!$C$22, $C$13, 100%, $E$13)</f>
        <v>14.8499</v>
      </c>
      <c r="D847" s="63">
        <f>14.8743 * CHOOSE(CONTROL!$C$22, $C$13, 100%, $E$13)</f>
        <v>14.8743</v>
      </c>
      <c r="E847" s="64">
        <f>17.4442 * CHOOSE(CONTROL!$C$22, $C$13, 100%, $E$13)</f>
        <v>17.444199999999999</v>
      </c>
      <c r="F847" s="64">
        <f>17.4442 * CHOOSE(CONTROL!$C$22, $C$13, 100%, $E$13)</f>
        <v>17.444199999999999</v>
      </c>
      <c r="G847" s="64">
        <f>17.4458 * CHOOSE(CONTROL!$C$22, $C$13, 100%, $E$13)</f>
        <v>17.445799999999998</v>
      </c>
      <c r="H847" s="64">
        <f>28.2969* CHOOSE(CONTROL!$C$22, $C$13, 100%, $E$13)</f>
        <v>28.296900000000001</v>
      </c>
      <c r="I847" s="64">
        <f>28.2985 * CHOOSE(CONTROL!$C$22, $C$13, 100%, $E$13)</f>
        <v>28.298500000000001</v>
      </c>
      <c r="J847" s="64">
        <f>17.4442 * CHOOSE(CONTROL!$C$22, $C$13, 100%, $E$13)</f>
        <v>17.444199999999999</v>
      </c>
      <c r="K847" s="64">
        <f>17.4458 * CHOOSE(CONTROL!$C$22, $C$13, 100%, $E$13)</f>
        <v>17.445799999999998</v>
      </c>
    </row>
    <row r="848" spans="1:11" ht="15">
      <c r="A848" s="13">
        <v>67451</v>
      </c>
      <c r="B848" s="63">
        <f>14.8469 * CHOOSE(CONTROL!$C$22, $C$13, 100%, $E$13)</f>
        <v>14.8469</v>
      </c>
      <c r="C848" s="63">
        <f>14.8469 * CHOOSE(CONTROL!$C$22, $C$13, 100%, $E$13)</f>
        <v>14.8469</v>
      </c>
      <c r="D848" s="63">
        <f>14.8713 * CHOOSE(CONTROL!$C$22, $C$13, 100%, $E$13)</f>
        <v>14.8713</v>
      </c>
      <c r="E848" s="64">
        <f>17.4222 * CHOOSE(CONTROL!$C$22, $C$13, 100%, $E$13)</f>
        <v>17.4222</v>
      </c>
      <c r="F848" s="64">
        <f>17.4222 * CHOOSE(CONTROL!$C$22, $C$13, 100%, $E$13)</f>
        <v>17.4222</v>
      </c>
      <c r="G848" s="64">
        <f>17.4238 * CHOOSE(CONTROL!$C$22, $C$13, 100%, $E$13)</f>
        <v>17.4238</v>
      </c>
      <c r="H848" s="64">
        <f>28.3559* CHOOSE(CONTROL!$C$22, $C$13, 100%, $E$13)</f>
        <v>28.355899999999998</v>
      </c>
      <c r="I848" s="64">
        <f>28.3575 * CHOOSE(CONTROL!$C$22, $C$13, 100%, $E$13)</f>
        <v>28.357500000000002</v>
      </c>
      <c r="J848" s="64">
        <f>17.4222 * CHOOSE(CONTROL!$C$22, $C$13, 100%, $E$13)</f>
        <v>17.4222</v>
      </c>
      <c r="K848" s="64">
        <f>17.4238 * CHOOSE(CONTROL!$C$22, $C$13, 100%, $E$13)</f>
        <v>17.4238</v>
      </c>
    </row>
    <row r="849" spans="1:11" ht="15">
      <c r="A849" s="13">
        <v>67481</v>
      </c>
      <c r="B849" s="63">
        <f>14.8775 * CHOOSE(CONTROL!$C$22, $C$13, 100%, $E$13)</f>
        <v>14.8775</v>
      </c>
      <c r="C849" s="63">
        <f>14.8775 * CHOOSE(CONTROL!$C$22, $C$13, 100%, $E$13)</f>
        <v>14.8775</v>
      </c>
      <c r="D849" s="63">
        <f>14.8897 * CHOOSE(CONTROL!$C$22, $C$13, 100%, $E$13)</f>
        <v>14.889699999999999</v>
      </c>
      <c r="E849" s="64">
        <f>17.4884 * CHOOSE(CONTROL!$C$22, $C$13, 100%, $E$13)</f>
        <v>17.488399999999999</v>
      </c>
      <c r="F849" s="64">
        <f>17.4884 * CHOOSE(CONTROL!$C$22, $C$13, 100%, $E$13)</f>
        <v>17.488399999999999</v>
      </c>
      <c r="G849" s="64">
        <f>17.4885 * CHOOSE(CONTROL!$C$22, $C$13, 100%, $E$13)</f>
        <v>17.488499999999998</v>
      </c>
      <c r="H849" s="64">
        <f>28.415* CHOOSE(CONTROL!$C$22, $C$13, 100%, $E$13)</f>
        <v>28.414999999999999</v>
      </c>
      <c r="I849" s="64">
        <f>28.4151 * CHOOSE(CONTROL!$C$22, $C$13, 100%, $E$13)</f>
        <v>28.415099999999999</v>
      </c>
      <c r="J849" s="64">
        <f>17.4884 * CHOOSE(CONTROL!$C$22, $C$13, 100%, $E$13)</f>
        <v>17.488399999999999</v>
      </c>
      <c r="K849" s="64">
        <f>17.4885 * CHOOSE(CONTROL!$C$22, $C$13, 100%, $E$13)</f>
        <v>17.488499999999998</v>
      </c>
    </row>
    <row r="850" spans="1:11" ht="15">
      <c r="A850" s="13">
        <v>67512</v>
      </c>
      <c r="B850" s="63">
        <f>14.8806 * CHOOSE(CONTROL!$C$22, $C$13, 100%, $E$13)</f>
        <v>14.880599999999999</v>
      </c>
      <c r="C850" s="63">
        <f>14.8806 * CHOOSE(CONTROL!$C$22, $C$13, 100%, $E$13)</f>
        <v>14.880599999999999</v>
      </c>
      <c r="D850" s="63">
        <f>14.8928 * CHOOSE(CONTROL!$C$22, $C$13, 100%, $E$13)</f>
        <v>14.892799999999999</v>
      </c>
      <c r="E850" s="64">
        <f>17.5303 * CHOOSE(CONTROL!$C$22, $C$13, 100%, $E$13)</f>
        <v>17.5303</v>
      </c>
      <c r="F850" s="64">
        <f>17.5303 * CHOOSE(CONTROL!$C$22, $C$13, 100%, $E$13)</f>
        <v>17.5303</v>
      </c>
      <c r="G850" s="64">
        <f>17.5304 * CHOOSE(CONTROL!$C$22, $C$13, 100%, $E$13)</f>
        <v>17.5304</v>
      </c>
      <c r="H850" s="64">
        <f>28.4742* CHOOSE(CONTROL!$C$22, $C$13, 100%, $E$13)</f>
        <v>28.4742</v>
      </c>
      <c r="I850" s="64">
        <f>28.4743 * CHOOSE(CONTROL!$C$22, $C$13, 100%, $E$13)</f>
        <v>28.474299999999999</v>
      </c>
      <c r="J850" s="64">
        <f>17.5303 * CHOOSE(CONTROL!$C$22, $C$13, 100%, $E$13)</f>
        <v>17.5303</v>
      </c>
      <c r="K850" s="64">
        <f>17.5304 * CHOOSE(CONTROL!$C$22, $C$13, 100%, $E$13)</f>
        <v>17.5304</v>
      </c>
    </row>
    <row r="851" spans="1:11" ht="15">
      <c r="A851" s="13">
        <v>67542</v>
      </c>
      <c r="B851" s="63">
        <f>14.8806 * CHOOSE(CONTROL!$C$22, $C$13, 100%, $E$13)</f>
        <v>14.880599999999999</v>
      </c>
      <c r="C851" s="63">
        <f>14.8806 * CHOOSE(CONTROL!$C$22, $C$13, 100%, $E$13)</f>
        <v>14.880599999999999</v>
      </c>
      <c r="D851" s="63">
        <f>14.8928 * CHOOSE(CONTROL!$C$22, $C$13, 100%, $E$13)</f>
        <v>14.892799999999999</v>
      </c>
      <c r="E851" s="64">
        <f>17.4308 * CHOOSE(CONTROL!$C$22, $C$13, 100%, $E$13)</f>
        <v>17.430800000000001</v>
      </c>
      <c r="F851" s="64">
        <f>17.4308 * CHOOSE(CONTROL!$C$22, $C$13, 100%, $E$13)</f>
        <v>17.430800000000001</v>
      </c>
      <c r="G851" s="64">
        <f>17.431 * CHOOSE(CONTROL!$C$22, $C$13, 100%, $E$13)</f>
        <v>17.431000000000001</v>
      </c>
      <c r="H851" s="64">
        <f>28.5335* CHOOSE(CONTROL!$C$22, $C$13, 100%, $E$13)</f>
        <v>28.5335</v>
      </c>
      <c r="I851" s="64">
        <f>28.5337 * CHOOSE(CONTROL!$C$22, $C$13, 100%, $E$13)</f>
        <v>28.5337</v>
      </c>
      <c r="J851" s="64">
        <f>17.4308 * CHOOSE(CONTROL!$C$22, $C$13, 100%, $E$13)</f>
        <v>17.430800000000001</v>
      </c>
      <c r="K851" s="64">
        <f>17.431 * CHOOSE(CONTROL!$C$22, $C$13, 100%, $E$13)</f>
        <v>17.431000000000001</v>
      </c>
    </row>
    <row r="852" spans="1:11" ht="15">
      <c r="A852" s="13">
        <v>67573</v>
      </c>
      <c r="B852" s="63">
        <f>14.8528 * CHOOSE(CONTROL!$C$22, $C$13, 100%, $E$13)</f>
        <v>14.8528</v>
      </c>
      <c r="C852" s="63">
        <f>14.8528 * CHOOSE(CONTROL!$C$22, $C$13, 100%, $E$13)</f>
        <v>14.8528</v>
      </c>
      <c r="D852" s="63">
        <f>14.865 * CHOOSE(CONTROL!$C$22, $C$13, 100%, $E$13)</f>
        <v>14.865</v>
      </c>
      <c r="E852" s="64">
        <f>17.4669 * CHOOSE(CONTROL!$C$22, $C$13, 100%, $E$13)</f>
        <v>17.466899999999999</v>
      </c>
      <c r="F852" s="64">
        <f>17.4669 * CHOOSE(CONTROL!$C$22, $C$13, 100%, $E$13)</f>
        <v>17.466899999999999</v>
      </c>
      <c r="G852" s="64">
        <f>17.4671 * CHOOSE(CONTROL!$C$22, $C$13, 100%, $E$13)</f>
        <v>17.467099999999999</v>
      </c>
      <c r="H852" s="64">
        <f>28.3336* CHOOSE(CONTROL!$C$22, $C$13, 100%, $E$13)</f>
        <v>28.333600000000001</v>
      </c>
      <c r="I852" s="64">
        <f>28.3338 * CHOOSE(CONTROL!$C$22, $C$13, 100%, $E$13)</f>
        <v>28.3338</v>
      </c>
      <c r="J852" s="64">
        <f>17.4669 * CHOOSE(CONTROL!$C$22, $C$13, 100%, $E$13)</f>
        <v>17.466899999999999</v>
      </c>
      <c r="K852" s="64">
        <f>17.4671 * CHOOSE(CONTROL!$C$22, $C$13, 100%, $E$13)</f>
        <v>17.467099999999999</v>
      </c>
    </row>
    <row r="853" spans="1:11" ht="15">
      <c r="A853" s="13">
        <v>67604</v>
      </c>
      <c r="B853" s="63">
        <f>14.8497 * CHOOSE(CONTROL!$C$22, $C$13, 100%, $E$13)</f>
        <v>14.8497</v>
      </c>
      <c r="C853" s="63">
        <f>14.8497 * CHOOSE(CONTROL!$C$22, $C$13, 100%, $E$13)</f>
        <v>14.8497</v>
      </c>
      <c r="D853" s="63">
        <f>14.8619 * CHOOSE(CONTROL!$C$22, $C$13, 100%, $E$13)</f>
        <v>14.8619</v>
      </c>
      <c r="E853" s="64">
        <f>17.2736 * CHOOSE(CONTROL!$C$22, $C$13, 100%, $E$13)</f>
        <v>17.273599999999998</v>
      </c>
      <c r="F853" s="64">
        <f>17.2736 * CHOOSE(CONTROL!$C$22, $C$13, 100%, $E$13)</f>
        <v>17.273599999999998</v>
      </c>
      <c r="G853" s="64">
        <f>17.2738 * CHOOSE(CONTROL!$C$22, $C$13, 100%, $E$13)</f>
        <v>17.273800000000001</v>
      </c>
      <c r="H853" s="64">
        <f>28.3926* CHOOSE(CONTROL!$C$22, $C$13, 100%, $E$13)</f>
        <v>28.392600000000002</v>
      </c>
      <c r="I853" s="64">
        <f>28.3928 * CHOOSE(CONTROL!$C$22, $C$13, 100%, $E$13)</f>
        <v>28.392800000000001</v>
      </c>
      <c r="J853" s="64">
        <f>17.2736 * CHOOSE(CONTROL!$C$22, $C$13, 100%, $E$13)</f>
        <v>17.273599999999998</v>
      </c>
      <c r="K853" s="64">
        <f>17.2738 * CHOOSE(CONTROL!$C$22, $C$13, 100%, $E$13)</f>
        <v>17.273800000000001</v>
      </c>
    </row>
    <row r="854" spans="1:11" ht="15">
      <c r="A854" s="13">
        <v>67632</v>
      </c>
      <c r="B854" s="63">
        <f>14.8467 * CHOOSE(CONTROL!$C$22, $C$13, 100%, $E$13)</f>
        <v>14.8467</v>
      </c>
      <c r="C854" s="63">
        <f>14.8467 * CHOOSE(CONTROL!$C$22, $C$13, 100%, $E$13)</f>
        <v>14.8467</v>
      </c>
      <c r="D854" s="63">
        <f>14.8589 * CHOOSE(CONTROL!$C$22, $C$13, 100%, $E$13)</f>
        <v>14.8589</v>
      </c>
      <c r="E854" s="64">
        <f>17.4222 * CHOOSE(CONTROL!$C$22, $C$13, 100%, $E$13)</f>
        <v>17.4222</v>
      </c>
      <c r="F854" s="64">
        <f>17.4222 * CHOOSE(CONTROL!$C$22, $C$13, 100%, $E$13)</f>
        <v>17.4222</v>
      </c>
      <c r="G854" s="64">
        <f>17.4224 * CHOOSE(CONTROL!$C$22, $C$13, 100%, $E$13)</f>
        <v>17.4224</v>
      </c>
      <c r="H854" s="64">
        <f>28.4518* CHOOSE(CONTROL!$C$22, $C$13, 100%, $E$13)</f>
        <v>28.451799999999999</v>
      </c>
      <c r="I854" s="64">
        <f>28.4519 * CHOOSE(CONTROL!$C$22, $C$13, 100%, $E$13)</f>
        <v>28.451899999999998</v>
      </c>
      <c r="J854" s="64">
        <f>17.4222 * CHOOSE(CONTROL!$C$22, $C$13, 100%, $E$13)</f>
        <v>17.4222</v>
      </c>
      <c r="K854" s="64">
        <f>17.4224 * CHOOSE(CONTROL!$C$22, $C$13, 100%, $E$13)</f>
        <v>17.4224</v>
      </c>
    </row>
    <row r="855" spans="1:11" ht="15">
      <c r="A855" s="13">
        <v>67663</v>
      </c>
      <c r="B855" s="63">
        <f>14.8536 * CHOOSE(CONTROL!$C$22, $C$13, 100%, $E$13)</f>
        <v>14.8536</v>
      </c>
      <c r="C855" s="63">
        <f>14.8536 * CHOOSE(CONTROL!$C$22, $C$13, 100%, $E$13)</f>
        <v>14.8536</v>
      </c>
      <c r="D855" s="63">
        <f>14.8658 * CHOOSE(CONTROL!$C$22, $C$13, 100%, $E$13)</f>
        <v>14.8658</v>
      </c>
      <c r="E855" s="64">
        <f>17.5798 * CHOOSE(CONTROL!$C$22, $C$13, 100%, $E$13)</f>
        <v>17.579799999999999</v>
      </c>
      <c r="F855" s="64">
        <f>17.5798 * CHOOSE(CONTROL!$C$22, $C$13, 100%, $E$13)</f>
        <v>17.579799999999999</v>
      </c>
      <c r="G855" s="64">
        <f>17.58 * CHOOSE(CONTROL!$C$22, $C$13, 100%, $E$13)</f>
        <v>17.579999999999998</v>
      </c>
      <c r="H855" s="64">
        <f>28.511* CHOOSE(CONTROL!$C$22, $C$13, 100%, $E$13)</f>
        <v>28.510999999999999</v>
      </c>
      <c r="I855" s="64">
        <f>28.5112 * CHOOSE(CONTROL!$C$22, $C$13, 100%, $E$13)</f>
        <v>28.511199999999999</v>
      </c>
      <c r="J855" s="64">
        <f>17.5798 * CHOOSE(CONTROL!$C$22, $C$13, 100%, $E$13)</f>
        <v>17.579799999999999</v>
      </c>
      <c r="K855" s="64">
        <f>17.58 * CHOOSE(CONTROL!$C$22, $C$13, 100%, $E$13)</f>
        <v>17.579999999999998</v>
      </c>
    </row>
    <row r="856" spans="1:11" ht="15">
      <c r="A856" s="13">
        <v>67693</v>
      </c>
      <c r="B856" s="63">
        <f>14.8536 * CHOOSE(CONTROL!$C$22, $C$13, 100%, $E$13)</f>
        <v>14.8536</v>
      </c>
      <c r="C856" s="63">
        <f>14.8536 * CHOOSE(CONTROL!$C$22, $C$13, 100%, $E$13)</f>
        <v>14.8536</v>
      </c>
      <c r="D856" s="63">
        <f>14.878 * CHOOSE(CONTROL!$C$22, $C$13, 100%, $E$13)</f>
        <v>14.878</v>
      </c>
      <c r="E856" s="64">
        <f>17.6405 * CHOOSE(CONTROL!$C$22, $C$13, 100%, $E$13)</f>
        <v>17.640499999999999</v>
      </c>
      <c r="F856" s="64">
        <f>17.6405 * CHOOSE(CONTROL!$C$22, $C$13, 100%, $E$13)</f>
        <v>17.640499999999999</v>
      </c>
      <c r="G856" s="64">
        <f>17.6421 * CHOOSE(CONTROL!$C$22, $C$13, 100%, $E$13)</f>
        <v>17.642099999999999</v>
      </c>
      <c r="H856" s="64">
        <f>28.5704* CHOOSE(CONTROL!$C$22, $C$13, 100%, $E$13)</f>
        <v>28.570399999999999</v>
      </c>
      <c r="I856" s="64">
        <f>28.572 * CHOOSE(CONTROL!$C$22, $C$13, 100%, $E$13)</f>
        <v>28.571999999999999</v>
      </c>
      <c r="J856" s="64">
        <f>17.6405 * CHOOSE(CONTROL!$C$22, $C$13, 100%, $E$13)</f>
        <v>17.640499999999999</v>
      </c>
      <c r="K856" s="64">
        <f>17.6421 * CHOOSE(CONTROL!$C$22, $C$13, 100%, $E$13)</f>
        <v>17.642099999999999</v>
      </c>
    </row>
    <row r="857" spans="1:11" ht="15">
      <c r="A857" s="13">
        <v>67724</v>
      </c>
      <c r="B857" s="63">
        <f>14.8597 * CHOOSE(CONTROL!$C$22, $C$13, 100%, $E$13)</f>
        <v>14.8597</v>
      </c>
      <c r="C857" s="63">
        <f>14.8597 * CHOOSE(CONTROL!$C$22, $C$13, 100%, $E$13)</f>
        <v>14.8597</v>
      </c>
      <c r="D857" s="63">
        <f>14.8841 * CHOOSE(CONTROL!$C$22, $C$13, 100%, $E$13)</f>
        <v>14.8841</v>
      </c>
      <c r="E857" s="64">
        <f>17.584 * CHOOSE(CONTROL!$C$22, $C$13, 100%, $E$13)</f>
        <v>17.584</v>
      </c>
      <c r="F857" s="64">
        <f>17.584 * CHOOSE(CONTROL!$C$22, $C$13, 100%, $E$13)</f>
        <v>17.584</v>
      </c>
      <c r="G857" s="64">
        <f>17.5856 * CHOOSE(CONTROL!$C$22, $C$13, 100%, $E$13)</f>
        <v>17.585599999999999</v>
      </c>
      <c r="H857" s="64">
        <f>28.63* CHOOSE(CONTROL!$C$22, $C$13, 100%, $E$13)</f>
        <v>28.63</v>
      </c>
      <c r="I857" s="64">
        <f>28.6315 * CHOOSE(CONTROL!$C$22, $C$13, 100%, $E$13)</f>
        <v>28.631499999999999</v>
      </c>
      <c r="J857" s="64">
        <f>17.584 * CHOOSE(CONTROL!$C$22, $C$13, 100%, $E$13)</f>
        <v>17.584</v>
      </c>
      <c r="K857" s="64">
        <f>17.5856 * CHOOSE(CONTROL!$C$22, $C$13, 100%, $E$13)</f>
        <v>17.585599999999999</v>
      </c>
    </row>
    <row r="858" spans="1:11" ht="15">
      <c r="A858" s="13">
        <v>67754</v>
      </c>
      <c r="B858" s="63">
        <f>15.0924 * CHOOSE(CONTROL!$C$22, $C$13, 100%, $E$13)</f>
        <v>15.0924</v>
      </c>
      <c r="C858" s="63">
        <f>15.0924 * CHOOSE(CONTROL!$C$22, $C$13, 100%, $E$13)</f>
        <v>15.0924</v>
      </c>
      <c r="D858" s="63">
        <f>15.1169 * CHOOSE(CONTROL!$C$22, $C$13, 100%, $E$13)</f>
        <v>15.116899999999999</v>
      </c>
      <c r="E858" s="64">
        <f>17.9185 * CHOOSE(CONTROL!$C$22, $C$13, 100%, $E$13)</f>
        <v>17.918500000000002</v>
      </c>
      <c r="F858" s="64">
        <f>17.9185 * CHOOSE(CONTROL!$C$22, $C$13, 100%, $E$13)</f>
        <v>17.918500000000002</v>
      </c>
      <c r="G858" s="64">
        <f>17.92 * CHOOSE(CONTROL!$C$22, $C$13, 100%, $E$13)</f>
        <v>17.920000000000002</v>
      </c>
      <c r="H858" s="64">
        <f>28.6896* CHOOSE(CONTROL!$C$22, $C$13, 100%, $E$13)</f>
        <v>28.689599999999999</v>
      </c>
      <c r="I858" s="64">
        <f>28.6912 * CHOOSE(CONTROL!$C$22, $C$13, 100%, $E$13)</f>
        <v>28.691199999999998</v>
      </c>
      <c r="J858" s="64">
        <f>17.9185 * CHOOSE(CONTROL!$C$22, $C$13, 100%, $E$13)</f>
        <v>17.918500000000002</v>
      </c>
      <c r="K858" s="64">
        <f>17.92 * CHOOSE(CONTROL!$C$22, $C$13, 100%, $E$13)</f>
        <v>17.920000000000002</v>
      </c>
    </row>
    <row r="859" spans="1:11" ht="15">
      <c r="A859" s="13">
        <v>67785</v>
      </c>
      <c r="B859" s="63">
        <f>15.0991 * CHOOSE(CONTROL!$C$22, $C$13, 100%, $E$13)</f>
        <v>15.0991</v>
      </c>
      <c r="C859" s="63">
        <f>15.0991 * CHOOSE(CONTROL!$C$22, $C$13, 100%, $E$13)</f>
        <v>15.0991</v>
      </c>
      <c r="D859" s="63">
        <f>15.1236 * CHOOSE(CONTROL!$C$22, $C$13, 100%, $E$13)</f>
        <v>15.1236</v>
      </c>
      <c r="E859" s="64">
        <f>17.7411 * CHOOSE(CONTROL!$C$22, $C$13, 100%, $E$13)</f>
        <v>17.741099999999999</v>
      </c>
      <c r="F859" s="64">
        <f>17.7411 * CHOOSE(CONTROL!$C$22, $C$13, 100%, $E$13)</f>
        <v>17.741099999999999</v>
      </c>
      <c r="G859" s="64">
        <f>17.7426 * CHOOSE(CONTROL!$C$22, $C$13, 100%, $E$13)</f>
        <v>17.742599999999999</v>
      </c>
      <c r="H859" s="64">
        <f>28.7494* CHOOSE(CONTROL!$C$22, $C$13, 100%, $E$13)</f>
        <v>28.749400000000001</v>
      </c>
      <c r="I859" s="64">
        <f>28.7509 * CHOOSE(CONTROL!$C$22, $C$13, 100%, $E$13)</f>
        <v>28.750900000000001</v>
      </c>
      <c r="J859" s="64">
        <f>17.7411 * CHOOSE(CONTROL!$C$22, $C$13, 100%, $E$13)</f>
        <v>17.741099999999999</v>
      </c>
      <c r="K859" s="64">
        <f>17.7426 * CHOOSE(CONTROL!$C$22, $C$13, 100%, $E$13)</f>
        <v>17.742599999999999</v>
      </c>
    </row>
    <row r="860" spans="1:11" ht="15">
      <c r="A860" s="13">
        <v>67816</v>
      </c>
      <c r="B860" s="63">
        <f>15.0961 * CHOOSE(CONTROL!$C$22, $C$13, 100%, $E$13)</f>
        <v>15.0961</v>
      </c>
      <c r="C860" s="63">
        <f>15.0961 * CHOOSE(CONTROL!$C$22, $C$13, 100%, $E$13)</f>
        <v>15.0961</v>
      </c>
      <c r="D860" s="63">
        <f>15.1205 * CHOOSE(CONTROL!$C$22, $C$13, 100%, $E$13)</f>
        <v>15.1205</v>
      </c>
      <c r="E860" s="64">
        <f>17.7187 * CHOOSE(CONTROL!$C$22, $C$13, 100%, $E$13)</f>
        <v>17.718699999999998</v>
      </c>
      <c r="F860" s="64">
        <f>17.7187 * CHOOSE(CONTROL!$C$22, $C$13, 100%, $E$13)</f>
        <v>17.718699999999998</v>
      </c>
      <c r="G860" s="64">
        <f>17.7203 * CHOOSE(CONTROL!$C$22, $C$13, 100%, $E$13)</f>
        <v>17.720300000000002</v>
      </c>
      <c r="H860" s="64">
        <f>28.8093* CHOOSE(CONTROL!$C$22, $C$13, 100%, $E$13)</f>
        <v>28.8093</v>
      </c>
      <c r="I860" s="64">
        <f>28.8108 * CHOOSE(CONTROL!$C$22, $C$13, 100%, $E$13)</f>
        <v>28.8108</v>
      </c>
      <c r="J860" s="64">
        <f>17.7187 * CHOOSE(CONTROL!$C$22, $C$13, 100%, $E$13)</f>
        <v>17.718699999999998</v>
      </c>
      <c r="K860" s="64">
        <f>17.7203 * CHOOSE(CONTROL!$C$22, $C$13, 100%, $E$13)</f>
        <v>17.720300000000002</v>
      </c>
    </row>
    <row r="861" spans="1:11" ht="15">
      <c r="A861" s="13">
        <v>67846</v>
      </c>
      <c r="B861" s="63">
        <f>15.1275 * CHOOSE(CONTROL!$C$22, $C$13, 100%, $E$13)</f>
        <v>15.1275</v>
      </c>
      <c r="C861" s="63">
        <f>15.1275 * CHOOSE(CONTROL!$C$22, $C$13, 100%, $E$13)</f>
        <v>15.1275</v>
      </c>
      <c r="D861" s="63">
        <f>15.1397 * CHOOSE(CONTROL!$C$22, $C$13, 100%, $E$13)</f>
        <v>15.139699999999999</v>
      </c>
      <c r="E861" s="64">
        <f>17.7862 * CHOOSE(CONTROL!$C$22, $C$13, 100%, $E$13)</f>
        <v>17.786200000000001</v>
      </c>
      <c r="F861" s="64">
        <f>17.7862 * CHOOSE(CONTROL!$C$22, $C$13, 100%, $E$13)</f>
        <v>17.786200000000001</v>
      </c>
      <c r="G861" s="64">
        <f>17.7864 * CHOOSE(CONTROL!$C$22, $C$13, 100%, $E$13)</f>
        <v>17.7864</v>
      </c>
      <c r="H861" s="64">
        <f>28.8693* CHOOSE(CONTROL!$C$22, $C$13, 100%, $E$13)</f>
        <v>28.869299999999999</v>
      </c>
      <c r="I861" s="64">
        <f>28.8695 * CHOOSE(CONTROL!$C$22, $C$13, 100%, $E$13)</f>
        <v>28.869499999999999</v>
      </c>
      <c r="J861" s="64">
        <f>17.7862 * CHOOSE(CONTROL!$C$22, $C$13, 100%, $E$13)</f>
        <v>17.786200000000001</v>
      </c>
      <c r="K861" s="64">
        <f>17.7864 * CHOOSE(CONTROL!$C$22, $C$13, 100%, $E$13)</f>
        <v>17.7864</v>
      </c>
    </row>
    <row r="862" spans="1:11" ht="15">
      <c r="A862" s="13">
        <v>67877</v>
      </c>
      <c r="B862" s="63">
        <f>15.1306 * CHOOSE(CONTROL!$C$22, $C$13, 100%, $E$13)</f>
        <v>15.130599999999999</v>
      </c>
      <c r="C862" s="63">
        <f>15.1306 * CHOOSE(CONTROL!$C$22, $C$13, 100%, $E$13)</f>
        <v>15.130599999999999</v>
      </c>
      <c r="D862" s="63">
        <f>15.1428 * CHOOSE(CONTROL!$C$22, $C$13, 100%, $E$13)</f>
        <v>15.142799999999999</v>
      </c>
      <c r="E862" s="64">
        <f>17.8288 * CHOOSE(CONTROL!$C$22, $C$13, 100%, $E$13)</f>
        <v>17.828800000000001</v>
      </c>
      <c r="F862" s="64">
        <f>17.8288 * CHOOSE(CONTROL!$C$22, $C$13, 100%, $E$13)</f>
        <v>17.828800000000001</v>
      </c>
      <c r="G862" s="64">
        <f>17.829 * CHOOSE(CONTROL!$C$22, $C$13, 100%, $E$13)</f>
        <v>17.829000000000001</v>
      </c>
      <c r="H862" s="64">
        <f>28.9294* CHOOSE(CONTROL!$C$22, $C$13, 100%, $E$13)</f>
        <v>28.929400000000001</v>
      </c>
      <c r="I862" s="64">
        <f>28.9296 * CHOOSE(CONTROL!$C$22, $C$13, 100%, $E$13)</f>
        <v>28.929600000000001</v>
      </c>
      <c r="J862" s="64">
        <f>17.8288 * CHOOSE(CONTROL!$C$22, $C$13, 100%, $E$13)</f>
        <v>17.828800000000001</v>
      </c>
      <c r="K862" s="64">
        <f>17.829 * CHOOSE(CONTROL!$C$22, $C$13, 100%, $E$13)</f>
        <v>17.829000000000001</v>
      </c>
    </row>
    <row r="863" spans="1:11" ht="15">
      <c r="A863" s="13">
        <v>67907</v>
      </c>
      <c r="B863" s="63">
        <f>15.1306 * CHOOSE(CONTROL!$C$22, $C$13, 100%, $E$13)</f>
        <v>15.130599999999999</v>
      </c>
      <c r="C863" s="63">
        <f>15.1306 * CHOOSE(CONTROL!$C$22, $C$13, 100%, $E$13)</f>
        <v>15.130599999999999</v>
      </c>
      <c r="D863" s="63">
        <f>15.1428 * CHOOSE(CONTROL!$C$22, $C$13, 100%, $E$13)</f>
        <v>15.142799999999999</v>
      </c>
      <c r="E863" s="64">
        <f>17.7276 * CHOOSE(CONTROL!$C$22, $C$13, 100%, $E$13)</f>
        <v>17.727599999999999</v>
      </c>
      <c r="F863" s="64">
        <f>17.7276 * CHOOSE(CONTROL!$C$22, $C$13, 100%, $E$13)</f>
        <v>17.727599999999999</v>
      </c>
      <c r="G863" s="64">
        <f>17.7278 * CHOOSE(CONTROL!$C$22, $C$13, 100%, $E$13)</f>
        <v>17.727799999999998</v>
      </c>
      <c r="H863" s="64">
        <f>28.9897* CHOOSE(CONTROL!$C$22, $C$13, 100%, $E$13)</f>
        <v>28.989699999999999</v>
      </c>
      <c r="I863" s="64">
        <f>28.9899 * CHOOSE(CONTROL!$C$22, $C$13, 100%, $E$13)</f>
        <v>28.989899999999999</v>
      </c>
      <c r="J863" s="64">
        <f>17.7276 * CHOOSE(CONTROL!$C$22, $C$13, 100%, $E$13)</f>
        <v>17.727599999999999</v>
      </c>
      <c r="K863" s="64">
        <f>17.7278 * CHOOSE(CONTROL!$C$22, $C$13, 100%, $E$13)</f>
        <v>17.727799999999998</v>
      </c>
    </row>
    <row r="864" spans="1:11" ht="15">
      <c r="A864" s="13">
        <v>67938</v>
      </c>
      <c r="B864" s="63">
        <f>15.0981 * CHOOSE(CONTROL!$C$22, $C$13, 100%, $E$13)</f>
        <v>15.098100000000001</v>
      </c>
      <c r="C864" s="63">
        <f>15.0981 * CHOOSE(CONTROL!$C$22, $C$13, 100%, $E$13)</f>
        <v>15.098100000000001</v>
      </c>
      <c r="D864" s="63">
        <f>15.1103 * CHOOSE(CONTROL!$C$22, $C$13, 100%, $E$13)</f>
        <v>15.110300000000001</v>
      </c>
      <c r="E864" s="64">
        <f>17.7593 * CHOOSE(CONTROL!$C$22, $C$13, 100%, $E$13)</f>
        <v>17.7593</v>
      </c>
      <c r="F864" s="64">
        <f>17.7593 * CHOOSE(CONTROL!$C$22, $C$13, 100%, $E$13)</f>
        <v>17.7593</v>
      </c>
      <c r="G864" s="64">
        <f>17.7595 * CHOOSE(CONTROL!$C$22, $C$13, 100%, $E$13)</f>
        <v>17.759499999999999</v>
      </c>
      <c r="H864" s="64">
        <f>28.7795* CHOOSE(CONTROL!$C$22, $C$13, 100%, $E$13)</f>
        <v>28.779499999999999</v>
      </c>
      <c r="I864" s="64">
        <f>28.7797 * CHOOSE(CONTROL!$C$22, $C$13, 100%, $E$13)</f>
        <v>28.779699999999998</v>
      </c>
      <c r="J864" s="64">
        <f>17.7593 * CHOOSE(CONTROL!$C$22, $C$13, 100%, $E$13)</f>
        <v>17.7593</v>
      </c>
      <c r="K864" s="64">
        <f>17.7595 * CHOOSE(CONTROL!$C$22, $C$13, 100%, $E$13)</f>
        <v>17.759499999999999</v>
      </c>
    </row>
    <row r="865" spans="1:11" ht="15">
      <c r="A865" s="13">
        <v>67969</v>
      </c>
      <c r="B865" s="63">
        <f>15.0951 * CHOOSE(CONTROL!$C$22, $C$13, 100%, $E$13)</f>
        <v>15.0951</v>
      </c>
      <c r="C865" s="63">
        <f>15.0951 * CHOOSE(CONTROL!$C$22, $C$13, 100%, $E$13)</f>
        <v>15.0951</v>
      </c>
      <c r="D865" s="63">
        <f>15.1073 * CHOOSE(CONTROL!$C$22, $C$13, 100%, $E$13)</f>
        <v>15.1073</v>
      </c>
      <c r="E865" s="64">
        <f>17.5628 * CHOOSE(CONTROL!$C$22, $C$13, 100%, $E$13)</f>
        <v>17.562799999999999</v>
      </c>
      <c r="F865" s="64">
        <f>17.5628 * CHOOSE(CONTROL!$C$22, $C$13, 100%, $E$13)</f>
        <v>17.562799999999999</v>
      </c>
      <c r="G865" s="64">
        <f>17.563 * CHOOSE(CONTROL!$C$22, $C$13, 100%, $E$13)</f>
        <v>17.562999999999999</v>
      </c>
      <c r="H865" s="64">
        <f>28.8394* CHOOSE(CONTROL!$C$22, $C$13, 100%, $E$13)</f>
        <v>28.839400000000001</v>
      </c>
      <c r="I865" s="64">
        <f>28.8396 * CHOOSE(CONTROL!$C$22, $C$13, 100%, $E$13)</f>
        <v>28.839600000000001</v>
      </c>
      <c r="J865" s="64">
        <f>17.5628 * CHOOSE(CONTROL!$C$22, $C$13, 100%, $E$13)</f>
        <v>17.562799999999999</v>
      </c>
      <c r="K865" s="64">
        <f>17.563 * CHOOSE(CONTROL!$C$22, $C$13, 100%, $E$13)</f>
        <v>17.562999999999999</v>
      </c>
    </row>
    <row r="866" spans="1:11" ht="15">
      <c r="A866" s="13">
        <v>67997</v>
      </c>
      <c r="B866" s="63">
        <f>15.092 * CHOOSE(CONTROL!$C$22, $C$13, 100%, $E$13)</f>
        <v>15.092000000000001</v>
      </c>
      <c r="C866" s="63">
        <f>15.092 * CHOOSE(CONTROL!$C$22, $C$13, 100%, $E$13)</f>
        <v>15.092000000000001</v>
      </c>
      <c r="D866" s="63">
        <f>15.1042 * CHOOSE(CONTROL!$C$22, $C$13, 100%, $E$13)</f>
        <v>15.104200000000001</v>
      </c>
      <c r="E866" s="64">
        <f>17.7139 * CHOOSE(CONTROL!$C$22, $C$13, 100%, $E$13)</f>
        <v>17.713899999999999</v>
      </c>
      <c r="F866" s="64">
        <f>17.7139 * CHOOSE(CONTROL!$C$22, $C$13, 100%, $E$13)</f>
        <v>17.713899999999999</v>
      </c>
      <c r="G866" s="64">
        <f>17.7141 * CHOOSE(CONTROL!$C$22, $C$13, 100%, $E$13)</f>
        <v>17.714099999999998</v>
      </c>
      <c r="H866" s="64">
        <f>28.8995* CHOOSE(CONTROL!$C$22, $C$13, 100%, $E$13)</f>
        <v>28.8995</v>
      </c>
      <c r="I866" s="64">
        <f>28.8997 * CHOOSE(CONTROL!$C$22, $C$13, 100%, $E$13)</f>
        <v>28.899699999999999</v>
      </c>
      <c r="J866" s="64">
        <f>17.7139 * CHOOSE(CONTROL!$C$22, $C$13, 100%, $E$13)</f>
        <v>17.713899999999999</v>
      </c>
      <c r="K866" s="64">
        <f>17.7141 * CHOOSE(CONTROL!$C$22, $C$13, 100%, $E$13)</f>
        <v>17.714099999999998</v>
      </c>
    </row>
    <row r="867" spans="1:11" ht="15">
      <c r="A867" s="13">
        <v>68028</v>
      </c>
      <c r="B867" s="63">
        <f>15.0991 * CHOOSE(CONTROL!$C$22, $C$13, 100%, $E$13)</f>
        <v>15.0991</v>
      </c>
      <c r="C867" s="63">
        <f>15.0991 * CHOOSE(CONTROL!$C$22, $C$13, 100%, $E$13)</f>
        <v>15.0991</v>
      </c>
      <c r="D867" s="63">
        <f>15.1113 * CHOOSE(CONTROL!$C$22, $C$13, 100%, $E$13)</f>
        <v>15.1113</v>
      </c>
      <c r="E867" s="64">
        <f>17.8742 * CHOOSE(CONTROL!$C$22, $C$13, 100%, $E$13)</f>
        <v>17.874199999999998</v>
      </c>
      <c r="F867" s="64">
        <f>17.8742 * CHOOSE(CONTROL!$C$22, $C$13, 100%, $E$13)</f>
        <v>17.874199999999998</v>
      </c>
      <c r="G867" s="64">
        <f>17.8744 * CHOOSE(CONTROL!$C$22, $C$13, 100%, $E$13)</f>
        <v>17.874400000000001</v>
      </c>
      <c r="H867" s="64">
        <f>28.9597* CHOOSE(CONTROL!$C$22, $C$13, 100%, $E$13)</f>
        <v>28.959700000000002</v>
      </c>
      <c r="I867" s="64">
        <f>28.9599 * CHOOSE(CONTROL!$C$22, $C$13, 100%, $E$13)</f>
        <v>28.959900000000001</v>
      </c>
      <c r="J867" s="64">
        <f>17.8742 * CHOOSE(CONTROL!$C$22, $C$13, 100%, $E$13)</f>
        <v>17.874199999999998</v>
      </c>
      <c r="K867" s="64">
        <f>17.8744 * CHOOSE(CONTROL!$C$22, $C$13, 100%, $E$13)</f>
        <v>17.874400000000001</v>
      </c>
    </row>
    <row r="868" spans="1:11" ht="15">
      <c r="A868" s="13">
        <v>68058</v>
      </c>
      <c r="B868" s="63">
        <f>15.0991 * CHOOSE(CONTROL!$C$22, $C$13, 100%, $E$13)</f>
        <v>15.0991</v>
      </c>
      <c r="C868" s="63">
        <f>15.0991 * CHOOSE(CONTROL!$C$22, $C$13, 100%, $E$13)</f>
        <v>15.0991</v>
      </c>
      <c r="D868" s="63">
        <f>15.1235 * CHOOSE(CONTROL!$C$22, $C$13, 100%, $E$13)</f>
        <v>15.1235</v>
      </c>
      <c r="E868" s="64">
        <f>17.936 * CHOOSE(CONTROL!$C$22, $C$13, 100%, $E$13)</f>
        <v>17.936</v>
      </c>
      <c r="F868" s="64">
        <f>17.936 * CHOOSE(CONTROL!$C$22, $C$13, 100%, $E$13)</f>
        <v>17.936</v>
      </c>
      <c r="G868" s="64">
        <f>17.9375 * CHOOSE(CONTROL!$C$22, $C$13, 100%, $E$13)</f>
        <v>17.9375</v>
      </c>
      <c r="H868" s="64">
        <f>29.0201* CHOOSE(CONTROL!$C$22, $C$13, 100%, $E$13)</f>
        <v>29.020099999999999</v>
      </c>
      <c r="I868" s="64">
        <f>29.0216 * CHOOSE(CONTROL!$C$22, $C$13, 100%, $E$13)</f>
        <v>29.021599999999999</v>
      </c>
      <c r="J868" s="64">
        <f>17.936 * CHOOSE(CONTROL!$C$22, $C$13, 100%, $E$13)</f>
        <v>17.936</v>
      </c>
      <c r="K868" s="64">
        <f>17.9375 * CHOOSE(CONTROL!$C$22, $C$13, 100%, $E$13)</f>
        <v>17.9375</v>
      </c>
    </row>
    <row r="869" spans="1:11" ht="15">
      <c r="A869" s="13">
        <v>68089</v>
      </c>
      <c r="B869" s="63">
        <f>15.1052 * CHOOSE(CONTROL!$C$22, $C$13, 100%, $E$13)</f>
        <v>15.1052</v>
      </c>
      <c r="C869" s="63">
        <f>15.1052 * CHOOSE(CONTROL!$C$22, $C$13, 100%, $E$13)</f>
        <v>15.1052</v>
      </c>
      <c r="D869" s="63">
        <f>15.1296 * CHOOSE(CONTROL!$C$22, $C$13, 100%, $E$13)</f>
        <v>15.1296</v>
      </c>
      <c r="E869" s="64">
        <f>17.8785 * CHOOSE(CONTROL!$C$22, $C$13, 100%, $E$13)</f>
        <v>17.878499999999999</v>
      </c>
      <c r="F869" s="64">
        <f>17.8785 * CHOOSE(CONTROL!$C$22, $C$13, 100%, $E$13)</f>
        <v>17.878499999999999</v>
      </c>
      <c r="G869" s="64">
        <f>17.88 * CHOOSE(CONTROL!$C$22, $C$13, 100%, $E$13)</f>
        <v>17.88</v>
      </c>
      <c r="H869" s="64">
        <f>29.0805* CHOOSE(CONTROL!$C$22, $C$13, 100%, $E$13)</f>
        <v>29.080500000000001</v>
      </c>
      <c r="I869" s="64">
        <f>29.0821 * CHOOSE(CONTROL!$C$22, $C$13, 100%, $E$13)</f>
        <v>29.082100000000001</v>
      </c>
      <c r="J869" s="64">
        <f>17.8785 * CHOOSE(CONTROL!$C$22, $C$13, 100%, $E$13)</f>
        <v>17.878499999999999</v>
      </c>
      <c r="K869" s="64">
        <f>17.88 * CHOOSE(CONTROL!$C$22, $C$13, 100%, $E$13)</f>
        <v>17.88</v>
      </c>
    </row>
    <row r="870" spans="1:11" ht="15">
      <c r="A870" s="13">
        <v>68119</v>
      </c>
      <c r="B870" s="63">
        <f>15.3417 * CHOOSE(CONTROL!$C$22, $C$13, 100%, $E$13)</f>
        <v>15.341699999999999</v>
      </c>
      <c r="C870" s="63">
        <f>15.3417 * CHOOSE(CONTROL!$C$22, $C$13, 100%, $E$13)</f>
        <v>15.341699999999999</v>
      </c>
      <c r="D870" s="63">
        <f>15.3661 * CHOOSE(CONTROL!$C$22, $C$13, 100%, $E$13)</f>
        <v>15.366099999999999</v>
      </c>
      <c r="E870" s="64">
        <f>18.2184 * CHOOSE(CONTROL!$C$22, $C$13, 100%, $E$13)</f>
        <v>18.218399999999999</v>
      </c>
      <c r="F870" s="64">
        <f>18.2184 * CHOOSE(CONTROL!$C$22, $C$13, 100%, $E$13)</f>
        <v>18.218399999999999</v>
      </c>
      <c r="G870" s="64">
        <f>18.2199 * CHOOSE(CONTROL!$C$22, $C$13, 100%, $E$13)</f>
        <v>18.219899999999999</v>
      </c>
      <c r="H870" s="64">
        <f>29.1411* CHOOSE(CONTROL!$C$22, $C$13, 100%, $E$13)</f>
        <v>29.141100000000002</v>
      </c>
      <c r="I870" s="64">
        <f>29.1427 * CHOOSE(CONTROL!$C$22, $C$13, 100%, $E$13)</f>
        <v>29.142700000000001</v>
      </c>
      <c r="J870" s="64">
        <f>18.2184 * CHOOSE(CONTROL!$C$22, $C$13, 100%, $E$13)</f>
        <v>18.218399999999999</v>
      </c>
      <c r="K870" s="64">
        <f>18.2199 * CHOOSE(CONTROL!$C$22, $C$13, 100%, $E$13)</f>
        <v>18.219899999999999</v>
      </c>
    </row>
    <row r="871" spans="1:11" ht="15">
      <c r="A871" s="13">
        <v>68150</v>
      </c>
      <c r="B871" s="63">
        <f>15.3483 * CHOOSE(CONTROL!$C$22, $C$13, 100%, $E$13)</f>
        <v>15.3483</v>
      </c>
      <c r="C871" s="63">
        <f>15.3483 * CHOOSE(CONTROL!$C$22, $C$13, 100%, $E$13)</f>
        <v>15.3483</v>
      </c>
      <c r="D871" s="63">
        <f>15.3728 * CHOOSE(CONTROL!$C$22, $C$13, 100%, $E$13)</f>
        <v>15.3728</v>
      </c>
      <c r="E871" s="64">
        <f>18.0379 * CHOOSE(CONTROL!$C$22, $C$13, 100%, $E$13)</f>
        <v>18.0379</v>
      </c>
      <c r="F871" s="64">
        <f>18.0379 * CHOOSE(CONTROL!$C$22, $C$13, 100%, $E$13)</f>
        <v>18.0379</v>
      </c>
      <c r="G871" s="64">
        <f>18.0394 * CHOOSE(CONTROL!$C$22, $C$13, 100%, $E$13)</f>
        <v>18.039400000000001</v>
      </c>
      <c r="H871" s="64">
        <f>29.2018* CHOOSE(CONTROL!$C$22, $C$13, 100%, $E$13)</f>
        <v>29.201799999999999</v>
      </c>
      <c r="I871" s="64">
        <f>29.2034 * CHOOSE(CONTROL!$C$22, $C$13, 100%, $E$13)</f>
        <v>29.203399999999998</v>
      </c>
      <c r="J871" s="64">
        <f>18.0379 * CHOOSE(CONTROL!$C$22, $C$13, 100%, $E$13)</f>
        <v>18.0379</v>
      </c>
      <c r="K871" s="64">
        <f>18.0394 * CHOOSE(CONTROL!$C$22, $C$13, 100%, $E$13)</f>
        <v>18.039400000000001</v>
      </c>
    </row>
    <row r="872" spans="1:11" ht="15">
      <c r="A872" s="13">
        <v>68181</v>
      </c>
      <c r="B872" s="63">
        <f>15.3453 * CHOOSE(CONTROL!$C$22, $C$13, 100%, $E$13)</f>
        <v>15.3453</v>
      </c>
      <c r="C872" s="63">
        <f>15.3453 * CHOOSE(CONTROL!$C$22, $C$13, 100%, $E$13)</f>
        <v>15.3453</v>
      </c>
      <c r="D872" s="63">
        <f>15.3697 * CHOOSE(CONTROL!$C$22, $C$13, 100%, $E$13)</f>
        <v>15.3697</v>
      </c>
      <c r="E872" s="64">
        <f>18.0152 * CHOOSE(CONTROL!$C$22, $C$13, 100%, $E$13)</f>
        <v>18.0152</v>
      </c>
      <c r="F872" s="64">
        <f>18.0152 * CHOOSE(CONTROL!$C$22, $C$13, 100%, $E$13)</f>
        <v>18.0152</v>
      </c>
      <c r="G872" s="64">
        <f>18.0168 * CHOOSE(CONTROL!$C$22, $C$13, 100%, $E$13)</f>
        <v>18.0168</v>
      </c>
      <c r="H872" s="64">
        <f>29.2626* CHOOSE(CONTROL!$C$22, $C$13, 100%, $E$13)</f>
        <v>29.262599999999999</v>
      </c>
      <c r="I872" s="64">
        <f>29.2642 * CHOOSE(CONTROL!$C$22, $C$13, 100%, $E$13)</f>
        <v>29.264199999999999</v>
      </c>
      <c r="J872" s="64">
        <f>18.0152 * CHOOSE(CONTROL!$C$22, $C$13, 100%, $E$13)</f>
        <v>18.0152</v>
      </c>
      <c r="K872" s="64">
        <f>18.0168 * CHOOSE(CONTROL!$C$22, $C$13, 100%, $E$13)</f>
        <v>18.0168</v>
      </c>
    </row>
    <row r="873" spans="1:11" ht="15">
      <c r="A873" s="13">
        <v>68211</v>
      </c>
      <c r="B873" s="63">
        <f>15.3775 * CHOOSE(CONTROL!$C$22, $C$13, 100%, $E$13)</f>
        <v>15.3775</v>
      </c>
      <c r="C873" s="63">
        <f>15.3775 * CHOOSE(CONTROL!$C$22, $C$13, 100%, $E$13)</f>
        <v>15.3775</v>
      </c>
      <c r="D873" s="63">
        <f>15.3898 * CHOOSE(CONTROL!$C$22, $C$13, 100%, $E$13)</f>
        <v>15.389799999999999</v>
      </c>
      <c r="E873" s="64">
        <f>18.0841 * CHOOSE(CONTROL!$C$22, $C$13, 100%, $E$13)</f>
        <v>18.084099999999999</v>
      </c>
      <c r="F873" s="64">
        <f>18.0841 * CHOOSE(CONTROL!$C$22, $C$13, 100%, $E$13)</f>
        <v>18.084099999999999</v>
      </c>
      <c r="G873" s="64">
        <f>18.0842 * CHOOSE(CONTROL!$C$22, $C$13, 100%, $E$13)</f>
        <v>18.084199999999999</v>
      </c>
      <c r="H873" s="64">
        <f>29.3236* CHOOSE(CONTROL!$C$22, $C$13, 100%, $E$13)</f>
        <v>29.323599999999999</v>
      </c>
      <c r="I873" s="64">
        <f>29.3238 * CHOOSE(CONTROL!$C$22, $C$13, 100%, $E$13)</f>
        <v>29.323799999999999</v>
      </c>
      <c r="J873" s="64">
        <f>18.0841 * CHOOSE(CONTROL!$C$22, $C$13, 100%, $E$13)</f>
        <v>18.084099999999999</v>
      </c>
      <c r="K873" s="64">
        <f>18.0842 * CHOOSE(CONTROL!$C$22, $C$13, 100%, $E$13)</f>
        <v>18.084199999999999</v>
      </c>
    </row>
    <row r="874" spans="1:11" ht="15">
      <c r="A874" s="13">
        <v>68242</v>
      </c>
      <c r="B874" s="63">
        <f>15.3806 * CHOOSE(CONTROL!$C$22, $C$13, 100%, $E$13)</f>
        <v>15.380599999999999</v>
      </c>
      <c r="C874" s="63">
        <f>15.3806 * CHOOSE(CONTROL!$C$22, $C$13, 100%, $E$13)</f>
        <v>15.380599999999999</v>
      </c>
      <c r="D874" s="63">
        <f>15.3928 * CHOOSE(CONTROL!$C$22, $C$13, 100%, $E$13)</f>
        <v>15.392799999999999</v>
      </c>
      <c r="E874" s="64">
        <f>18.1273 * CHOOSE(CONTROL!$C$22, $C$13, 100%, $E$13)</f>
        <v>18.127300000000002</v>
      </c>
      <c r="F874" s="64">
        <f>18.1273 * CHOOSE(CONTROL!$C$22, $C$13, 100%, $E$13)</f>
        <v>18.127300000000002</v>
      </c>
      <c r="G874" s="64">
        <f>18.1275 * CHOOSE(CONTROL!$C$22, $C$13, 100%, $E$13)</f>
        <v>18.127500000000001</v>
      </c>
      <c r="H874" s="64">
        <f>29.3847* CHOOSE(CONTROL!$C$22, $C$13, 100%, $E$13)</f>
        <v>29.384699999999999</v>
      </c>
      <c r="I874" s="64">
        <f>29.3849 * CHOOSE(CONTROL!$C$22, $C$13, 100%, $E$13)</f>
        <v>29.384899999999998</v>
      </c>
      <c r="J874" s="64">
        <f>18.1273 * CHOOSE(CONTROL!$C$22, $C$13, 100%, $E$13)</f>
        <v>18.127300000000002</v>
      </c>
      <c r="K874" s="64">
        <f>18.1275 * CHOOSE(CONTROL!$C$22, $C$13, 100%, $E$13)</f>
        <v>18.127500000000001</v>
      </c>
    </row>
    <row r="875" spans="1:11" ht="15">
      <c r="A875" s="13">
        <v>68272</v>
      </c>
      <c r="B875" s="63">
        <f>15.3806 * CHOOSE(CONTROL!$C$22, $C$13, 100%, $E$13)</f>
        <v>15.380599999999999</v>
      </c>
      <c r="C875" s="63">
        <f>15.3806 * CHOOSE(CONTROL!$C$22, $C$13, 100%, $E$13)</f>
        <v>15.380599999999999</v>
      </c>
      <c r="D875" s="63">
        <f>15.3928 * CHOOSE(CONTROL!$C$22, $C$13, 100%, $E$13)</f>
        <v>15.392799999999999</v>
      </c>
      <c r="E875" s="64">
        <f>18.0245 * CHOOSE(CONTROL!$C$22, $C$13, 100%, $E$13)</f>
        <v>18.0245</v>
      </c>
      <c r="F875" s="64">
        <f>18.0245 * CHOOSE(CONTROL!$C$22, $C$13, 100%, $E$13)</f>
        <v>18.0245</v>
      </c>
      <c r="G875" s="64">
        <f>18.0246 * CHOOSE(CONTROL!$C$22, $C$13, 100%, $E$13)</f>
        <v>18.0246</v>
      </c>
      <c r="H875" s="64">
        <f>29.4459* CHOOSE(CONTROL!$C$22, $C$13, 100%, $E$13)</f>
        <v>29.445900000000002</v>
      </c>
      <c r="I875" s="64">
        <f>29.4461 * CHOOSE(CONTROL!$C$22, $C$13, 100%, $E$13)</f>
        <v>29.446100000000001</v>
      </c>
      <c r="J875" s="64">
        <f>18.0245 * CHOOSE(CONTROL!$C$22, $C$13, 100%, $E$13)</f>
        <v>18.0245</v>
      </c>
      <c r="K875" s="64">
        <f>18.0246 * CHOOSE(CONTROL!$C$22, $C$13, 100%, $E$13)</f>
        <v>18.0246</v>
      </c>
    </row>
    <row r="876" spans="1:11" ht="15">
      <c r="A876" s="13">
        <v>68303</v>
      </c>
      <c r="B876" s="63">
        <f>15.3434 * CHOOSE(CONTROL!$C$22, $C$13, 100%, $E$13)</f>
        <v>15.343400000000001</v>
      </c>
      <c r="C876" s="63">
        <f>15.3434 * CHOOSE(CONTROL!$C$22, $C$13, 100%, $E$13)</f>
        <v>15.343400000000001</v>
      </c>
      <c r="D876" s="63">
        <f>15.3556 * CHOOSE(CONTROL!$C$22, $C$13, 100%, $E$13)</f>
        <v>15.355600000000001</v>
      </c>
      <c r="E876" s="64">
        <f>18.0517 * CHOOSE(CONTROL!$C$22, $C$13, 100%, $E$13)</f>
        <v>18.0517</v>
      </c>
      <c r="F876" s="64">
        <f>18.0517 * CHOOSE(CONTROL!$C$22, $C$13, 100%, $E$13)</f>
        <v>18.0517</v>
      </c>
      <c r="G876" s="64">
        <f>18.0519 * CHOOSE(CONTROL!$C$22, $C$13, 100%, $E$13)</f>
        <v>18.0519</v>
      </c>
      <c r="H876" s="64">
        <f>29.2254* CHOOSE(CONTROL!$C$22, $C$13, 100%, $E$13)</f>
        <v>29.2254</v>
      </c>
      <c r="I876" s="64">
        <f>29.2255 * CHOOSE(CONTROL!$C$22, $C$13, 100%, $E$13)</f>
        <v>29.2255</v>
      </c>
      <c r="J876" s="64">
        <f>18.0517 * CHOOSE(CONTROL!$C$22, $C$13, 100%, $E$13)</f>
        <v>18.0517</v>
      </c>
      <c r="K876" s="64">
        <f>18.0519 * CHOOSE(CONTROL!$C$22, $C$13, 100%, $E$13)</f>
        <v>18.0519</v>
      </c>
    </row>
    <row r="877" spans="1:11" ht="15">
      <c r="A877" s="13">
        <v>68334</v>
      </c>
      <c r="B877" s="63">
        <f>15.3404 * CHOOSE(CONTROL!$C$22, $C$13, 100%, $E$13)</f>
        <v>15.340400000000001</v>
      </c>
      <c r="C877" s="63">
        <f>15.3404 * CHOOSE(CONTROL!$C$22, $C$13, 100%, $E$13)</f>
        <v>15.340400000000001</v>
      </c>
      <c r="D877" s="63">
        <f>15.3526 * CHOOSE(CONTROL!$C$22, $C$13, 100%, $E$13)</f>
        <v>15.352600000000001</v>
      </c>
      <c r="E877" s="64">
        <f>17.852 * CHOOSE(CONTROL!$C$22, $C$13, 100%, $E$13)</f>
        <v>17.852</v>
      </c>
      <c r="F877" s="64">
        <f>17.852 * CHOOSE(CONTROL!$C$22, $C$13, 100%, $E$13)</f>
        <v>17.852</v>
      </c>
      <c r="G877" s="64">
        <f>17.8522 * CHOOSE(CONTROL!$C$22, $C$13, 100%, $E$13)</f>
        <v>17.8522</v>
      </c>
      <c r="H877" s="64">
        <f>29.2863* CHOOSE(CONTROL!$C$22, $C$13, 100%, $E$13)</f>
        <v>29.286300000000001</v>
      </c>
      <c r="I877" s="64">
        <f>29.2864 * CHOOSE(CONTROL!$C$22, $C$13, 100%, $E$13)</f>
        <v>29.2864</v>
      </c>
      <c r="J877" s="64">
        <f>17.852 * CHOOSE(CONTROL!$C$22, $C$13, 100%, $E$13)</f>
        <v>17.852</v>
      </c>
      <c r="K877" s="64">
        <f>17.8522 * CHOOSE(CONTROL!$C$22, $C$13, 100%, $E$13)</f>
        <v>17.8522</v>
      </c>
    </row>
    <row r="878" spans="1:11" ht="15">
      <c r="A878" s="13">
        <v>68362</v>
      </c>
      <c r="B878" s="63">
        <f>15.3373 * CHOOSE(CONTROL!$C$22, $C$13, 100%, $E$13)</f>
        <v>15.337300000000001</v>
      </c>
      <c r="C878" s="63">
        <f>15.3373 * CHOOSE(CONTROL!$C$22, $C$13, 100%, $E$13)</f>
        <v>15.337300000000001</v>
      </c>
      <c r="D878" s="63">
        <f>15.3495 * CHOOSE(CONTROL!$C$22, $C$13, 100%, $E$13)</f>
        <v>15.349500000000001</v>
      </c>
      <c r="E878" s="64">
        <f>18.0057 * CHOOSE(CONTROL!$C$22, $C$13, 100%, $E$13)</f>
        <v>18.005700000000001</v>
      </c>
      <c r="F878" s="64">
        <f>18.0057 * CHOOSE(CONTROL!$C$22, $C$13, 100%, $E$13)</f>
        <v>18.005700000000001</v>
      </c>
      <c r="G878" s="64">
        <f>18.0058 * CHOOSE(CONTROL!$C$22, $C$13, 100%, $E$13)</f>
        <v>18.005800000000001</v>
      </c>
      <c r="H878" s="64">
        <f>29.3473* CHOOSE(CONTROL!$C$22, $C$13, 100%, $E$13)</f>
        <v>29.347300000000001</v>
      </c>
      <c r="I878" s="64">
        <f>29.3474 * CHOOSE(CONTROL!$C$22, $C$13, 100%, $E$13)</f>
        <v>29.3474</v>
      </c>
      <c r="J878" s="64">
        <f>18.0057 * CHOOSE(CONTROL!$C$22, $C$13, 100%, $E$13)</f>
        <v>18.005700000000001</v>
      </c>
      <c r="K878" s="64">
        <f>18.0058 * CHOOSE(CONTROL!$C$22, $C$13, 100%, $E$13)</f>
        <v>18.005800000000001</v>
      </c>
    </row>
    <row r="879" spans="1:11" ht="15">
      <c r="A879" s="13">
        <v>68393</v>
      </c>
      <c r="B879" s="63">
        <f>15.3446 * CHOOSE(CONTROL!$C$22, $C$13, 100%, $E$13)</f>
        <v>15.3446</v>
      </c>
      <c r="C879" s="63">
        <f>15.3446 * CHOOSE(CONTROL!$C$22, $C$13, 100%, $E$13)</f>
        <v>15.3446</v>
      </c>
      <c r="D879" s="63">
        <f>15.3569 * CHOOSE(CONTROL!$C$22, $C$13, 100%, $E$13)</f>
        <v>15.3569</v>
      </c>
      <c r="E879" s="64">
        <f>18.1687 * CHOOSE(CONTROL!$C$22, $C$13, 100%, $E$13)</f>
        <v>18.168700000000001</v>
      </c>
      <c r="F879" s="64">
        <f>18.1687 * CHOOSE(CONTROL!$C$22, $C$13, 100%, $E$13)</f>
        <v>18.168700000000001</v>
      </c>
      <c r="G879" s="64">
        <f>18.1689 * CHOOSE(CONTROL!$C$22, $C$13, 100%, $E$13)</f>
        <v>18.168900000000001</v>
      </c>
      <c r="H879" s="64">
        <f>29.4084* CHOOSE(CONTROL!$C$22, $C$13, 100%, $E$13)</f>
        <v>29.4084</v>
      </c>
      <c r="I879" s="64">
        <f>29.4086 * CHOOSE(CONTROL!$C$22, $C$13, 100%, $E$13)</f>
        <v>29.4086</v>
      </c>
      <c r="J879" s="64">
        <f>18.1687 * CHOOSE(CONTROL!$C$22, $C$13, 100%, $E$13)</f>
        <v>18.168700000000001</v>
      </c>
      <c r="K879" s="64">
        <f>18.1689 * CHOOSE(CONTROL!$C$22, $C$13, 100%, $E$13)</f>
        <v>18.168900000000001</v>
      </c>
    </row>
    <row r="880" spans="1:11" ht="15">
      <c r="A880" s="13">
        <v>68423</v>
      </c>
      <c r="B880" s="63">
        <f>15.3446 * CHOOSE(CONTROL!$C$22, $C$13, 100%, $E$13)</f>
        <v>15.3446</v>
      </c>
      <c r="C880" s="63">
        <f>15.3446 * CHOOSE(CONTROL!$C$22, $C$13, 100%, $E$13)</f>
        <v>15.3446</v>
      </c>
      <c r="D880" s="63">
        <f>15.3691 * CHOOSE(CONTROL!$C$22, $C$13, 100%, $E$13)</f>
        <v>15.3691</v>
      </c>
      <c r="E880" s="64">
        <f>18.2314 * CHOOSE(CONTROL!$C$22, $C$13, 100%, $E$13)</f>
        <v>18.231400000000001</v>
      </c>
      <c r="F880" s="64">
        <f>18.2314 * CHOOSE(CONTROL!$C$22, $C$13, 100%, $E$13)</f>
        <v>18.231400000000001</v>
      </c>
      <c r="G880" s="64">
        <f>18.233 * CHOOSE(CONTROL!$C$22, $C$13, 100%, $E$13)</f>
        <v>18.233000000000001</v>
      </c>
      <c r="H880" s="64">
        <f>29.4697* CHOOSE(CONTROL!$C$22, $C$13, 100%, $E$13)</f>
        <v>29.4697</v>
      </c>
      <c r="I880" s="64">
        <f>29.4712 * CHOOSE(CONTROL!$C$22, $C$13, 100%, $E$13)</f>
        <v>29.4712</v>
      </c>
      <c r="J880" s="64">
        <f>18.2314 * CHOOSE(CONTROL!$C$22, $C$13, 100%, $E$13)</f>
        <v>18.231400000000001</v>
      </c>
      <c r="K880" s="64">
        <f>18.233 * CHOOSE(CONTROL!$C$22, $C$13, 100%, $E$13)</f>
        <v>18.233000000000001</v>
      </c>
    </row>
    <row r="881" spans="1:11" ht="15">
      <c r="A881" s="13">
        <v>68454</v>
      </c>
      <c r="B881" s="63">
        <f>15.3507 * CHOOSE(CONTROL!$C$22, $C$13, 100%, $E$13)</f>
        <v>15.3507</v>
      </c>
      <c r="C881" s="63">
        <f>15.3507 * CHOOSE(CONTROL!$C$22, $C$13, 100%, $E$13)</f>
        <v>15.3507</v>
      </c>
      <c r="D881" s="63">
        <f>15.3751 * CHOOSE(CONTROL!$C$22, $C$13, 100%, $E$13)</f>
        <v>15.3751</v>
      </c>
      <c r="E881" s="64">
        <f>18.1729 * CHOOSE(CONTROL!$C$22, $C$13, 100%, $E$13)</f>
        <v>18.172899999999998</v>
      </c>
      <c r="F881" s="64">
        <f>18.1729 * CHOOSE(CONTROL!$C$22, $C$13, 100%, $E$13)</f>
        <v>18.172899999999998</v>
      </c>
      <c r="G881" s="64">
        <f>18.1745 * CHOOSE(CONTROL!$C$22, $C$13, 100%, $E$13)</f>
        <v>18.174499999999998</v>
      </c>
      <c r="H881" s="64">
        <f>29.5311* CHOOSE(CONTROL!$C$22, $C$13, 100%, $E$13)</f>
        <v>29.531099999999999</v>
      </c>
      <c r="I881" s="64">
        <f>29.5326 * CHOOSE(CONTROL!$C$22, $C$13, 100%, $E$13)</f>
        <v>29.532599999999999</v>
      </c>
      <c r="J881" s="64">
        <f>18.1729 * CHOOSE(CONTROL!$C$22, $C$13, 100%, $E$13)</f>
        <v>18.172899999999998</v>
      </c>
      <c r="K881" s="64">
        <f>18.1745 * CHOOSE(CONTROL!$C$22, $C$13, 100%, $E$13)</f>
        <v>18.174499999999998</v>
      </c>
    </row>
    <row r="882" spans="1:11" ht="15">
      <c r="A882" s="13">
        <v>68484</v>
      </c>
      <c r="B882" s="63">
        <f>15.5909 * CHOOSE(CONTROL!$C$22, $C$13, 100%, $E$13)</f>
        <v>15.5909</v>
      </c>
      <c r="C882" s="63">
        <f>15.5909 * CHOOSE(CONTROL!$C$22, $C$13, 100%, $E$13)</f>
        <v>15.5909</v>
      </c>
      <c r="D882" s="63">
        <f>15.6153 * CHOOSE(CONTROL!$C$22, $C$13, 100%, $E$13)</f>
        <v>15.6153</v>
      </c>
      <c r="E882" s="64">
        <f>18.5182 * CHOOSE(CONTROL!$C$22, $C$13, 100%, $E$13)</f>
        <v>18.5182</v>
      </c>
      <c r="F882" s="64">
        <f>18.5182 * CHOOSE(CONTROL!$C$22, $C$13, 100%, $E$13)</f>
        <v>18.5182</v>
      </c>
      <c r="G882" s="64">
        <f>18.5198 * CHOOSE(CONTROL!$C$22, $C$13, 100%, $E$13)</f>
        <v>18.5198</v>
      </c>
      <c r="H882" s="64">
        <f>29.5926* CHOOSE(CONTROL!$C$22, $C$13, 100%, $E$13)</f>
        <v>29.592600000000001</v>
      </c>
      <c r="I882" s="64">
        <f>29.5942 * CHOOSE(CONTROL!$C$22, $C$13, 100%, $E$13)</f>
        <v>29.594200000000001</v>
      </c>
      <c r="J882" s="64">
        <f>18.5182 * CHOOSE(CONTROL!$C$22, $C$13, 100%, $E$13)</f>
        <v>18.5182</v>
      </c>
      <c r="K882" s="64">
        <f>18.5198 * CHOOSE(CONTROL!$C$22, $C$13, 100%, $E$13)</f>
        <v>18.5198</v>
      </c>
    </row>
    <row r="883" spans="1:11" ht="15">
      <c r="A883" s="13">
        <v>68515</v>
      </c>
      <c r="B883" s="63">
        <f>15.5976 * CHOOSE(CONTROL!$C$22, $C$13, 100%, $E$13)</f>
        <v>15.5976</v>
      </c>
      <c r="C883" s="63">
        <f>15.5976 * CHOOSE(CONTROL!$C$22, $C$13, 100%, $E$13)</f>
        <v>15.5976</v>
      </c>
      <c r="D883" s="63">
        <f>15.622 * CHOOSE(CONTROL!$C$22, $C$13, 100%, $E$13)</f>
        <v>15.622</v>
      </c>
      <c r="E883" s="64">
        <f>18.3347 * CHOOSE(CONTROL!$C$22, $C$13, 100%, $E$13)</f>
        <v>18.334700000000002</v>
      </c>
      <c r="F883" s="64">
        <f>18.3347 * CHOOSE(CONTROL!$C$22, $C$13, 100%, $E$13)</f>
        <v>18.334700000000002</v>
      </c>
      <c r="G883" s="64">
        <f>18.3363 * CHOOSE(CONTROL!$C$22, $C$13, 100%, $E$13)</f>
        <v>18.336300000000001</v>
      </c>
      <c r="H883" s="64">
        <f>29.6542* CHOOSE(CONTROL!$C$22, $C$13, 100%, $E$13)</f>
        <v>29.654199999999999</v>
      </c>
      <c r="I883" s="64">
        <f>29.6558 * CHOOSE(CONTROL!$C$22, $C$13, 100%, $E$13)</f>
        <v>29.655799999999999</v>
      </c>
      <c r="J883" s="64">
        <f>18.3347 * CHOOSE(CONTROL!$C$22, $C$13, 100%, $E$13)</f>
        <v>18.334700000000002</v>
      </c>
      <c r="K883" s="64">
        <f>18.3363 * CHOOSE(CONTROL!$C$22, $C$13, 100%, $E$13)</f>
        <v>18.336300000000001</v>
      </c>
    </row>
    <row r="884" spans="1:11" ht="15">
      <c r="A884" s="13">
        <v>68546</v>
      </c>
      <c r="B884" s="63">
        <f>15.5945 * CHOOSE(CONTROL!$C$22, $C$13, 100%, $E$13)</f>
        <v>15.5945</v>
      </c>
      <c r="C884" s="63">
        <f>15.5945 * CHOOSE(CONTROL!$C$22, $C$13, 100%, $E$13)</f>
        <v>15.5945</v>
      </c>
      <c r="D884" s="63">
        <f>15.6189 * CHOOSE(CONTROL!$C$22, $C$13, 100%, $E$13)</f>
        <v>15.6189</v>
      </c>
      <c r="E884" s="64">
        <f>18.3117 * CHOOSE(CONTROL!$C$22, $C$13, 100%, $E$13)</f>
        <v>18.311699999999998</v>
      </c>
      <c r="F884" s="64">
        <f>18.3117 * CHOOSE(CONTROL!$C$22, $C$13, 100%, $E$13)</f>
        <v>18.311699999999998</v>
      </c>
      <c r="G884" s="64">
        <f>18.3132 * CHOOSE(CONTROL!$C$22, $C$13, 100%, $E$13)</f>
        <v>18.313199999999998</v>
      </c>
      <c r="H884" s="64">
        <f>29.716* CHOOSE(CONTROL!$C$22, $C$13, 100%, $E$13)</f>
        <v>29.716000000000001</v>
      </c>
      <c r="I884" s="64">
        <f>29.7176 * CHOOSE(CONTROL!$C$22, $C$13, 100%, $E$13)</f>
        <v>29.717600000000001</v>
      </c>
      <c r="J884" s="64">
        <f>18.3117 * CHOOSE(CONTROL!$C$22, $C$13, 100%, $E$13)</f>
        <v>18.311699999999998</v>
      </c>
      <c r="K884" s="64">
        <f>18.3132 * CHOOSE(CONTROL!$C$22, $C$13, 100%, $E$13)</f>
        <v>18.313199999999998</v>
      </c>
    </row>
    <row r="885" spans="1:11" ht="15">
      <c r="A885" s="13">
        <v>68576</v>
      </c>
      <c r="B885" s="63">
        <f>15.6276 * CHOOSE(CONTROL!$C$22, $C$13, 100%, $E$13)</f>
        <v>15.627599999999999</v>
      </c>
      <c r="C885" s="63">
        <f>15.6276 * CHOOSE(CONTROL!$C$22, $C$13, 100%, $E$13)</f>
        <v>15.627599999999999</v>
      </c>
      <c r="D885" s="63">
        <f>15.6398 * CHOOSE(CONTROL!$C$22, $C$13, 100%, $E$13)</f>
        <v>15.639799999999999</v>
      </c>
      <c r="E885" s="64">
        <f>18.3819 * CHOOSE(CONTROL!$C$22, $C$13, 100%, $E$13)</f>
        <v>18.381900000000002</v>
      </c>
      <c r="F885" s="64">
        <f>18.3819 * CHOOSE(CONTROL!$C$22, $C$13, 100%, $E$13)</f>
        <v>18.381900000000002</v>
      </c>
      <c r="G885" s="64">
        <f>18.3821 * CHOOSE(CONTROL!$C$22, $C$13, 100%, $E$13)</f>
        <v>18.382100000000001</v>
      </c>
      <c r="H885" s="64">
        <f>29.7779* CHOOSE(CONTROL!$C$22, $C$13, 100%, $E$13)</f>
        <v>29.777899999999999</v>
      </c>
      <c r="I885" s="64">
        <f>29.7781 * CHOOSE(CONTROL!$C$22, $C$13, 100%, $E$13)</f>
        <v>29.778099999999998</v>
      </c>
      <c r="J885" s="64">
        <f>18.3819 * CHOOSE(CONTROL!$C$22, $C$13, 100%, $E$13)</f>
        <v>18.381900000000002</v>
      </c>
      <c r="K885" s="64">
        <f>18.3821 * CHOOSE(CONTROL!$C$22, $C$13, 100%, $E$13)</f>
        <v>18.382100000000001</v>
      </c>
    </row>
    <row r="886" spans="1:11" ht="15">
      <c r="A886" s="13">
        <v>68607</v>
      </c>
      <c r="B886" s="63">
        <f>15.6306 * CHOOSE(CONTROL!$C$22, $C$13, 100%, $E$13)</f>
        <v>15.630599999999999</v>
      </c>
      <c r="C886" s="63">
        <f>15.6306 * CHOOSE(CONTROL!$C$22, $C$13, 100%, $E$13)</f>
        <v>15.630599999999999</v>
      </c>
      <c r="D886" s="63">
        <f>15.6428 * CHOOSE(CONTROL!$C$22, $C$13, 100%, $E$13)</f>
        <v>15.642799999999999</v>
      </c>
      <c r="E886" s="64">
        <f>18.4258 * CHOOSE(CONTROL!$C$22, $C$13, 100%, $E$13)</f>
        <v>18.425799999999999</v>
      </c>
      <c r="F886" s="64">
        <f>18.4258 * CHOOSE(CONTROL!$C$22, $C$13, 100%, $E$13)</f>
        <v>18.425799999999999</v>
      </c>
      <c r="G886" s="64">
        <f>18.426 * CHOOSE(CONTROL!$C$22, $C$13, 100%, $E$13)</f>
        <v>18.425999999999998</v>
      </c>
      <c r="H886" s="64">
        <f>29.84* CHOOSE(CONTROL!$C$22, $C$13, 100%, $E$13)</f>
        <v>29.84</v>
      </c>
      <c r="I886" s="64">
        <f>29.8401 * CHOOSE(CONTROL!$C$22, $C$13, 100%, $E$13)</f>
        <v>29.8401</v>
      </c>
      <c r="J886" s="64">
        <f>18.4258 * CHOOSE(CONTROL!$C$22, $C$13, 100%, $E$13)</f>
        <v>18.425799999999999</v>
      </c>
      <c r="K886" s="64">
        <f>18.426 * CHOOSE(CONTROL!$C$22, $C$13, 100%, $E$13)</f>
        <v>18.425999999999998</v>
      </c>
    </row>
    <row r="887" spans="1:11" ht="15">
      <c r="A887" s="13">
        <v>68637</v>
      </c>
      <c r="B887" s="63">
        <f>15.6306 * CHOOSE(CONTROL!$C$22, $C$13, 100%, $E$13)</f>
        <v>15.630599999999999</v>
      </c>
      <c r="C887" s="63">
        <f>15.6306 * CHOOSE(CONTROL!$C$22, $C$13, 100%, $E$13)</f>
        <v>15.630599999999999</v>
      </c>
      <c r="D887" s="63">
        <f>15.6428 * CHOOSE(CONTROL!$C$22, $C$13, 100%, $E$13)</f>
        <v>15.642799999999999</v>
      </c>
      <c r="E887" s="64">
        <f>18.3213 * CHOOSE(CONTROL!$C$22, $C$13, 100%, $E$13)</f>
        <v>18.321300000000001</v>
      </c>
      <c r="F887" s="64">
        <f>18.3213 * CHOOSE(CONTROL!$C$22, $C$13, 100%, $E$13)</f>
        <v>18.321300000000001</v>
      </c>
      <c r="G887" s="64">
        <f>18.3215 * CHOOSE(CONTROL!$C$22, $C$13, 100%, $E$13)</f>
        <v>18.3215</v>
      </c>
      <c r="H887" s="64">
        <f>29.9021* CHOOSE(CONTROL!$C$22, $C$13, 100%, $E$13)</f>
        <v>29.902100000000001</v>
      </c>
      <c r="I887" s="64">
        <f>29.9023 * CHOOSE(CONTROL!$C$22, $C$13, 100%, $E$13)</f>
        <v>29.9023</v>
      </c>
      <c r="J887" s="64">
        <f>18.3213 * CHOOSE(CONTROL!$C$22, $C$13, 100%, $E$13)</f>
        <v>18.321300000000001</v>
      </c>
      <c r="K887" s="64">
        <f>18.3215 * CHOOSE(CONTROL!$C$22, $C$13, 100%, $E$13)</f>
        <v>18.3215</v>
      </c>
    </row>
    <row r="888" spans="1:11" ht="15">
      <c r="A888" s="13">
        <v>68668</v>
      </c>
      <c r="B888" s="63">
        <f>15.5887 * CHOOSE(CONTROL!$C$22, $C$13, 100%, $E$13)</f>
        <v>15.588699999999999</v>
      </c>
      <c r="C888" s="63">
        <f>15.5887 * CHOOSE(CONTROL!$C$22, $C$13, 100%, $E$13)</f>
        <v>15.588699999999999</v>
      </c>
      <c r="D888" s="63">
        <f>15.6009 * CHOOSE(CONTROL!$C$22, $C$13, 100%, $E$13)</f>
        <v>15.600899999999999</v>
      </c>
      <c r="E888" s="64">
        <f>18.3441 * CHOOSE(CONTROL!$C$22, $C$13, 100%, $E$13)</f>
        <v>18.344100000000001</v>
      </c>
      <c r="F888" s="64">
        <f>18.3441 * CHOOSE(CONTROL!$C$22, $C$13, 100%, $E$13)</f>
        <v>18.344100000000001</v>
      </c>
      <c r="G888" s="64">
        <f>18.3443 * CHOOSE(CONTROL!$C$22, $C$13, 100%, $E$13)</f>
        <v>18.3443</v>
      </c>
      <c r="H888" s="64">
        <f>29.6713* CHOOSE(CONTROL!$C$22, $C$13, 100%, $E$13)</f>
        <v>29.671299999999999</v>
      </c>
      <c r="I888" s="64">
        <f>29.6714 * CHOOSE(CONTROL!$C$22, $C$13, 100%, $E$13)</f>
        <v>29.671399999999998</v>
      </c>
      <c r="J888" s="64">
        <f>18.3441 * CHOOSE(CONTROL!$C$22, $C$13, 100%, $E$13)</f>
        <v>18.344100000000001</v>
      </c>
      <c r="K888" s="64">
        <f>18.3443 * CHOOSE(CONTROL!$C$22, $C$13, 100%, $E$13)</f>
        <v>18.3443</v>
      </c>
    </row>
    <row r="889" spans="1:11" ht="15">
      <c r="A889" s="13">
        <v>68699</v>
      </c>
      <c r="B889" s="63">
        <f>15.5857 * CHOOSE(CONTROL!$C$22, $C$13, 100%, $E$13)</f>
        <v>15.585699999999999</v>
      </c>
      <c r="C889" s="63">
        <f>15.5857 * CHOOSE(CONTROL!$C$22, $C$13, 100%, $E$13)</f>
        <v>15.585699999999999</v>
      </c>
      <c r="D889" s="63">
        <f>15.5979 * CHOOSE(CONTROL!$C$22, $C$13, 100%, $E$13)</f>
        <v>15.597899999999999</v>
      </c>
      <c r="E889" s="64">
        <f>18.1412 * CHOOSE(CONTROL!$C$22, $C$13, 100%, $E$13)</f>
        <v>18.141200000000001</v>
      </c>
      <c r="F889" s="64">
        <f>18.1412 * CHOOSE(CONTROL!$C$22, $C$13, 100%, $E$13)</f>
        <v>18.141200000000001</v>
      </c>
      <c r="G889" s="64">
        <f>18.1414 * CHOOSE(CONTROL!$C$22, $C$13, 100%, $E$13)</f>
        <v>18.141400000000001</v>
      </c>
      <c r="H889" s="64">
        <f>29.7331* CHOOSE(CONTROL!$C$22, $C$13, 100%, $E$13)</f>
        <v>29.7331</v>
      </c>
      <c r="I889" s="64">
        <f>29.7333 * CHOOSE(CONTROL!$C$22, $C$13, 100%, $E$13)</f>
        <v>29.7333</v>
      </c>
      <c r="J889" s="64">
        <f>18.1412 * CHOOSE(CONTROL!$C$22, $C$13, 100%, $E$13)</f>
        <v>18.141200000000001</v>
      </c>
      <c r="K889" s="64">
        <f>18.1414 * CHOOSE(CONTROL!$C$22, $C$13, 100%, $E$13)</f>
        <v>18.141400000000001</v>
      </c>
    </row>
    <row r="890" spans="1:11" ht="15">
      <c r="A890" s="13">
        <v>68728</v>
      </c>
      <c r="B890" s="63">
        <f>15.5826 * CHOOSE(CONTROL!$C$22, $C$13, 100%, $E$13)</f>
        <v>15.582599999999999</v>
      </c>
      <c r="C890" s="63">
        <f>15.5826 * CHOOSE(CONTROL!$C$22, $C$13, 100%, $E$13)</f>
        <v>15.582599999999999</v>
      </c>
      <c r="D890" s="63">
        <f>15.5949 * CHOOSE(CONTROL!$C$22, $C$13, 100%, $E$13)</f>
        <v>15.594900000000001</v>
      </c>
      <c r="E890" s="64">
        <f>18.2974 * CHOOSE(CONTROL!$C$22, $C$13, 100%, $E$13)</f>
        <v>18.2974</v>
      </c>
      <c r="F890" s="64">
        <f>18.2974 * CHOOSE(CONTROL!$C$22, $C$13, 100%, $E$13)</f>
        <v>18.2974</v>
      </c>
      <c r="G890" s="64">
        <f>18.2976 * CHOOSE(CONTROL!$C$22, $C$13, 100%, $E$13)</f>
        <v>18.297599999999999</v>
      </c>
      <c r="H890" s="64">
        <f>29.795* CHOOSE(CONTROL!$C$22, $C$13, 100%, $E$13)</f>
        <v>29.795000000000002</v>
      </c>
      <c r="I890" s="64">
        <f>29.7952 * CHOOSE(CONTROL!$C$22, $C$13, 100%, $E$13)</f>
        <v>29.795200000000001</v>
      </c>
      <c r="J890" s="64">
        <f>18.2974 * CHOOSE(CONTROL!$C$22, $C$13, 100%, $E$13)</f>
        <v>18.2974</v>
      </c>
      <c r="K890" s="64">
        <f>18.2976 * CHOOSE(CONTROL!$C$22, $C$13, 100%, $E$13)</f>
        <v>18.297599999999999</v>
      </c>
    </row>
    <row r="891" spans="1:11" ht="15">
      <c r="A891" s="13">
        <v>68759</v>
      </c>
      <c r="B891" s="63">
        <f>15.5902 * CHOOSE(CONTROL!$C$22, $C$13, 100%, $E$13)</f>
        <v>15.590199999999999</v>
      </c>
      <c r="C891" s="63">
        <f>15.5902 * CHOOSE(CONTROL!$C$22, $C$13, 100%, $E$13)</f>
        <v>15.590199999999999</v>
      </c>
      <c r="D891" s="63">
        <f>15.6024 * CHOOSE(CONTROL!$C$22, $C$13, 100%, $E$13)</f>
        <v>15.602399999999999</v>
      </c>
      <c r="E891" s="64">
        <f>18.4631 * CHOOSE(CONTROL!$C$22, $C$13, 100%, $E$13)</f>
        <v>18.463100000000001</v>
      </c>
      <c r="F891" s="64">
        <f>18.4631 * CHOOSE(CONTROL!$C$22, $C$13, 100%, $E$13)</f>
        <v>18.463100000000001</v>
      </c>
      <c r="G891" s="64">
        <f>18.4633 * CHOOSE(CONTROL!$C$22, $C$13, 100%, $E$13)</f>
        <v>18.4633</v>
      </c>
      <c r="H891" s="64">
        <f>29.8571* CHOOSE(CONTROL!$C$22, $C$13, 100%, $E$13)</f>
        <v>29.857099999999999</v>
      </c>
      <c r="I891" s="64">
        <f>29.8573 * CHOOSE(CONTROL!$C$22, $C$13, 100%, $E$13)</f>
        <v>29.857299999999999</v>
      </c>
      <c r="J891" s="64">
        <f>18.4631 * CHOOSE(CONTROL!$C$22, $C$13, 100%, $E$13)</f>
        <v>18.463100000000001</v>
      </c>
      <c r="K891" s="64">
        <f>18.4633 * CHOOSE(CONTROL!$C$22, $C$13, 100%, $E$13)</f>
        <v>18.4633</v>
      </c>
    </row>
    <row r="892" spans="1:11" ht="15">
      <c r="A892" s="13">
        <v>68789</v>
      </c>
      <c r="B892" s="63">
        <f>15.5902 * CHOOSE(CONTROL!$C$22, $C$13, 100%, $E$13)</f>
        <v>15.590199999999999</v>
      </c>
      <c r="C892" s="63">
        <f>15.5902 * CHOOSE(CONTROL!$C$22, $C$13, 100%, $E$13)</f>
        <v>15.590199999999999</v>
      </c>
      <c r="D892" s="63">
        <f>15.6146 * CHOOSE(CONTROL!$C$22, $C$13, 100%, $E$13)</f>
        <v>15.614599999999999</v>
      </c>
      <c r="E892" s="64">
        <f>18.5269 * CHOOSE(CONTROL!$C$22, $C$13, 100%, $E$13)</f>
        <v>18.526900000000001</v>
      </c>
      <c r="F892" s="64">
        <f>18.5269 * CHOOSE(CONTROL!$C$22, $C$13, 100%, $E$13)</f>
        <v>18.526900000000001</v>
      </c>
      <c r="G892" s="64">
        <f>18.5285 * CHOOSE(CONTROL!$C$22, $C$13, 100%, $E$13)</f>
        <v>18.528500000000001</v>
      </c>
      <c r="H892" s="64">
        <f>29.9193* CHOOSE(CONTROL!$C$22, $C$13, 100%, $E$13)</f>
        <v>29.9193</v>
      </c>
      <c r="I892" s="64">
        <f>29.9209 * CHOOSE(CONTROL!$C$22, $C$13, 100%, $E$13)</f>
        <v>29.9209</v>
      </c>
      <c r="J892" s="64">
        <f>18.5269 * CHOOSE(CONTROL!$C$22, $C$13, 100%, $E$13)</f>
        <v>18.526900000000001</v>
      </c>
      <c r="K892" s="64">
        <f>18.5285 * CHOOSE(CONTROL!$C$22, $C$13, 100%, $E$13)</f>
        <v>18.528500000000001</v>
      </c>
    </row>
    <row r="893" spans="1:11" ht="15">
      <c r="A893" s="13">
        <v>68820</v>
      </c>
      <c r="B893" s="63">
        <f>15.5963 * CHOOSE(CONTROL!$C$22, $C$13, 100%, $E$13)</f>
        <v>15.596299999999999</v>
      </c>
      <c r="C893" s="63">
        <f>15.5963 * CHOOSE(CONTROL!$C$22, $C$13, 100%, $E$13)</f>
        <v>15.596299999999999</v>
      </c>
      <c r="D893" s="63">
        <f>15.6207 * CHOOSE(CONTROL!$C$22, $C$13, 100%, $E$13)</f>
        <v>15.620699999999999</v>
      </c>
      <c r="E893" s="64">
        <f>18.4674 * CHOOSE(CONTROL!$C$22, $C$13, 100%, $E$13)</f>
        <v>18.467400000000001</v>
      </c>
      <c r="F893" s="64">
        <f>18.4674 * CHOOSE(CONTROL!$C$22, $C$13, 100%, $E$13)</f>
        <v>18.467400000000001</v>
      </c>
      <c r="G893" s="64">
        <f>18.4689 * CHOOSE(CONTROL!$C$22, $C$13, 100%, $E$13)</f>
        <v>18.468900000000001</v>
      </c>
      <c r="H893" s="64">
        <f>29.9816* CHOOSE(CONTROL!$C$22, $C$13, 100%, $E$13)</f>
        <v>29.9816</v>
      </c>
      <c r="I893" s="64">
        <f>29.9832 * CHOOSE(CONTROL!$C$22, $C$13, 100%, $E$13)</f>
        <v>29.9832</v>
      </c>
      <c r="J893" s="64">
        <f>18.4674 * CHOOSE(CONTROL!$C$22, $C$13, 100%, $E$13)</f>
        <v>18.467400000000001</v>
      </c>
      <c r="K893" s="64">
        <f>18.4689 * CHOOSE(CONTROL!$C$22, $C$13, 100%, $E$13)</f>
        <v>18.468900000000001</v>
      </c>
    </row>
    <row r="894" spans="1:11" ht="15">
      <c r="A894" s="13">
        <v>68850</v>
      </c>
      <c r="B894" s="63">
        <f>15.8401 * CHOOSE(CONTROL!$C$22, $C$13, 100%, $E$13)</f>
        <v>15.8401</v>
      </c>
      <c r="C894" s="63">
        <f>15.8401 * CHOOSE(CONTROL!$C$22, $C$13, 100%, $E$13)</f>
        <v>15.8401</v>
      </c>
      <c r="D894" s="63">
        <f>15.8645 * CHOOSE(CONTROL!$C$22, $C$13, 100%, $E$13)</f>
        <v>15.8645</v>
      </c>
      <c r="E894" s="64">
        <f>18.8181 * CHOOSE(CONTROL!$C$22, $C$13, 100%, $E$13)</f>
        <v>18.818100000000001</v>
      </c>
      <c r="F894" s="64">
        <f>18.8181 * CHOOSE(CONTROL!$C$22, $C$13, 100%, $E$13)</f>
        <v>18.818100000000001</v>
      </c>
      <c r="G894" s="64">
        <f>18.8197 * CHOOSE(CONTROL!$C$22, $C$13, 100%, $E$13)</f>
        <v>18.819700000000001</v>
      </c>
      <c r="H894" s="64">
        <f>30.0441* CHOOSE(CONTROL!$C$22, $C$13, 100%, $E$13)</f>
        <v>30.0441</v>
      </c>
      <c r="I894" s="64">
        <f>30.0457 * CHOOSE(CONTROL!$C$22, $C$13, 100%, $E$13)</f>
        <v>30.0457</v>
      </c>
      <c r="J894" s="64">
        <f>18.8181 * CHOOSE(CONTROL!$C$22, $C$13, 100%, $E$13)</f>
        <v>18.818100000000001</v>
      </c>
      <c r="K894" s="64">
        <f>18.8197 * CHOOSE(CONTROL!$C$22, $C$13, 100%, $E$13)</f>
        <v>18.819700000000001</v>
      </c>
    </row>
    <row r="895" spans="1:11" ht="15">
      <c r="A895" s="13">
        <v>68881</v>
      </c>
      <c r="B895" s="63">
        <f>15.8468 * CHOOSE(CONTROL!$C$22, $C$13, 100%, $E$13)</f>
        <v>15.8468</v>
      </c>
      <c r="C895" s="63">
        <f>15.8468 * CHOOSE(CONTROL!$C$22, $C$13, 100%, $E$13)</f>
        <v>15.8468</v>
      </c>
      <c r="D895" s="63">
        <f>15.8712 * CHOOSE(CONTROL!$C$22, $C$13, 100%, $E$13)</f>
        <v>15.8712</v>
      </c>
      <c r="E895" s="64">
        <f>18.6315 * CHOOSE(CONTROL!$C$22, $C$13, 100%, $E$13)</f>
        <v>18.631499999999999</v>
      </c>
      <c r="F895" s="64">
        <f>18.6315 * CHOOSE(CONTROL!$C$22, $C$13, 100%, $E$13)</f>
        <v>18.631499999999999</v>
      </c>
      <c r="G895" s="64">
        <f>18.6331 * CHOOSE(CONTROL!$C$22, $C$13, 100%, $E$13)</f>
        <v>18.633099999999999</v>
      </c>
      <c r="H895" s="64">
        <f>30.1067* CHOOSE(CONTROL!$C$22, $C$13, 100%, $E$13)</f>
        <v>30.1067</v>
      </c>
      <c r="I895" s="64">
        <f>30.1082 * CHOOSE(CONTROL!$C$22, $C$13, 100%, $E$13)</f>
        <v>30.1082</v>
      </c>
      <c r="J895" s="64">
        <f>18.6315 * CHOOSE(CONTROL!$C$22, $C$13, 100%, $E$13)</f>
        <v>18.631499999999999</v>
      </c>
      <c r="K895" s="64">
        <f>18.6331 * CHOOSE(CONTROL!$C$22, $C$13, 100%, $E$13)</f>
        <v>18.633099999999999</v>
      </c>
    </row>
    <row r="896" spans="1:11" ht="15">
      <c r="A896" s="13">
        <v>68912</v>
      </c>
      <c r="B896" s="63">
        <f>15.8437 * CHOOSE(CONTROL!$C$22, $C$13, 100%, $E$13)</f>
        <v>15.8437</v>
      </c>
      <c r="C896" s="63">
        <f>15.8437 * CHOOSE(CONTROL!$C$22, $C$13, 100%, $E$13)</f>
        <v>15.8437</v>
      </c>
      <c r="D896" s="63">
        <f>15.8682 * CHOOSE(CONTROL!$C$22, $C$13, 100%, $E$13)</f>
        <v>15.8682</v>
      </c>
      <c r="E896" s="64">
        <f>18.6082 * CHOOSE(CONTROL!$C$22, $C$13, 100%, $E$13)</f>
        <v>18.6082</v>
      </c>
      <c r="F896" s="64">
        <f>18.6082 * CHOOSE(CONTROL!$C$22, $C$13, 100%, $E$13)</f>
        <v>18.6082</v>
      </c>
      <c r="G896" s="64">
        <f>18.6097 * CHOOSE(CONTROL!$C$22, $C$13, 100%, $E$13)</f>
        <v>18.6097</v>
      </c>
      <c r="H896" s="64">
        <f>30.1694* CHOOSE(CONTROL!$C$22, $C$13, 100%, $E$13)</f>
        <v>30.1694</v>
      </c>
      <c r="I896" s="64">
        <f>30.171 * CHOOSE(CONTROL!$C$22, $C$13, 100%, $E$13)</f>
        <v>30.170999999999999</v>
      </c>
      <c r="J896" s="64">
        <f>18.6082 * CHOOSE(CONTROL!$C$22, $C$13, 100%, $E$13)</f>
        <v>18.6082</v>
      </c>
      <c r="K896" s="64">
        <f>18.6097 * CHOOSE(CONTROL!$C$22, $C$13, 100%, $E$13)</f>
        <v>18.6097</v>
      </c>
    </row>
    <row r="897" spans="1:11" ht="15">
      <c r="A897" s="13">
        <v>68942</v>
      </c>
      <c r="B897" s="63">
        <f>15.8776 * CHOOSE(CONTROL!$C$22, $C$13, 100%, $E$13)</f>
        <v>15.877599999999999</v>
      </c>
      <c r="C897" s="63">
        <f>15.8776 * CHOOSE(CONTROL!$C$22, $C$13, 100%, $E$13)</f>
        <v>15.877599999999999</v>
      </c>
      <c r="D897" s="63">
        <f>15.8898 * CHOOSE(CONTROL!$C$22, $C$13, 100%, $E$13)</f>
        <v>15.889799999999999</v>
      </c>
      <c r="E897" s="64">
        <f>18.6798 * CHOOSE(CONTROL!$C$22, $C$13, 100%, $E$13)</f>
        <v>18.6798</v>
      </c>
      <c r="F897" s="64">
        <f>18.6798 * CHOOSE(CONTROL!$C$22, $C$13, 100%, $E$13)</f>
        <v>18.6798</v>
      </c>
      <c r="G897" s="64">
        <f>18.6799 * CHOOSE(CONTROL!$C$22, $C$13, 100%, $E$13)</f>
        <v>18.6799</v>
      </c>
      <c r="H897" s="64">
        <f>30.2323* CHOOSE(CONTROL!$C$22, $C$13, 100%, $E$13)</f>
        <v>30.232299999999999</v>
      </c>
      <c r="I897" s="64">
        <f>30.2324 * CHOOSE(CONTROL!$C$22, $C$13, 100%, $E$13)</f>
        <v>30.232399999999998</v>
      </c>
      <c r="J897" s="64">
        <f>18.6798 * CHOOSE(CONTROL!$C$22, $C$13, 100%, $E$13)</f>
        <v>18.6798</v>
      </c>
      <c r="K897" s="64">
        <f>18.6799 * CHOOSE(CONTROL!$C$22, $C$13, 100%, $E$13)</f>
        <v>18.6799</v>
      </c>
    </row>
    <row r="898" spans="1:11" ht="15">
      <c r="A898" s="13">
        <v>68973</v>
      </c>
      <c r="B898" s="63">
        <f>15.8806 * CHOOSE(CONTROL!$C$22, $C$13, 100%, $E$13)</f>
        <v>15.880599999999999</v>
      </c>
      <c r="C898" s="63">
        <f>15.8806 * CHOOSE(CONTROL!$C$22, $C$13, 100%, $E$13)</f>
        <v>15.880599999999999</v>
      </c>
      <c r="D898" s="63">
        <f>15.8928 * CHOOSE(CONTROL!$C$22, $C$13, 100%, $E$13)</f>
        <v>15.892799999999999</v>
      </c>
      <c r="E898" s="64">
        <f>18.7244 * CHOOSE(CONTROL!$C$22, $C$13, 100%, $E$13)</f>
        <v>18.724399999999999</v>
      </c>
      <c r="F898" s="64">
        <f>18.7244 * CHOOSE(CONTROL!$C$22, $C$13, 100%, $E$13)</f>
        <v>18.724399999999999</v>
      </c>
      <c r="G898" s="64">
        <f>18.7245 * CHOOSE(CONTROL!$C$22, $C$13, 100%, $E$13)</f>
        <v>18.724499999999999</v>
      </c>
      <c r="H898" s="64">
        <f>30.2952* CHOOSE(CONTROL!$C$22, $C$13, 100%, $E$13)</f>
        <v>30.295200000000001</v>
      </c>
      <c r="I898" s="64">
        <f>30.2954 * CHOOSE(CONTROL!$C$22, $C$13, 100%, $E$13)</f>
        <v>30.295400000000001</v>
      </c>
      <c r="J898" s="64">
        <f>18.7244 * CHOOSE(CONTROL!$C$22, $C$13, 100%, $E$13)</f>
        <v>18.724399999999999</v>
      </c>
      <c r="K898" s="64">
        <f>18.7245 * CHOOSE(CONTROL!$C$22, $C$13, 100%, $E$13)</f>
        <v>18.724499999999999</v>
      </c>
    </row>
    <row r="899" spans="1:11" ht="15">
      <c r="A899" s="13">
        <v>69003</v>
      </c>
      <c r="B899" s="63">
        <f>15.8806 * CHOOSE(CONTROL!$C$22, $C$13, 100%, $E$13)</f>
        <v>15.880599999999999</v>
      </c>
      <c r="C899" s="63">
        <f>15.8806 * CHOOSE(CONTROL!$C$22, $C$13, 100%, $E$13)</f>
        <v>15.880599999999999</v>
      </c>
      <c r="D899" s="63">
        <f>15.8928 * CHOOSE(CONTROL!$C$22, $C$13, 100%, $E$13)</f>
        <v>15.892799999999999</v>
      </c>
      <c r="E899" s="64">
        <f>18.6181 * CHOOSE(CONTROL!$C$22, $C$13, 100%, $E$13)</f>
        <v>18.618099999999998</v>
      </c>
      <c r="F899" s="64">
        <f>18.6181 * CHOOSE(CONTROL!$C$22, $C$13, 100%, $E$13)</f>
        <v>18.618099999999998</v>
      </c>
      <c r="G899" s="64">
        <f>18.6183 * CHOOSE(CONTROL!$C$22, $C$13, 100%, $E$13)</f>
        <v>18.618300000000001</v>
      </c>
      <c r="H899" s="64">
        <f>30.3584* CHOOSE(CONTROL!$C$22, $C$13, 100%, $E$13)</f>
        <v>30.3584</v>
      </c>
      <c r="I899" s="64">
        <f>30.3585 * CHOOSE(CONTROL!$C$22, $C$13, 100%, $E$13)</f>
        <v>30.358499999999999</v>
      </c>
      <c r="J899" s="64">
        <f>18.6181 * CHOOSE(CONTROL!$C$22, $C$13, 100%, $E$13)</f>
        <v>18.618099999999998</v>
      </c>
      <c r="K899" s="64">
        <f>18.6183 * CHOOSE(CONTROL!$C$22, $C$13, 100%, $E$13)</f>
        <v>18.618300000000001</v>
      </c>
    </row>
    <row r="900" spans="1:11" ht="15">
      <c r="A900" s="13">
        <v>69034</v>
      </c>
      <c r="B900" s="63">
        <f>15.834 * CHOOSE(CONTROL!$C$22, $C$13, 100%, $E$13)</f>
        <v>15.834</v>
      </c>
      <c r="C900" s="63">
        <f>15.834 * CHOOSE(CONTROL!$C$22, $C$13, 100%, $E$13)</f>
        <v>15.834</v>
      </c>
      <c r="D900" s="63">
        <f>15.8463 * CHOOSE(CONTROL!$C$22, $C$13, 100%, $E$13)</f>
        <v>15.846299999999999</v>
      </c>
      <c r="E900" s="64">
        <f>18.6365 * CHOOSE(CONTROL!$C$22, $C$13, 100%, $E$13)</f>
        <v>18.636500000000002</v>
      </c>
      <c r="F900" s="64">
        <f>18.6365 * CHOOSE(CONTROL!$C$22, $C$13, 100%, $E$13)</f>
        <v>18.636500000000002</v>
      </c>
      <c r="G900" s="64">
        <f>18.6367 * CHOOSE(CONTROL!$C$22, $C$13, 100%, $E$13)</f>
        <v>18.636700000000001</v>
      </c>
      <c r="H900" s="64">
        <f>30.1172* CHOOSE(CONTROL!$C$22, $C$13, 100%, $E$13)</f>
        <v>30.1172</v>
      </c>
      <c r="I900" s="64">
        <f>30.1173 * CHOOSE(CONTROL!$C$22, $C$13, 100%, $E$13)</f>
        <v>30.1173</v>
      </c>
      <c r="J900" s="64">
        <f>18.6365 * CHOOSE(CONTROL!$C$22, $C$13, 100%, $E$13)</f>
        <v>18.636500000000002</v>
      </c>
      <c r="K900" s="64">
        <f>18.6367 * CHOOSE(CONTROL!$C$22, $C$13, 100%, $E$13)</f>
        <v>18.636700000000001</v>
      </c>
    </row>
    <row r="901" spans="1:11" ht="15">
      <c r="A901" s="13">
        <v>69065</v>
      </c>
      <c r="B901" s="63">
        <f>15.831 * CHOOSE(CONTROL!$C$22, $C$13, 100%, $E$13)</f>
        <v>15.831</v>
      </c>
      <c r="C901" s="63">
        <f>15.831 * CHOOSE(CONTROL!$C$22, $C$13, 100%, $E$13)</f>
        <v>15.831</v>
      </c>
      <c r="D901" s="63">
        <f>15.8432 * CHOOSE(CONTROL!$C$22, $C$13, 100%, $E$13)</f>
        <v>15.8432</v>
      </c>
      <c r="E901" s="64">
        <f>18.4304 * CHOOSE(CONTROL!$C$22, $C$13, 100%, $E$13)</f>
        <v>18.430399999999999</v>
      </c>
      <c r="F901" s="64">
        <f>18.4304 * CHOOSE(CONTROL!$C$22, $C$13, 100%, $E$13)</f>
        <v>18.430399999999999</v>
      </c>
      <c r="G901" s="64">
        <f>18.4306 * CHOOSE(CONTROL!$C$22, $C$13, 100%, $E$13)</f>
        <v>18.430599999999998</v>
      </c>
      <c r="H901" s="64">
        <f>30.1799* CHOOSE(CONTROL!$C$22, $C$13, 100%, $E$13)</f>
        <v>30.1799</v>
      </c>
      <c r="I901" s="64">
        <f>30.1801 * CHOOSE(CONTROL!$C$22, $C$13, 100%, $E$13)</f>
        <v>30.180099999999999</v>
      </c>
      <c r="J901" s="64">
        <f>18.4304 * CHOOSE(CONTROL!$C$22, $C$13, 100%, $E$13)</f>
        <v>18.430399999999999</v>
      </c>
      <c r="K901" s="64">
        <f>18.4306 * CHOOSE(CONTROL!$C$22, $C$13, 100%, $E$13)</f>
        <v>18.430599999999998</v>
      </c>
    </row>
    <row r="902" spans="1:11" ht="15">
      <c r="A902" s="13">
        <v>69093</v>
      </c>
      <c r="B902" s="63">
        <f>15.828 * CHOOSE(CONTROL!$C$22, $C$13, 100%, $E$13)</f>
        <v>15.827999999999999</v>
      </c>
      <c r="C902" s="63">
        <f>15.828 * CHOOSE(CONTROL!$C$22, $C$13, 100%, $E$13)</f>
        <v>15.827999999999999</v>
      </c>
      <c r="D902" s="63">
        <f>15.8402 * CHOOSE(CONTROL!$C$22, $C$13, 100%, $E$13)</f>
        <v>15.840199999999999</v>
      </c>
      <c r="E902" s="64">
        <f>18.5891 * CHOOSE(CONTROL!$C$22, $C$13, 100%, $E$13)</f>
        <v>18.589099999999998</v>
      </c>
      <c r="F902" s="64">
        <f>18.5891 * CHOOSE(CONTROL!$C$22, $C$13, 100%, $E$13)</f>
        <v>18.589099999999998</v>
      </c>
      <c r="G902" s="64">
        <f>18.5893 * CHOOSE(CONTROL!$C$22, $C$13, 100%, $E$13)</f>
        <v>18.589300000000001</v>
      </c>
      <c r="H902" s="64">
        <f>30.2428* CHOOSE(CONTROL!$C$22, $C$13, 100%, $E$13)</f>
        <v>30.242799999999999</v>
      </c>
      <c r="I902" s="64">
        <f>30.2429 * CHOOSE(CONTROL!$C$22, $C$13, 100%, $E$13)</f>
        <v>30.242899999999999</v>
      </c>
      <c r="J902" s="64">
        <f>18.5891 * CHOOSE(CONTROL!$C$22, $C$13, 100%, $E$13)</f>
        <v>18.589099999999998</v>
      </c>
      <c r="K902" s="64">
        <f>18.5893 * CHOOSE(CONTROL!$C$22, $C$13, 100%, $E$13)</f>
        <v>18.589300000000001</v>
      </c>
    </row>
    <row r="903" spans="1:11" ht="15">
      <c r="A903" s="13">
        <v>69124</v>
      </c>
      <c r="B903" s="63">
        <f>15.8357 * CHOOSE(CONTROL!$C$22, $C$13, 100%, $E$13)</f>
        <v>15.835699999999999</v>
      </c>
      <c r="C903" s="63">
        <f>15.8357 * CHOOSE(CONTROL!$C$22, $C$13, 100%, $E$13)</f>
        <v>15.835699999999999</v>
      </c>
      <c r="D903" s="63">
        <f>15.8479 * CHOOSE(CONTROL!$C$22, $C$13, 100%, $E$13)</f>
        <v>15.847899999999999</v>
      </c>
      <c r="E903" s="64">
        <f>18.7576 * CHOOSE(CONTROL!$C$22, $C$13, 100%, $E$13)</f>
        <v>18.7576</v>
      </c>
      <c r="F903" s="64">
        <f>18.7576 * CHOOSE(CONTROL!$C$22, $C$13, 100%, $E$13)</f>
        <v>18.7576</v>
      </c>
      <c r="G903" s="64">
        <f>18.7578 * CHOOSE(CONTROL!$C$22, $C$13, 100%, $E$13)</f>
        <v>18.7578</v>
      </c>
      <c r="H903" s="64">
        <f>30.3058* CHOOSE(CONTROL!$C$22, $C$13, 100%, $E$13)</f>
        <v>30.305800000000001</v>
      </c>
      <c r="I903" s="64">
        <f>30.306 * CHOOSE(CONTROL!$C$22, $C$13, 100%, $E$13)</f>
        <v>30.306000000000001</v>
      </c>
      <c r="J903" s="64">
        <f>18.7576 * CHOOSE(CONTROL!$C$22, $C$13, 100%, $E$13)</f>
        <v>18.7576</v>
      </c>
      <c r="K903" s="64">
        <f>18.7578 * CHOOSE(CONTROL!$C$22, $C$13, 100%, $E$13)</f>
        <v>18.7578</v>
      </c>
    </row>
    <row r="904" spans="1:11" ht="15">
      <c r="A904" s="13">
        <v>69154</v>
      </c>
      <c r="B904" s="63">
        <f>15.8357 * CHOOSE(CONTROL!$C$22, $C$13, 100%, $E$13)</f>
        <v>15.835699999999999</v>
      </c>
      <c r="C904" s="63">
        <f>15.8357 * CHOOSE(CONTROL!$C$22, $C$13, 100%, $E$13)</f>
        <v>15.835699999999999</v>
      </c>
      <c r="D904" s="63">
        <f>15.8601 * CHOOSE(CONTROL!$C$22, $C$13, 100%, $E$13)</f>
        <v>15.860099999999999</v>
      </c>
      <c r="E904" s="64">
        <f>18.8224 * CHOOSE(CONTROL!$C$22, $C$13, 100%, $E$13)</f>
        <v>18.822399999999998</v>
      </c>
      <c r="F904" s="64">
        <f>18.8224 * CHOOSE(CONTROL!$C$22, $C$13, 100%, $E$13)</f>
        <v>18.822399999999998</v>
      </c>
      <c r="G904" s="64">
        <f>18.8239 * CHOOSE(CONTROL!$C$22, $C$13, 100%, $E$13)</f>
        <v>18.823899999999998</v>
      </c>
      <c r="H904" s="64">
        <f>30.3689* CHOOSE(CONTROL!$C$22, $C$13, 100%, $E$13)</f>
        <v>30.3689</v>
      </c>
      <c r="I904" s="64">
        <f>30.3705 * CHOOSE(CONTROL!$C$22, $C$13, 100%, $E$13)</f>
        <v>30.3705</v>
      </c>
      <c r="J904" s="64">
        <f>18.8224 * CHOOSE(CONTROL!$C$22, $C$13, 100%, $E$13)</f>
        <v>18.822399999999998</v>
      </c>
      <c r="K904" s="64">
        <f>18.8239 * CHOOSE(CONTROL!$C$22, $C$13, 100%, $E$13)</f>
        <v>18.823899999999998</v>
      </c>
    </row>
    <row r="905" spans="1:11" ht="15">
      <c r="A905" s="13">
        <v>69185</v>
      </c>
      <c r="B905" s="63">
        <f>15.8418 * CHOOSE(CONTROL!$C$22, $C$13, 100%, $E$13)</f>
        <v>15.841799999999999</v>
      </c>
      <c r="C905" s="63">
        <f>15.8418 * CHOOSE(CONTROL!$C$22, $C$13, 100%, $E$13)</f>
        <v>15.841799999999999</v>
      </c>
      <c r="D905" s="63">
        <f>15.8662 * CHOOSE(CONTROL!$C$22, $C$13, 100%, $E$13)</f>
        <v>15.866199999999999</v>
      </c>
      <c r="E905" s="64">
        <f>18.7618 * CHOOSE(CONTROL!$C$22, $C$13, 100%, $E$13)</f>
        <v>18.761800000000001</v>
      </c>
      <c r="F905" s="64">
        <f>18.7618 * CHOOSE(CONTROL!$C$22, $C$13, 100%, $E$13)</f>
        <v>18.761800000000001</v>
      </c>
      <c r="G905" s="64">
        <f>18.7634 * CHOOSE(CONTROL!$C$22, $C$13, 100%, $E$13)</f>
        <v>18.763400000000001</v>
      </c>
      <c r="H905" s="64">
        <f>30.4322* CHOOSE(CONTROL!$C$22, $C$13, 100%, $E$13)</f>
        <v>30.432200000000002</v>
      </c>
      <c r="I905" s="64">
        <f>30.4337 * CHOOSE(CONTROL!$C$22, $C$13, 100%, $E$13)</f>
        <v>30.433700000000002</v>
      </c>
      <c r="J905" s="64">
        <f>18.7618 * CHOOSE(CONTROL!$C$22, $C$13, 100%, $E$13)</f>
        <v>18.761800000000001</v>
      </c>
      <c r="K905" s="64">
        <f>18.7634 * CHOOSE(CONTROL!$C$22, $C$13, 100%, $E$13)</f>
        <v>18.763400000000001</v>
      </c>
    </row>
    <row r="906" spans="1:11" ht="15">
      <c r="A906" s="13">
        <v>69215</v>
      </c>
      <c r="B906" s="63">
        <f>16.0893 * CHOOSE(CONTROL!$C$22, $C$13, 100%, $E$13)</f>
        <v>16.089300000000001</v>
      </c>
      <c r="C906" s="63">
        <f>16.0893 * CHOOSE(CONTROL!$C$22, $C$13, 100%, $E$13)</f>
        <v>16.089300000000001</v>
      </c>
      <c r="D906" s="63">
        <f>16.1137 * CHOOSE(CONTROL!$C$22, $C$13, 100%, $E$13)</f>
        <v>16.113700000000001</v>
      </c>
      <c r="E906" s="64">
        <f>19.118 * CHOOSE(CONTROL!$C$22, $C$13, 100%, $E$13)</f>
        <v>19.117999999999999</v>
      </c>
      <c r="F906" s="64">
        <f>19.118 * CHOOSE(CONTROL!$C$22, $C$13, 100%, $E$13)</f>
        <v>19.117999999999999</v>
      </c>
      <c r="G906" s="64">
        <f>19.1196 * CHOOSE(CONTROL!$C$22, $C$13, 100%, $E$13)</f>
        <v>19.119599999999998</v>
      </c>
      <c r="H906" s="64">
        <f>30.4956* CHOOSE(CONTROL!$C$22, $C$13, 100%, $E$13)</f>
        <v>30.4956</v>
      </c>
      <c r="I906" s="64">
        <f>30.4971 * CHOOSE(CONTROL!$C$22, $C$13, 100%, $E$13)</f>
        <v>30.4971</v>
      </c>
      <c r="J906" s="64">
        <f>19.118 * CHOOSE(CONTROL!$C$22, $C$13, 100%, $E$13)</f>
        <v>19.117999999999999</v>
      </c>
      <c r="K906" s="64">
        <f>19.1196 * CHOOSE(CONTROL!$C$22, $C$13, 100%, $E$13)</f>
        <v>19.119599999999998</v>
      </c>
    </row>
    <row r="907" spans="1:11" ht="15">
      <c r="A907" s="13">
        <v>69246</v>
      </c>
      <c r="B907" s="63">
        <f>16.096 * CHOOSE(CONTROL!$C$22, $C$13, 100%, $E$13)</f>
        <v>16.096</v>
      </c>
      <c r="C907" s="63">
        <f>16.096 * CHOOSE(CONTROL!$C$22, $C$13, 100%, $E$13)</f>
        <v>16.096</v>
      </c>
      <c r="D907" s="63">
        <f>16.1204 * CHOOSE(CONTROL!$C$22, $C$13, 100%, $E$13)</f>
        <v>16.1204</v>
      </c>
      <c r="E907" s="64">
        <f>18.9284 * CHOOSE(CONTROL!$C$22, $C$13, 100%, $E$13)</f>
        <v>18.9284</v>
      </c>
      <c r="F907" s="64">
        <f>18.9284 * CHOOSE(CONTROL!$C$22, $C$13, 100%, $E$13)</f>
        <v>18.9284</v>
      </c>
      <c r="G907" s="64">
        <f>18.9299 * CHOOSE(CONTROL!$C$22, $C$13, 100%, $E$13)</f>
        <v>18.9299</v>
      </c>
      <c r="H907" s="64">
        <f>30.5591* CHOOSE(CONTROL!$C$22, $C$13, 100%, $E$13)</f>
        <v>30.559100000000001</v>
      </c>
      <c r="I907" s="64">
        <f>30.5607 * CHOOSE(CONTROL!$C$22, $C$13, 100%, $E$13)</f>
        <v>30.560700000000001</v>
      </c>
      <c r="J907" s="64">
        <f>18.9284 * CHOOSE(CONTROL!$C$22, $C$13, 100%, $E$13)</f>
        <v>18.9284</v>
      </c>
      <c r="K907" s="64">
        <f>18.9299 * CHOOSE(CONTROL!$C$22, $C$13, 100%, $E$13)</f>
        <v>18.9299</v>
      </c>
    </row>
    <row r="908" spans="1:11" ht="15">
      <c r="A908" s="13">
        <v>69277</v>
      </c>
      <c r="B908" s="63">
        <f>16.093 * CHOOSE(CONTROL!$C$22, $C$13, 100%, $E$13)</f>
        <v>16.093</v>
      </c>
      <c r="C908" s="63">
        <f>16.093 * CHOOSE(CONTROL!$C$22, $C$13, 100%, $E$13)</f>
        <v>16.093</v>
      </c>
      <c r="D908" s="63">
        <f>16.1174 * CHOOSE(CONTROL!$C$22, $C$13, 100%, $E$13)</f>
        <v>16.1174</v>
      </c>
      <c r="E908" s="64">
        <f>18.9047 * CHOOSE(CONTROL!$C$22, $C$13, 100%, $E$13)</f>
        <v>18.904699999999998</v>
      </c>
      <c r="F908" s="64">
        <f>18.9047 * CHOOSE(CONTROL!$C$22, $C$13, 100%, $E$13)</f>
        <v>18.904699999999998</v>
      </c>
      <c r="G908" s="64">
        <f>18.9062 * CHOOSE(CONTROL!$C$22, $C$13, 100%, $E$13)</f>
        <v>18.906199999999998</v>
      </c>
      <c r="H908" s="64">
        <f>30.6228* CHOOSE(CONTROL!$C$22, $C$13, 100%, $E$13)</f>
        <v>30.622800000000002</v>
      </c>
      <c r="I908" s="64">
        <f>30.6243 * CHOOSE(CONTROL!$C$22, $C$13, 100%, $E$13)</f>
        <v>30.624300000000002</v>
      </c>
      <c r="J908" s="64">
        <f>18.9047 * CHOOSE(CONTROL!$C$22, $C$13, 100%, $E$13)</f>
        <v>18.904699999999998</v>
      </c>
      <c r="K908" s="64">
        <f>18.9062 * CHOOSE(CONTROL!$C$22, $C$13, 100%, $E$13)</f>
        <v>18.906199999999998</v>
      </c>
    </row>
    <row r="909" spans="1:11" ht="15">
      <c r="A909" s="13">
        <v>69307</v>
      </c>
      <c r="B909" s="63">
        <f>16.1276 * CHOOSE(CONTROL!$C$22, $C$13, 100%, $E$13)</f>
        <v>16.127600000000001</v>
      </c>
      <c r="C909" s="63">
        <f>16.1276 * CHOOSE(CONTROL!$C$22, $C$13, 100%, $E$13)</f>
        <v>16.127600000000001</v>
      </c>
      <c r="D909" s="63">
        <f>16.1398 * CHOOSE(CONTROL!$C$22, $C$13, 100%, $E$13)</f>
        <v>16.139800000000001</v>
      </c>
      <c r="E909" s="64">
        <f>18.9776 * CHOOSE(CONTROL!$C$22, $C$13, 100%, $E$13)</f>
        <v>18.977599999999999</v>
      </c>
      <c r="F909" s="64">
        <f>18.9776 * CHOOSE(CONTROL!$C$22, $C$13, 100%, $E$13)</f>
        <v>18.977599999999999</v>
      </c>
      <c r="G909" s="64">
        <f>18.9778 * CHOOSE(CONTROL!$C$22, $C$13, 100%, $E$13)</f>
        <v>18.977799999999998</v>
      </c>
      <c r="H909" s="64">
        <f>30.6866* CHOOSE(CONTROL!$C$22, $C$13, 100%, $E$13)</f>
        <v>30.686599999999999</v>
      </c>
      <c r="I909" s="64">
        <f>30.6868 * CHOOSE(CONTROL!$C$22, $C$13, 100%, $E$13)</f>
        <v>30.686800000000002</v>
      </c>
      <c r="J909" s="64">
        <f>18.9776 * CHOOSE(CONTROL!$C$22, $C$13, 100%, $E$13)</f>
        <v>18.977599999999999</v>
      </c>
      <c r="K909" s="64">
        <f>18.9778 * CHOOSE(CONTROL!$C$22, $C$13, 100%, $E$13)</f>
        <v>18.977799999999998</v>
      </c>
    </row>
    <row r="910" spans="1:11" ht="15">
      <c r="A910" s="13">
        <v>69338</v>
      </c>
      <c r="B910" s="63">
        <f>16.1306 * CHOOSE(CONTROL!$C$22, $C$13, 100%, $E$13)</f>
        <v>16.130600000000001</v>
      </c>
      <c r="C910" s="63">
        <f>16.1306 * CHOOSE(CONTROL!$C$22, $C$13, 100%, $E$13)</f>
        <v>16.130600000000001</v>
      </c>
      <c r="D910" s="63">
        <f>16.1429 * CHOOSE(CONTROL!$C$22, $C$13, 100%, $E$13)</f>
        <v>16.142900000000001</v>
      </c>
      <c r="E910" s="64">
        <f>19.0229 * CHOOSE(CONTROL!$C$22, $C$13, 100%, $E$13)</f>
        <v>19.0229</v>
      </c>
      <c r="F910" s="64">
        <f>19.0229 * CHOOSE(CONTROL!$C$22, $C$13, 100%, $E$13)</f>
        <v>19.0229</v>
      </c>
      <c r="G910" s="64">
        <f>19.0231 * CHOOSE(CONTROL!$C$22, $C$13, 100%, $E$13)</f>
        <v>19.023099999999999</v>
      </c>
      <c r="H910" s="64">
        <f>30.7505* CHOOSE(CONTROL!$C$22, $C$13, 100%, $E$13)</f>
        <v>30.750499999999999</v>
      </c>
      <c r="I910" s="64">
        <f>30.7507 * CHOOSE(CONTROL!$C$22, $C$13, 100%, $E$13)</f>
        <v>30.750699999999998</v>
      </c>
      <c r="J910" s="64">
        <f>19.0229 * CHOOSE(CONTROL!$C$22, $C$13, 100%, $E$13)</f>
        <v>19.0229</v>
      </c>
      <c r="K910" s="64">
        <f>19.0231 * CHOOSE(CONTROL!$C$22, $C$13, 100%, $E$13)</f>
        <v>19.023099999999999</v>
      </c>
    </row>
    <row r="911" spans="1:11" ht="15">
      <c r="A911" s="13">
        <v>69368</v>
      </c>
      <c r="B911" s="63">
        <f>16.1306 * CHOOSE(CONTROL!$C$22, $C$13, 100%, $E$13)</f>
        <v>16.130600000000001</v>
      </c>
      <c r="C911" s="63">
        <f>16.1306 * CHOOSE(CONTROL!$C$22, $C$13, 100%, $E$13)</f>
        <v>16.130600000000001</v>
      </c>
      <c r="D911" s="63">
        <f>16.1429 * CHOOSE(CONTROL!$C$22, $C$13, 100%, $E$13)</f>
        <v>16.142900000000001</v>
      </c>
      <c r="E911" s="64">
        <f>18.915 * CHOOSE(CONTROL!$C$22, $C$13, 100%, $E$13)</f>
        <v>18.914999999999999</v>
      </c>
      <c r="F911" s="64">
        <f>18.915 * CHOOSE(CONTROL!$C$22, $C$13, 100%, $E$13)</f>
        <v>18.914999999999999</v>
      </c>
      <c r="G911" s="64">
        <f>18.9151 * CHOOSE(CONTROL!$C$22, $C$13, 100%, $E$13)</f>
        <v>18.915099999999999</v>
      </c>
      <c r="H911" s="64">
        <f>30.8146* CHOOSE(CONTROL!$C$22, $C$13, 100%, $E$13)</f>
        <v>30.814599999999999</v>
      </c>
      <c r="I911" s="64">
        <f>30.8147 * CHOOSE(CONTROL!$C$22, $C$13, 100%, $E$13)</f>
        <v>30.814699999999998</v>
      </c>
      <c r="J911" s="64">
        <f>18.915 * CHOOSE(CONTROL!$C$22, $C$13, 100%, $E$13)</f>
        <v>18.914999999999999</v>
      </c>
      <c r="K911" s="64">
        <f>18.9151 * CHOOSE(CONTROL!$C$22, $C$13, 100%, $E$13)</f>
        <v>18.915099999999999</v>
      </c>
    </row>
    <row r="912" spans="1:11" ht="15">
      <c r="A912" s="13">
        <v>69399</v>
      </c>
      <c r="B912" s="63">
        <f>16.0794 * CHOOSE(CONTROL!$C$22, $C$13, 100%, $E$13)</f>
        <v>16.0794</v>
      </c>
      <c r="C912" s="63">
        <f>16.0794 * CHOOSE(CONTROL!$C$22, $C$13, 100%, $E$13)</f>
        <v>16.0794</v>
      </c>
      <c r="D912" s="63">
        <f>16.0916 * CHOOSE(CONTROL!$C$22, $C$13, 100%, $E$13)</f>
        <v>16.0916</v>
      </c>
      <c r="E912" s="64">
        <f>18.9289 * CHOOSE(CONTROL!$C$22, $C$13, 100%, $E$13)</f>
        <v>18.928899999999999</v>
      </c>
      <c r="F912" s="64">
        <f>18.9289 * CHOOSE(CONTROL!$C$22, $C$13, 100%, $E$13)</f>
        <v>18.928899999999999</v>
      </c>
      <c r="G912" s="64">
        <f>18.9291 * CHOOSE(CONTROL!$C$22, $C$13, 100%, $E$13)</f>
        <v>18.929099999999998</v>
      </c>
      <c r="H912" s="64">
        <f>30.563* CHOOSE(CONTROL!$C$22, $C$13, 100%, $E$13)</f>
        <v>30.562999999999999</v>
      </c>
      <c r="I912" s="64">
        <f>30.5632 * CHOOSE(CONTROL!$C$22, $C$13, 100%, $E$13)</f>
        <v>30.563199999999998</v>
      </c>
      <c r="J912" s="64">
        <f>18.9289 * CHOOSE(CONTROL!$C$22, $C$13, 100%, $E$13)</f>
        <v>18.928899999999999</v>
      </c>
      <c r="K912" s="64">
        <f>18.9291 * CHOOSE(CONTROL!$C$22, $C$13, 100%, $E$13)</f>
        <v>18.929099999999998</v>
      </c>
    </row>
    <row r="913" spans="1:11" ht="15">
      <c r="A913" s="13">
        <v>69430</v>
      </c>
      <c r="B913" s="63">
        <f>16.0763 * CHOOSE(CONTROL!$C$22, $C$13, 100%, $E$13)</f>
        <v>16.0763</v>
      </c>
      <c r="C913" s="63">
        <f>16.0763 * CHOOSE(CONTROL!$C$22, $C$13, 100%, $E$13)</f>
        <v>16.0763</v>
      </c>
      <c r="D913" s="63">
        <f>16.0885 * CHOOSE(CONTROL!$C$22, $C$13, 100%, $E$13)</f>
        <v>16.0885</v>
      </c>
      <c r="E913" s="64">
        <f>18.7196 * CHOOSE(CONTROL!$C$22, $C$13, 100%, $E$13)</f>
        <v>18.7196</v>
      </c>
      <c r="F913" s="64">
        <f>18.7196 * CHOOSE(CONTROL!$C$22, $C$13, 100%, $E$13)</f>
        <v>18.7196</v>
      </c>
      <c r="G913" s="64">
        <f>18.7198 * CHOOSE(CONTROL!$C$22, $C$13, 100%, $E$13)</f>
        <v>18.719799999999999</v>
      </c>
      <c r="H913" s="64">
        <f>30.6267* CHOOSE(CONTROL!$C$22, $C$13, 100%, $E$13)</f>
        <v>30.6267</v>
      </c>
      <c r="I913" s="64">
        <f>30.6269 * CHOOSE(CONTROL!$C$22, $C$13, 100%, $E$13)</f>
        <v>30.626899999999999</v>
      </c>
      <c r="J913" s="64">
        <f>18.7196 * CHOOSE(CONTROL!$C$22, $C$13, 100%, $E$13)</f>
        <v>18.7196</v>
      </c>
      <c r="K913" s="64">
        <f>18.7198 * CHOOSE(CONTROL!$C$22, $C$13, 100%, $E$13)</f>
        <v>18.719799999999999</v>
      </c>
    </row>
    <row r="914" spans="1:11" ht="15">
      <c r="A914" s="13">
        <v>69458</v>
      </c>
      <c r="B914" s="63">
        <f>16.0733 * CHOOSE(CONTROL!$C$22, $C$13, 100%, $E$13)</f>
        <v>16.0733</v>
      </c>
      <c r="C914" s="63">
        <f>16.0733 * CHOOSE(CONTROL!$C$22, $C$13, 100%, $E$13)</f>
        <v>16.0733</v>
      </c>
      <c r="D914" s="63">
        <f>16.0855 * CHOOSE(CONTROL!$C$22, $C$13, 100%, $E$13)</f>
        <v>16.0855</v>
      </c>
      <c r="E914" s="64">
        <f>18.8809 * CHOOSE(CONTROL!$C$22, $C$13, 100%, $E$13)</f>
        <v>18.8809</v>
      </c>
      <c r="F914" s="64">
        <f>18.8809 * CHOOSE(CONTROL!$C$22, $C$13, 100%, $E$13)</f>
        <v>18.8809</v>
      </c>
      <c r="G914" s="64">
        <f>18.881 * CHOOSE(CONTROL!$C$22, $C$13, 100%, $E$13)</f>
        <v>18.881</v>
      </c>
      <c r="H914" s="64">
        <f>30.6905* CHOOSE(CONTROL!$C$22, $C$13, 100%, $E$13)</f>
        <v>30.6905</v>
      </c>
      <c r="I914" s="64">
        <f>30.6907 * CHOOSE(CONTROL!$C$22, $C$13, 100%, $E$13)</f>
        <v>30.6907</v>
      </c>
      <c r="J914" s="64">
        <f>18.8809 * CHOOSE(CONTROL!$C$22, $C$13, 100%, $E$13)</f>
        <v>18.8809</v>
      </c>
      <c r="K914" s="64">
        <f>18.881 * CHOOSE(CONTROL!$C$22, $C$13, 100%, $E$13)</f>
        <v>18.881</v>
      </c>
    </row>
    <row r="915" spans="1:11" ht="15">
      <c r="A915" s="13">
        <v>69489</v>
      </c>
      <c r="B915" s="63">
        <f>16.0812 * CHOOSE(CONTROL!$C$22, $C$13, 100%, $E$13)</f>
        <v>16.081199999999999</v>
      </c>
      <c r="C915" s="63">
        <f>16.0812 * CHOOSE(CONTROL!$C$22, $C$13, 100%, $E$13)</f>
        <v>16.081199999999999</v>
      </c>
      <c r="D915" s="63">
        <f>16.0934 * CHOOSE(CONTROL!$C$22, $C$13, 100%, $E$13)</f>
        <v>16.093399999999999</v>
      </c>
      <c r="E915" s="64">
        <f>19.052 * CHOOSE(CONTROL!$C$22, $C$13, 100%, $E$13)</f>
        <v>19.052</v>
      </c>
      <c r="F915" s="64">
        <f>19.052 * CHOOSE(CONTROL!$C$22, $C$13, 100%, $E$13)</f>
        <v>19.052</v>
      </c>
      <c r="G915" s="64">
        <f>19.0522 * CHOOSE(CONTROL!$C$22, $C$13, 100%, $E$13)</f>
        <v>19.052199999999999</v>
      </c>
      <c r="H915" s="64">
        <f>30.7545* CHOOSE(CONTROL!$C$22, $C$13, 100%, $E$13)</f>
        <v>30.7545</v>
      </c>
      <c r="I915" s="64">
        <f>30.7546 * CHOOSE(CONTROL!$C$22, $C$13, 100%, $E$13)</f>
        <v>30.7546</v>
      </c>
      <c r="J915" s="64">
        <f>19.052 * CHOOSE(CONTROL!$C$22, $C$13, 100%, $E$13)</f>
        <v>19.052</v>
      </c>
      <c r="K915" s="64">
        <f>19.0522 * CHOOSE(CONTROL!$C$22, $C$13, 100%, $E$13)</f>
        <v>19.052199999999999</v>
      </c>
    </row>
    <row r="916" spans="1:11" ht="15">
      <c r="A916" s="13">
        <v>69519</v>
      </c>
      <c r="B916" s="63">
        <f>16.0812 * CHOOSE(CONTROL!$C$22, $C$13, 100%, $E$13)</f>
        <v>16.081199999999999</v>
      </c>
      <c r="C916" s="63">
        <f>16.0812 * CHOOSE(CONTROL!$C$22, $C$13, 100%, $E$13)</f>
        <v>16.081199999999999</v>
      </c>
      <c r="D916" s="63">
        <f>16.1056 * CHOOSE(CONTROL!$C$22, $C$13, 100%, $E$13)</f>
        <v>16.105599999999999</v>
      </c>
      <c r="E916" s="64">
        <f>19.1178 * CHOOSE(CONTROL!$C$22, $C$13, 100%, $E$13)</f>
        <v>19.117799999999999</v>
      </c>
      <c r="F916" s="64">
        <f>19.1178 * CHOOSE(CONTROL!$C$22, $C$13, 100%, $E$13)</f>
        <v>19.117799999999999</v>
      </c>
      <c r="G916" s="64">
        <f>19.1194 * CHOOSE(CONTROL!$C$22, $C$13, 100%, $E$13)</f>
        <v>19.119399999999999</v>
      </c>
      <c r="H916" s="64">
        <f>30.8185* CHOOSE(CONTROL!$C$22, $C$13, 100%, $E$13)</f>
        <v>30.8185</v>
      </c>
      <c r="I916" s="64">
        <f>30.8201 * CHOOSE(CONTROL!$C$22, $C$13, 100%, $E$13)</f>
        <v>30.8201</v>
      </c>
      <c r="J916" s="64">
        <f>19.1178 * CHOOSE(CONTROL!$C$22, $C$13, 100%, $E$13)</f>
        <v>19.117799999999999</v>
      </c>
      <c r="K916" s="64">
        <f>19.1194 * CHOOSE(CONTROL!$C$22, $C$13, 100%, $E$13)</f>
        <v>19.119399999999999</v>
      </c>
    </row>
    <row r="917" spans="1:11" ht="15">
      <c r="A917" s="13">
        <v>69550</v>
      </c>
      <c r="B917" s="63">
        <f>16.0873 * CHOOSE(CONTROL!$C$22, $C$13, 100%, $E$13)</f>
        <v>16.087299999999999</v>
      </c>
      <c r="C917" s="63">
        <f>16.0873 * CHOOSE(CONTROL!$C$22, $C$13, 100%, $E$13)</f>
        <v>16.087299999999999</v>
      </c>
      <c r="D917" s="63">
        <f>16.1117 * CHOOSE(CONTROL!$C$22, $C$13, 100%, $E$13)</f>
        <v>16.111699999999999</v>
      </c>
      <c r="E917" s="64">
        <f>19.0563 * CHOOSE(CONTROL!$C$22, $C$13, 100%, $E$13)</f>
        <v>19.0563</v>
      </c>
      <c r="F917" s="64">
        <f>19.0563 * CHOOSE(CONTROL!$C$22, $C$13, 100%, $E$13)</f>
        <v>19.0563</v>
      </c>
      <c r="G917" s="64">
        <f>19.0578 * CHOOSE(CONTROL!$C$22, $C$13, 100%, $E$13)</f>
        <v>19.0578</v>
      </c>
      <c r="H917" s="64">
        <f>30.8827* CHOOSE(CONTROL!$C$22, $C$13, 100%, $E$13)</f>
        <v>30.8827</v>
      </c>
      <c r="I917" s="64">
        <f>30.8843 * CHOOSE(CONTROL!$C$22, $C$13, 100%, $E$13)</f>
        <v>30.8843</v>
      </c>
      <c r="J917" s="64">
        <f>19.0563 * CHOOSE(CONTROL!$C$22, $C$13, 100%, $E$13)</f>
        <v>19.0563</v>
      </c>
      <c r="K917" s="64">
        <f>19.0578 * CHOOSE(CONTROL!$C$22, $C$13, 100%, $E$13)</f>
        <v>19.0578</v>
      </c>
    </row>
    <row r="918" spans="1:11" ht="15">
      <c r="A918" s="13">
        <v>69580</v>
      </c>
      <c r="B918" s="63">
        <f>16.3385 * CHOOSE(CONTROL!$C$22, $C$13, 100%, $E$13)</f>
        <v>16.3385</v>
      </c>
      <c r="C918" s="63">
        <f>16.3385 * CHOOSE(CONTROL!$C$22, $C$13, 100%, $E$13)</f>
        <v>16.3385</v>
      </c>
      <c r="D918" s="63">
        <f>16.3629 * CHOOSE(CONTROL!$C$22, $C$13, 100%, $E$13)</f>
        <v>16.3629</v>
      </c>
      <c r="E918" s="64">
        <f>19.4179 * CHOOSE(CONTROL!$C$22, $C$13, 100%, $E$13)</f>
        <v>19.417899999999999</v>
      </c>
      <c r="F918" s="64">
        <f>19.4179 * CHOOSE(CONTROL!$C$22, $C$13, 100%, $E$13)</f>
        <v>19.417899999999999</v>
      </c>
      <c r="G918" s="64">
        <f>19.4195 * CHOOSE(CONTROL!$C$22, $C$13, 100%, $E$13)</f>
        <v>19.419499999999999</v>
      </c>
      <c r="H918" s="64">
        <f>30.9471* CHOOSE(CONTROL!$C$22, $C$13, 100%, $E$13)</f>
        <v>30.947099999999999</v>
      </c>
      <c r="I918" s="64">
        <f>30.9486 * CHOOSE(CONTROL!$C$22, $C$13, 100%, $E$13)</f>
        <v>30.948599999999999</v>
      </c>
      <c r="J918" s="64">
        <f>19.4179 * CHOOSE(CONTROL!$C$22, $C$13, 100%, $E$13)</f>
        <v>19.417899999999999</v>
      </c>
      <c r="K918" s="64">
        <f>19.4195 * CHOOSE(CONTROL!$C$22, $C$13, 100%, $E$13)</f>
        <v>19.419499999999999</v>
      </c>
    </row>
    <row r="919" spans="1:11" ht="15">
      <c r="A919" s="13">
        <v>69611</v>
      </c>
      <c r="B919" s="63">
        <f>16.3452 * CHOOSE(CONTROL!$C$22, $C$13, 100%, $E$13)</f>
        <v>16.345199999999998</v>
      </c>
      <c r="C919" s="63">
        <f>16.3452 * CHOOSE(CONTROL!$C$22, $C$13, 100%, $E$13)</f>
        <v>16.345199999999998</v>
      </c>
      <c r="D919" s="63">
        <f>16.3696 * CHOOSE(CONTROL!$C$22, $C$13, 100%, $E$13)</f>
        <v>16.369599999999998</v>
      </c>
      <c r="E919" s="64">
        <f>19.2252 * CHOOSE(CONTROL!$C$22, $C$13, 100%, $E$13)</f>
        <v>19.225200000000001</v>
      </c>
      <c r="F919" s="64">
        <f>19.2252 * CHOOSE(CONTROL!$C$22, $C$13, 100%, $E$13)</f>
        <v>19.225200000000001</v>
      </c>
      <c r="G919" s="64">
        <f>19.2268 * CHOOSE(CONTROL!$C$22, $C$13, 100%, $E$13)</f>
        <v>19.226800000000001</v>
      </c>
      <c r="H919" s="64">
        <f>31.0115* CHOOSE(CONTROL!$C$22, $C$13, 100%, $E$13)</f>
        <v>31.011500000000002</v>
      </c>
      <c r="I919" s="64">
        <f>31.0131 * CHOOSE(CONTROL!$C$22, $C$13, 100%, $E$13)</f>
        <v>31.013100000000001</v>
      </c>
      <c r="J919" s="64">
        <f>19.2252 * CHOOSE(CONTROL!$C$22, $C$13, 100%, $E$13)</f>
        <v>19.225200000000001</v>
      </c>
      <c r="K919" s="64">
        <f>19.2268 * CHOOSE(CONTROL!$C$22, $C$13, 100%, $E$13)</f>
        <v>19.226800000000001</v>
      </c>
    </row>
    <row r="920" spans="1:11" ht="15">
      <c r="A920" s="13">
        <v>69642</v>
      </c>
      <c r="B920" s="63">
        <f>16.3422 * CHOOSE(CONTROL!$C$22, $C$13, 100%, $E$13)</f>
        <v>16.342199999999998</v>
      </c>
      <c r="C920" s="63">
        <f>16.3422 * CHOOSE(CONTROL!$C$22, $C$13, 100%, $E$13)</f>
        <v>16.342199999999998</v>
      </c>
      <c r="D920" s="63">
        <f>16.3666 * CHOOSE(CONTROL!$C$22, $C$13, 100%, $E$13)</f>
        <v>16.366599999999998</v>
      </c>
      <c r="E920" s="64">
        <f>19.2012 * CHOOSE(CONTROL!$C$22, $C$13, 100%, $E$13)</f>
        <v>19.2012</v>
      </c>
      <c r="F920" s="64">
        <f>19.2012 * CHOOSE(CONTROL!$C$22, $C$13, 100%, $E$13)</f>
        <v>19.2012</v>
      </c>
      <c r="G920" s="64">
        <f>19.2027 * CHOOSE(CONTROL!$C$22, $C$13, 100%, $E$13)</f>
        <v>19.2027</v>
      </c>
      <c r="H920" s="64">
        <f>31.0762* CHOOSE(CONTROL!$C$22, $C$13, 100%, $E$13)</f>
        <v>31.0762</v>
      </c>
      <c r="I920" s="64">
        <f>31.0777 * CHOOSE(CONTROL!$C$22, $C$13, 100%, $E$13)</f>
        <v>31.0777</v>
      </c>
      <c r="J920" s="64">
        <f>19.2012 * CHOOSE(CONTROL!$C$22, $C$13, 100%, $E$13)</f>
        <v>19.2012</v>
      </c>
      <c r="K920" s="64">
        <f>19.2027 * CHOOSE(CONTROL!$C$22, $C$13, 100%, $E$13)</f>
        <v>19.2027</v>
      </c>
    </row>
    <row r="921" spans="1:11" ht="15">
      <c r="A921" s="13">
        <v>69672</v>
      </c>
      <c r="B921" s="63">
        <f>16.3776 * CHOOSE(CONTROL!$C$22, $C$13, 100%, $E$13)</f>
        <v>16.377600000000001</v>
      </c>
      <c r="C921" s="63">
        <f>16.3776 * CHOOSE(CONTROL!$C$22, $C$13, 100%, $E$13)</f>
        <v>16.377600000000001</v>
      </c>
      <c r="D921" s="63">
        <f>16.3898 * CHOOSE(CONTROL!$C$22, $C$13, 100%, $E$13)</f>
        <v>16.389800000000001</v>
      </c>
      <c r="E921" s="64">
        <f>19.2754 * CHOOSE(CONTROL!$C$22, $C$13, 100%, $E$13)</f>
        <v>19.275400000000001</v>
      </c>
      <c r="F921" s="64">
        <f>19.2754 * CHOOSE(CONTROL!$C$22, $C$13, 100%, $E$13)</f>
        <v>19.275400000000001</v>
      </c>
      <c r="G921" s="64">
        <f>19.2756 * CHOOSE(CONTROL!$C$22, $C$13, 100%, $E$13)</f>
        <v>19.275600000000001</v>
      </c>
      <c r="H921" s="64">
        <f>31.1409* CHOOSE(CONTROL!$C$22, $C$13, 100%, $E$13)</f>
        <v>31.140899999999998</v>
      </c>
      <c r="I921" s="64">
        <f>31.1411 * CHOOSE(CONTROL!$C$22, $C$13, 100%, $E$13)</f>
        <v>31.141100000000002</v>
      </c>
      <c r="J921" s="64">
        <f>19.2754 * CHOOSE(CONTROL!$C$22, $C$13, 100%, $E$13)</f>
        <v>19.275400000000001</v>
      </c>
      <c r="K921" s="64">
        <f>19.2756 * CHOOSE(CONTROL!$C$22, $C$13, 100%, $E$13)</f>
        <v>19.275600000000001</v>
      </c>
    </row>
    <row r="922" spans="1:11" ht="15">
      <c r="A922" s="13">
        <v>69703</v>
      </c>
      <c r="B922" s="63">
        <f>16.3807 * CHOOSE(CONTROL!$C$22, $C$13, 100%, $E$13)</f>
        <v>16.380700000000001</v>
      </c>
      <c r="C922" s="63">
        <f>16.3807 * CHOOSE(CONTROL!$C$22, $C$13, 100%, $E$13)</f>
        <v>16.380700000000001</v>
      </c>
      <c r="D922" s="63">
        <f>16.3929 * CHOOSE(CONTROL!$C$22, $C$13, 100%, $E$13)</f>
        <v>16.392900000000001</v>
      </c>
      <c r="E922" s="64">
        <f>19.3214 * CHOOSE(CONTROL!$C$22, $C$13, 100%, $E$13)</f>
        <v>19.321400000000001</v>
      </c>
      <c r="F922" s="64">
        <f>19.3214 * CHOOSE(CONTROL!$C$22, $C$13, 100%, $E$13)</f>
        <v>19.321400000000001</v>
      </c>
      <c r="G922" s="64">
        <f>19.3216 * CHOOSE(CONTROL!$C$22, $C$13, 100%, $E$13)</f>
        <v>19.3216</v>
      </c>
      <c r="H922" s="64">
        <f>31.2058* CHOOSE(CONTROL!$C$22, $C$13, 100%, $E$13)</f>
        <v>31.2058</v>
      </c>
      <c r="I922" s="64">
        <f>31.206 * CHOOSE(CONTROL!$C$22, $C$13, 100%, $E$13)</f>
        <v>31.206</v>
      </c>
      <c r="J922" s="64">
        <f>19.3214 * CHOOSE(CONTROL!$C$22, $C$13, 100%, $E$13)</f>
        <v>19.321400000000001</v>
      </c>
      <c r="K922" s="64">
        <f>19.3216 * CHOOSE(CONTROL!$C$22, $C$13, 100%, $E$13)</f>
        <v>19.3216</v>
      </c>
    </row>
    <row r="923" spans="1:11" ht="15">
      <c r="A923" s="13">
        <v>69733</v>
      </c>
      <c r="B923" s="63">
        <f>16.3807 * CHOOSE(CONTROL!$C$22, $C$13, 100%, $E$13)</f>
        <v>16.380700000000001</v>
      </c>
      <c r="C923" s="63">
        <f>16.3807 * CHOOSE(CONTROL!$C$22, $C$13, 100%, $E$13)</f>
        <v>16.380700000000001</v>
      </c>
      <c r="D923" s="63">
        <f>16.3929 * CHOOSE(CONTROL!$C$22, $C$13, 100%, $E$13)</f>
        <v>16.392900000000001</v>
      </c>
      <c r="E923" s="64">
        <f>19.2118 * CHOOSE(CONTROL!$C$22, $C$13, 100%, $E$13)</f>
        <v>19.2118</v>
      </c>
      <c r="F923" s="64">
        <f>19.2118 * CHOOSE(CONTROL!$C$22, $C$13, 100%, $E$13)</f>
        <v>19.2118</v>
      </c>
      <c r="G923" s="64">
        <f>19.212 * CHOOSE(CONTROL!$C$22, $C$13, 100%, $E$13)</f>
        <v>19.212</v>
      </c>
      <c r="H923" s="64">
        <f>31.2708* CHOOSE(CONTROL!$C$22, $C$13, 100%, $E$13)</f>
        <v>31.270800000000001</v>
      </c>
      <c r="I923" s="64">
        <f>31.271 * CHOOSE(CONTROL!$C$22, $C$13, 100%, $E$13)</f>
        <v>31.271000000000001</v>
      </c>
      <c r="J923" s="64">
        <f>19.2118 * CHOOSE(CONTROL!$C$22, $C$13, 100%, $E$13)</f>
        <v>19.2118</v>
      </c>
      <c r="K923" s="64">
        <f>19.212 * CHOOSE(CONTROL!$C$22, $C$13, 100%, $E$13)</f>
        <v>19.212</v>
      </c>
    </row>
    <row r="924" spans="1:11" ht="15">
      <c r="A924" s="13">
        <v>69764</v>
      </c>
      <c r="B924" s="63">
        <f>16.3247 * CHOOSE(CONTROL!$C$22, $C$13, 100%, $E$13)</f>
        <v>16.3247</v>
      </c>
      <c r="C924" s="63">
        <f>16.3247 * CHOOSE(CONTROL!$C$22, $C$13, 100%, $E$13)</f>
        <v>16.3247</v>
      </c>
      <c r="D924" s="63">
        <f>16.3369 * CHOOSE(CONTROL!$C$22, $C$13, 100%, $E$13)</f>
        <v>16.3369</v>
      </c>
      <c r="E924" s="64">
        <f>19.2214 * CHOOSE(CONTROL!$C$22, $C$13, 100%, $E$13)</f>
        <v>19.221399999999999</v>
      </c>
      <c r="F924" s="64">
        <f>19.2214 * CHOOSE(CONTROL!$C$22, $C$13, 100%, $E$13)</f>
        <v>19.221399999999999</v>
      </c>
      <c r="G924" s="64">
        <f>19.2215 * CHOOSE(CONTROL!$C$22, $C$13, 100%, $E$13)</f>
        <v>19.221499999999999</v>
      </c>
      <c r="H924" s="64">
        <f>31.0089* CHOOSE(CONTROL!$C$22, $C$13, 100%, $E$13)</f>
        <v>31.008900000000001</v>
      </c>
      <c r="I924" s="64">
        <f>31.0091 * CHOOSE(CONTROL!$C$22, $C$13, 100%, $E$13)</f>
        <v>31.0091</v>
      </c>
      <c r="J924" s="64">
        <f>19.2214 * CHOOSE(CONTROL!$C$22, $C$13, 100%, $E$13)</f>
        <v>19.221399999999999</v>
      </c>
      <c r="K924" s="64">
        <f>19.2215 * CHOOSE(CONTROL!$C$22, $C$13, 100%, $E$13)</f>
        <v>19.221499999999999</v>
      </c>
    </row>
    <row r="925" spans="1:11" ht="15">
      <c r="A925" s="13">
        <v>69795</v>
      </c>
      <c r="B925" s="63">
        <f>16.3216 * CHOOSE(CONTROL!$C$22, $C$13, 100%, $E$13)</f>
        <v>16.3216</v>
      </c>
      <c r="C925" s="63">
        <f>16.3216 * CHOOSE(CONTROL!$C$22, $C$13, 100%, $E$13)</f>
        <v>16.3216</v>
      </c>
      <c r="D925" s="63">
        <f>16.3339 * CHOOSE(CONTROL!$C$22, $C$13, 100%, $E$13)</f>
        <v>16.3339</v>
      </c>
      <c r="E925" s="64">
        <f>19.0088 * CHOOSE(CONTROL!$C$22, $C$13, 100%, $E$13)</f>
        <v>19.008800000000001</v>
      </c>
      <c r="F925" s="64">
        <f>19.0088 * CHOOSE(CONTROL!$C$22, $C$13, 100%, $E$13)</f>
        <v>19.008800000000001</v>
      </c>
      <c r="G925" s="64">
        <f>19.009 * CHOOSE(CONTROL!$C$22, $C$13, 100%, $E$13)</f>
        <v>19.009</v>
      </c>
      <c r="H925" s="64">
        <f>31.0735* CHOOSE(CONTROL!$C$22, $C$13, 100%, $E$13)</f>
        <v>31.073499999999999</v>
      </c>
      <c r="I925" s="64">
        <f>31.0737 * CHOOSE(CONTROL!$C$22, $C$13, 100%, $E$13)</f>
        <v>31.073699999999999</v>
      </c>
      <c r="J925" s="64">
        <f>19.0088 * CHOOSE(CONTROL!$C$22, $C$13, 100%, $E$13)</f>
        <v>19.008800000000001</v>
      </c>
      <c r="K925" s="64">
        <f>19.009 * CHOOSE(CONTROL!$C$22, $C$13, 100%, $E$13)</f>
        <v>19.009</v>
      </c>
    </row>
    <row r="926" spans="1:11" ht="15">
      <c r="A926" s="13">
        <v>69823</v>
      </c>
      <c r="B926" s="63">
        <f>16.3186 * CHOOSE(CONTROL!$C$22, $C$13, 100%, $E$13)</f>
        <v>16.3186</v>
      </c>
      <c r="C926" s="63">
        <f>16.3186 * CHOOSE(CONTROL!$C$22, $C$13, 100%, $E$13)</f>
        <v>16.3186</v>
      </c>
      <c r="D926" s="63">
        <f>16.3308 * CHOOSE(CONTROL!$C$22, $C$13, 100%, $E$13)</f>
        <v>16.3308</v>
      </c>
      <c r="E926" s="64">
        <f>19.1726 * CHOOSE(CONTROL!$C$22, $C$13, 100%, $E$13)</f>
        <v>19.172599999999999</v>
      </c>
      <c r="F926" s="64">
        <f>19.1726 * CHOOSE(CONTROL!$C$22, $C$13, 100%, $E$13)</f>
        <v>19.172599999999999</v>
      </c>
      <c r="G926" s="64">
        <f>19.1728 * CHOOSE(CONTROL!$C$22, $C$13, 100%, $E$13)</f>
        <v>19.172799999999999</v>
      </c>
      <c r="H926" s="64">
        <f>31.1383* CHOOSE(CONTROL!$C$22, $C$13, 100%, $E$13)</f>
        <v>31.138300000000001</v>
      </c>
      <c r="I926" s="64">
        <f>31.1384 * CHOOSE(CONTROL!$C$22, $C$13, 100%, $E$13)</f>
        <v>31.138400000000001</v>
      </c>
      <c r="J926" s="64">
        <f>19.1726 * CHOOSE(CONTROL!$C$22, $C$13, 100%, $E$13)</f>
        <v>19.172599999999999</v>
      </c>
      <c r="K926" s="64">
        <f>19.1728 * CHOOSE(CONTROL!$C$22, $C$13, 100%, $E$13)</f>
        <v>19.172799999999999</v>
      </c>
    </row>
    <row r="927" spans="1:11" ht="15">
      <c r="A927" s="13">
        <v>69854</v>
      </c>
      <c r="B927" s="63">
        <f>16.3267 * CHOOSE(CONTROL!$C$22, $C$13, 100%, $E$13)</f>
        <v>16.326699999999999</v>
      </c>
      <c r="C927" s="63">
        <f>16.3267 * CHOOSE(CONTROL!$C$22, $C$13, 100%, $E$13)</f>
        <v>16.326699999999999</v>
      </c>
      <c r="D927" s="63">
        <f>16.339 * CHOOSE(CONTROL!$C$22, $C$13, 100%, $E$13)</f>
        <v>16.338999999999999</v>
      </c>
      <c r="E927" s="64">
        <f>19.3465 * CHOOSE(CONTROL!$C$22, $C$13, 100%, $E$13)</f>
        <v>19.346499999999999</v>
      </c>
      <c r="F927" s="64">
        <f>19.3465 * CHOOSE(CONTROL!$C$22, $C$13, 100%, $E$13)</f>
        <v>19.346499999999999</v>
      </c>
      <c r="G927" s="64">
        <f>19.3467 * CHOOSE(CONTROL!$C$22, $C$13, 100%, $E$13)</f>
        <v>19.346699999999998</v>
      </c>
      <c r="H927" s="64">
        <f>31.2031* CHOOSE(CONTROL!$C$22, $C$13, 100%, $E$13)</f>
        <v>31.203099999999999</v>
      </c>
      <c r="I927" s="64">
        <f>31.2033 * CHOOSE(CONTROL!$C$22, $C$13, 100%, $E$13)</f>
        <v>31.203299999999999</v>
      </c>
      <c r="J927" s="64">
        <f>19.3465 * CHOOSE(CONTROL!$C$22, $C$13, 100%, $E$13)</f>
        <v>19.346499999999999</v>
      </c>
      <c r="K927" s="64">
        <f>19.3467 * CHOOSE(CONTROL!$C$22, $C$13, 100%, $E$13)</f>
        <v>19.346699999999998</v>
      </c>
    </row>
    <row r="928" spans="1:11" ht="15">
      <c r="A928" s="13">
        <v>69884</v>
      </c>
      <c r="B928" s="63">
        <f>16.3267 * CHOOSE(CONTROL!$C$22, $C$13, 100%, $E$13)</f>
        <v>16.326699999999999</v>
      </c>
      <c r="C928" s="63">
        <f>16.3267 * CHOOSE(CONTROL!$C$22, $C$13, 100%, $E$13)</f>
        <v>16.326699999999999</v>
      </c>
      <c r="D928" s="63">
        <f>16.3512 * CHOOSE(CONTROL!$C$22, $C$13, 100%, $E$13)</f>
        <v>16.351199999999999</v>
      </c>
      <c r="E928" s="64">
        <f>19.4133 * CHOOSE(CONTROL!$C$22, $C$13, 100%, $E$13)</f>
        <v>19.4133</v>
      </c>
      <c r="F928" s="64">
        <f>19.4133 * CHOOSE(CONTROL!$C$22, $C$13, 100%, $E$13)</f>
        <v>19.4133</v>
      </c>
      <c r="G928" s="64">
        <f>19.4148 * CHOOSE(CONTROL!$C$22, $C$13, 100%, $E$13)</f>
        <v>19.4148</v>
      </c>
      <c r="H928" s="64">
        <f>31.2681* CHOOSE(CONTROL!$C$22, $C$13, 100%, $E$13)</f>
        <v>31.2681</v>
      </c>
      <c r="I928" s="64">
        <f>31.2697 * CHOOSE(CONTROL!$C$22, $C$13, 100%, $E$13)</f>
        <v>31.2697</v>
      </c>
      <c r="J928" s="64">
        <f>19.4133 * CHOOSE(CONTROL!$C$22, $C$13, 100%, $E$13)</f>
        <v>19.4133</v>
      </c>
      <c r="K928" s="64">
        <f>19.4148 * CHOOSE(CONTROL!$C$22, $C$13, 100%, $E$13)</f>
        <v>19.4148</v>
      </c>
    </row>
    <row r="929" spans="1:11" ht="15">
      <c r="A929" s="13">
        <v>69915</v>
      </c>
      <c r="B929" s="63">
        <f>16.3328 * CHOOSE(CONTROL!$C$22, $C$13, 100%, $E$13)</f>
        <v>16.332799999999999</v>
      </c>
      <c r="C929" s="63">
        <f>16.3328 * CHOOSE(CONTROL!$C$22, $C$13, 100%, $E$13)</f>
        <v>16.332799999999999</v>
      </c>
      <c r="D929" s="63">
        <f>16.3572 * CHOOSE(CONTROL!$C$22, $C$13, 100%, $E$13)</f>
        <v>16.357199999999999</v>
      </c>
      <c r="E929" s="64">
        <f>19.3507 * CHOOSE(CONTROL!$C$22, $C$13, 100%, $E$13)</f>
        <v>19.3507</v>
      </c>
      <c r="F929" s="64">
        <f>19.3507 * CHOOSE(CONTROL!$C$22, $C$13, 100%, $E$13)</f>
        <v>19.3507</v>
      </c>
      <c r="G929" s="64">
        <f>19.3523 * CHOOSE(CONTROL!$C$22, $C$13, 100%, $E$13)</f>
        <v>19.3523</v>
      </c>
      <c r="H929" s="64">
        <f>31.3333* CHOOSE(CONTROL!$C$22, $C$13, 100%, $E$13)</f>
        <v>31.333300000000001</v>
      </c>
      <c r="I929" s="64">
        <f>31.3349 * CHOOSE(CONTROL!$C$22, $C$13, 100%, $E$13)</f>
        <v>31.334900000000001</v>
      </c>
      <c r="J929" s="64">
        <f>19.3507 * CHOOSE(CONTROL!$C$22, $C$13, 100%, $E$13)</f>
        <v>19.3507</v>
      </c>
      <c r="K929" s="64">
        <f>19.3523 * CHOOSE(CONTROL!$C$22, $C$13, 100%, $E$13)</f>
        <v>19.3523</v>
      </c>
    </row>
    <row r="930" spans="1:11" ht="15">
      <c r="A930" s="13">
        <v>69945</v>
      </c>
      <c r="B930" s="63">
        <f>16.5877 * CHOOSE(CONTROL!$C$22, $C$13, 100%, $E$13)</f>
        <v>16.587700000000002</v>
      </c>
      <c r="C930" s="63">
        <f>16.5877 * CHOOSE(CONTROL!$C$22, $C$13, 100%, $E$13)</f>
        <v>16.587700000000002</v>
      </c>
      <c r="D930" s="63">
        <f>16.6122 * CHOOSE(CONTROL!$C$22, $C$13, 100%, $E$13)</f>
        <v>16.612200000000001</v>
      </c>
      <c r="E930" s="64">
        <f>19.7178 * CHOOSE(CONTROL!$C$22, $C$13, 100%, $E$13)</f>
        <v>19.7178</v>
      </c>
      <c r="F930" s="64">
        <f>19.7178 * CHOOSE(CONTROL!$C$22, $C$13, 100%, $E$13)</f>
        <v>19.7178</v>
      </c>
      <c r="G930" s="64">
        <f>19.7193 * CHOOSE(CONTROL!$C$22, $C$13, 100%, $E$13)</f>
        <v>19.7193</v>
      </c>
      <c r="H930" s="64">
        <f>31.3986* CHOOSE(CONTROL!$C$22, $C$13, 100%, $E$13)</f>
        <v>31.398599999999998</v>
      </c>
      <c r="I930" s="64">
        <f>31.4001 * CHOOSE(CONTROL!$C$22, $C$13, 100%, $E$13)</f>
        <v>31.400099999999998</v>
      </c>
      <c r="J930" s="64">
        <f>19.7178 * CHOOSE(CONTROL!$C$22, $C$13, 100%, $E$13)</f>
        <v>19.7178</v>
      </c>
      <c r="K930" s="64">
        <f>19.7193 * CHOOSE(CONTROL!$C$22, $C$13, 100%, $E$13)</f>
        <v>19.7193</v>
      </c>
    </row>
    <row r="931" spans="1:11" ht="15">
      <c r="A931" s="13">
        <v>69976</v>
      </c>
      <c r="B931" s="63">
        <f>16.5944 * CHOOSE(CONTROL!$C$22, $C$13, 100%, $E$13)</f>
        <v>16.5944</v>
      </c>
      <c r="C931" s="63">
        <f>16.5944 * CHOOSE(CONTROL!$C$22, $C$13, 100%, $E$13)</f>
        <v>16.5944</v>
      </c>
      <c r="D931" s="63">
        <f>16.6188 * CHOOSE(CONTROL!$C$22, $C$13, 100%, $E$13)</f>
        <v>16.6188</v>
      </c>
      <c r="E931" s="64">
        <f>19.522 * CHOOSE(CONTROL!$C$22, $C$13, 100%, $E$13)</f>
        <v>19.521999999999998</v>
      </c>
      <c r="F931" s="64">
        <f>19.522 * CHOOSE(CONTROL!$C$22, $C$13, 100%, $E$13)</f>
        <v>19.521999999999998</v>
      </c>
      <c r="G931" s="64">
        <f>19.5236 * CHOOSE(CONTROL!$C$22, $C$13, 100%, $E$13)</f>
        <v>19.523599999999998</v>
      </c>
      <c r="H931" s="64">
        <f>31.464* CHOOSE(CONTROL!$C$22, $C$13, 100%, $E$13)</f>
        <v>31.463999999999999</v>
      </c>
      <c r="I931" s="64">
        <f>31.4655 * CHOOSE(CONTROL!$C$22, $C$13, 100%, $E$13)</f>
        <v>31.465499999999999</v>
      </c>
      <c r="J931" s="64">
        <f>19.522 * CHOOSE(CONTROL!$C$22, $C$13, 100%, $E$13)</f>
        <v>19.521999999999998</v>
      </c>
      <c r="K931" s="64">
        <f>19.5236 * CHOOSE(CONTROL!$C$22, $C$13, 100%, $E$13)</f>
        <v>19.523599999999998</v>
      </c>
    </row>
    <row r="932" spans="1:11" ht="15">
      <c r="A932" s="13">
        <v>70007</v>
      </c>
      <c r="B932" s="63">
        <f>16.5914 * CHOOSE(CONTROL!$C$22, $C$13, 100%, $E$13)</f>
        <v>16.5914</v>
      </c>
      <c r="C932" s="63">
        <f>16.5914 * CHOOSE(CONTROL!$C$22, $C$13, 100%, $E$13)</f>
        <v>16.5914</v>
      </c>
      <c r="D932" s="63">
        <f>16.6158 * CHOOSE(CONTROL!$C$22, $C$13, 100%, $E$13)</f>
        <v>16.6158</v>
      </c>
      <c r="E932" s="64">
        <f>19.4976 * CHOOSE(CONTROL!$C$22, $C$13, 100%, $E$13)</f>
        <v>19.497599999999998</v>
      </c>
      <c r="F932" s="64">
        <f>19.4976 * CHOOSE(CONTROL!$C$22, $C$13, 100%, $E$13)</f>
        <v>19.497599999999998</v>
      </c>
      <c r="G932" s="64">
        <f>19.4992 * CHOOSE(CONTROL!$C$22, $C$13, 100%, $E$13)</f>
        <v>19.499199999999998</v>
      </c>
      <c r="H932" s="64">
        <f>31.5295* CHOOSE(CONTROL!$C$22, $C$13, 100%, $E$13)</f>
        <v>31.529499999999999</v>
      </c>
      <c r="I932" s="64">
        <f>31.5311 * CHOOSE(CONTROL!$C$22, $C$13, 100%, $E$13)</f>
        <v>31.531099999999999</v>
      </c>
      <c r="J932" s="64">
        <f>19.4976 * CHOOSE(CONTROL!$C$22, $C$13, 100%, $E$13)</f>
        <v>19.497599999999998</v>
      </c>
      <c r="K932" s="64">
        <f>19.4992 * CHOOSE(CONTROL!$C$22, $C$13, 100%, $E$13)</f>
        <v>19.499199999999998</v>
      </c>
    </row>
    <row r="933" spans="1:11" ht="15">
      <c r="A933" s="13">
        <v>70037</v>
      </c>
      <c r="B933" s="63">
        <f>16.6276 * CHOOSE(CONTROL!$C$22, $C$13, 100%, $E$13)</f>
        <v>16.627600000000001</v>
      </c>
      <c r="C933" s="63">
        <f>16.6276 * CHOOSE(CONTROL!$C$22, $C$13, 100%, $E$13)</f>
        <v>16.627600000000001</v>
      </c>
      <c r="D933" s="63">
        <f>16.6399 * CHOOSE(CONTROL!$C$22, $C$13, 100%, $E$13)</f>
        <v>16.639900000000001</v>
      </c>
      <c r="E933" s="64">
        <f>19.5733 * CHOOSE(CONTROL!$C$22, $C$13, 100%, $E$13)</f>
        <v>19.5733</v>
      </c>
      <c r="F933" s="64">
        <f>19.5733 * CHOOSE(CONTROL!$C$22, $C$13, 100%, $E$13)</f>
        <v>19.5733</v>
      </c>
      <c r="G933" s="64">
        <f>19.5735 * CHOOSE(CONTROL!$C$22, $C$13, 100%, $E$13)</f>
        <v>19.573499999999999</v>
      </c>
      <c r="H933" s="64">
        <f>31.5952* CHOOSE(CONTROL!$C$22, $C$13, 100%, $E$13)</f>
        <v>31.595199999999998</v>
      </c>
      <c r="I933" s="64">
        <f>31.5954 * CHOOSE(CONTROL!$C$22, $C$13, 100%, $E$13)</f>
        <v>31.595400000000001</v>
      </c>
      <c r="J933" s="64">
        <f>19.5733 * CHOOSE(CONTROL!$C$22, $C$13, 100%, $E$13)</f>
        <v>19.5733</v>
      </c>
      <c r="K933" s="64">
        <f>19.5735 * CHOOSE(CONTROL!$C$22, $C$13, 100%, $E$13)</f>
        <v>19.573499999999999</v>
      </c>
    </row>
    <row r="934" spans="1:11" ht="15">
      <c r="A934" s="13">
        <v>70068</v>
      </c>
      <c r="B934" s="63">
        <f>16.6307 * CHOOSE(CONTROL!$C$22, $C$13, 100%, $E$13)</f>
        <v>16.630700000000001</v>
      </c>
      <c r="C934" s="63">
        <f>16.6307 * CHOOSE(CONTROL!$C$22, $C$13, 100%, $E$13)</f>
        <v>16.630700000000001</v>
      </c>
      <c r="D934" s="63">
        <f>16.6429 * CHOOSE(CONTROL!$C$22, $C$13, 100%, $E$13)</f>
        <v>16.642900000000001</v>
      </c>
      <c r="E934" s="64">
        <f>19.6199 * CHOOSE(CONTROL!$C$22, $C$13, 100%, $E$13)</f>
        <v>19.619900000000001</v>
      </c>
      <c r="F934" s="64">
        <f>19.6199 * CHOOSE(CONTROL!$C$22, $C$13, 100%, $E$13)</f>
        <v>19.619900000000001</v>
      </c>
      <c r="G934" s="64">
        <f>19.6201 * CHOOSE(CONTROL!$C$22, $C$13, 100%, $E$13)</f>
        <v>19.620100000000001</v>
      </c>
      <c r="H934" s="64">
        <f>31.661* CHOOSE(CONTROL!$C$22, $C$13, 100%, $E$13)</f>
        <v>31.661000000000001</v>
      </c>
      <c r="I934" s="64">
        <f>31.6612 * CHOOSE(CONTROL!$C$22, $C$13, 100%, $E$13)</f>
        <v>31.661200000000001</v>
      </c>
      <c r="J934" s="64">
        <f>19.6199 * CHOOSE(CONTROL!$C$22, $C$13, 100%, $E$13)</f>
        <v>19.619900000000001</v>
      </c>
      <c r="K934" s="64">
        <f>19.6201 * CHOOSE(CONTROL!$C$22, $C$13, 100%, $E$13)</f>
        <v>19.620100000000001</v>
      </c>
    </row>
    <row r="935" spans="1:11" ht="15">
      <c r="A935" s="13">
        <v>70098</v>
      </c>
      <c r="B935" s="63">
        <f>16.6307 * CHOOSE(CONTROL!$C$22, $C$13, 100%, $E$13)</f>
        <v>16.630700000000001</v>
      </c>
      <c r="C935" s="63">
        <f>16.6307 * CHOOSE(CONTROL!$C$22, $C$13, 100%, $E$13)</f>
        <v>16.630700000000001</v>
      </c>
      <c r="D935" s="63">
        <f>16.6429 * CHOOSE(CONTROL!$C$22, $C$13, 100%, $E$13)</f>
        <v>16.642900000000001</v>
      </c>
      <c r="E935" s="64">
        <f>19.5086 * CHOOSE(CONTROL!$C$22, $C$13, 100%, $E$13)</f>
        <v>19.508600000000001</v>
      </c>
      <c r="F935" s="64">
        <f>19.5086 * CHOOSE(CONTROL!$C$22, $C$13, 100%, $E$13)</f>
        <v>19.508600000000001</v>
      </c>
      <c r="G935" s="64">
        <f>19.5088 * CHOOSE(CONTROL!$C$22, $C$13, 100%, $E$13)</f>
        <v>19.508800000000001</v>
      </c>
      <c r="H935" s="64">
        <f>31.727* CHOOSE(CONTROL!$C$22, $C$13, 100%, $E$13)</f>
        <v>31.727</v>
      </c>
      <c r="I935" s="64">
        <f>31.7272 * CHOOSE(CONTROL!$C$22, $C$13, 100%, $E$13)</f>
        <v>31.7272</v>
      </c>
      <c r="J935" s="64">
        <f>19.5086 * CHOOSE(CONTROL!$C$22, $C$13, 100%, $E$13)</f>
        <v>19.508600000000001</v>
      </c>
      <c r="K935" s="64">
        <f>19.5088 * CHOOSE(CONTROL!$C$22, $C$13, 100%, $E$13)</f>
        <v>19.508800000000001</v>
      </c>
    </row>
    <row r="936" spans="1:11" ht="15">
      <c r="A936" s="13">
        <v>70129</v>
      </c>
      <c r="B936" s="63">
        <f>16.57 * CHOOSE(CONTROL!$C$22, $C$13, 100%, $E$13)</f>
        <v>16.57</v>
      </c>
      <c r="C936" s="63">
        <f>16.57 * CHOOSE(CONTROL!$C$22, $C$13, 100%, $E$13)</f>
        <v>16.57</v>
      </c>
      <c r="D936" s="63">
        <f>16.5822 * CHOOSE(CONTROL!$C$22, $C$13, 100%, $E$13)</f>
        <v>16.5822</v>
      </c>
      <c r="E936" s="64">
        <f>19.5138 * CHOOSE(CONTROL!$C$22, $C$13, 100%, $E$13)</f>
        <v>19.5138</v>
      </c>
      <c r="F936" s="64">
        <f>19.5138 * CHOOSE(CONTROL!$C$22, $C$13, 100%, $E$13)</f>
        <v>19.5138</v>
      </c>
      <c r="G936" s="64">
        <f>19.5139 * CHOOSE(CONTROL!$C$22, $C$13, 100%, $E$13)</f>
        <v>19.5139</v>
      </c>
      <c r="H936" s="64">
        <f>31.4548* CHOOSE(CONTROL!$C$22, $C$13, 100%, $E$13)</f>
        <v>31.454799999999999</v>
      </c>
      <c r="I936" s="64">
        <f>31.455 * CHOOSE(CONTROL!$C$22, $C$13, 100%, $E$13)</f>
        <v>31.454999999999998</v>
      </c>
      <c r="J936" s="64">
        <f>19.5138 * CHOOSE(CONTROL!$C$22, $C$13, 100%, $E$13)</f>
        <v>19.5138</v>
      </c>
      <c r="K936" s="64">
        <f>19.5139 * CHOOSE(CONTROL!$C$22, $C$13, 100%, $E$13)</f>
        <v>19.5139</v>
      </c>
    </row>
    <row r="937" spans="1:11" ht="15">
      <c r="A937" s="13">
        <v>70160</v>
      </c>
      <c r="B937" s="63">
        <f>16.567 * CHOOSE(CONTROL!$C$22, $C$13, 100%, $E$13)</f>
        <v>16.567</v>
      </c>
      <c r="C937" s="63">
        <f>16.567 * CHOOSE(CONTROL!$C$22, $C$13, 100%, $E$13)</f>
        <v>16.567</v>
      </c>
      <c r="D937" s="63">
        <f>16.5792 * CHOOSE(CONTROL!$C$22, $C$13, 100%, $E$13)</f>
        <v>16.5792</v>
      </c>
      <c r="E937" s="64">
        <f>19.298 * CHOOSE(CONTROL!$C$22, $C$13, 100%, $E$13)</f>
        <v>19.297999999999998</v>
      </c>
      <c r="F937" s="64">
        <f>19.298 * CHOOSE(CONTROL!$C$22, $C$13, 100%, $E$13)</f>
        <v>19.297999999999998</v>
      </c>
      <c r="G937" s="64">
        <f>19.2982 * CHOOSE(CONTROL!$C$22, $C$13, 100%, $E$13)</f>
        <v>19.298200000000001</v>
      </c>
      <c r="H937" s="64">
        <f>31.5204* CHOOSE(CONTROL!$C$22, $C$13, 100%, $E$13)</f>
        <v>31.520399999999999</v>
      </c>
      <c r="I937" s="64">
        <f>31.5205 * CHOOSE(CONTROL!$C$22, $C$13, 100%, $E$13)</f>
        <v>31.520499999999998</v>
      </c>
      <c r="J937" s="64">
        <f>19.298 * CHOOSE(CONTROL!$C$22, $C$13, 100%, $E$13)</f>
        <v>19.297999999999998</v>
      </c>
      <c r="K937" s="64">
        <f>19.2982 * CHOOSE(CONTROL!$C$22, $C$13, 100%, $E$13)</f>
        <v>19.298200000000001</v>
      </c>
    </row>
    <row r="938" spans="1:11" ht="15">
      <c r="A938" s="13">
        <v>70189</v>
      </c>
      <c r="B938" s="63">
        <f>16.5639 * CHOOSE(CONTROL!$C$22, $C$13, 100%, $E$13)</f>
        <v>16.5639</v>
      </c>
      <c r="C938" s="63">
        <f>16.5639 * CHOOSE(CONTROL!$C$22, $C$13, 100%, $E$13)</f>
        <v>16.5639</v>
      </c>
      <c r="D938" s="63">
        <f>16.5761 * CHOOSE(CONTROL!$C$22, $C$13, 100%, $E$13)</f>
        <v>16.5761</v>
      </c>
      <c r="E938" s="64">
        <f>19.4643 * CHOOSE(CONTROL!$C$22, $C$13, 100%, $E$13)</f>
        <v>19.464300000000001</v>
      </c>
      <c r="F938" s="64">
        <f>19.4643 * CHOOSE(CONTROL!$C$22, $C$13, 100%, $E$13)</f>
        <v>19.464300000000001</v>
      </c>
      <c r="G938" s="64">
        <f>19.4645 * CHOOSE(CONTROL!$C$22, $C$13, 100%, $E$13)</f>
        <v>19.464500000000001</v>
      </c>
      <c r="H938" s="64">
        <f>31.586* CHOOSE(CONTROL!$C$22, $C$13, 100%, $E$13)</f>
        <v>31.585999999999999</v>
      </c>
      <c r="I938" s="64">
        <f>31.5862 * CHOOSE(CONTROL!$C$22, $C$13, 100%, $E$13)</f>
        <v>31.586200000000002</v>
      </c>
      <c r="J938" s="64">
        <f>19.4643 * CHOOSE(CONTROL!$C$22, $C$13, 100%, $E$13)</f>
        <v>19.464300000000001</v>
      </c>
      <c r="K938" s="64">
        <f>19.4645 * CHOOSE(CONTROL!$C$22, $C$13, 100%, $E$13)</f>
        <v>19.464500000000001</v>
      </c>
    </row>
    <row r="939" spans="1:11" ht="15">
      <c r="A939" s="13">
        <v>70220</v>
      </c>
      <c r="B939" s="63">
        <f>16.5723 * CHOOSE(CONTROL!$C$22, $C$13, 100%, $E$13)</f>
        <v>16.572299999999998</v>
      </c>
      <c r="C939" s="63">
        <f>16.5723 * CHOOSE(CONTROL!$C$22, $C$13, 100%, $E$13)</f>
        <v>16.572299999999998</v>
      </c>
      <c r="D939" s="63">
        <f>16.5845 * CHOOSE(CONTROL!$C$22, $C$13, 100%, $E$13)</f>
        <v>16.584499999999998</v>
      </c>
      <c r="E939" s="64">
        <f>19.6409 * CHOOSE(CONTROL!$C$22, $C$13, 100%, $E$13)</f>
        <v>19.640899999999998</v>
      </c>
      <c r="F939" s="64">
        <f>19.6409 * CHOOSE(CONTROL!$C$22, $C$13, 100%, $E$13)</f>
        <v>19.640899999999998</v>
      </c>
      <c r="G939" s="64">
        <f>19.6411 * CHOOSE(CONTROL!$C$22, $C$13, 100%, $E$13)</f>
        <v>19.641100000000002</v>
      </c>
      <c r="H939" s="64">
        <f>31.6518* CHOOSE(CONTROL!$C$22, $C$13, 100%, $E$13)</f>
        <v>31.651800000000001</v>
      </c>
      <c r="I939" s="64">
        <f>31.652 * CHOOSE(CONTROL!$C$22, $C$13, 100%, $E$13)</f>
        <v>31.652000000000001</v>
      </c>
      <c r="J939" s="64">
        <f>19.6409 * CHOOSE(CONTROL!$C$22, $C$13, 100%, $E$13)</f>
        <v>19.640899999999998</v>
      </c>
      <c r="K939" s="64">
        <f>19.6411 * CHOOSE(CONTROL!$C$22, $C$13, 100%, $E$13)</f>
        <v>19.641100000000002</v>
      </c>
    </row>
    <row r="940" spans="1:11" ht="15">
      <c r="A940" s="13">
        <v>70250</v>
      </c>
      <c r="B940" s="63">
        <f>16.5723 * CHOOSE(CONTROL!$C$22, $C$13, 100%, $E$13)</f>
        <v>16.572299999999998</v>
      </c>
      <c r="C940" s="63">
        <f>16.5723 * CHOOSE(CONTROL!$C$22, $C$13, 100%, $E$13)</f>
        <v>16.572299999999998</v>
      </c>
      <c r="D940" s="63">
        <f>16.5967 * CHOOSE(CONTROL!$C$22, $C$13, 100%, $E$13)</f>
        <v>16.596699999999998</v>
      </c>
      <c r="E940" s="64">
        <f>19.7087 * CHOOSE(CONTROL!$C$22, $C$13, 100%, $E$13)</f>
        <v>19.7087</v>
      </c>
      <c r="F940" s="64">
        <f>19.7087 * CHOOSE(CONTROL!$C$22, $C$13, 100%, $E$13)</f>
        <v>19.7087</v>
      </c>
      <c r="G940" s="64">
        <f>19.7103 * CHOOSE(CONTROL!$C$22, $C$13, 100%, $E$13)</f>
        <v>19.7103</v>
      </c>
      <c r="H940" s="64">
        <f>31.7178* CHOOSE(CONTROL!$C$22, $C$13, 100%, $E$13)</f>
        <v>31.7178</v>
      </c>
      <c r="I940" s="64">
        <f>31.7193 * CHOOSE(CONTROL!$C$22, $C$13, 100%, $E$13)</f>
        <v>31.7193</v>
      </c>
      <c r="J940" s="64">
        <f>19.7087 * CHOOSE(CONTROL!$C$22, $C$13, 100%, $E$13)</f>
        <v>19.7087</v>
      </c>
      <c r="K940" s="64">
        <f>19.7103 * CHOOSE(CONTROL!$C$22, $C$13, 100%, $E$13)</f>
        <v>19.7103</v>
      </c>
    </row>
    <row r="941" spans="1:11" ht="15">
      <c r="A941" s="13">
        <v>70281</v>
      </c>
      <c r="B941" s="63">
        <f>16.5784 * CHOOSE(CONTROL!$C$22, $C$13, 100%, $E$13)</f>
        <v>16.578399999999998</v>
      </c>
      <c r="C941" s="63">
        <f>16.5784 * CHOOSE(CONTROL!$C$22, $C$13, 100%, $E$13)</f>
        <v>16.578399999999998</v>
      </c>
      <c r="D941" s="63">
        <f>16.6028 * CHOOSE(CONTROL!$C$22, $C$13, 100%, $E$13)</f>
        <v>16.602799999999998</v>
      </c>
      <c r="E941" s="64">
        <f>19.6452 * CHOOSE(CONTROL!$C$22, $C$13, 100%, $E$13)</f>
        <v>19.645199999999999</v>
      </c>
      <c r="F941" s="64">
        <f>19.6452 * CHOOSE(CONTROL!$C$22, $C$13, 100%, $E$13)</f>
        <v>19.645199999999999</v>
      </c>
      <c r="G941" s="64">
        <f>19.6467 * CHOOSE(CONTROL!$C$22, $C$13, 100%, $E$13)</f>
        <v>19.646699999999999</v>
      </c>
      <c r="H941" s="64">
        <f>31.7838* CHOOSE(CONTROL!$C$22, $C$13, 100%, $E$13)</f>
        <v>31.783799999999999</v>
      </c>
      <c r="I941" s="64">
        <f>31.7854 * CHOOSE(CONTROL!$C$22, $C$13, 100%, $E$13)</f>
        <v>31.785399999999999</v>
      </c>
      <c r="J941" s="64">
        <f>19.6452 * CHOOSE(CONTROL!$C$22, $C$13, 100%, $E$13)</f>
        <v>19.645199999999999</v>
      </c>
      <c r="K941" s="64">
        <f>19.6467 * CHOOSE(CONTROL!$C$22, $C$13, 100%, $E$13)</f>
        <v>19.646699999999999</v>
      </c>
    </row>
    <row r="942" spans="1:11" ht="15">
      <c r="A942" s="13">
        <v>70311</v>
      </c>
      <c r="B942" s="63">
        <f>16.837 * CHOOSE(CONTROL!$C$22, $C$13, 100%, $E$13)</f>
        <v>16.837</v>
      </c>
      <c r="C942" s="63">
        <f>16.837 * CHOOSE(CONTROL!$C$22, $C$13, 100%, $E$13)</f>
        <v>16.837</v>
      </c>
      <c r="D942" s="63">
        <f>16.8614 * CHOOSE(CONTROL!$C$22, $C$13, 100%, $E$13)</f>
        <v>16.8614</v>
      </c>
      <c r="E942" s="64">
        <f>20.0177 * CHOOSE(CONTROL!$C$22, $C$13, 100%, $E$13)</f>
        <v>20.017700000000001</v>
      </c>
      <c r="F942" s="64">
        <f>20.0177 * CHOOSE(CONTROL!$C$22, $C$13, 100%, $E$13)</f>
        <v>20.017700000000001</v>
      </c>
      <c r="G942" s="64">
        <f>20.0192 * CHOOSE(CONTROL!$C$22, $C$13, 100%, $E$13)</f>
        <v>20.019200000000001</v>
      </c>
      <c r="H942" s="64">
        <f>31.8501* CHOOSE(CONTROL!$C$22, $C$13, 100%, $E$13)</f>
        <v>31.850100000000001</v>
      </c>
      <c r="I942" s="64">
        <f>31.8516 * CHOOSE(CONTROL!$C$22, $C$13, 100%, $E$13)</f>
        <v>31.851600000000001</v>
      </c>
      <c r="J942" s="64">
        <f>20.0177 * CHOOSE(CONTROL!$C$22, $C$13, 100%, $E$13)</f>
        <v>20.017700000000001</v>
      </c>
      <c r="K942" s="64">
        <f>20.0192 * CHOOSE(CONTROL!$C$22, $C$13, 100%, $E$13)</f>
        <v>20.019200000000001</v>
      </c>
    </row>
    <row r="943" spans="1:11" ht="15">
      <c r="A943" s="13">
        <v>70342</v>
      </c>
      <c r="B943" s="63">
        <f>16.8436 * CHOOSE(CONTROL!$C$22, $C$13, 100%, $E$13)</f>
        <v>16.843599999999999</v>
      </c>
      <c r="C943" s="63">
        <f>16.8436 * CHOOSE(CONTROL!$C$22, $C$13, 100%, $E$13)</f>
        <v>16.843599999999999</v>
      </c>
      <c r="D943" s="63">
        <f>16.8681 * CHOOSE(CONTROL!$C$22, $C$13, 100%, $E$13)</f>
        <v>16.868099999999998</v>
      </c>
      <c r="E943" s="64">
        <f>19.8189 * CHOOSE(CONTROL!$C$22, $C$13, 100%, $E$13)</f>
        <v>19.818899999999999</v>
      </c>
      <c r="F943" s="64">
        <f>19.8189 * CHOOSE(CONTROL!$C$22, $C$13, 100%, $E$13)</f>
        <v>19.818899999999999</v>
      </c>
      <c r="G943" s="64">
        <f>19.8204 * CHOOSE(CONTROL!$C$22, $C$13, 100%, $E$13)</f>
        <v>19.820399999999999</v>
      </c>
      <c r="H943" s="64">
        <f>31.9164* CHOOSE(CONTROL!$C$22, $C$13, 100%, $E$13)</f>
        <v>31.916399999999999</v>
      </c>
      <c r="I943" s="64">
        <f>31.918 * CHOOSE(CONTROL!$C$22, $C$13, 100%, $E$13)</f>
        <v>31.917999999999999</v>
      </c>
      <c r="J943" s="64">
        <f>19.8189 * CHOOSE(CONTROL!$C$22, $C$13, 100%, $E$13)</f>
        <v>19.818899999999999</v>
      </c>
      <c r="K943" s="64">
        <f>19.8204 * CHOOSE(CONTROL!$C$22, $C$13, 100%, $E$13)</f>
        <v>19.820399999999999</v>
      </c>
    </row>
    <row r="944" spans="1:11" ht="15">
      <c r="A944" s="13">
        <v>70373</v>
      </c>
      <c r="B944" s="63">
        <f>16.8406 * CHOOSE(CONTROL!$C$22, $C$13, 100%, $E$13)</f>
        <v>16.840599999999998</v>
      </c>
      <c r="C944" s="63">
        <f>16.8406 * CHOOSE(CONTROL!$C$22, $C$13, 100%, $E$13)</f>
        <v>16.840599999999998</v>
      </c>
      <c r="D944" s="63">
        <f>16.865 * CHOOSE(CONTROL!$C$22, $C$13, 100%, $E$13)</f>
        <v>16.864999999999998</v>
      </c>
      <c r="E944" s="64">
        <f>19.7941 * CHOOSE(CONTROL!$C$22, $C$13, 100%, $E$13)</f>
        <v>19.7941</v>
      </c>
      <c r="F944" s="64">
        <f>19.7941 * CHOOSE(CONTROL!$C$22, $C$13, 100%, $E$13)</f>
        <v>19.7941</v>
      </c>
      <c r="G944" s="64">
        <f>19.7957 * CHOOSE(CONTROL!$C$22, $C$13, 100%, $E$13)</f>
        <v>19.7957</v>
      </c>
      <c r="H944" s="64">
        <f>31.9829* CHOOSE(CONTROL!$C$22, $C$13, 100%, $E$13)</f>
        <v>31.982900000000001</v>
      </c>
      <c r="I944" s="64">
        <f>31.9845 * CHOOSE(CONTROL!$C$22, $C$13, 100%, $E$13)</f>
        <v>31.984500000000001</v>
      </c>
      <c r="J944" s="64">
        <f>19.7941 * CHOOSE(CONTROL!$C$22, $C$13, 100%, $E$13)</f>
        <v>19.7941</v>
      </c>
      <c r="K944" s="64">
        <f>19.7957 * CHOOSE(CONTROL!$C$22, $C$13, 100%, $E$13)</f>
        <v>19.7957</v>
      </c>
    </row>
    <row r="945" spans="1:11" ht="15">
      <c r="A945" s="13">
        <v>70403</v>
      </c>
      <c r="B945" s="63">
        <f>16.8777 * CHOOSE(CONTROL!$C$22, $C$13, 100%, $E$13)</f>
        <v>16.877700000000001</v>
      </c>
      <c r="C945" s="63">
        <f>16.8777 * CHOOSE(CONTROL!$C$22, $C$13, 100%, $E$13)</f>
        <v>16.877700000000001</v>
      </c>
      <c r="D945" s="63">
        <f>16.8899 * CHOOSE(CONTROL!$C$22, $C$13, 100%, $E$13)</f>
        <v>16.889900000000001</v>
      </c>
      <c r="E945" s="64">
        <f>19.8711 * CHOOSE(CONTROL!$C$22, $C$13, 100%, $E$13)</f>
        <v>19.871099999999998</v>
      </c>
      <c r="F945" s="64">
        <f>19.8711 * CHOOSE(CONTROL!$C$22, $C$13, 100%, $E$13)</f>
        <v>19.871099999999998</v>
      </c>
      <c r="G945" s="64">
        <f>19.8713 * CHOOSE(CONTROL!$C$22, $C$13, 100%, $E$13)</f>
        <v>19.871300000000002</v>
      </c>
      <c r="H945" s="64">
        <f>32.0495* CHOOSE(CONTROL!$C$22, $C$13, 100%, $E$13)</f>
        <v>32.049500000000002</v>
      </c>
      <c r="I945" s="64">
        <f>32.0497 * CHOOSE(CONTROL!$C$22, $C$13, 100%, $E$13)</f>
        <v>32.049700000000001</v>
      </c>
      <c r="J945" s="64">
        <f>19.8711 * CHOOSE(CONTROL!$C$22, $C$13, 100%, $E$13)</f>
        <v>19.871099999999998</v>
      </c>
      <c r="K945" s="64">
        <f>19.8713 * CHOOSE(CONTROL!$C$22, $C$13, 100%, $E$13)</f>
        <v>19.871300000000002</v>
      </c>
    </row>
    <row r="946" spans="1:11" ht="15">
      <c r="A946" s="13">
        <v>70434</v>
      </c>
      <c r="B946" s="63">
        <f>16.8807 * CHOOSE(CONTROL!$C$22, $C$13, 100%, $E$13)</f>
        <v>16.880700000000001</v>
      </c>
      <c r="C946" s="63">
        <f>16.8807 * CHOOSE(CONTROL!$C$22, $C$13, 100%, $E$13)</f>
        <v>16.880700000000001</v>
      </c>
      <c r="D946" s="63">
        <f>16.8929 * CHOOSE(CONTROL!$C$22, $C$13, 100%, $E$13)</f>
        <v>16.892900000000001</v>
      </c>
      <c r="E946" s="64">
        <f>19.9185 * CHOOSE(CONTROL!$C$22, $C$13, 100%, $E$13)</f>
        <v>19.918500000000002</v>
      </c>
      <c r="F946" s="64">
        <f>19.9185 * CHOOSE(CONTROL!$C$22, $C$13, 100%, $E$13)</f>
        <v>19.918500000000002</v>
      </c>
      <c r="G946" s="64">
        <f>19.9187 * CHOOSE(CONTROL!$C$22, $C$13, 100%, $E$13)</f>
        <v>19.918700000000001</v>
      </c>
      <c r="H946" s="64">
        <f>32.1163* CHOOSE(CONTROL!$C$22, $C$13, 100%, $E$13)</f>
        <v>32.116300000000003</v>
      </c>
      <c r="I946" s="64">
        <f>32.1165 * CHOOSE(CONTROL!$C$22, $C$13, 100%, $E$13)</f>
        <v>32.116500000000002</v>
      </c>
      <c r="J946" s="64">
        <f>19.9185 * CHOOSE(CONTROL!$C$22, $C$13, 100%, $E$13)</f>
        <v>19.918500000000002</v>
      </c>
      <c r="K946" s="64">
        <f>19.9187 * CHOOSE(CONTROL!$C$22, $C$13, 100%, $E$13)</f>
        <v>19.918700000000001</v>
      </c>
    </row>
    <row r="947" spans="1:11" ht="15">
      <c r="A947" s="13">
        <v>70464</v>
      </c>
      <c r="B947" s="63">
        <f>16.8807 * CHOOSE(CONTROL!$C$22, $C$13, 100%, $E$13)</f>
        <v>16.880700000000001</v>
      </c>
      <c r="C947" s="63">
        <f>16.8807 * CHOOSE(CONTROL!$C$22, $C$13, 100%, $E$13)</f>
        <v>16.880700000000001</v>
      </c>
      <c r="D947" s="63">
        <f>16.8929 * CHOOSE(CONTROL!$C$22, $C$13, 100%, $E$13)</f>
        <v>16.892900000000001</v>
      </c>
      <c r="E947" s="64">
        <f>19.8054 * CHOOSE(CONTROL!$C$22, $C$13, 100%, $E$13)</f>
        <v>19.805399999999999</v>
      </c>
      <c r="F947" s="64">
        <f>19.8054 * CHOOSE(CONTROL!$C$22, $C$13, 100%, $E$13)</f>
        <v>19.805399999999999</v>
      </c>
      <c r="G947" s="64">
        <f>19.8056 * CHOOSE(CONTROL!$C$22, $C$13, 100%, $E$13)</f>
        <v>19.805599999999998</v>
      </c>
      <c r="H947" s="64">
        <f>32.1832* CHOOSE(CONTROL!$C$22, $C$13, 100%, $E$13)</f>
        <v>32.183199999999999</v>
      </c>
      <c r="I947" s="64">
        <f>32.1834 * CHOOSE(CONTROL!$C$22, $C$13, 100%, $E$13)</f>
        <v>32.183399999999999</v>
      </c>
      <c r="J947" s="64">
        <f>19.8054 * CHOOSE(CONTROL!$C$22, $C$13, 100%, $E$13)</f>
        <v>19.805399999999999</v>
      </c>
      <c r="K947" s="64">
        <f>19.8056 * CHOOSE(CONTROL!$C$22, $C$13, 100%, $E$13)</f>
        <v>19.805599999999998</v>
      </c>
    </row>
    <row r="948" spans="1:11" ht="15">
      <c r="A948" s="13">
        <v>70495</v>
      </c>
      <c r="B948" s="63">
        <f>16.8153 * CHOOSE(CONTROL!$C$22, $C$13, 100%, $E$13)</f>
        <v>16.815300000000001</v>
      </c>
      <c r="C948" s="63">
        <f>16.8153 * CHOOSE(CONTROL!$C$22, $C$13, 100%, $E$13)</f>
        <v>16.815300000000001</v>
      </c>
      <c r="D948" s="63">
        <f>16.8275 * CHOOSE(CONTROL!$C$22, $C$13, 100%, $E$13)</f>
        <v>16.827500000000001</v>
      </c>
      <c r="E948" s="64">
        <f>19.8062 * CHOOSE(CONTROL!$C$22, $C$13, 100%, $E$13)</f>
        <v>19.8062</v>
      </c>
      <c r="F948" s="64">
        <f>19.8062 * CHOOSE(CONTROL!$C$22, $C$13, 100%, $E$13)</f>
        <v>19.8062</v>
      </c>
      <c r="G948" s="64">
        <f>19.8064 * CHOOSE(CONTROL!$C$22, $C$13, 100%, $E$13)</f>
        <v>19.8064</v>
      </c>
      <c r="H948" s="64">
        <f>31.9007* CHOOSE(CONTROL!$C$22, $C$13, 100%, $E$13)</f>
        <v>31.900700000000001</v>
      </c>
      <c r="I948" s="64">
        <f>31.9009 * CHOOSE(CONTROL!$C$22, $C$13, 100%, $E$13)</f>
        <v>31.9009</v>
      </c>
      <c r="J948" s="64">
        <f>19.8062 * CHOOSE(CONTROL!$C$22, $C$13, 100%, $E$13)</f>
        <v>19.8062</v>
      </c>
      <c r="K948" s="64">
        <f>19.8064 * CHOOSE(CONTROL!$C$22, $C$13, 100%, $E$13)</f>
        <v>19.8064</v>
      </c>
    </row>
    <row r="949" spans="1:11" ht="15">
      <c r="A949" s="13">
        <v>70526</v>
      </c>
      <c r="B949" s="63">
        <f>16.8123 * CHOOSE(CONTROL!$C$22, $C$13, 100%, $E$13)</f>
        <v>16.8123</v>
      </c>
      <c r="C949" s="63">
        <f>16.8123 * CHOOSE(CONTROL!$C$22, $C$13, 100%, $E$13)</f>
        <v>16.8123</v>
      </c>
      <c r="D949" s="63">
        <f>16.8245 * CHOOSE(CONTROL!$C$22, $C$13, 100%, $E$13)</f>
        <v>16.8245</v>
      </c>
      <c r="E949" s="64">
        <f>19.5872 * CHOOSE(CONTROL!$C$22, $C$13, 100%, $E$13)</f>
        <v>19.587199999999999</v>
      </c>
      <c r="F949" s="64">
        <f>19.5872 * CHOOSE(CONTROL!$C$22, $C$13, 100%, $E$13)</f>
        <v>19.587199999999999</v>
      </c>
      <c r="G949" s="64">
        <f>19.5874 * CHOOSE(CONTROL!$C$22, $C$13, 100%, $E$13)</f>
        <v>19.587399999999999</v>
      </c>
      <c r="H949" s="64">
        <f>31.9672* CHOOSE(CONTROL!$C$22, $C$13, 100%, $E$13)</f>
        <v>31.967199999999998</v>
      </c>
      <c r="I949" s="64">
        <f>31.9674 * CHOOSE(CONTROL!$C$22, $C$13, 100%, $E$13)</f>
        <v>31.967400000000001</v>
      </c>
      <c r="J949" s="64">
        <f>19.5872 * CHOOSE(CONTROL!$C$22, $C$13, 100%, $E$13)</f>
        <v>19.587199999999999</v>
      </c>
      <c r="K949" s="64">
        <f>19.5874 * CHOOSE(CONTROL!$C$22, $C$13, 100%, $E$13)</f>
        <v>19.587399999999999</v>
      </c>
    </row>
    <row r="950" spans="1:11" ht="15">
      <c r="A950" s="13">
        <v>70554</v>
      </c>
      <c r="B950" s="63">
        <f>16.8092 * CHOOSE(CONTROL!$C$22, $C$13, 100%, $E$13)</f>
        <v>16.809200000000001</v>
      </c>
      <c r="C950" s="63">
        <f>16.8092 * CHOOSE(CONTROL!$C$22, $C$13, 100%, $E$13)</f>
        <v>16.809200000000001</v>
      </c>
      <c r="D950" s="63">
        <f>16.8215 * CHOOSE(CONTROL!$C$22, $C$13, 100%, $E$13)</f>
        <v>16.8215</v>
      </c>
      <c r="E950" s="64">
        <f>19.756 * CHOOSE(CONTROL!$C$22, $C$13, 100%, $E$13)</f>
        <v>19.756</v>
      </c>
      <c r="F950" s="64">
        <f>19.756 * CHOOSE(CONTROL!$C$22, $C$13, 100%, $E$13)</f>
        <v>19.756</v>
      </c>
      <c r="G950" s="64">
        <f>19.7562 * CHOOSE(CONTROL!$C$22, $C$13, 100%, $E$13)</f>
        <v>19.7562</v>
      </c>
      <c r="H950" s="64">
        <f>32.0338* CHOOSE(CONTROL!$C$22, $C$13, 100%, $E$13)</f>
        <v>32.033799999999999</v>
      </c>
      <c r="I950" s="64">
        <f>32.034 * CHOOSE(CONTROL!$C$22, $C$13, 100%, $E$13)</f>
        <v>32.033999999999999</v>
      </c>
      <c r="J950" s="64">
        <f>19.756 * CHOOSE(CONTROL!$C$22, $C$13, 100%, $E$13)</f>
        <v>19.756</v>
      </c>
      <c r="K950" s="64">
        <f>19.7562 * CHOOSE(CONTROL!$C$22, $C$13, 100%, $E$13)</f>
        <v>19.7562</v>
      </c>
    </row>
    <row r="951" spans="1:11" ht="15">
      <c r="A951" s="13">
        <v>70585</v>
      </c>
      <c r="B951" s="63">
        <f>16.8178 * CHOOSE(CONTROL!$C$22, $C$13, 100%, $E$13)</f>
        <v>16.817799999999998</v>
      </c>
      <c r="C951" s="63">
        <f>16.8178 * CHOOSE(CONTROL!$C$22, $C$13, 100%, $E$13)</f>
        <v>16.817799999999998</v>
      </c>
      <c r="D951" s="63">
        <f>16.83 * CHOOSE(CONTROL!$C$22, $C$13, 100%, $E$13)</f>
        <v>16.829999999999998</v>
      </c>
      <c r="E951" s="64">
        <f>19.9354 * CHOOSE(CONTROL!$C$22, $C$13, 100%, $E$13)</f>
        <v>19.935400000000001</v>
      </c>
      <c r="F951" s="64">
        <f>19.9354 * CHOOSE(CONTROL!$C$22, $C$13, 100%, $E$13)</f>
        <v>19.935400000000001</v>
      </c>
      <c r="G951" s="64">
        <f>19.9356 * CHOOSE(CONTROL!$C$22, $C$13, 100%, $E$13)</f>
        <v>19.935600000000001</v>
      </c>
      <c r="H951" s="64">
        <f>32.1005* CHOOSE(CONTROL!$C$22, $C$13, 100%, $E$13)</f>
        <v>32.100499999999997</v>
      </c>
      <c r="I951" s="64">
        <f>32.1007 * CHOOSE(CONTROL!$C$22, $C$13, 100%, $E$13)</f>
        <v>32.100700000000003</v>
      </c>
      <c r="J951" s="64">
        <f>19.9354 * CHOOSE(CONTROL!$C$22, $C$13, 100%, $E$13)</f>
        <v>19.935400000000001</v>
      </c>
      <c r="K951" s="64">
        <f>19.9356 * CHOOSE(CONTROL!$C$22, $C$13, 100%, $E$13)</f>
        <v>19.935600000000001</v>
      </c>
    </row>
    <row r="952" spans="1:11" ht="15">
      <c r="A952" s="13">
        <v>70615</v>
      </c>
      <c r="B952" s="63">
        <f>16.8178 * CHOOSE(CONTROL!$C$22, $C$13, 100%, $E$13)</f>
        <v>16.817799999999998</v>
      </c>
      <c r="C952" s="63">
        <f>16.8178 * CHOOSE(CONTROL!$C$22, $C$13, 100%, $E$13)</f>
        <v>16.817799999999998</v>
      </c>
      <c r="D952" s="63">
        <f>16.8422 * CHOOSE(CONTROL!$C$22, $C$13, 100%, $E$13)</f>
        <v>16.842199999999998</v>
      </c>
      <c r="E952" s="64">
        <f>20.0042 * CHOOSE(CONTROL!$C$22, $C$13, 100%, $E$13)</f>
        <v>20.004200000000001</v>
      </c>
      <c r="F952" s="64">
        <f>20.0042 * CHOOSE(CONTROL!$C$22, $C$13, 100%, $E$13)</f>
        <v>20.004200000000001</v>
      </c>
      <c r="G952" s="64">
        <f>20.0058 * CHOOSE(CONTROL!$C$22, $C$13, 100%, $E$13)</f>
        <v>20.005800000000001</v>
      </c>
      <c r="H952" s="64">
        <f>32.1674* CHOOSE(CONTROL!$C$22, $C$13, 100%, $E$13)</f>
        <v>32.167400000000001</v>
      </c>
      <c r="I952" s="64">
        <f>32.169 * CHOOSE(CONTROL!$C$22, $C$13, 100%, $E$13)</f>
        <v>32.168999999999997</v>
      </c>
      <c r="J952" s="64">
        <f>20.0042 * CHOOSE(CONTROL!$C$22, $C$13, 100%, $E$13)</f>
        <v>20.004200000000001</v>
      </c>
      <c r="K952" s="64">
        <f>20.0058 * CHOOSE(CONTROL!$C$22, $C$13, 100%, $E$13)</f>
        <v>20.005800000000001</v>
      </c>
    </row>
    <row r="953" spans="1:11" ht="15">
      <c r="A953" s="13">
        <v>70646</v>
      </c>
      <c r="B953" s="63">
        <f>16.8239 * CHOOSE(CONTROL!$C$22, $C$13, 100%, $E$13)</f>
        <v>16.823899999999998</v>
      </c>
      <c r="C953" s="63">
        <f>16.8239 * CHOOSE(CONTROL!$C$22, $C$13, 100%, $E$13)</f>
        <v>16.823899999999998</v>
      </c>
      <c r="D953" s="63">
        <f>16.8483 * CHOOSE(CONTROL!$C$22, $C$13, 100%, $E$13)</f>
        <v>16.848299999999998</v>
      </c>
      <c r="E953" s="64">
        <f>19.9396 * CHOOSE(CONTROL!$C$22, $C$13, 100%, $E$13)</f>
        <v>19.939599999999999</v>
      </c>
      <c r="F953" s="64">
        <f>19.9396 * CHOOSE(CONTROL!$C$22, $C$13, 100%, $E$13)</f>
        <v>19.939599999999999</v>
      </c>
      <c r="G953" s="64">
        <f>19.9412 * CHOOSE(CONTROL!$C$22, $C$13, 100%, $E$13)</f>
        <v>19.941199999999998</v>
      </c>
      <c r="H953" s="64">
        <f>32.2344* CHOOSE(CONTROL!$C$22, $C$13, 100%, $E$13)</f>
        <v>32.234400000000001</v>
      </c>
      <c r="I953" s="64">
        <f>32.236 * CHOOSE(CONTROL!$C$22, $C$13, 100%, $E$13)</f>
        <v>32.235999999999997</v>
      </c>
      <c r="J953" s="64">
        <f>19.9396 * CHOOSE(CONTROL!$C$22, $C$13, 100%, $E$13)</f>
        <v>19.939599999999999</v>
      </c>
      <c r="K953" s="64">
        <f>19.9412 * CHOOSE(CONTROL!$C$22, $C$13, 100%, $E$13)</f>
        <v>19.941199999999998</v>
      </c>
    </row>
    <row r="954" spans="1:11" ht="15">
      <c r="A954" s="13">
        <v>70676</v>
      </c>
      <c r="B954" s="63">
        <f>17.0862 * CHOOSE(CONTROL!$C$22, $C$13, 100%, $E$13)</f>
        <v>17.086200000000002</v>
      </c>
      <c r="C954" s="63">
        <f>17.0862 * CHOOSE(CONTROL!$C$22, $C$13, 100%, $E$13)</f>
        <v>17.086200000000002</v>
      </c>
      <c r="D954" s="63">
        <f>17.1106 * CHOOSE(CONTROL!$C$22, $C$13, 100%, $E$13)</f>
        <v>17.110600000000002</v>
      </c>
      <c r="E954" s="64">
        <f>20.3175 * CHOOSE(CONTROL!$C$22, $C$13, 100%, $E$13)</f>
        <v>20.317499999999999</v>
      </c>
      <c r="F954" s="64">
        <f>20.3175 * CHOOSE(CONTROL!$C$22, $C$13, 100%, $E$13)</f>
        <v>20.317499999999999</v>
      </c>
      <c r="G954" s="64">
        <f>20.3191 * CHOOSE(CONTROL!$C$22, $C$13, 100%, $E$13)</f>
        <v>20.319099999999999</v>
      </c>
      <c r="H954" s="64">
        <f>32.3016* CHOOSE(CONTROL!$C$22, $C$13, 100%, $E$13)</f>
        <v>32.301600000000001</v>
      </c>
      <c r="I954" s="64">
        <f>32.3031 * CHOOSE(CONTROL!$C$22, $C$13, 100%, $E$13)</f>
        <v>32.303100000000001</v>
      </c>
      <c r="J954" s="64">
        <f>20.3175 * CHOOSE(CONTROL!$C$22, $C$13, 100%, $E$13)</f>
        <v>20.317499999999999</v>
      </c>
      <c r="K954" s="64">
        <f>20.3191 * CHOOSE(CONTROL!$C$22, $C$13, 100%, $E$13)</f>
        <v>20.319099999999999</v>
      </c>
    </row>
    <row r="955" spans="1:11" ht="15">
      <c r="A955" s="13">
        <v>70707</v>
      </c>
      <c r="B955" s="63">
        <f>17.0929 * CHOOSE(CONTROL!$C$22, $C$13, 100%, $E$13)</f>
        <v>17.0929</v>
      </c>
      <c r="C955" s="63">
        <f>17.0929 * CHOOSE(CONTROL!$C$22, $C$13, 100%, $E$13)</f>
        <v>17.0929</v>
      </c>
      <c r="D955" s="63">
        <f>17.1173 * CHOOSE(CONTROL!$C$22, $C$13, 100%, $E$13)</f>
        <v>17.1173</v>
      </c>
      <c r="E955" s="64">
        <f>20.1157 * CHOOSE(CONTROL!$C$22, $C$13, 100%, $E$13)</f>
        <v>20.1157</v>
      </c>
      <c r="F955" s="64">
        <f>20.1157 * CHOOSE(CONTROL!$C$22, $C$13, 100%, $E$13)</f>
        <v>20.1157</v>
      </c>
      <c r="G955" s="64">
        <f>20.1173 * CHOOSE(CONTROL!$C$22, $C$13, 100%, $E$13)</f>
        <v>20.1173</v>
      </c>
      <c r="H955" s="64">
        <f>32.3689* CHOOSE(CONTROL!$C$22, $C$13, 100%, $E$13)</f>
        <v>32.368899999999996</v>
      </c>
      <c r="I955" s="64">
        <f>32.3704 * CHOOSE(CONTROL!$C$22, $C$13, 100%, $E$13)</f>
        <v>32.370399999999997</v>
      </c>
      <c r="J955" s="64">
        <f>20.1157 * CHOOSE(CONTROL!$C$22, $C$13, 100%, $E$13)</f>
        <v>20.1157</v>
      </c>
      <c r="K955" s="64">
        <f>20.1173 * CHOOSE(CONTROL!$C$22, $C$13, 100%, $E$13)</f>
        <v>20.1173</v>
      </c>
    </row>
    <row r="956" spans="1:11" ht="15">
      <c r="A956" s="13">
        <v>70738</v>
      </c>
      <c r="B956" s="63">
        <f>17.0898 * CHOOSE(CONTROL!$C$22, $C$13, 100%, $E$13)</f>
        <v>17.0898</v>
      </c>
      <c r="C956" s="63">
        <f>17.0898 * CHOOSE(CONTROL!$C$22, $C$13, 100%, $E$13)</f>
        <v>17.0898</v>
      </c>
      <c r="D956" s="63">
        <f>17.1142 * CHOOSE(CONTROL!$C$22, $C$13, 100%, $E$13)</f>
        <v>17.1142</v>
      </c>
      <c r="E956" s="64">
        <f>20.0906 * CHOOSE(CONTROL!$C$22, $C$13, 100%, $E$13)</f>
        <v>20.090599999999998</v>
      </c>
      <c r="F956" s="64">
        <f>20.0906 * CHOOSE(CONTROL!$C$22, $C$13, 100%, $E$13)</f>
        <v>20.090599999999998</v>
      </c>
      <c r="G956" s="64">
        <f>20.0922 * CHOOSE(CONTROL!$C$22, $C$13, 100%, $E$13)</f>
        <v>20.092199999999998</v>
      </c>
      <c r="H956" s="64">
        <f>32.4363* CHOOSE(CONTROL!$C$22, $C$13, 100%, $E$13)</f>
        <v>32.436300000000003</v>
      </c>
      <c r="I956" s="64">
        <f>32.4379 * CHOOSE(CONTROL!$C$22, $C$13, 100%, $E$13)</f>
        <v>32.437899999999999</v>
      </c>
      <c r="J956" s="64">
        <f>20.0906 * CHOOSE(CONTROL!$C$22, $C$13, 100%, $E$13)</f>
        <v>20.090599999999998</v>
      </c>
      <c r="K956" s="64">
        <f>20.0922 * CHOOSE(CONTROL!$C$22, $C$13, 100%, $E$13)</f>
        <v>20.092199999999998</v>
      </c>
    </row>
    <row r="957" spans="1:11" ht="15">
      <c r="A957" s="13">
        <v>70768</v>
      </c>
      <c r="B957" s="63">
        <f>17.1277 * CHOOSE(CONTROL!$C$22, $C$13, 100%, $E$13)</f>
        <v>17.127700000000001</v>
      </c>
      <c r="C957" s="63">
        <f>17.1277 * CHOOSE(CONTROL!$C$22, $C$13, 100%, $E$13)</f>
        <v>17.127700000000001</v>
      </c>
      <c r="D957" s="63">
        <f>17.1399 * CHOOSE(CONTROL!$C$22, $C$13, 100%, $E$13)</f>
        <v>17.139900000000001</v>
      </c>
      <c r="E957" s="64">
        <f>20.169 * CHOOSE(CONTROL!$C$22, $C$13, 100%, $E$13)</f>
        <v>20.169</v>
      </c>
      <c r="F957" s="64">
        <f>20.169 * CHOOSE(CONTROL!$C$22, $C$13, 100%, $E$13)</f>
        <v>20.169</v>
      </c>
      <c r="G957" s="64">
        <f>20.1692 * CHOOSE(CONTROL!$C$22, $C$13, 100%, $E$13)</f>
        <v>20.1692</v>
      </c>
      <c r="H957" s="64">
        <f>32.5039* CHOOSE(CONTROL!$C$22, $C$13, 100%, $E$13)</f>
        <v>32.503900000000002</v>
      </c>
      <c r="I957" s="64">
        <f>32.504 * CHOOSE(CONTROL!$C$22, $C$13, 100%, $E$13)</f>
        <v>32.503999999999998</v>
      </c>
      <c r="J957" s="64">
        <f>20.169 * CHOOSE(CONTROL!$C$22, $C$13, 100%, $E$13)</f>
        <v>20.169</v>
      </c>
      <c r="K957" s="64">
        <f>20.1692 * CHOOSE(CONTROL!$C$22, $C$13, 100%, $E$13)</f>
        <v>20.1692</v>
      </c>
    </row>
    <row r="958" spans="1:11" ht="15">
      <c r="A958" s="13">
        <v>70799</v>
      </c>
      <c r="B958" s="63">
        <f>17.1307 * CHOOSE(CONTROL!$C$22, $C$13, 100%, $E$13)</f>
        <v>17.130700000000001</v>
      </c>
      <c r="C958" s="63">
        <f>17.1307 * CHOOSE(CONTROL!$C$22, $C$13, 100%, $E$13)</f>
        <v>17.130700000000001</v>
      </c>
      <c r="D958" s="63">
        <f>17.1429 * CHOOSE(CONTROL!$C$22, $C$13, 100%, $E$13)</f>
        <v>17.142900000000001</v>
      </c>
      <c r="E958" s="64">
        <f>20.217 * CHOOSE(CONTROL!$C$22, $C$13, 100%, $E$13)</f>
        <v>20.216999999999999</v>
      </c>
      <c r="F958" s="64">
        <f>20.217 * CHOOSE(CONTROL!$C$22, $C$13, 100%, $E$13)</f>
        <v>20.216999999999999</v>
      </c>
      <c r="G958" s="64">
        <f>20.2172 * CHOOSE(CONTROL!$C$22, $C$13, 100%, $E$13)</f>
        <v>20.217199999999998</v>
      </c>
      <c r="H958" s="64">
        <f>32.5716* CHOOSE(CONTROL!$C$22, $C$13, 100%, $E$13)</f>
        <v>32.571599999999997</v>
      </c>
      <c r="I958" s="64">
        <f>32.5718 * CHOOSE(CONTROL!$C$22, $C$13, 100%, $E$13)</f>
        <v>32.571800000000003</v>
      </c>
      <c r="J958" s="64">
        <f>20.217 * CHOOSE(CONTROL!$C$22, $C$13, 100%, $E$13)</f>
        <v>20.216999999999999</v>
      </c>
      <c r="K958" s="64">
        <f>20.2172 * CHOOSE(CONTROL!$C$22, $C$13, 100%, $E$13)</f>
        <v>20.217199999999998</v>
      </c>
    </row>
    <row r="959" spans="1:11" ht="15">
      <c r="A959" s="13">
        <v>70829</v>
      </c>
      <c r="B959" s="63">
        <f>17.1307 * CHOOSE(CONTROL!$C$22, $C$13, 100%, $E$13)</f>
        <v>17.130700000000001</v>
      </c>
      <c r="C959" s="63">
        <f>17.1307 * CHOOSE(CONTROL!$C$22, $C$13, 100%, $E$13)</f>
        <v>17.130700000000001</v>
      </c>
      <c r="D959" s="63">
        <f>17.1429 * CHOOSE(CONTROL!$C$22, $C$13, 100%, $E$13)</f>
        <v>17.142900000000001</v>
      </c>
      <c r="E959" s="64">
        <f>20.1023 * CHOOSE(CONTROL!$C$22, $C$13, 100%, $E$13)</f>
        <v>20.1023</v>
      </c>
      <c r="F959" s="64">
        <f>20.1023 * CHOOSE(CONTROL!$C$22, $C$13, 100%, $E$13)</f>
        <v>20.1023</v>
      </c>
      <c r="G959" s="64">
        <f>20.1024 * CHOOSE(CONTROL!$C$22, $C$13, 100%, $E$13)</f>
        <v>20.102399999999999</v>
      </c>
      <c r="H959" s="64">
        <f>32.6394* CHOOSE(CONTROL!$C$22, $C$13, 100%, $E$13)</f>
        <v>32.639400000000002</v>
      </c>
      <c r="I959" s="64">
        <f>32.6396 * CHOOSE(CONTROL!$C$22, $C$13, 100%, $E$13)</f>
        <v>32.639600000000002</v>
      </c>
      <c r="J959" s="64">
        <f>20.1023 * CHOOSE(CONTROL!$C$22, $C$13, 100%, $E$13)</f>
        <v>20.1023</v>
      </c>
      <c r="K959" s="64">
        <f>20.1024 * CHOOSE(CONTROL!$C$22, $C$13, 100%, $E$13)</f>
        <v>20.102399999999999</v>
      </c>
    </row>
    <row r="960" spans="1:11" ht="15">
      <c r="A960" s="13">
        <v>70860</v>
      </c>
      <c r="B960" s="63">
        <f>17.0606 * CHOOSE(CONTROL!$C$22, $C$13, 100%, $E$13)</f>
        <v>17.060600000000001</v>
      </c>
      <c r="C960" s="63">
        <f>17.0606 * CHOOSE(CONTROL!$C$22, $C$13, 100%, $E$13)</f>
        <v>17.060600000000001</v>
      </c>
      <c r="D960" s="63">
        <f>17.0729 * CHOOSE(CONTROL!$C$22, $C$13, 100%, $E$13)</f>
        <v>17.072900000000001</v>
      </c>
      <c r="E960" s="64">
        <f>20.0986 * CHOOSE(CONTROL!$C$22, $C$13, 100%, $E$13)</f>
        <v>20.098600000000001</v>
      </c>
      <c r="F960" s="64">
        <f>20.0986 * CHOOSE(CONTROL!$C$22, $C$13, 100%, $E$13)</f>
        <v>20.098600000000001</v>
      </c>
      <c r="G960" s="64">
        <f>20.0988 * CHOOSE(CONTROL!$C$22, $C$13, 100%, $E$13)</f>
        <v>20.098800000000001</v>
      </c>
      <c r="H960" s="64">
        <f>32.3466* CHOOSE(CONTROL!$C$22, $C$13, 100%, $E$13)</f>
        <v>32.346600000000002</v>
      </c>
      <c r="I960" s="64">
        <f>32.3468 * CHOOSE(CONTROL!$C$22, $C$13, 100%, $E$13)</f>
        <v>32.346800000000002</v>
      </c>
      <c r="J960" s="64">
        <f>20.0986 * CHOOSE(CONTROL!$C$22, $C$13, 100%, $E$13)</f>
        <v>20.098600000000001</v>
      </c>
      <c r="K960" s="64">
        <f>20.0988 * CHOOSE(CONTROL!$C$22, $C$13, 100%, $E$13)</f>
        <v>20.098800000000001</v>
      </c>
    </row>
    <row r="961" spans="1:11" ht="15">
      <c r="A961" s="13">
        <v>70891</v>
      </c>
      <c r="B961" s="63">
        <f>17.0576 * CHOOSE(CONTROL!$C$22, $C$13, 100%, $E$13)</f>
        <v>17.057600000000001</v>
      </c>
      <c r="C961" s="63">
        <f>17.0576 * CHOOSE(CONTROL!$C$22, $C$13, 100%, $E$13)</f>
        <v>17.057600000000001</v>
      </c>
      <c r="D961" s="63">
        <f>17.0698 * CHOOSE(CONTROL!$C$22, $C$13, 100%, $E$13)</f>
        <v>17.069800000000001</v>
      </c>
      <c r="E961" s="64">
        <f>19.8764 * CHOOSE(CONTROL!$C$22, $C$13, 100%, $E$13)</f>
        <v>19.8764</v>
      </c>
      <c r="F961" s="64">
        <f>19.8764 * CHOOSE(CONTROL!$C$22, $C$13, 100%, $E$13)</f>
        <v>19.8764</v>
      </c>
      <c r="G961" s="64">
        <f>19.8766 * CHOOSE(CONTROL!$C$22, $C$13, 100%, $E$13)</f>
        <v>19.8766</v>
      </c>
      <c r="H961" s="64">
        <f>32.414* CHOOSE(CONTROL!$C$22, $C$13, 100%, $E$13)</f>
        <v>32.414000000000001</v>
      </c>
      <c r="I961" s="64">
        <f>32.4142 * CHOOSE(CONTROL!$C$22, $C$13, 100%, $E$13)</f>
        <v>32.414200000000001</v>
      </c>
      <c r="J961" s="64">
        <f>19.8764 * CHOOSE(CONTROL!$C$22, $C$13, 100%, $E$13)</f>
        <v>19.8764</v>
      </c>
      <c r="K961" s="64">
        <f>19.8766 * CHOOSE(CONTROL!$C$22, $C$13, 100%, $E$13)</f>
        <v>19.8766</v>
      </c>
    </row>
    <row r="962" spans="1:11" ht="15">
      <c r="A962" s="13">
        <v>70919</v>
      </c>
      <c r="B962" s="63">
        <f>17.0546 * CHOOSE(CONTROL!$C$22, $C$13, 100%, $E$13)</f>
        <v>17.054600000000001</v>
      </c>
      <c r="C962" s="63">
        <f>17.0546 * CHOOSE(CONTROL!$C$22, $C$13, 100%, $E$13)</f>
        <v>17.054600000000001</v>
      </c>
      <c r="D962" s="63">
        <f>17.0668 * CHOOSE(CONTROL!$C$22, $C$13, 100%, $E$13)</f>
        <v>17.066800000000001</v>
      </c>
      <c r="E962" s="64">
        <f>20.0478 * CHOOSE(CONTROL!$C$22, $C$13, 100%, $E$13)</f>
        <v>20.047799999999999</v>
      </c>
      <c r="F962" s="64">
        <f>20.0478 * CHOOSE(CONTROL!$C$22, $C$13, 100%, $E$13)</f>
        <v>20.047799999999999</v>
      </c>
      <c r="G962" s="64">
        <f>20.048 * CHOOSE(CONTROL!$C$22, $C$13, 100%, $E$13)</f>
        <v>20.047999999999998</v>
      </c>
      <c r="H962" s="64">
        <f>32.4815* CHOOSE(CONTROL!$C$22, $C$13, 100%, $E$13)</f>
        <v>32.481499999999997</v>
      </c>
      <c r="I962" s="64">
        <f>32.4817 * CHOOSE(CONTROL!$C$22, $C$13, 100%, $E$13)</f>
        <v>32.481699999999996</v>
      </c>
      <c r="J962" s="64">
        <f>20.0478 * CHOOSE(CONTROL!$C$22, $C$13, 100%, $E$13)</f>
        <v>20.047799999999999</v>
      </c>
      <c r="K962" s="64">
        <f>20.048 * CHOOSE(CONTROL!$C$22, $C$13, 100%, $E$13)</f>
        <v>20.047999999999998</v>
      </c>
    </row>
    <row r="963" spans="1:11" ht="15">
      <c r="A963" s="13">
        <v>70950</v>
      </c>
      <c r="B963" s="63">
        <f>17.0633 * CHOOSE(CONTROL!$C$22, $C$13, 100%, $E$13)</f>
        <v>17.063300000000002</v>
      </c>
      <c r="C963" s="63">
        <f>17.0633 * CHOOSE(CONTROL!$C$22, $C$13, 100%, $E$13)</f>
        <v>17.063300000000002</v>
      </c>
      <c r="D963" s="63">
        <f>17.0755 * CHOOSE(CONTROL!$C$22, $C$13, 100%, $E$13)</f>
        <v>17.075500000000002</v>
      </c>
      <c r="E963" s="64">
        <f>20.2298 * CHOOSE(CONTROL!$C$22, $C$13, 100%, $E$13)</f>
        <v>20.229800000000001</v>
      </c>
      <c r="F963" s="64">
        <f>20.2298 * CHOOSE(CONTROL!$C$22, $C$13, 100%, $E$13)</f>
        <v>20.229800000000001</v>
      </c>
      <c r="G963" s="64">
        <f>20.23 * CHOOSE(CONTROL!$C$22, $C$13, 100%, $E$13)</f>
        <v>20.23</v>
      </c>
      <c r="H963" s="64">
        <f>32.5492* CHOOSE(CONTROL!$C$22, $C$13, 100%, $E$13)</f>
        <v>32.549199999999999</v>
      </c>
      <c r="I963" s="64">
        <f>32.5494 * CHOOSE(CONTROL!$C$22, $C$13, 100%, $E$13)</f>
        <v>32.549399999999999</v>
      </c>
      <c r="J963" s="64">
        <f>20.2298 * CHOOSE(CONTROL!$C$22, $C$13, 100%, $E$13)</f>
        <v>20.229800000000001</v>
      </c>
      <c r="K963" s="64">
        <f>20.23 * CHOOSE(CONTROL!$C$22, $C$13, 100%, $E$13)</f>
        <v>20.23</v>
      </c>
    </row>
    <row r="964" spans="1:11" ht="15">
      <c r="A964" s="13">
        <v>70980</v>
      </c>
      <c r="B964" s="63">
        <f>17.0633 * CHOOSE(CONTROL!$C$22, $C$13, 100%, $E$13)</f>
        <v>17.063300000000002</v>
      </c>
      <c r="C964" s="63">
        <f>17.0633 * CHOOSE(CONTROL!$C$22, $C$13, 100%, $E$13)</f>
        <v>17.063300000000002</v>
      </c>
      <c r="D964" s="63">
        <f>17.0877 * CHOOSE(CONTROL!$C$22, $C$13, 100%, $E$13)</f>
        <v>17.087700000000002</v>
      </c>
      <c r="E964" s="64">
        <f>20.2997 * CHOOSE(CONTROL!$C$22, $C$13, 100%, $E$13)</f>
        <v>20.299700000000001</v>
      </c>
      <c r="F964" s="64">
        <f>20.2997 * CHOOSE(CONTROL!$C$22, $C$13, 100%, $E$13)</f>
        <v>20.299700000000001</v>
      </c>
      <c r="G964" s="64">
        <f>20.3012 * CHOOSE(CONTROL!$C$22, $C$13, 100%, $E$13)</f>
        <v>20.301200000000001</v>
      </c>
      <c r="H964" s="64">
        <f>32.617* CHOOSE(CONTROL!$C$22, $C$13, 100%, $E$13)</f>
        <v>32.616999999999997</v>
      </c>
      <c r="I964" s="64">
        <f>32.6186 * CHOOSE(CONTROL!$C$22, $C$13, 100%, $E$13)</f>
        <v>32.618600000000001</v>
      </c>
      <c r="J964" s="64">
        <f>20.2997 * CHOOSE(CONTROL!$C$22, $C$13, 100%, $E$13)</f>
        <v>20.299700000000001</v>
      </c>
      <c r="K964" s="64">
        <f>20.3012 * CHOOSE(CONTROL!$C$22, $C$13, 100%, $E$13)</f>
        <v>20.301200000000001</v>
      </c>
    </row>
    <row r="965" spans="1:11" ht="15">
      <c r="A965" s="13">
        <v>71011</v>
      </c>
      <c r="B965" s="63">
        <f>17.0694 * CHOOSE(CONTROL!$C$22, $C$13, 100%, $E$13)</f>
        <v>17.069400000000002</v>
      </c>
      <c r="C965" s="63">
        <f>17.0694 * CHOOSE(CONTROL!$C$22, $C$13, 100%, $E$13)</f>
        <v>17.069400000000002</v>
      </c>
      <c r="D965" s="63">
        <f>17.0938 * CHOOSE(CONTROL!$C$22, $C$13, 100%, $E$13)</f>
        <v>17.093800000000002</v>
      </c>
      <c r="E965" s="64">
        <f>20.2341 * CHOOSE(CONTROL!$C$22, $C$13, 100%, $E$13)</f>
        <v>20.234100000000002</v>
      </c>
      <c r="F965" s="64">
        <f>20.2341 * CHOOSE(CONTROL!$C$22, $C$13, 100%, $E$13)</f>
        <v>20.234100000000002</v>
      </c>
      <c r="G965" s="64">
        <f>20.2356 * CHOOSE(CONTROL!$C$22, $C$13, 100%, $E$13)</f>
        <v>20.235600000000002</v>
      </c>
      <c r="H965" s="64">
        <f>32.685* CHOOSE(CONTROL!$C$22, $C$13, 100%, $E$13)</f>
        <v>32.685000000000002</v>
      </c>
      <c r="I965" s="64">
        <f>32.6865 * CHOOSE(CONTROL!$C$22, $C$13, 100%, $E$13)</f>
        <v>32.686500000000002</v>
      </c>
      <c r="J965" s="64">
        <f>20.2341 * CHOOSE(CONTROL!$C$22, $C$13, 100%, $E$13)</f>
        <v>20.234100000000002</v>
      </c>
      <c r="K965" s="64">
        <f>20.2356 * CHOOSE(CONTROL!$C$22, $C$13, 100%, $E$13)</f>
        <v>20.235600000000002</v>
      </c>
    </row>
    <row r="966" spans="1:11" ht="15">
      <c r="A966" s="13">
        <v>71041</v>
      </c>
      <c r="B966" s="63">
        <f>17.3354 * CHOOSE(CONTROL!$C$22, $C$13, 100%, $E$13)</f>
        <v>17.3354</v>
      </c>
      <c r="C966" s="63">
        <f>17.3354 * CHOOSE(CONTROL!$C$22, $C$13, 100%, $E$13)</f>
        <v>17.3354</v>
      </c>
      <c r="D966" s="63">
        <f>17.3598 * CHOOSE(CONTROL!$C$22, $C$13, 100%, $E$13)</f>
        <v>17.3598</v>
      </c>
      <c r="E966" s="64">
        <f>20.6174 * CHOOSE(CONTROL!$C$22, $C$13, 100%, $E$13)</f>
        <v>20.6174</v>
      </c>
      <c r="F966" s="64">
        <f>20.6174 * CHOOSE(CONTROL!$C$22, $C$13, 100%, $E$13)</f>
        <v>20.6174</v>
      </c>
      <c r="G966" s="64">
        <f>20.619 * CHOOSE(CONTROL!$C$22, $C$13, 100%, $E$13)</f>
        <v>20.619</v>
      </c>
      <c r="H966" s="64">
        <f>32.7531* CHOOSE(CONTROL!$C$22, $C$13, 100%, $E$13)</f>
        <v>32.753100000000003</v>
      </c>
      <c r="I966" s="64">
        <f>32.7546 * CHOOSE(CONTROL!$C$22, $C$13, 100%, $E$13)</f>
        <v>32.754600000000003</v>
      </c>
      <c r="J966" s="64">
        <f>20.6174 * CHOOSE(CONTROL!$C$22, $C$13, 100%, $E$13)</f>
        <v>20.6174</v>
      </c>
      <c r="K966" s="64">
        <f>20.619 * CHOOSE(CONTROL!$C$22, $C$13, 100%, $E$13)</f>
        <v>20.619</v>
      </c>
    </row>
    <row r="967" spans="1:11" ht="15">
      <c r="A967" s="13">
        <v>71072</v>
      </c>
      <c r="B967" s="63">
        <f>17.3421 * CHOOSE(CONTROL!$C$22, $C$13, 100%, $E$13)</f>
        <v>17.342099999999999</v>
      </c>
      <c r="C967" s="63">
        <f>17.3421 * CHOOSE(CONTROL!$C$22, $C$13, 100%, $E$13)</f>
        <v>17.342099999999999</v>
      </c>
      <c r="D967" s="63">
        <f>17.3665 * CHOOSE(CONTROL!$C$22, $C$13, 100%, $E$13)</f>
        <v>17.366499999999998</v>
      </c>
      <c r="E967" s="64">
        <f>20.4125 * CHOOSE(CONTROL!$C$22, $C$13, 100%, $E$13)</f>
        <v>20.412500000000001</v>
      </c>
      <c r="F967" s="64">
        <f>20.4125 * CHOOSE(CONTROL!$C$22, $C$13, 100%, $E$13)</f>
        <v>20.412500000000001</v>
      </c>
      <c r="G967" s="64">
        <f>20.4141 * CHOOSE(CONTROL!$C$22, $C$13, 100%, $E$13)</f>
        <v>20.414100000000001</v>
      </c>
      <c r="H967" s="64">
        <f>32.8213* CHOOSE(CONTROL!$C$22, $C$13, 100%, $E$13)</f>
        <v>32.821300000000001</v>
      </c>
      <c r="I967" s="64">
        <f>32.8229 * CHOOSE(CONTROL!$C$22, $C$13, 100%, $E$13)</f>
        <v>32.822899999999997</v>
      </c>
      <c r="J967" s="64">
        <f>20.4125 * CHOOSE(CONTROL!$C$22, $C$13, 100%, $E$13)</f>
        <v>20.412500000000001</v>
      </c>
      <c r="K967" s="64">
        <f>20.4141 * CHOOSE(CONTROL!$C$22, $C$13, 100%, $E$13)</f>
        <v>20.414100000000001</v>
      </c>
    </row>
    <row r="968" spans="1:11" ht="15">
      <c r="A968" s="13">
        <v>71103</v>
      </c>
      <c r="B968" s="63">
        <f>17.339 * CHOOSE(CONTROL!$C$22, $C$13, 100%, $E$13)</f>
        <v>17.338999999999999</v>
      </c>
      <c r="C968" s="63">
        <f>17.339 * CHOOSE(CONTROL!$C$22, $C$13, 100%, $E$13)</f>
        <v>17.338999999999999</v>
      </c>
      <c r="D968" s="63">
        <f>17.3635 * CHOOSE(CONTROL!$C$22, $C$13, 100%, $E$13)</f>
        <v>17.363499999999998</v>
      </c>
      <c r="E968" s="64">
        <f>20.3871 * CHOOSE(CONTROL!$C$22, $C$13, 100%, $E$13)</f>
        <v>20.3871</v>
      </c>
      <c r="F968" s="64">
        <f>20.3871 * CHOOSE(CONTROL!$C$22, $C$13, 100%, $E$13)</f>
        <v>20.3871</v>
      </c>
      <c r="G968" s="64">
        <f>20.3887 * CHOOSE(CONTROL!$C$22, $C$13, 100%, $E$13)</f>
        <v>20.3887</v>
      </c>
      <c r="H968" s="64">
        <f>32.8897* CHOOSE(CONTROL!$C$22, $C$13, 100%, $E$13)</f>
        <v>32.889699999999998</v>
      </c>
      <c r="I968" s="64">
        <f>32.8912 * CHOOSE(CONTROL!$C$22, $C$13, 100%, $E$13)</f>
        <v>32.891199999999998</v>
      </c>
      <c r="J968" s="64">
        <f>20.3871 * CHOOSE(CONTROL!$C$22, $C$13, 100%, $E$13)</f>
        <v>20.3871</v>
      </c>
      <c r="K968" s="64">
        <f>20.3887 * CHOOSE(CONTROL!$C$22, $C$13, 100%, $E$13)</f>
        <v>20.3887</v>
      </c>
    </row>
    <row r="969" spans="1:11" ht="15">
      <c r="A969" s="13">
        <v>71133</v>
      </c>
      <c r="B969" s="63">
        <f>17.3777 * CHOOSE(CONTROL!$C$22, $C$13, 100%, $E$13)</f>
        <v>17.377700000000001</v>
      </c>
      <c r="C969" s="63">
        <f>17.3777 * CHOOSE(CONTROL!$C$22, $C$13, 100%, $E$13)</f>
        <v>17.377700000000001</v>
      </c>
      <c r="D969" s="63">
        <f>17.3899 * CHOOSE(CONTROL!$C$22, $C$13, 100%, $E$13)</f>
        <v>17.389900000000001</v>
      </c>
      <c r="E969" s="64">
        <f>20.4668 * CHOOSE(CONTROL!$C$22, $C$13, 100%, $E$13)</f>
        <v>20.466799999999999</v>
      </c>
      <c r="F969" s="64">
        <f>20.4668 * CHOOSE(CONTROL!$C$22, $C$13, 100%, $E$13)</f>
        <v>20.466799999999999</v>
      </c>
      <c r="G969" s="64">
        <f>20.467 * CHOOSE(CONTROL!$C$22, $C$13, 100%, $E$13)</f>
        <v>20.466999999999999</v>
      </c>
      <c r="H969" s="64">
        <f>32.9582* CHOOSE(CONTROL!$C$22, $C$13, 100%, $E$13)</f>
        <v>32.958199999999998</v>
      </c>
      <c r="I969" s="64">
        <f>32.9584 * CHOOSE(CONTROL!$C$22, $C$13, 100%, $E$13)</f>
        <v>32.958399999999997</v>
      </c>
      <c r="J969" s="64">
        <f>20.4668 * CHOOSE(CONTROL!$C$22, $C$13, 100%, $E$13)</f>
        <v>20.466799999999999</v>
      </c>
      <c r="K969" s="64">
        <f>20.467 * CHOOSE(CONTROL!$C$22, $C$13, 100%, $E$13)</f>
        <v>20.466999999999999</v>
      </c>
    </row>
    <row r="970" spans="1:11" ht="15">
      <c r="A970" s="13">
        <v>71164</v>
      </c>
      <c r="B970" s="63">
        <f>17.3807 * CHOOSE(CONTROL!$C$22, $C$13, 100%, $E$13)</f>
        <v>17.380700000000001</v>
      </c>
      <c r="C970" s="63">
        <f>17.3807 * CHOOSE(CONTROL!$C$22, $C$13, 100%, $E$13)</f>
        <v>17.380700000000001</v>
      </c>
      <c r="D970" s="63">
        <f>17.3929 * CHOOSE(CONTROL!$C$22, $C$13, 100%, $E$13)</f>
        <v>17.392900000000001</v>
      </c>
      <c r="E970" s="64">
        <f>20.5155 * CHOOSE(CONTROL!$C$22, $C$13, 100%, $E$13)</f>
        <v>20.515499999999999</v>
      </c>
      <c r="F970" s="64">
        <f>20.5155 * CHOOSE(CONTROL!$C$22, $C$13, 100%, $E$13)</f>
        <v>20.515499999999999</v>
      </c>
      <c r="G970" s="64">
        <f>20.5157 * CHOOSE(CONTROL!$C$22, $C$13, 100%, $E$13)</f>
        <v>20.515699999999999</v>
      </c>
      <c r="H970" s="64">
        <f>33.0268* CHOOSE(CONTROL!$C$22, $C$13, 100%, $E$13)</f>
        <v>33.026800000000001</v>
      </c>
      <c r="I970" s="64">
        <f>33.027 * CHOOSE(CONTROL!$C$22, $C$13, 100%, $E$13)</f>
        <v>33.027000000000001</v>
      </c>
      <c r="J970" s="64">
        <f>20.5155 * CHOOSE(CONTROL!$C$22, $C$13, 100%, $E$13)</f>
        <v>20.515499999999999</v>
      </c>
      <c r="K970" s="64">
        <f>20.5157 * CHOOSE(CONTROL!$C$22, $C$13, 100%, $E$13)</f>
        <v>20.515699999999999</v>
      </c>
    </row>
    <row r="971" spans="1:11" ht="15">
      <c r="A971" s="13">
        <v>71194</v>
      </c>
      <c r="B971" s="63">
        <f>17.3807 * CHOOSE(CONTROL!$C$22, $C$13, 100%, $E$13)</f>
        <v>17.380700000000001</v>
      </c>
      <c r="C971" s="63">
        <f>17.3807 * CHOOSE(CONTROL!$C$22, $C$13, 100%, $E$13)</f>
        <v>17.380700000000001</v>
      </c>
      <c r="D971" s="63">
        <f>17.3929 * CHOOSE(CONTROL!$C$22, $C$13, 100%, $E$13)</f>
        <v>17.392900000000001</v>
      </c>
      <c r="E971" s="64">
        <f>20.3991 * CHOOSE(CONTROL!$C$22, $C$13, 100%, $E$13)</f>
        <v>20.399100000000001</v>
      </c>
      <c r="F971" s="64">
        <f>20.3991 * CHOOSE(CONTROL!$C$22, $C$13, 100%, $E$13)</f>
        <v>20.399100000000001</v>
      </c>
      <c r="G971" s="64">
        <f>20.3993 * CHOOSE(CONTROL!$C$22, $C$13, 100%, $E$13)</f>
        <v>20.3993</v>
      </c>
      <c r="H971" s="64">
        <f>33.0957* CHOOSE(CONTROL!$C$22, $C$13, 100%, $E$13)</f>
        <v>33.095700000000001</v>
      </c>
      <c r="I971" s="64">
        <f>33.0958 * CHOOSE(CONTROL!$C$22, $C$13, 100%, $E$13)</f>
        <v>33.095799999999997</v>
      </c>
      <c r="J971" s="64">
        <f>20.3991 * CHOOSE(CONTROL!$C$22, $C$13, 100%, $E$13)</f>
        <v>20.399100000000001</v>
      </c>
      <c r="K971" s="64">
        <f>20.3993 * CHOOSE(CONTROL!$C$22, $C$13, 100%, $E$13)</f>
        <v>20.3993</v>
      </c>
    </row>
    <row r="972" spans="1:11" ht="15">
      <c r="A972" s="13">
        <v>71225</v>
      </c>
      <c r="B972" s="63">
        <f>17.306 * CHOOSE(CONTROL!$C$22, $C$13, 100%, $E$13)</f>
        <v>17.306000000000001</v>
      </c>
      <c r="C972" s="63">
        <f>17.306 * CHOOSE(CONTROL!$C$22, $C$13, 100%, $E$13)</f>
        <v>17.306000000000001</v>
      </c>
      <c r="D972" s="63">
        <f>17.3182 * CHOOSE(CONTROL!$C$22, $C$13, 100%, $E$13)</f>
        <v>17.318200000000001</v>
      </c>
      <c r="E972" s="64">
        <f>20.391 * CHOOSE(CONTROL!$C$22, $C$13, 100%, $E$13)</f>
        <v>20.390999999999998</v>
      </c>
      <c r="F972" s="64">
        <f>20.391 * CHOOSE(CONTROL!$C$22, $C$13, 100%, $E$13)</f>
        <v>20.390999999999998</v>
      </c>
      <c r="G972" s="64">
        <f>20.3912 * CHOOSE(CONTROL!$C$22, $C$13, 100%, $E$13)</f>
        <v>20.391200000000001</v>
      </c>
      <c r="H972" s="64">
        <f>32.7925* CHOOSE(CONTROL!$C$22, $C$13, 100%, $E$13)</f>
        <v>32.792499999999997</v>
      </c>
      <c r="I972" s="64">
        <f>32.7927 * CHOOSE(CONTROL!$C$22, $C$13, 100%, $E$13)</f>
        <v>32.792700000000004</v>
      </c>
      <c r="J972" s="64">
        <f>20.391 * CHOOSE(CONTROL!$C$22, $C$13, 100%, $E$13)</f>
        <v>20.390999999999998</v>
      </c>
      <c r="K972" s="64">
        <f>20.3912 * CHOOSE(CONTROL!$C$22, $C$13, 100%, $E$13)</f>
        <v>20.391200000000001</v>
      </c>
    </row>
    <row r="973" spans="1:11" ht="15">
      <c r="A973" s="13">
        <v>71256</v>
      </c>
      <c r="B973" s="63">
        <f>17.3029 * CHOOSE(CONTROL!$C$22, $C$13, 100%, $E$13)</f>
        <v>17.302900000000001</v>
      </c>
      <c r="C973" s="63">
        <f>17.3029 * CHOOSE(CONTROL!$C$22, $C$13, 100%, $E$13)</f>
        <v>17.302900000000001</v>
      </c>
      <c r="D973" s="63">
        <f>17.3151 * CHOOSE(CONTROL!$C$22, $C$13, 100%, $E$13)</f>
        <v>17.315100000000001</v>
      </c>
      <c r="E973" s="64">
        <f>20.1657 * CHOOSE(CONTROL!$C$22, $C$13, 100%, $E$13)</f>
        <v>20.165700000000001</v>
      </c>
      <c r="F973" s="64">
        <f>20.1657 * CHOOSE(CONTROL!$C$22, $C$13, 100%, $E$13)</f>
        <v>20.165700000000001</v>
      </c>
      <c r="G973" s="64">
        <f>20.1658 * CHOOSE(CONTROL!$C$22, $C$13, 100%, $E$13)</f>
        <v>20.165800000000001</v>
      </c>
      <c r="H973" s="64">
        <f>32.8608* CHOOSE(CONTROL!$C$22, $C$13, 100%, $E$13)</f>
        <v>32.860799999999998</v>
      </c>
      <c r="I973" s="64">
        <f>32.861 * CHOOSE(CONTROL!$C$22, $C$13, 100%, $E$13)</f>
        <v>32.860999999999997</v>
      </c>
      <c r="J973" s="64">
        <f>20.1657 * CHOOSE(CONTROL!$C$22, $C$13, 100%, $E$13)</f>
        <v>20.165700000000001</v>
      </c>
      <c r="K973" s="64">
        <f>20.1658 * CHOOSE(CONTROL!$C$22, $C$13, 100%, $E$13)</f>
        <v>20.165800000000001</v>
      </c>
    </row>
    <row r="974" spans="1:11" ht="15">
      <c r="A974" s="13">
        <v>71284</v>
      </c>
      <c r="B974" s="63">
        <f>17.2999 * CHOOSE(CONTROL!$C$22, $C$13, 100%, $E$13)</f>
        <v>17.299900000000001</v>
      </c>
      <c r="C974" s="63">
        <f>17.2999 * CHOOSE(CONTROL!$C$22, $C$13, 100%, $E$13)</f>
        <v>17.299900000000001</v>
      </c>
      <c r="D974" s="63">
        <f>17.3121 * CHOOSE(CONTROL!$C$22, $C$13, 100%, $E$13)</f>
        <v>17.312100000000001</v>
      </c>
      <c r="E974" s="64">
        <f>20.3395 * CHOOSE(CONTROL!$C$22, $C$13, 100%, $E$13)</f>
        <v>20.339500000000001</v>
      </c>
      <c r="F974" s="64">
        <f>20.3395 * CHOOSE(CONTROL!$C$22, $C$13, 100%, $E$13)</f>
        <v>20.339500000000001</v>
      </c>
      <c r="G974" s="64">
        <f>20.3397 * CHOOSE(CONTROL!$C$22, $C$13, 100%, $E$13)</f>
        <v>20.339700000000001</v>
      </c>
      <c r="H974" s="64">
        <f>32.9293* CHOOSE(CONTROL!$C$22, $C$13, 100%, $E$13)</f>
        <v>32.929299999999998</v>
      </c>
      <c r="I974" s="64">
        <f>32.9295 * CHOOSE(CONTROL!$C$22, $C$13, 100%, $E$13)</f>
        <v>32.929499999999997</v>
      </c>
      <c r="J974" s="64">
        <f>20.3395 * CHOOSE(CONTROL!$C$22, $C$13, 100%, $E$13)</f>
        <v>20.339500000000001</v>
      </c>
      <c r="K974" s="64">
        <f>20.3397 * CHOOSE(CONTROL!$C$22, $C$13, 100%, $E$13)</f>
        <v>20.339700000000001</v>
      </c>
    </row>
    <row r="975" spans="1:11" ht="15">
      <c r="A975" s="13">
        <v>71315</v>
      </c>
      <c r="B975" s="63">
        <f>17.3088 * CHOOSE(CONTROL!$C$22, $C$13, 100%, $E$13)</f>
        <v>17.308800000000002</v>
      </c>
      <c r="C975" s="63">
        <f>17.3088 * CHOOSE(CONTROL!$C$22, $C$13, 100%, $E$13)</f>
        <v>17.308800000000002</v>
      </c>
      <c r="D975" s="63">
        <f>17.3211 * CHOOSE(CONTROL!$C$22, $C$13, 100%, $E$13)</f>
        <v>17.321100000000001</v>
      </c>
      <c r="E975" s="64">
        <f>20.5243 * CHOOSE(CONTROL!$C$22, $C$13, 100%, $E$13)</f>
        <v>20.5243</v>
      </c>
      <c r="F975" s="64">
        <f>20.5243 * CHOOSE(CONTROL!$C$22, $C$13, 100%, $E$13)</f>
        <v>20.5243</v>
      </c>
      <c r="G975" s="64">
        <f>20.5244 * CHOOSE(CONTROL!$C$22, $C$13, 100%, $E$13)</f>
        <v>20.5244</v>
      </c>
      <c r="H975" s="64">
        <f>32.9979* CHOOSE(CONTROL!$C$22, $C$13, 100%, $E$13)</f>
        <v>32.997900000000001</v>
      </c>
      <c r="I975" s="64">
        <f>32.9981 * CHOOSE(CONTROL!$C$22, $C$13, 100%, $E$13)</f>
        <v>32.998100000000001</v>
      </c>
      <c r="J975" s="64">
        <f>20.5243 * CHOOSE(CONTROL!$C$22, $C$13, 100%, $E$13)</f>
        <v>20.5243</v>
      </c>
      <c r="K975" s="64">
        <f>20.5244 * CHOOSE(CONTROL!$C$22, $C$13, 100%, $E$13)</f>
        <v>20.5244</v>
      </c>
    </row>
    <row r="976" spans="1:11" ht="15">
      <c r="A976" s="13">
        <v>71345</v>
      </c>
      <c r="B976" s="63">
        <f>17.3088 * CHOOSE(CONTROL!$C$22, $C$13, 100%, $E$13)</f>
        <v>17.308800000000002</v>
      </c>
      <c r="C976" s="63">
        <f>17.3088 * CHOOSE(CONTROL!$C$22, $C$13, 100%, $E$13)</f>
        <v>17.308800000000002</v>
      </c>
      <c r="D976" s="63">
        <f>17.3333 * CHOOSE(CONTROL!$C$22, $C$13, 100%, $E$13)</f>
        <v>17.333300000000001</v>
      </c>
      <c r="E976" s="64">
        <f>20.5951 * CHOOSE(CONTROL!$C$22, $C$13, 100%, $E$13)</f>
        <v>20.595099999999999</v>
      </c>
      <c r="F976" s="64">
        <f>20.5951 * CHOOSE(CONTROL!$C$22, $C$13, 100%, $E$13)</f>
        <v>20.595099999999999</v>
      </c>
      <c r="G976" s="64">
        <f>20.5967 * CHOOSE(CONTROL!$C$22, $C$13, 100%, $E$13)</f>
        <v>20.596699999999998</v>
      </c>
      <c r="H976" s="64">
        <f>33.0666* CHOOSE(CONTROL!$C$22, $C$13, 100%, $E$13)</f>
        <v>33.066600000000001</v>
      </c>
      <c r="I976" s="64">
        <f>33.0682 * CHOOSE(CONTROL!$C$22, $C$13, 100%, $E$13)</f>
        <v>33.068199999999997</v>
      </c>
      <c r="J976" s="64">
        <f>20.5951 * CHOOSE(CONTROL!$C$22, $C$13, 100%, $E$13)</f>
        <v>20.595099999999999</v>
      </c>
      <c r="K976" s="64">
        <f>20.5967 * CHOOSE(CONTROL!$C$22, $C$13, 100%, $E$13)</f>
        <v>20.596699999999998</v>
      </c>
    </row>
    <row r="977" spans="1:11" ht="15">
      <c r="A977" s="13">
        <v>71376</v>
      </c>
      <c r="B977" s="63">
        <f>17.3149 * CHOOSE(CONTROL!$C$22, $C$13, 100%, $E$13)</f>
        <v>17.314900000000002</v>
      </c>
      <c r="C977" s="63">
        <f>17.3149 * CHOOSE(CONTROL!$C$22, $C$13, 100%, $E$13)</f>
        <v>17.314900000000002</v>
      </c>
      <c r="D977" s="63">
        <f>17.3393 * CHOOSE(CONTROL!$C$22, $C$13, 100%, $E$13)</f>
        <v>17.339300000000001</v>
      </c>
      <c r="E977" s="64">
        <f>20.5285 * CHOOSE(CONTROL!$C$22, $C$13, 100%, $E$13)</f>
        <v>20.528500000000001</v>
      </c>
      <c r="F977" s="64">
        <f>20.5285 * CHOOSE(CONTROL!$C$22, $C$13, 100%, $E$13)</f>
        <v>20.528500000000001</v>
      </c>
      <c r="G977" s="64">
        <f>20.5301 * CHOOSE(CONTROL!$C$22, $C$13, 100%, $E$13)</f>
        <v>20.530100000000001</v>
      </c>
      <c r="H977" s="64">
        <f>33.1355* CHOOSE(CONTROL!$C$22, $C$13, 100%, $E$13)</f>
        <v>33.1355</v>
      </c>
      <c r="I977" s="64">
        <f>33.1371 * CHOOSE(CONTROL!$C$22, $C$13, 100%, $E$13)</f>
        <v>33.137099999999997</v>
      </c>
      <c r="J977" s="64">
        <f>20.5285 * CHOOSE(CONTROL!$C$22, $C$13, 100%, $E$13)</f>
        <v>20.528500000000001</v>
      </c>
      <c r="K977" s="64">
        <f>20.5301 * CHOOSE(CONTROL!$C$22, $C$13, 100%, $E$13)</f>
        <v>20.530100000000001</v>
      </c>
    </row>
    <row r="978" spans="1:11" ht="15">
      <c r="A978" s="13">
        <v>71406</v>
      </c>
      <c r="B978" s="63">
        <f>17.5846 * CHOOSE(CONTROL!$C$22, $C$13, 100%, $E$13)</f>
        <v>17.584599999999998</v>
      </c>
      <c r="C978" s="63">
        <f>17.5846 * CHOOSE(CONTROL!$C$22, $C$13, 100%, $E$13)</f>
        <v>17.584599999999998</v>
      </c>
      <c r="D978" s="63">
        <f>17.609 * CHOOSE(CONTROL!$C$22, $C$13, 100%, $E$13)</f>
        <v>17.609000000000002</v>
      </c>
      <c r="E978" s="64">
        <f>20.9173 * CHOOSE(CONTROL!$C$22, $C$13, 100%, $E$13)</f>
        <v>20.917300000000001</v>
      </c>
      <c r="F978" s="64">
        <f>20.9173 * CHOOSE(CONTROL!$C$22, $C$13, 100%, $E$13)</f>
        <v>20.917300000000001</v>
      </c>
      <c r="G978" s="64">
        <f>20.9189 * CHOOSE(CONTROL!$C$22, $C$13, 100%, $E$13)</f>
        <v>20.918900000000001</v>
      </c>
      <c r="H978" s="64">
        <f>33.2045* CHOOSE(CONTROL!$C$22, $C$13, 100%, $E$13)</f>
        <v>33.204500000000003</v>
      </c>
      <c r="I978" s="64">
        <f>33.2061 * CHOOSE(CONTROL!$C$22, $C$13, 100%, $E$13)</f>
        <v>33.206099999999999</v>
      </c>
      <c r="J978" s="64">
        <f>20.9173 * CHOOSE(CONTROL!$C$22, $C$13, 100%, $E$13)</f>
        <v>20.917300000000001</v>
      </c>
      <c r="K978" s="64">
        <f>20.9189 * CHOOSE(CONTROL!$C$22, $C$13, 100%, $E$13)</f>
        <v>20.918900000000001</v>
      </c>
    </row>
    <row r="979" spans="1:11" ht="15">
      <c r="A979" s="13">
        <v>71437</v>
      </c>
      <c r="B979" s="63">
        <f>17.5913 * CHOOSE(CONTROL!$C$22, $C$13, 100%, $E$13)</f>
        <v>17.5913</v>
      </c>
      <c r="C979" s="63">
        <f>17.5913 * CHOOSE(CONTROL!$C$22, $C$13, 100%, $E$13)</f>
        <v>17.5913</v>
      </c>
      <c r="D979" s="63">
        <f>17.6157 * CHOOSE(CONTROL!$C$22, $C$13, 100%, $E$13)</f>
        <v>17.6157</v>
      </c>
      <c r="E979" s="64">
        <f>20.7093 * CHOOSE(CONTROL!$C$22, $C$13, 100%, $E$13)</f>
        <v>20.709299999999999</v>
      </c>
      <c r="F979" s="64">
        <f>20.7093 * CHOOSE(CONTROL!$C$22, $C$13, 100%, $E$13)</f>
        <v>20.709299999999999</v>
      </c>
      <c r="G979" s="64">
        <f>20.7109 * CHOOSE(CONTROL!$C$22, $C$13, 100%, $E$13)</f>
        <v>20.710899999999999</v>
      </c>
      <c r="H979" s="64">
        <f>33.2737* CHOOSE(CONTROL!$C$22, $C$13, 100%, $E$13)</f>
        <v>33.273699999999998</v>
      </c>
      <c r="I979" s="64">
        <f>33.2753 * CHOOSE(CONTROL!$C$22, $C$13, 100%, $E$13)</f>
        <v>33.275300000000001</v>
      </c>
      <c r="J979" s="64">
        <f>20.7093 * CHOOSE(CONTROL!$C$22, $C$13, 100%, $E$13)</f>
        <v>20.709299999999999</v>
      </c>
      <c r="K979" s="64">
        <f>20.7109 * CHOOSE(CONTROL!$C$22, $C$13, 100%, $E$13)</f>
        <v>20.710899999999999</v>
      </c>
    </row>
    <row r="980" spans="1:11" ht="15">
      <c r="A980" s="13">
        <v>71468</v>
      </c>
      <c r="B980" s="63">
        <f>17.5882 * CHOOSE(CONTROL!$C$22, $C$13, 100%, $E$13)</f>
        <v>17.588200000000001</v>
      </c>
      <c r="C980" s="63">
        <f>17.5882 * CHOOSE(CONTROL!$C$22, $C$13, 100%, $E$13)</f>
        <v>17.588200000000001</v>
      </c>
      <c r="D980" s="63">
        <f>17.6127 * CHOOSE(CONTROL!$C$22, $C$13, 100%, $E$13)</f>
        <v>17.6127</v>
      </c>
      <c r="E980" s="64">
        <f>20.6836 * CHOOSE(CONTROL!$C$22, $C$13, 100%, $E$13)</f>
        <v>20.683599999999998</v>
      </c>
      <c r="F980" s="64">
        <f>20.6836 * CHOOSE(CONTROL!$C$22, $C$13, 100%, $E$13)</f>
        <v>20.683599999999998</v>
      </c>
      <c r="G980" s="64">
        <f>20.6852 * CHOOSE(CONTROL!$C$22, $C$13, 100%, $E$13)</f>
        <v>20.685199999999998</v>
      </c>
      <c r="H980" s="64">
        <f>33.343* CHOOSE(CONTROL!$C$22, $C$13, 100%, $E$13)</f>
        <v>33.343000000000004</v>
      </c>
      <c r="I980" s="64">
        <f>33.3446 * CHOOSE(CONTROL!$C$22, $C$13, 100%, $E$13)</f>
        <v>33.3446</v>
      </c>
      <c r="J980" s="64">
        <f>20.6836 * CHOOSE(CONTROL!$C$22, $C$13, 100%, $E$13)</f>
        <v>20.683599999999998</v>
      </c>
      <c r="K980" s="64">
        <f>20.6852 * CHOOSE(CONTROL!$C$22, $C$13, 100%, $E$13)</f>
        <v>20.685199999999998</v>
      </c>
    </row>
    <row r="981" spans="1:11" ht="15">
      <c r="A981" s="13">
        <v>71498</v>
      </c>
      <c r="B981" s="63">
        <f>17.6277 * CHOOSE(CONTROL!$C$22, $C$13, 100%, $E$13)</f>
        <v>17.627700000000001</v>
      </c>
      <c r="C981" s="63">
        <f>17.6277 * CHOOSE(CONTROL!$C$22, $C$13, 100%, $E$13)</f>
        <v>17.627700000000001</v>
      </c>
      <c r="D981" s="63">
        <f>17.6399 * CHOOSE(CONTROL!$C$22, $C$13, 100%, $E$13)</f>
        <v>17.639900000000001</v>
      </c>
      <c r="E981" s="64">
        <f>20.7647 * CHOOSE(CONTROL!$C$22, $C$13, 100%, $E$13)</f>
        <v>20.764700000000001</v>
      </c>
      <c r="F981" s="64">
        <f>20.7647 * CHOOSE(CONTROL!$C$22, $C$13, 100%, $E$13)</f>
        <v>20.764700000000001</v>
      </c>
      <c r="G981" s="64">
        <f>20.7649 * CHOOSE(CONTROL!$C$22, $C$13, 100%, $E$13)</f>
        <v>20.764900000000001</v>
      </c>
      <c r="H981" s="64">
        <f>33.4125* CHOOSE(CONTROL!$C$22, $C$13, 100%, $E$13)</f>
        <v>33.412500000000001</v>
      </c>
      <c r="I981" s="64">
        <f>33.4127 * CHOOSE(CONTROL!$C$22, $C$13, 100%, $E$13)</f>
        <v>33.412700000000001</v>
      </c>
      <c r="J981" s="64">
        <f>20.7647 * CHOOSE(CONTROL!$C$22, $C$13, 100%, $E$13)</f>
        <v>20.764700000000001</v>
      </c>
      <c r="K981" s="64">
        <f>20.7649 * CHOOSE(CONTROL!$C$22, $C$13, 100%, $E$13)</f>
        <v>20.764900000000001</v>
      </c>
    </row>
    <row r="982" spans="1:11" ht="15">
      <c r="A982" s="13">
        <v>71529</v>
      </c>
      <c r="B982" s="63">
        <f>17.6307 * CHOOSE(CONTROL!$C$22, $C$13, 100%, $E$13)</f>
        <v>17.630700000000001</v>
      </c>
      <c r="C982" s="63">
        <f>17.6307 * CHOOSE(CONTROL!$C$22, $C$13, 100%, $E$13)</f>
        <v>17.630700000000001</v>
      </c>
      <c r="D982" s="63">
        <f>17.643 * CHOOSE(CONTROL!$C$22, $C$13, 100%, $E$13)</f>
        <v>17.643000000000001</v>
      </c>
      <c r="E982" s="64">
        <f>20.8141 * CHOOSE(CONTROL!$C$22, $C$13, 100%, $E$13)</f>
        <v>20.8141</v>
      </c>
      <c r="F982" s="64">
        <f>20.8141 * CHOOSE(CONTROL!$C$22, $C$13, 100%, $E$13)</f>
        <v>20.8141</v>
      </c>
      <c r="G982" s="64">
        <f>20.8142 * CHOOSE(CONTROL!$C$22, $C$13, 100%, $E$13)</f>
        <v>20.8142</v>
      </c>
      <c r="H982" s="64">
        <f>33.4821* CHOOSE(CONTROL!$C$22, $C$13, 100%, $E$13)</f>
        <v>33.482100000000003</v>
      </c>
      <c r="I982" s="64">
        <f>33.4823 * CHOOSE(CONTROL!$C$22, $C$13, 100%, $E$13)</f>
        <v>33.482300000000002</v>
      </c>
      <c r="J982" s="64">
        <f>20.8141 * CHOOSE(CONTROL!$C$22, $C$13, 100%, $E$13)</f>
        <v>20.8141</v>
      </c>
      <c r="K982" s="64">
        <f>20.8142 * CHOOSE(CONTROL!$C$22, $C$13, 100%, $E$13)</f>
        <v>20.8142</v>
      </c>
    </row>
    <row r="983" spans="1:11" ht="15">
      <c r="A983" s="13">
        <v>71559</v>
      </c>
      <c r="B983" s="63">
        <f>17.6307 * CHOOSE(CONTROL!$C$22, $C$13, 100%, $E$13)</f>
        <v>17.630700000000001</v>
      </c>
      <c r="C983" s="63">
        <f>17.6307 * CHOOSE(CONTROL!$C$22, $C$13, 100%, $E$13)</f>
        <v>17.630700000000001</v>
      </c>
      <c r="D983" s="63">
        <f>17.643 * CHOOSE(CONTROL!$C$22, $C$13, 100%, $E$13)</f>
        <v>17.643000000000001</v>
      </c>
      <c r="E983" s="64">
        <f>20.6959 * CHOOSE(CONTROL!$C$22, $C$13, 100%, $E$13)</f>
        <v>20.695900000000002</v>
      </c>
      <c r="F983" s="64">
        <f>20.6959 * CHOOSE(CONTROL!$C$22, $C$13, 100%, $E$13)</f>
        <v>20.695900000000002</v>
      </c>
      <c r="G983" s="64">
        <f>20.6961 * CHOOSE(CONTROL!$C$22, $C$13, 100%, $E$13)</f>
        <v>20.696100000000001</v>
      </c>
      <c r="H983" s="64">
        <f>33.5519* CHOOSE(CONTROL!$C$22, $C$13, 100%, $E$13)</f>
        <v>33.551900000000003</v>
      </c>
      <c r="I983" s="64">
        <f>33.552 * CHOOSE(CONTROL!$C$22, $C$13, 100%, $E$13)</f>
        <v>33.552</v>
      </c>
      <c r="J983" s="64">
        <f>20.6959 * CHOOSE(CONTROL!$C$22, $C$13, 100%, $E$13)</f>
        <v>20.695900000000002</v>
      </c>
      <c r="K983" s="64">
        <f>20.6961 * CHOOSE(CONTROL!$C$22, $C$13, 100%, $E$13)</f>
        <v>20.696100000000001</v>
      </c>
    </row>
    <row r="984" spans="1:11" ht="15">
      <c r="A984" s="13">
        <v>71590</v>
      </c>
      <c r="B984" s="63">
        <f>17.5513 * CHOOSE(CONTROL!$C$22, $C$13, 100%, $E$13)</f>
        <v>17.551300000000001</v>
      </c>
      <c r="C984" s="63">
        <f>17.5513 * CHOOSE(CONTROL!$C$22, $C$13, 100%, $E$13)</f>
        <v>17.551300000000001</v>
      </c>
      <c r="D984" s="63">
        <f>17.5635 * CHOOSE(CONTROL!$C$22, $C$13, 100%, $E$13)</f>
        <v>17.563500000000001</v>
      </c>
      <c r="E984" s="64">
        <f>20.6834 * CHOOSE(CONTROL!$C$22, $C$13, 100%, $E$13)</f>
        <v>20.683399999999999</v>
      </c>
      <c r="F984" s="64">
        <f>20.6834 * CHOOSE(CONTROL!$C$22, $C$13, 100%, $E$13)</f>
        <v>20.683399999999999</v>
      </c>
      <c r="G984" s="64">
        <f>20.6836 * CHOOSE(CONTROL!$C$22, $C$13, 100%, $E$13)</f>
        <v>20.683599999999998</v>
      </c>
      <c r="H984" s="64">
        <f>33.2384* CHOOSE(CONTROL!$C$22, $C$13, 100%, $E$13)</f>
        <v>33.238399999999999</v>
      </c>
      <c r="I984" s="64">
        <f>33.2386 * CHOOSE(CONTROL!$C$22, $C$13, 100%, $E$13)</f>
        <v>33.238599999999998</v>
      </c>
      <c r="J984" s="64">
        <f>20.6834 * CHOOSE(CONTROL!$C$22, $C$13, 100%, $E$13)</f>
        <v>20.683399999999999</v>
      </c>
      <c r="K984" s="64">
        <f>20.6836 * CHOOSE(CONTROL!$C$22, $C$13, 100%, $E$13)</f>
        <v>20.683599999999998</v>
      </c>
    </row>
    <row r="985" spans="1:11" ht="15">
      <c r="A985" s="13">
        <v>71621</v>
      </c>
      <c r="B985" s="63">
        <f>17.5482 * CHOOSE(CONTROL!$C$22, $C$13, 100%, $E$13)</f>
        <v>17.548200000000001</v>
      </c>
      <c r="C985" s="63">
        <f>17.5482 * CHOOSE(CONTROL!$C$22, $C$13, 100%, $E$13)</f>
        <v>17.548200000000001</v>
      </c>
      <c r="D985" s="63">
        <f>17.5605 * CHOOSE(CONTROL!$C$22, $C$13, 100%, $E$13)</f>
        <v>17.560500000000001</v>
      </c>
      <c r="E985" s="64">
        <f>20.4549 * CHOOSE(CONTROL!$C$22, $C$13, 100%, $E$13)</f>
        <v>20.454899999999999</v>
      </c>
      <c r="F985" s="64">
        <f>20.4549 * CHOOSE(CONTROL!$C$22, $C$13, 100%, $E$13)</f>
        <v>20.454899999999999</v>
      </c>
      <c r="G985" s="64">
        <f>20.455 * CHOOSE(CONTROL!$C$22, $C$13, 100%, $E$13)</f>
        <v>20.454999999999998</v>
      </c>
      <c r="H985" s="64">
        <f>33.3076* CHOOSE(CONTROL!$C$22, $C$13, 100%, $E$13)</f>
        <v>33.307600000000001</v>
      </c>
      <c r="I985" s="64">
        <f>33.3078 * CHOOSE(CONTROL!$C$22, $C$13, 100%, $E$13)</f>
        <v>33.3078</v>
      </c>
      <c r="J985" s="64">
        <f>20.4549 * CHOOSE(CONTROL!$C$22, $C$13, 100%, $E$13)</f>
        <v>20.454899999999999</v>
      </c>
      <c r="K985" s="64">
        <f>20.455 * CHOOSE(CONTROL!$C$22, $C$13, 100%, $E$13)</f>
        <v>20.454999999999998</v>
      </c>
    </row>
    <row r="986" spans="1:11" ht="15">
      <c r="A986" s="13">
        <v>71650</v>
      </c>
      <c r="B986" s="63">
        <f>17.5452 * CHOOSE(CONTROL!$C$22, $C$13, 100%, $E$13)</f>
        <v>17.545200000000001</v>
      </c>
      <c r="C986" s="63">
        <f>17.5452 * CHOOSE(CONTROL!$C$22, $C$13, 100%, $E$13)</f>
        <v>17.545200000000001</v>
      </c>
      <c r="D986" s="63">
        <f>17.5574 * CHOOSE(CONTROL!$C$22, $C$13, 100%, $E$13)</f>
        <v>17.557400000000001</v>
      </c>
      <c r="E986" s="64">
        <f>20.6312 * CHOOSE(CONTROL!$C$22, $C$13, 100%, $E$13)</f>
        <v>20.6312</v>
      </c>
      <c r="F986" s="64">
        <f>20.6312 * CHOOSE(CONTROL!$C$22, $C$13, 100%, $E$13)</f>
        <v>20.6312</v>
      </c>
      <c r="G986" s="64">
        <f>20.6314 * CHOOSE(CONTROL!$C$22, $C$13, 100%, $E$13)</f>
        <v>20.631399999999999</v>
      </c>
      <c r="H986" s="64">
        <f>33.377* CHOOSE(CONTROL!$C$22, $C$13, 100%, $E$13)</f>
        <v>33.377000000000002</v>
      </c>
      <c r="I986" s="64">
        <f>33.3772 * CHOOSE(CONTROL!$C$22, $C$13, 100%, $E$13)</f>
        <v>33.377200000000002</v>
      </c>
      <c r="J986" s="64">
        <f>20.6312 * CHOOSE(CONTROL!$C$22, $C$13, 100%, $E$13)</f>
        <v>20.6312</v>
      </c>
      <c r="K986" s="64">
        <f>20.6314 * CHOOSE(CONTROL!$C$22, $C$13, 100%, $E$13)</f>
        <v>20.631399999999999</v>
      </c>
    </row>
    <row r="987" spans="1:11" ht="15">
      <c r="A987" s="13">
        <v>71681</v>
      </c>
      <c r="B987" s="63">
        <f>17.5544 * CHOOSE(CONTROL!$C$22, $C$13, 100%, $E$13)</f>
        <v>17.554400000000001</v>
      </c>
      <c r="C987" s="63">
        <f>17.5544 * CHOOSE(CONTROL!$C$22, $C$13, 100%, $E$13)</f>
        <v>17.554400000000001</v>
      </c>
      <c r="D987" s="63">
        <f>17.5666 * CHOOSE(CONTROL!$C$22, $C$13, 100%, $E$13)</f>
        <v>17.566600000000001</v>
      </c>
      <c r="E987" s="64">
        <f>20.8187 * CHOOSE(CONTROL!$C$22, $C$13, 100%, $E$13)</f>
        <v>20.8187</v>
      </c>
      <c r="F987" s="64">
        <f>20.8187 * CHOOSE(CONTROL!$C$22, $C$13, 100%, $E$13)</f>
        <v>20.8187</v>
      </c>
      <c r="G987" s="64">
        <f>20.8189 * CHOOSE(CONTROL!$C$22, $C$13, 100%, $E$13)</f>
        <v>20.818899999999999</v>
      </c>
      <c r="H987" s="64">
        <f>33.4466* CHOOSE(CONTROL!$C$22, $C$13, 100%, $E$13)</f>
        <v>33.446599999999997</v>
      </c>
      <c r="I987" s="64">
        <f>33.4467 * CHOOSE(CONTROL!$C$22, $C$13, 100%, $E$13)</f>
        <v>33.4467</v>
      </c>
      <c r="J987" s="64">
        <f>20.8187 * CHOOSE(CONTROL!$C$22, $C$13, 100%, $E$13)</f>
        <v>20.8187</v>
      </c>
      <c r="K987" s="64">
        <f>20.8189 * CHOOSE(CONTROL!$C$22, $C$13, 100%, $E$13)</f>
        <v>20.818899999999999</v>
      </c>
    </row>
    <row r="988" spans="1:11" ht="15">
      <c r="A988" s="13">
        <v>71711</v>
      </c>
      <c r="B988" s="63">
        <f>17.5544 * CHOOSE(CONTROL!$C$22, $C$13, 100%, $E$13)</f>
        <v>17.554400000000001</v>
      </c>
      <c r="C988" s="63">
        <f>17.5544 * CHOOSE(CONTROL!$C$22, $C$13, 100%, $E$13)</f>
        <v>17.554400000000001</v>
      </c>
      <c r="D988" s="63">
        <f>17.5788 * CHOOSE(CONTROL!$C$22, $C$13, 100%, $E$13)</f>
        <v>17.578800000000001</v>
      </c>
      <c r="E988" s="64">
        <f>20.8906 * CHOOSE(CONTROL!$C$22, $C$13, 100%, $E$13)</f>
        <v>20.890599999999999</v>
      </c>
      <c r="F988" s="64">
        <f>20.8906 * CHOOSE(CONTROL!$C$22, $C$13, 100%, $E$13)</f>
        <v>20.890599999999999</v>
      </c>
      <c r="G988" s="64">
        <f>20.8922 * CHOOSE(CONTROL!$C$22, $C$13, 100%, $E$13)</f>
        <v>20.892199999999999</v>
      </c>
      <c r="H988" s="64">
        <f>33.5162* CHOOSE(CONTROL!$C$22, $C$13, 100%, $E$13)</f>
        <v>33.516199999999998</v>
      </c>
      <c r="I988" s="64">
        <f>33.5178 * CHOOSE(CONTROL!$C$22, $C$13, 100%, $E$13)</f>
        <v>33.517800000000001</v>
      </c>
      <c r="J988" s="64">
        <f>20.8906 * CHOOSE(CONTROL!$C$22, $C$13, 100%, $E$13)</f>
        <v>20.890599999999999</v>
      </c>
      <c r="K988" s="64">
        <f>20.8922 * CHOOSE(CONTROL!$C$22, $C$13, 100%, $E$13)</f>
        <v>20.892199999999999</v>
      </c>
    </row>
    <row r="989" spans="1:11" ht="15">
      <c r="A989" s="13">
        <v>71742</v>
      </c>
      <c r="B989" s="63">
        <f>17.5604 * CHOOSE(CONTROL!$C$22, $C$13, 100%, $E$13)</f>
        <v>17.560400000000001</v>
      </c>
      <c r="C989" s="63">
        <f>17.5604 * CHOOSE(CONTROL!$C$22, $C$13, 100%, $E$13)</f>
        <v>17.560400000000001</v>
      </c>
      <c r="D989" s="63">
        <f>17.5849 * CHOOSE(CONTROL!$C$22, $C$13, 100%, $E$13)</f>
        <v>17.584900000000001</v>
      </c>
      <c r="E989" s="64">
        <f>20.823 * CHOOSE(CONTROL!$C$22, $C$13, 100%, $E$13)</f>
        <v>20.823</v>
      </c>
      <c r="F989" s="64">
        <f>20.823 * CHOOSE(CONTROL!$C$22, $C$13, 100%, $E$13)</f>
        <v>20.823</v>
      </c>
      <c r="G989" s="64">
        <f>20.8245 * CHOOSE(CONTROL!$C$22, $C$13, 100%, $E$13)</f>
        <v>20.8245</v>
      </c>
      <c r="H989" s="64">
        <f>33.5861* CHOOSE(CONTROL!$C$22, $C$13, 100%, $E$13)</f>
        <v>33.586100000000002</v>
      </c>
      <c r="I989" s="64">
        <f>33.5876 * CHOOSE(CONTROL!$C$22, $C$13, 100%, $E$13)</f>
        <v>33.587600000000002</v>
      </c>
      <c r="J989" s="64">
        <f>20.823 * CHOOSE(CONTROL!$C$22, $C$13, 100%, $E$13)</f>
        <v>20.823</v>
      </c>
      <c r="K989" s="64">
        <f>20.8245 * CHOOSE(CONTROL!$C$22, $C$13, 100%, $E$13)</f>
        <v>20.8245</v>
      </c>
    </row>
    <row r="990" spans="1:11" ht="15">
      <c r="A990" s="13">
        <v>71772</v>
      </c>
      <c r="B990" s="63">
        <f>17.8338 * CHOOSE(CONTROL!$C$22, $C$13, 100%, $E$13)</f>
        <v>17.8338</v>
      </c>
      <c r="C990" s="63">
        <f>17.8338 * CHOOSE(CONTROL!$C$22, $C$13, 100%, $E$13)</f>
        <v>17.8338</v>
      </c>
      <c r="D990" s="63">
        <f>17.8582 * CHOOSE(CONTROL!$C$22, $C$13, 100%, $E$13)</f>
        <v>17.8582</v>
      </c>
      <c r="E990" s="64">
        <f>21.2172 * CHOOSE(CONTROL!$C$22, $C$13, 100%, $E$13)</f>
        <v>21.217199999999998</v>
      </c>
      <c r="F990" s="64">
        <f>21.2172 * CHOOSE(CONTROL!$C$22, $C$13, 100%, $E$13)</f>
        <v>21.217199999999998</v>
      </c>
      <c r="G990" s="64">
        <f>21.2188 * CHOOSE(CONTROL!$C$22, $C$13, 100%, $E$13)</f>
        <v>21.218800000000002</v>
      </c>
      <c r="H990" s="64">
        <f>33.656* CHOOSE(CONTROL!$C$22, $C$13, 100%, $E$13)</f>
        <v>33.655999999999999</v>
      </c>
      <c r="I990" s="64">
        <f>33.6576 * CHOOSE(CONTROL!$C$22, $C$13, 100%, $E$13)</f>
        <v>33.657600000000002</v>
      </c>
      <c r="J990" s="64">
        <f>21.2172 * CHOOSE(CONTROL!$C$22, $C$13, 100%, $E$13)</f>
        <v>21.217199999999998</v>
      </c>
      <c r="K990" s="64">
        <f>21.2188 * CHOOSE(CONTROL!$C$22, $C$13, 100%, $E$13)</f>
        <v>21.218800000000002</v>
      </c>
    </row>
    <row r="991" spans="1:11" ht="15">
      <c r="A991" s="13">
        <v>71803</v>
      </c>
      <c r="B991" s="63">
        <f>17.8405 * CHOOSE(CONTROL!$C$22, $C$13, 100%, $E$13)</f>
        <v>17.840499999999999</v>
      </c>
      <c r="C991" s="63">
        <f>17.8405 * CHOOSE(CONTROL!$C$22, $C$13, 100%, $E$13)</f>
        <v>17.840499999999999</v>
      </c>
      <c r="D991" s="63">
        <f>17.8649 * CHOOSE(CONTROL!$C$22, $C$13, 100%, $E$13)</f>
        <v>17.864899999999999</v>
      </c>
      <c r="E991" s="64">
        <f>21.0062 * CHOOSE(CONTROL!$C$22, $C$13, 100%, $E$13)</f>
        <v>21.0062</v>
      </c>
      <c r="F991" s="64">
        <f>21.0062 * CHOOSE(CONTROL!$C$22, $C$13, 100%, $E$13)</f>
        <v>21.0062</v>
      </c>
      <c r="G991" s="64">
        <f>21.0077 * CHOOSE(CONTROL!$C$22, $C$13, 100%, $E$13)</f>
        <v>21.0077</v>
      </c>
      <c r="H991" s="64">
        <f>33.7262* CHOOSE(CONTROL!$C$22, $C$13, 100%, $E$13)</f>
        <v>33.726199999999999</v>
      </c>
      <c r="I991" s="64">
        <f>33.7277 * CHOOSE(CONTROL!$C$22, $C$13, 100%, $E$13)</f>
        <v>33.727699999999999</v>
      </c>
      <c r="J991" s="64">
        <f>21.0062 * CHOOSE(CONTROL!$C$22, $C$13, 100%, $E$13)</f>
        <v>21.0062</v>
      </c>
      <c r="K991" s="64">
        <f>21.0077 * CHOOSE(CONTROL!$C$22, $C$13, 100%, $E$13)</f>
        <v>21.0077</v>
      </c>
    </row>
    <row r="992" spans="1:11" ht="15">
      <c r="A992" s="13">
        <v>71834</v>
      </c>
      <c r="B992" s="63">
        <f>17.8375 * CHOOSE(CONTROL!$C$22, $C$13, 100%, $E$13)</f>
        <v>17.837499999999999</v>
      </c>
      <c r="C992" s="63">
        <f>17.8375 * CHOOSE(CONTROL!$C$22, $C$13, 100%, $E$13)</f>
        <v>17.837499999999999</v>
      </c>
      <c r="D992" s="63">
        <f>17.8619 * CHOOSE(CONTROL!$C$22, $C$13, 100%, $E$13)</f>
        <v>17.861899999999999</v>
      </c>
      <c r="E992" s="64">
        <f>20.9801 * CHOOSE(CONTROL!$C$22, $C$13, 100%, $E$13)</f>
        <v>20.9801</v>
      </c>
      <c r="F992" s="64">
        <f>20.9801 * CHOOSE(CONTROL!$C$22, $C$13, 100%, $E$13)</f>
        <v>20.9801</v>
      </c>
      <c r="G992" s="64">
        <f>20.9817 * CHOOSE(CONTROL!$C$22, $C$13, 100%, $E$13)</f>
        <v>20.9817</v>
      </c>
      <c r="H992" s="64">
        <f>33.7964* CHOOSE(CONTROL!$C$22, $C$13, 100%, $E$13)</f>
        <v>33.796399999999998</v>
      </c>
      <c r="I992" s="64">
        <f>33.798 * CHOOSE(CONTROL!$C$22, $C$13, 100%, $E$13)</f>
        <v>33.798000000000002</v>
      </c>
      <c r="J992" s="64">
        <f>20.9801 * CHOOSE(CONTROL!$C$22, $C$13, 100%, $E$13)</f>
        <v>20.9801</v>
      </c>
      <c r="K992" s="64">
        <f>20.9817 * CHOOSE(CONTROL!$C$22, $C$13, 100%, $E$13)</f>
        <v>20.9817</v>
      </c>
    </row>
    <row r="993" spans="1:11" ht="15">
      <c r="A993" s="13">
        <v>71864</v>
      </c>
      <c r="B993" s="63">
        <f>17.8777 * CHOOSE(CONTROL!$C$22, $C$13, 100%, $E$13)</f>
        <v>17.877700000000001</v>
      </c>
      <c r="C993" s="63">
        <f>17.8777 * CHOOSE(CONTROL!$C$22, $C$13, 100%, $E$13)</f>
        <v>17.877700000000001</v>
      </c>
      <c r="D993" s="63">
        <f>17.8899 * CHOOSE(CONTROL!$C$22, $C$13, 100%, $E$13)</f>
        <v>17.889900000000001</v>
      </c>
      <c r="E993" s="64">
        <f>21.0625 * CHOOSE(CONTROL!$C$22, $C$13, 100%, $E$13)</f>
        <v>21.0625</v>
      </c>
      <c r="F993" s="64">
        <f>21.0625 * CHOOSE(CONTROL!$C$22, $C$13, 100%, $E$13)</f>
        <v>21.0625</v>
      </c>
      <c r="G993" s="64">
        <f>21.0627 * CHOOSE(CONTROL!$C$22, $C$13, 100%, $E$13)</f>
        <v>21.0627</v>
      </c>
      <c r="H993" s="64">
        <f>33.8668* CHOOSE(CONTROL!$C$22, $C$13, 100%, $E$13)</f>
        <v>33.866799999999998</v>
      </c>
      <c r="I993" s="64">
        <f>33.867 * CHOOSE(CONTROL!$C$22, $C$13, 100%, $E$13)</f>
        <v>33.866999999999997</v>
      </c>
      <c r="J993" s="64">
        <f>21.0625 * CHOOSE(CONTROL!$C$22, $C$13, 100%, $E$13)</f>
        <v>21.0625</v>
      </c>
      <c r="K993" s="64">
        <f>21.0627 * CHOOSE(CONTROL!$C$22, $C$13, 100%, $E$13)</f>
        <v>21.0627</v>
      </c>
    </row>
    <row r="994" spans="1:11" ht="15">
      <c r="A994" s="13">
        <v>71895</v>
      </c>
      <c r="B994" s="63">
        <f>17.8808 * CHOOSE(CONTROL!$C$22, $C$13, 100%, $E$13)</f>
        <v>17.880800000000001</v>
      </c>
      <c r="C994" s="63">
        <f>17.8808 * CHOOSE(CONTROL!$C$22, $C$13, 100%, $E$13)</f>
        <v>17.880800000000001</v>
      </c>
      <c r="D994" s="63">
        <f>17.893 * CHOOSE(CONTROL!$C$22, $C$13, 100%, $E$13)</f>
        <v>17.893000000000001</v>
      </c>
      <c r="E994" s="64">
        <f>21.1126 * CHOOSE(CONTROL!$C$22, $C$13, 100%, $E$13)</f>
        <v>21.1126</v>
      </c>
      <c r="F994" s="64">
        <f>21.1126 * CHOOSE(CONTROL!$C$22, $C$13, 100%, $E$13)</f>
        <v>21.1126</v>
      </c>
      <c r="G994" s="64">
        <f>21.1128 * CHOOSE(CONTROL!$C$22, $C$13, 100%, $E$13)</f>
        <v>21.1128</v>
      </c>
      <c r="H994" s="64">
        <f>33.9374* CHOOSE(CONTROL!$C$22, $C$13, 100%, $E$13)</f>
        <v>33.937399999999997</v>
      </c>
      <c r="I994" s="64">
        <f>33.9376 * CHOOSE(CONTROL!$C$22, $C$13, 100%, $E$13)</f>
        <v>33.937600000000003</v>
      </c>
      <c r="J994" s="64">
        <f>21.1126 * CHOOSE(CONTROL!$C$22, $C$13, 100%, $E$13)</f>
        <v>21.1126</v>
      </c>
      <c r="K994" s="64">
        <f>21.1128 * CHOOSE(CONTROL!$C$22, $C$13, 100%, $E$13)</f>
        <v>21.1128</v>
      </c>
    </row>
    <row r="995" spans="1:11" ht="15">
      <c r="A995" s="13">
        <v>71925</v>
      </c>
      <c r="B995" s="63">
        <f>17.8808 * CHOOSE(CONTROL!$C$22, $C$13, 100%, $E$13)</f>
        <v>17.880800000000001</v>
      </c>
      <c r="C995" s="63">
        <f>17.8808 * CHOOSE(CONTROL!$C$22, $C$13, 100%, $E$13)</f>
        <v>17.880800000000001</v>
      </c>
      <c r="D995" s="63">
        <f>17.893 * CHOOSE(CONTROL!$C$22, $C$13, 100%, $E$13)</f>
        <v>17.893000000000001</v>
      </c>
      <c r="E995" s="64">
        <f>20.9928 * CHOOSE(CONTROL!$C$22, $C$13, 100%, $E$13)</f>
        <v>20.992799999999999</v>
      </c>
      <c r="F995" s="64">
        <f>20.9928 * CHOOSE(CONTROL!$C$22, $C$13, 100%, $E$13)</f>
        <v>20.992799999999999</v>
      </c>
      <c r="G995" s="64">
        <f>20.9929 * CHOOSE(CONTROL!$C$22, $C$13, 100%, $E$13)</f>
        <v>20.992899999999999</v>
      </c>
      <c r="H995" s="64">
        <f>34.0081* CHOOSE(CONTROL!$C$22, $C$13, 100%, $E$13)</f>
        <v>34.008099999999999</v>
      </c>
      <c r="I995" s="64">
        <f>34.0083 * CHOOSE(CONTROL!$C$22, $C$13, 100%, $E$13)</f>
        <v>34.008299999999998</v>
      </c>
      <c r="J995" s="64">
        <f>20.9928 * CHOOSE(CONTROL!$C$22, $C$13, 100%, $E$13)</f>
        <v>20.992799999999999</v>
      </c>
      <c r="K995" s="64">
        <f>20.9929 * CHOOSE(CONTROL!$C$22, $C$13, 100%, $E$13)</f>
        <v>20.992899999999999</v>
      </c>
    </row>
    <row r="996" spans="1:11" ht="15">
      <c r="A996" s="13">
        <v>71956</v>
      </c>
      <c r="B996" s="63">
        <f>17.7966 * CHOOSE(CONTROL!$C$22, $C$13, 100%, $E$13)</f>
        <v>17.796600000000002</v>
      </c>
      <c r="C996" s="63">
        <f>17.7966 * CHOOSE(CONTROL!$C$22, $C$13, 100%, $E$13)</f>
        <v>17.796600000000002</v>
      </c>
      <c r="D996" s="63">
        <f>17.8088 * CHOOSE(CONTROL!$C$22, $C$13, 100%, $E$13)</f>
        <v>17.808800000000002</v>
      </c>
      <c r="E996" s="64">
        <f>20.9758 * CHOOSE(CONTROL!$C$22, $C$13, 100%, $E$13)</f>
        <v>20.9758</v>
      </c>
      <c r="F996" s="64">
        <f>20.9758 * CHOOSE(CONTROL!$C$22, $C$13, 100%, $E$13)</f>
        <v>20.9758</v>
      </c>
      <c r="G996" s="64">
        <f>20.976 * CHOOSE(CONTROL!$C$22, $C$13, 100%, $E$13)</f>
        <v>20.975999999999999</v>
      </c>
      <c r="H996" s="64">
        <f>33.6843* CHOOSE(CONTROL!$C$22, $C$13, 100%, $E$13)</f>
        <v>33.6843</v>
      </c>
      <c r="I996" s="64">
        <f>33.6845 * CHOOSE(CONTROL!$C$22, $C$13, 100%, $E$13)</f>
        <v>33.6845</v>
      </c>
      <c r="J996" s="64">
        <f>20.9758 * CHOOSE(CONTROL!$C$22, $C$13, 100%, $E$13)</f>
        <v>20.9758</v>
      </c>
      <c r="K996" s="64">
        <f>20.976 * CHOOSE(CONTROL!$C$22, $C$13, 100%, $E$13)</f>
        <v>20.975999999999999</v>
      </c>
    </row>
    <row r="997" spans="1:11" ht="15">
      <c r="A997" s="13">
        <v>71987</v>
      </c>
      <c r="B997" s="63">
        <f>17.7936 * CHOOSE(CONTROL!$C$22, $C$13, 100%, $E$13)</f>
        <v>17.793600000000001</v>
      </c>
      <c r="C997" s="63">
        <f>17.7936 * CHOOSE(CONTROL!$C$22, $C$13, 100%, $E$13)</f>
        <v>17.793600000000001</v>
      </c>
      <c r="D997" s="63">
        <f>17.8058 * CHOOSE(CONTROL!$C$22, $C$13, 100%, $E$13)</f>
        <v>17.805800000000001</v>
      </c>
      <c r="E997" s="64">
        <f>20.7441 * CHOOSE(CONTROL!$C$22, $C$13, 100%, $E$13)</f>
        <v>20.7441</v>
      </c>
      <c r="F997" s="64">
        <f>20.7441 * CHOOSE(CONTROL!$C$22, $C$13, 100%, $E$13)</f>
        <v>20.7441</v>
      </c>
      <c r="G997" s="64">
        <f>20.7442 * CHOOSE(CONTROL!$C$22, $C$13, 100%, $E$13)</f>
        <v>20.744199999999999</v>
      </c>
      <c r="H997" s="64">
        <f>33.7545* CHOOSE(CONTROL!$C$22, $C$13, 100%, $E$13)</f>
        <v>33.7545</v>
      </c>
      <c r="I997" s="64">
        <f>33.7546 * CHOOSE(CONTROL!$C$22, $C$13, 100%, $E$13)</f>
        <v>33.754600000000003</v>
      </c>
      <c r="J997" s="64">
        <f>20.7441 * CHOOSE(CONTROL!$C$22, $C$13, 100%, $E$13)</f>
        <v>20.7441</v>
      </c>
      <c r="K997" s="64">
        <f>20.7442 * CHOOSE(CONTROL!$C$22, $C$13, 100%, $E$13)</f>
        <v>20.744199999999999</v>
      </c>
    </row>
    <row r="998" spans="1:11" ht="15">
      <c r="A998" s="13">
        <v>72015</v>
      </c>
      <c r="B998" s="63">
        <f>17.7905 * CHOOSE(CONTROL!$C$22, $C$13, 100%, $E$13)</f>
        <v>17.790500000000002</v>
      </c>
      <c r="C998" s="63">
        <f>17.7905 * CHOOSE(CONTROL!$C$22, $C$13, 100%, $E$13)</f>
        <v>17.790500000000002</v>
      </c>
      <c r="D998" s="63">
        <f>17.8027 * CHOOSE(CONTROL!$C$22, $C$13, 100%, $E$13)</f>
        <v>17.802700000000002</v>
      </c>
      <c r="E998" s="64">
        <f>20.923 * CHOOSE(CONTROL!$C$22, $C$13, 100%, $E$13)</f>
        <v>20.922999999999998</v>
      </c>
      <c r="F998" s="64">
        <f>20.923 * CHOOSE(CONTROL!$C$22, $C$13, 100%, $E$13)</f>
        <v>20.922999999999998</v>
      </c>
      <c r="G998" s="64">
        <f>20.9232 * CHOOSE(CONTROL!$C$22, $C$13, 100%, $E$13)</f>
        <v>20.923200000000001</v>
      </c>
      <c r="H998" s="64">
        <f>33.8248* CHOOSE(CONTROL!$C$22, $C$13, 100%, $E$13)</f>
        <v>33.824800000000003</v>
      </c>
      <c r="I998" s="64">
        <f>33.825 * CHOOSE(CONTROL!$C$22, $C$13, 100%, $E$13)</f>
        <v>33.825000000000003</v>
      </c>
      <c r="J998" s="64">
        <f>20.923 * CHOOSE(CONTROL!$C$22, $C$13, 100%, $E$13)</f>
        <v>20.922999999999998</v>
      </c>
      <c r="K998" s="64">
        <f>20.9232 * CHOOSE(CONTROL!$C$22, $C$13, 100%, $E$13)</f>
        <v>20.923200000000001</v>
      </c>
    </row>
    <row r="999" spans="1:11" ht="15">
      <c r="A999" s="13">
        <v>72046</v>
      </c>
      <c r="B999" s="63">
        <f>17.7999 * CHOOSE(CONTROL!$C$22, $C$13, 100%, $E$13)</f>
        <v>17.799900000000001</v>
      </c>
      <c r="C999" s="63">
        <f>17.7999 * CHOOSE(CONTROL!$C$22, $C$13, 100%, $E$13)</f>
        <v>17.799900000000001</v>
      </c>
      <c r="D999" s="63">
        <f>17.8121 * CHOOSE(CONTROL!$C$22, $C$13, 100%, $E$13)</f>
        <v>17.812100000000001</v>
      </c>
      <c r="E999" s="64">
        <f>21.1132 * CHOOSE(CONTROL!$C$22, $C$13, 100%, $E$13)</f>
        <v>21.113199999999999</v>
      </c>
      <c r="F999" s="64">
        <f>21.1132 * CHOOSE(CONTROL!$C$22, $C$13, 100%, $E$13)</f>
        <v>21.113199999999999</v>
      </c>
      <c r="G999" s="64">
        <f>21.1133 * CHOOSE(CONTROL!$C$22, $C$13, 100%, $E$13)</f>
        <v>21.113299999999999</v>
      </c>
      <c r="H999" s="64">
        <f>33.8952* CHOOSE(CONTROL!$C$22, $C$13, 100%, $E$13)</f>
        <v>33.895200000000003</v>
      </c>
      <c r="I999" s="64">
        <f>33.8954 * CHOOSE(CONTROL!$C$22, $C$13, 100%, $E$13)</f>
        <v>33.895400000000002</v>
      </c>
      <c r="J999" s="64">
        <f>21.1132 * CHOOSE(CONTROL!$C$22, $C$13, 100%, $E$13)</f>
        <v>21.113199999999999</v>
      </c>
      <c r="K999" s="64">
        <f>21.1133 * CHOOSE(CONTROL!$C$22, $C$13, 100%, $E$13)</f>
        <v>21.113299999999999</v>
      </c>
    </row>
    <row r="1000" spans="1:11" ht="15">
      <c r="A1000" s="13">
        <v>72076</v>
      </c>
      <c r="B1000" s="63">
        <f>17.7999 * CHOOSE(CONTROL!$C$22, $C$13, 100%, $E$13)</f>
        <v>17.799900000000001</v>
      </c>
      <c r="C1000" s="63">
        <f>17.7999 * CHOOSE(CONTROL!$C$22, $C$13, 100%, $E$13)</f>
        <v>17.799900000000001</v>
      </c>
      <c r="D1000" s="63">
        <f>17.8243 * CHOOSE(CONTROL!$C$22, $C$13, 100%, $E$13)</f>
        <v>17.824300000000001</v>
      </c>
      <c r="E1000" s="64">
        <f>21.1861 * CHOOSE(CONTROL!$C$22, $C$13, 100%, $E$13)</f>
        <v>21.1861</v>
      </c>
      <c r="F1000" s="64">
        <f>21.1861 * CHOOSE(CONTROL!$C$22, $C$13, 100%, $E$13)</f>
        <v>21.1861</v>
      </c>
      <c r="G1000" s="64">
        <f>21.1876 * CHOOSE(CONTROL!$C$22, $C$13, 100%, $E$13)</f>
        <v>21.1876</v>
      </c>
      <c r="H1000" s="64">
        <f>33.9659* CHOOSE(CONTROL!$C$22, $C$13, 100%, $E$13)</f>
        <v>33.965899999999998</v>
      </c>
      <c r="I1000" s="64">
        <f>33.9674 * CHOOSE(CONTROL!$C$22, $C$13, 100%, $E$13)</f>
        <v>33.967399999999998</v>
      </c>
      <c r="J1000" s="64">
        <f>21.1861 * CHOOSE(CONTROL!$C$22, $C$13, 100%, $E$13)</f>
        <v>21.1861</v>
      </c>
      <c r="K1000" s="64">
        <f>21.1876 * CHOOSE(CONTROL!$C$22, $C$13, 100%, $E$13)</f>
        <v>21.1876</v>
      </c>
    </row>
    <row r="1001" spans="1:11" ht="15">
      <c r="A1001" s="13">
        <v>72107</v>
      </c>
      <c r="B1001" s="63">
        <f>17.806 * CHOOSE(CONTROL!$C$22, $C$13, 100%, $E$13)</f>
        <v>17.806000000000001</v>
      </c>
      <c r="C1001" s="63">
        <f>17.806 * CHOOSE(CONTROL!$C$22, $C$13, 100%, $E$13)</f>
        <v>17.806000000000001</v>
      </c>
      <c r="D1001" s="63">
        <f>17.8304 * CHOOSE(CONTROL!$C$22, $C$13, 100%, $E$13)</f>
        <v>17.830400000000001</v>
      </c>
      <c r="E1001" s="64">
        <f>21.1174 * CHOOSE(CONTROL!$C$22, $C$13, 100%, $E$13)</f>
        <v>21.1174</v>
      </c>
      <c r="F1001" s="64">
        <f>21.1174 * CHOOSE(CONTROL!$C$22, $C$13, 100%, $E$13)</f>
        <v>21.1174</v>
      </c>
      <c r="G1001" s="64">
        <f>21.119 * CHOOSE(CONTROL!$C$22, $C$13, 100%, $E$13)</f>
        <v>21.119</v>
      </c>
      <c r="H1001" s="64">
        <f>34.0366* CHOOSE(CONTROL!$C$22, $C$13, 100%, $E$13)</f>
        <v>34.0366</v>
      </c>
      <c r="I1001" s="64">
        <f>34.0382 * CHOOSE(CONTROL!$C$22, $C$13, 100%, $E$13)</f>
        <v>34.038200000000003</v>
      </c>
      <c r="J1001" s="64">
        <f>21.1174 * CHOOSE(CONTROL!$C$22, $C$13, 100%, $E$13)</f>
        <v>21.1174</v>
      </c>
      <c r="K1001" s="64">
        <f>21.119 * CHOOSE(CONTROL!$C$22, $C$13, 100%, $E$13)</f>
        <v>21.119</v>
      </c>
    </row>
    <row r="1002" spans="1:11" ht="15">
      <c r="A1002" s="13">
        <v>72137</v>
      </c>
      <c r="B1002" s="63">
        <f>18.083 * CHOOSE(CONTROL!$C$22, $C$13, 100%, $E$13)</f>
        <v>18.082999999999998</v>
      </c>
      <c r="C1002" s="63">
        <f>18.083 * CHOOSE(CONTROL!$C$22, $C$13, 100%, $E$13)</f>
        <v>18.082999999999998</v>
      </c>
      <c r="D1002" s="63">
        <f>18.1075 * CHOOSE(CONTROL!$C$22, $C$13, 100%, $E$13)</f>
        <v>18.107500000000002</v>
      </c>
      <c r="E1002" s="64">
        <f>21.5171 * CHOOSE(CONTROL!$C$22, $C$13, 100%, $E$13)</f>
        <v>21.517099999999999</v>
      </c>
      <c r="F1002" s="64">
        <f>21.5171 * CHOOSE(CONTROL!$C$22, $C$13, 100%, $E$13)</f>
        <v>21.517099999999999</v>
      </c>
      <c r="G1002" s="64">
        <f>21.5186 * CHOOSE(CONTROL!$C$22, $C$13, 100%, $E$13)</f>
        <v>21.518599999999999</v>
      </c>
      <c r="H1002" s="64">
        <f>34.1075* CHOOSE(CONTROL!$C$22, $C$13, 100%, $E$13)</f>
        <v>34.107500000000002</v>
      </c>
      <c r="I1002" s="64">
        <f>34.1091 * CHOOSE(CONTROL!$C$22, $C$13, 100%, $E$13)</f>
        <v>34.109099999999998</v>
      </c>
      <c r="J1002" s="64">
        <f>21.5171 * CHOOSE(CONTROL!$C$22, $C$13, 100%, $E$13)</f>
        <v>21.517099999999999</v>
      </c>
      <c r="K1002" s="64">
        <f>21.5186 * CHOOSE(CONTROL!$C$22, $C$13, 100%, $E$13)</f>
        <v>21.518599999999999</v>
      </c>
    </row>
    <row r="1003" spans="1:11" ht="15">
      <c r="A1003" s="13">
        <v>72168</v>
      </c>
      <c r="B1003" s="63">
        <f>18.0897 * CHOOSE(CONTROL!$C$22, $C$13, 100%, $E$13)</f>
        <v>18.089700000000001</v>
      </c>
      <c r="C1003" s="63">
        <f>18.0897 * CHOOSE(CONTROL!$C$22, $C$13, 100%, $E$13)</f>
        <v>18.089700000000001</v>
      </c>
      <c r="D1003" s="63">
        <f>18.1141 * CHOOSE(CONTROL!$C$22, $C$13, 100%, $E$13)</f>
        <v>18.114100000000001</v>
      </c>
      <c r="E1003" s="64">
        <f>21.303 * CHOOSE(CONTROL!$C$22, $C$13, 100%, $E$13)</f>
        <v>21.303000000000001</v>
      </c>
      <c r="F1003" s="64">
        <f>21.303 * CHOOSE(CONTROL!$C$22, $C$13, 100%, $E$13)</f>
        <v>21.303000000000001</v>
      </c>
      <c r="G1003" s="64">
        <f>21.3046 * CHOOSE(CONTROL!$C$22, $C$13, 100%, $E$13)</f>
        <v>21.304600000000001</v>
      </c>
      <c r="H1003" s="64">
        <f>34.1786* CHOOSE(CONTROL!$C$22, $C$13, 100%, $E$13)</f>
        <v>34.178600000000003</v>
      </c>
      <c r="I1003" s="64">
        <f>34.1802 * CHOOSE(CONTROL!$C$22, $C$13, 100%, $E$13)</f>
        <v>34.180199999999999</v>
      </c>
      <c r="J1003" s="64">
        <f>21.303 * CHOOSE(CONTROL!$C$22, $C$13, 100%, $E$13)</f>
        <v>21.303000000000001</v>
      </c>
      <c r="K1003" s="64">
        <f>21.3046 * CHOOSE(CONTROL!$C$22, $C$13, 100%, $E$13)</f>
        <v>21.304600000000001</v>
      </c>
    </row>
    <row r="1004" spans="1:11" ht="15">
      <c r="A1004" s="13">
        <v>72199</v>
      </c>
      <c r="B1004" s="63">
        <f>18.0867 * CHOOSE(CONTROL!$C$22, $C$13, 100%, $E$13)</f>
        <v>18.0867</v>
      </c>
      <c r="C1004" s="63">
        <f>18.0867 * CHOOSE(CONTROL!$C$22, $C$13, 100%, $E$13)</f>
        <v>18.0867</v>
      </c>
      <c r="D1004" s="63">
        <f>18.1111 * CHOOSE(CONTROL!$C$22, $C$13, 100%, $E$13)</f>
        <v>18.1111</v>
      </c>
      <c r="E1004" s="64">
        <f>21.2766 * CHOOSE(CONTROL!$C$22, $C$13, 100%, $E$13)</f>
        <v>21.276599999999998</v>
      </c>
      <c r="F1004" s="64">
        <f>21.2766 * CHOOSE(CONTROL!$C$22, $C$13, 100%, $E$13)</f>
        <v>21.276599999999998</v>
      </c>
      <c r="G1004" s="64">
        <f>21.2782 * CHOOSE(CONTROL!$C$22, $C$13, 100%, $E$13)</f>
        <v>21.278199999999998</v>
      </c>
      <c r="H1004" s="64">
        <f>34.2498* CHOOSE(CONTROL!$C$22, $C$13, 100%, $E$13)</f>
        <v>34.2498</v>
      </c>
      <c r="I1004" s="64">
        <f>34.2514 * CHOOSE(CONTROL!$C$22, $C$13, 100%, $E$13)</f>
        <v>34.251399999999997</v>
      </c>
      <c r="J1004" s="64">
        <f>21.2766 * CHOOSE(CONTROL!$C$22, $C$13, 100%, $E$13)</f>
        <v>21.276599999999998</v>
      </c>
      <c r="K1004" s="64">
        <f>21.2782 * CHOOSE(CONTROL!$C$22, $C$13, 100%, $E$13)</f>
        <v>21.278199999999998</v>
      </c>
    </row>
    <row r="1005" spans="1:11" ht="15">
      <c r="A1005" s="13">
        <v>72229</v>
      </c>
      <c r="B1005" s="63">
        <f>18.1277 * CHOOSE(CONTROL!$C$22, $C$13, 100%, $E$13)</f>
        <v>18.127700000000001</v>
      </c>
      <c r="C1005" s="63">
        <f>18.1277 * CHOOSE(CONTROL!$C$22, $C$13, 100%, $E$13)</f>
        <v>18.127700000000001</v>
      </c>
      <c r="D1005" s="63">
        <f>18.14 * CHOOSE(CONTROL!$C$22, $C$13, 100%, $E$13)</f>
        <v>18.14</v>
      </c>
      <c r="E1005" s="64">
        <f>21.3604 * CHOOSE(CONTROL!$C$22, $C$13, 100%, $E$13)</f>
        <v>21.360399999999998</v>
      </c>
      <c r="F1005" s="64">
        <f>21.3604 * CHOOSE(CONTROL!$C$22, $C$13, 100%, $E$13)</f>
        <v>21.360399999999998</v>
      </c>
      <c r="G1005" s="64">
        <f>21.3606 * CHOOSE(CONTROL!$C$22, $C$13, 100%, $E$13)</f>
        <v>21.360600000000002</v>
      </c>
      <c r="H1005" s="64">
        <f>34.3211* CHOOSE(CONTROL!$C$22, $C$13, 100%, $E$13)</f>
        <v>34.321100000000001</v>
      </c>
      <c r="I1005" s="64">
        <f>34.3213 * CHOOSE(CONTROL!$C$22, $C$13, 100%, $E$13)</f>
        <v>34.321300000000001</v>
      </c>
      <c r="J1005" s="64">
        <f>21.3604 * CHOOSE(CONTROL!$C$22, $C$13, 100%, $E$13)</f>
        <v>21.360399999999998</v>
      </c>
      <c r="K1005" s="64">
        <f>21.3606 * CHOOSE(CONTROL!$C$22, $C$13, 100%, $E$13)</f>
        <v>21.360600000000002</v>
      </c>
    </row>
    <row r="1006" spans="1:11" ht="15">
      <c r="A1006" s="13">
        <v>72260</v>
      </c>
      <c r="B1006" s="63">
        <f>18.1308 * CHOOSE(CONTROL!$C$22, $C$13, 100%, $E$13)</f>
        <v>18.130800000000001</v>
      </c>
      <c r="C1006" s="63">
        <f>18.1308 * CHOOSE(CONTROL!$C$22, $C$13, 100%, $E$13)</f>
        <v>18.130800000000001</v>
      </c>
      <c r="D1006" s="63">
        <f>18.143 * CHOOSE(CONTROL!$C$22, $C$13, 100%, $E$13)</f>
        <v>18.143000000000001</v>
      </c>
      <c r="E1006" s="64">
        <f>21.4111 * CHOOSE(CONTROL!$C$22, $C$13, 100%, $E$13)</f>
        <v>21.411100000000001</v>
      </c>
      <c r="F1006" s="64">
        <f>21.4111 * CHOOSE(CONTROL!$C$22, $C$13, 100%, $E$13)</f>
        <v>21.411100000000001</v>
      </c>
      <c r="G1006" s="64">
        <f>21.4113 * CHOOSE(CONTROL!$C$22, $C$13, 100%, $E$13)</f>
        <v>21.411300000000001</v>
      </c>
      <c r="H1006" s="64">
        <f>34.3927* CHOOSE(CONTROL!$C$22, $C$13, 100%, $E$13)</f>
        <v>34.392699999999998</v>
      </c>
      <c r="I1006" s="64">
        <f>34.3928 * CHOOSE(CONTROL!$C$22, $C$13, 100%, $E$13)</f>
        <v>34.392800000000001</v>
      </c>
      <c r="J1006" s="64">
        <f>21.4111 * CHOOSE(CONTROL!$C$22, $C$13, 100%, $E$13)</f>
        <v>21.411100000000001</v>
      </c>
      <c r="K1006" s="64">
        <f>21.4113 * CHOOSE(CONTROL!$C$22, $C$13, 100%, $E$13)</f>
        <v>21.411300000000001</v>
      </c>
    </row>
    <row r="1007" spans="1:11" ht="15">
      <c r="A1007" s="13">
        <v>72290</v>
      </c>
      <c r="B1007" s="63">
        <f>18.1308 * CHOOSE(CONTROL!$C$22, $C$13, 100%, $E$13)</f>
        <v>18.130800000000001</v>
      </c>
      <c r="C1007" s="63">
        <f>18.1308 * CHOOSE(CONTROL!$C$22, $C$13, 100%, $E$13)</f>
        <v>18.130800000000001</v>
      </c>
      <c r="D1007" s="63">
        <f>18.143 * CHOOSE(CONTROL!$C$22, $C$13, 100%, $E$13)</f>
        <v>18.143000000000001</v>
      </c>
      <c r="E1007" s="64">
        <f>21.2896 * CHOOSE(CONTROL!$C$22, $C$13, 100%, $E$13)</f>
        <v>21.2896</v>
      </c>
      <c r="F1007" s="64">
        <f>21.2896 * CHOOSE(CONTROL!$C$22, $C$13, 100%, $E$13)</f>
        <v>21.2896</v>
      </c>
      <c r="G1007" s="64">
        <f>21.2898 * CHOOSE(CONTROL!$C$22, $C$13, 100%, $E$13)</f>
        <v>21.2898</v>
      </c>
      <c r="H1007" s="64">
        <f>34.4643* CHOOSE(CONTROL!$C$22, $C$13, 100%, $E$13)</f>
        <v>34.464300000000001</v>
      </c>
      <c r="I1007" s="64">
        <f>34.4645 * CHOOSE(CONTROL!$C$22, $C$13, 100%, $E$13)</f>
        <v>34.464500000000001</v>
      </c>
      <c r="J1007" s="64">
        <f>21.2896 * CHOOSE(CONTROL!$C$22, $C$13, 100%, $E$13)</f>
        <v>21.2896</v>
      </c>
      <c r="K1007" s="64">
        <f>21.2898 * CHOOSE(CONTROL!$C$22, $C$13, 100%, $E$13)</f>
        <v>21.2898</v>
      </c>
    </row>
    <row r="1008" spans="1:11" ht="15">
      <c r="A1008" s="13">
        <v>72321</v>
      </c>
      <c r="B1008" s="63">
        <f>18.0419 * CHOOSE(CONTROL!$C$22, $C$13, 100%, $E$13)</f>
        <v>18.041899999999998</v>
      </c>
      <c r="C1008" s="63">
        <f>18.0419 * CHOOSE(CONTROL!$C$22, $C$13, 100%, $E$13)</f>
        <v>18.041899999999998</v>
      </c>
      <c r="D1008" s="63">
        <f>18.0541 * CHOOSE(CONTROL!$C$22, $C$13, 100%, $E$13)</f>
        <v>18.054099999999998</v>
      </c>
      <c r="E1008" s="64">
        <f>21.2682 * CHOOSE(CONTROL!$C$22, $C$13, 100%, $E$13)</f>
        <v>21.2682</v>
      </c>
      <c r="F1008" s="64">
        <f>21.2682 * CHOOSE(CONTROL!$C$22, $C$13, 100%, $E$13)</f>
        <v>21.2682</v>
      </c>
      <c r="G1008" s="64">
        <f>21.2684 * CHOOSE(CONTROL!$C$22, $C$13, 100%, $E$13)</f>
        <v>21.2684</v>
      </c>
      <c r="H1008" s="64">
        <f>34.1302* CHOOSE(CONTROL!$C$22, $C$13, 100%, $E$13)</f>
        <v>34.130200000000002</v>
      </c>
      <c r="I1008" s="64">
        <f>34.1303 * CHOOSE(CONTROL!$C$22, $C$13, 100%, $E$13)</f>
        <v>34.130299999999998</v>
      </c>
      <c r="J1008" s="64">
        <f>21.2682 * CHOOSE(CONTROL!$C$22, $C$13, 100%, $E$13)</f>
        <v>21.2682</v>
      </c>
      <c r="K1008" s="64">
        <f>21.2684 * CHOOSE(CONTROL!$C$22, $C$13, 100%, $E$13)</f>
        <v>21.2684</v>
      </c>
    </row>
    <row r="1009" spans="1:11" ht="15">
      <c r="A1009" s="13">
        <v>72352</v>
      </c>
      <c r="B1009" s="63">
        <f>18.0389 * CHOOSE(CONTROL!$C$22, $C$13, 100%, $E$13)</f>
        <v>18.038900000000002</v>
      </c>
      <c r="C1009" s="63">
        <f>18.0389 * CHOOSE(CONTROL!$C$22, $C$13, 100%, $E$13)</f>
        <v>18.038900000000002</v>
      </c>
      <c r="D1009" s="63">
        <f>18.0511 * CHOOSE(CONTROL!$C$22, $C$13, 100%, $E$13)</f>
        <v>18.051100000000002</v>
      </c>
      <c r="E1009" s="64">
        <f>21.0333 * CHOOSE(CONTROL!$C$22, $C$13, 100%, $E$13)</f>
        <v>21.033300000000001</v>
      </c>
      <c r="F1009" s="64">
        <f>21.0333 * CHOOSE(CONTROL!$C$22, $C$13, 100%, $E$13)</f>
        <v>21.033300000000001</v>
      </c>
      <c r="G1009" s="64">
        <f>21.0334 * CHOOSE(CONTROL!$C$22, $C$13, 100%, $E$13)</f>
        <v>21.0334</v>
      </c>
      <c r="H1009" s="64">
        <f>34.2013* CHOOSE(CONTROL!$C$22, $C$13, 100%, $E$13)</f>
        <v>34.201300000000003</v>
      </c>
      <c r="I1009" s="64">
        <f>34.2015 * CHOOSE(CONTROL!$C$22, $C$13, 100%, $E$13)</f>
        <v>34.201500000000003</v>
      </c>
      <c r="J1009" s="64">
        <f>21.0333 * CHOOSE(CONTROL!$C$22, $C$13, 100%, $E$13)</f>
        <v>21.033300000000001</v>
      </c>
      <c r="K1009" s="64">
        <f>21.0334 * CHOOSE(CONTROL!$C$22, $C$13, 100%, $E$13)</f>
        <v>21.0334</v>
      </c>
    </row>
    <row r="1010" spans="1:11" ht="15">
      <c r="A1010" s="13">
        <v>72380</v>
      </c>
      <c r="B1010" s="63">
        <f>18.0358 * CHOOSE(CONTROL!$C$22, $C$13, 100%, $E$13)</f>
        <v>18.035799999999998</v>
      </c>
      <c r="C1010" s="63">
        <f>18.0358 * CHOOSE(CONTROL!$C$22, $C$13, 100%, $E$13)</f>
        <v>18.035799999999998</v>
      </c>
      <c r="D1010" s="63">
        <f>18.0481 * CHOOSE(CONTROL!$C$22, $C$13, 100%, $E$13)</f>
        <v>18.048100000000002</v>
      </c>
      <c r="E1010" s="64">
        <f>21.2147 * CHOOSE(CONTROL!$C$22, $C$13, 100%, $E$13)</f>
        <v>21.214700000000001</v>
      </c>
      <c r="F1010" s="64">
        <f>21.2147 * CHOOSE(CONTROL!$C$22, $C$13, 100%, $E$13)</f>
        <v>21.214700000000001</v>
      </c>
      <c r="G1010" s="64">
        <f>21.2149 * CHOOSE(CONTROL!$C$22, $C$13, 100%, $E$13)</f>
        <v>21.2149</v>
      </c>
      <c r="H1010" s="64">
        <f>34.2725* CHOOSE(CONTROL!$C$22, $C$13, 100%, $E$13)</f>
        <v>34.272500000000001</v>
      </c>
      <c r="I1010" s="64">
        <f>34.2727 * CHOOSE(CONTROL!$C$22, $C$13, 100%, $E$13)</f>
        <v>34.2727</v>
      </c>
      <c r="J1010" s="64">
        <f>21.2147 * CHOOSE(CONTROL!$C$22, $C$13, 100%, $E$13)</f>
        <v>21.214700000000001</v>
      </c>
      <c r="K1010" s="64">
        <f>21.2149 * CHOOSE(CONTROL!$C$22, $C$13, 100%, $E$13)</f>
        <v>21.2149</v>
      </c>
    </row>
    <row r="1011" spans="1:11" ht="15">
      <c r="A1011" s="13">
        <v>72411</v>
      </c>
      <c r="B1011" s="63">
        <f>18.0454 * CHOOSE(CONTROL!$C$22, $C$13, 100%, $E$13)</f>
        <v>18.045400000000001</v>
      </c>
      <c r="C1011" s="63">
        <f>18.0454 * CHOOSE(CONTROL!$C$22, $C$13, 100%, $E$13)</f>
        <v>18.045400000000001</v>
      </c>
      <c r="D1011" s="63">
        <f>18.0576 * CHOOSE(CONTROL!$C$22, $C$13, 100%, $E$13)</f>
        <v>18.057600000000001</v>
      </c>
      <c r="E1011" s="64">
        <f>21.4076 * CHOOSE(CONTROL!$C$22, $C$13, 100%, $E$13)</f>
        <v>21.407599999999999</v>
      </c>
      <c r="F1011" s="64">
        <f>21.4076 * CHOOSE(CONTROL!$C$22, $C$13, 100%, $E$13)</f>
        <v>21.407599999999999</v>
      </c>
      <c r="G1011" s="64">
        <f>21.4078 * CHOOSE(CONTROL!$C$22, $C$13, 100%, $E$13)</f>
        <v>21.407800000000002</v>
      </c>
      <c r="H1011" s="64">
        <f>34.3439* CHOOSE(CONTROL!$C$22, $C$13, 100%, $E$13)</f>
        <v>34.343899999999998</v>
      </c>
      <c r="I1011" s="64">
        <f>34.3441 * CHOOSE(CONTROL!$C$22, $C$13, 100%, $E$13)</f>
        <v>34.344099999999997</v>
      </c>
      <c r="J1011" s="64">
        <f>21.4076 * CHOOSE(CONTROL!$C$22, $C$13, 100%, $E$13)</f>
        <v>21.407599999999999</v>
      </c>
      <c r="K1011" s="64">
        <f>21.4078 * CHOOSE(CONTROL!$C$22, $C$13, 100%, $E$13)</f>
        <v>21.407800000000002</v>
      </c>
    </row>
    <row r="1012" spans="1:11" ht="15">
      <c r="A1012" s="13">
        <v>72441</v>
      </c>
      <c r="B1012" s="63">
        <f>18.0454 * CHOOSE(CONTROL!$C$22, $C$13, 100%, $E$13)</f>
        <v>18.045400000000001</v>
      </c>
      <c r="C1012" s="63">
        <f>18.0454 * CHOOSE(CONTROL!$C$22, $C$13, 100%, $E$13)</f>
        <v>18.045400000000001</v>
      </c>
      <c r="D1012" s="63">
        <f>18.0698 * CHOOSE(CONTROL!$C$22, $C$13, 100%, $E$13)</f>
        <v>18.069800000000001</v>
      </c>
      <c r="E1012" s="64">
        <f>21.4815 * CHOOSE(CONTROL!$C$22, $C$13, 100%, $E$13)</f>
        <v>21.4815</v>
      </c>
      <c r="F1012" s="64">
        <f>21.4815 * CHOOSE(CONTROL!$C$22, $C$13, 100%, $E$13)</f>
        <v>21.4815</v>
      </c>
      <c r="G1012" s="64">
        <f>21.4831 * CHOOSE(CONTROL!$C$22, $C$13, 100%, $E$13)</f>
        <v>21.4831</v>
      </c>
      <c r="H1012" s="64">
        <f>34.4155* CHOOSE(CONTROL!$C$22, $C$13, 100%, $E$13)</f>
        <v>34.415500000000002</v>
      </c>
      <c r="I1012" s="64">
        <f>34.417 * CHOOSE(CONTROL!$C$22, $C$13, 100%, $E$13)</f>
        <v>34.417000000000002</v>
      </c>
      <c r="J1012" s="64">
        <f>21.4815 * CHOOSE(CONTROL!$C$22, $C$13, 100%, $E$13)</f>
        <v>21.4815</v>
      </c>
      <c r="K1012" s="64">
        <f>21.4831 * CHOOSE(CONTROL!$C$22, $C$13, 100%, $E$13)</f>
        <v>21.4831</v>
      </c>
    </row>
    <row r="1013" spans="1:11" ht="15">
      <c r="A1013" s="13">
        <v>72472</v>
      </c>
      <c r="B1013" s="63">
        <f>18.0515 * CHOOSE(CONTROL!$C$22, $C$13, 100%, $E$13)</f>
        <v>18.051500000000001</v>
      </c>
      <c r="C1013" s="63">
        <f>18.0515 * CHOOSE(CONTROL!$C$22, $C$13, 100%, $E$13)</f>
        <v>18.051500000000001</v>
      </c>
      <c r="D1013" s="63">
        <f>18.0759 * CHOOSE(CONTROL!$C$22, $C$13, 100%, $E$13)</f>
        <v>18.075900000000001</v>
      </c>
      <c r="E1013" s="64">
        <f>21.4118 * CHOOSE(CONTROL!$C$22, $C$13, 100%, $E$13)</f>
        <v>21.411799999999999</v>
      </c>
      <c r="F1013" s="64">
        <f>21.4118 * CHOOSE(CONTROL!$C$22, $C$13, 100%, $E$13)</f>
        <v>21.411799999999999</v>
      </c>
      <c r="G1013" s="64">
        <f>21.4134 * CHOOSE(CONTROL!$C$22, $C$13, 100%, $E$13)</f>
        <v>21.413399999999999</v>
      </c>
      <c r="H1013" s="64">
        <f>34.4872* CHOOSE(CONTROL!$C$22, $C$13, 100%, $E$13)</f>
        <v>34.487200000000001</v>
      </c>
      <c r="I1013" s="64">
        <f>34.4887 * CHOOSE(CONTROL!$C$22, $C$13, 100%, $E$13)</f>
        <v>34.488700000000001</v>
      </c>
      <c r="J1013" s="64">
        <f>21.4118 * CHOOSE(CONTROL!$C$22, $C$13, 100%, $E$13)</f>
        <v>21.411799999999999</v>
      </c>
      <c r="K1013" s="64">
        <f>21.4134 * CHOOSE(CONTROL!$C$22, $C$13, 100%, $E$13)</f>
        <v>21.413399999999999</v>
      </c>
    </row>
    <row r="1014" spans="1:11" ht="15">
      <c r="A1014" s="13">
        <v>72502</v>
      </c>
      <c r="B1014" s="63">
        <f>18.3322 * CHOOSE(CONTROL!$C$22, $C$13, 100%, $E$13)</f>
        <v>18.3322</v>
      </c>
      <c r="C1014" s="63">
        <f>18.3322 * CHOOSE(CONTROL!$C$22, $C$13, 100%, $E$13)</f>
        <v>18.3322</v>
      </c>
      <c r="D1014" s="63">
        <f>18.3567 * CHOOSE(CONTROL!$C$22, $C$13, 100%, $E$13)</f>
        <v>18.3567</v>
      </c>
      <c r="E1014" s="64">
        <f>21.817 * CHOOSE(CONTROL!$C$22, $C$13, 100%, $E$13)</f>
        <v>21.817</v>
      </c>
      <c r="F1014" s="64">
        <f>21.817 * CHOOSE(CONTROL!$C$22, $C$13, 100%, $E$13)</f>
        <v>21.817</v>
      </c>
      <c r="G1014" s="64">
        <f>21.8185 * CHOOSE(CONTROL!$C$22, $C$13, 100%, $E$13)</f>
        <v>21.8185</v>
      </c>
      <c r="H1014" s="64">
        <f>34.559* CHOOSE(CONTROL!$C$22, $C$13, 100%, $E$13)</f>
        <v>34.558999999999997</v>
      </c>
      <c r="I1014" s="64">
        <f>34.5606 * CHOOSE(CONTROL!$C$22, $C$13, 100%, $E$13)</f>
        <v>34.560600000000001</v>
      </c>
      <c r="J1014" s="64">
        <f>21.817 * CHOOSE(CONTROL!$C$22, $C$13, 100%, $E$13)</f>
        <v>21.817</v>
      </c>
      <c r="K1014" s="64">
        <f>21.8185 * CHOOSE(CONTROL!$C$22, $C$13, 100%, $E$13)</f>
        <v>21.8185</v>
      </c>
    </row>
    <row r="1015" spans="1:11" ht="15">
      <c r="A1015" s="13">
        <v>72533</v>
      </c>
      <c r="B1015" s="63">
        <f>18.3389 * CHOOSE(CONTROL!$C$22, $C$13, 100%, $E$13)</f>
        <v>18.338899999999999</v>
      </c>
      <c r="C1015" s="63">
        <f>18.3389 * CHOOSE(CONTROL!$C$22, $C$13, 100%, $E$13)</f>
        <v>18.338899999999999</v>
      </c>
      <c r="D1015" s="63">
        <f>18.3634 * CHOOSE(CONTROL!$C$22, $C$13, 100%, $E$13)</f>
        <v>18.363399999999999</v>
      </c>
      <c r="E1015" s="64">
        <f>21.5998 * CHOOSE(CONTROL!$C$22, $C$13, 100%, $E$13)</f>
        <v>21.599799999999998</v>
      </c>
      <c r="F1015" s="64">
        <f>21.5998 * CHOOSE(CONTROL!$C$22, $C$13, 100%, $E$13)</f>
        <v>21.599799999999998</v>
      </c>
      <c r="G1015" s="64">
        <f>21.6014 * CHOOSE(CONTROL!$C$22, $C$13, 100%, $E$13)</f>
        <v>21.601400000000002</v>
      </c>
      <c r="H1015" s="64">
        <f>34.631* CHOOSE(CONTROL!$C$22, $C$13, 100%, $E$13)</f>
        <v>34.631</v>
      </c>
      <c r="I1015" s="64">
        <f>34.6326 * CHOOSE(CONTROL!$C$22, $C$13, 100%, $E$13)</f>
        <v>34.632599999999996</v>
      </c>
      <c r="J1015" s="64">
        <f>21.5998 * CHOOSE(CONTROL!$C$22, $C$13, 100%, $E$13)</f>
        <v>21.599799999999998</v>
      </c>
      <c r="K1015" s="64">
        <f>21.6014 * CHOOSE(CONTROL!$C$22, $C$13, 100%, $E$13)</f>
        <v>21.601400000000002</v>
      </c>
    </row>
    <row r="1016" spans="1:11" ht="15">
      <c r="A1016" s="13">
        <v>72564</v>
      </c>
      <c r="B1016" s="63">
        <f>18.3359 * CHOOSE(CONTROL!$C$22, $C$13, 100%, $E$13)</f>
        <v>18.335899999999999</v>
      </c>
      <c r="C1016" s="63">
        <f>18.3359 * CHOOSE(CONTROL!$C$22, $C$13, 100%, $E$13)</f>
        <v>18.335899999999999</v>
      </c>
      <c r="D1016" s="63">
        <f>18.3603 * CHOOSE(CONTROL!$C$22, $C$13, 100%, $E$13)</f>
        <v>18.360299999999999</v>
      </c>
      <c r="E1016" s="64">
        <f>21.5731 * CHOOSE(CONTROL!$C$22, $C$13, 100%, $E$13)</f>
        <v>21.5731</v>
      </c>
      <c r="F1016" s="64">
        <f>21.5731 * CHOOSE(CONTROL!$C$22, $C$13, 100%, $E$13)</f>
        <v>21.5731</v>
      </c>
      <c r="G1016" s="64">
        <f>21.5746 * CHOOSE(CONTROL!$C$22, $C$13, 100%, $E$13)</f>
        <v>21.5746</v>
      </c>
      <c r="H1016" s="64">
        <f>34.7032* CHOOSE(CONTROL!$C$22, $C$13, 100%, $E$13)</f>
        <v>34.703200000000002</v>
      </c>
      <c r="I1016" s="64">
        <f>34.7047 * CHOOSE(CONTROL!$C$22, $C$13, 100%, $E$13)</f>
        <v>34.704700000000003</v>
      </c>
      <c r="J1016" s="64">
        <f>21.5731 * CHOOSE(CONTROL!$C$22, $C$13, 100%, $E$13)</f>
        <v>21.5731</v>
      </c>
      <c r="K1016" s="64">
        <f>21.5746 * CHOOSE(CONTROL!$C$22, $C$13, 100%, $E$13)</f>
        <v>21.5746</v>
      </c>
    </row>
    <row r="1017" spans="1:11" ht="15">
      <c r="A1017" s="13">
        <v>72594</v>
      </c>
      <c r="B1017" s="63">
        <f>18.3778 * CHOOSE(CONTROL!$C$22, $C$13, 100%, $E$13)</f>
        <v>18.377800000000001</v>
      </c>
      <c r="C1017" s="63">
        <f>18.3778 * CHOOSE(CONTROL!$C$22, $C$13, 100%, $E$13)</f>
        <v>18.377800000000001</v>
      </c>
      <c r="D1017" s="63">
        <f>18.39 * CHOOSE(CONTROL!$C$22, $C$13, 100%, $E$13)</f>
        <v>18.39</v>
      </c>
      <c r="E1017" s="64">
        <f>21.6582 * CHOOSE(CONTROL!$C$22, $C$13, 100%, $E$13)</f>
        <v>21.658200000000001</v>
      </c>
      <c r="F1017" s="64">
        <f>21.6582 * CHOOSE(CONTROL!$C$22, $C$13, 100%, $E$13)</f>
        <v>21.658200000000001</v>
      </c>
      <c r="G1017" s="64">
        <f>21.6584 * CHOOSE(CONTROL!$C$22, $C$13, 100%, $E$13)</f>
        <v>21.6584</v>
      </c>
      <c r="H1017" s="64">
        <f>34.7755* CHOOSE(CONTROL!$C$22, $C$13, 100%, $E$13)</f>
        <v>34.775500000000001</v>
      </c>
      <c r="I1017" s="64">
        <f>34.7756 * CHOOSE(CONTROL!$C$22, $C$13, 100%, $E$13)</f>
        <v>34.775599999999997</v>
      </c>
      <c r="J1017" s="64">
        <f>21.6582 * CHOOSE(CONTROL!$C$22, $C$13, 100%, $E$13)</f>
        <v>21.658200000000001</v>
      </c>
      <c r="K1017" s="64">
        <f>21.6584 * CHOOSE(CONTROL!$C$22, $C$13, 100%, $E$13)</f>
        <v>21.6584</v>
      </c>
    </row>
    <row r="1018" spans="1:11" ht="15">
      <c r="A1018" s="13">
        <v>72625</v>
      </c>
      <c r="B1018" s="63">
        <f>18.3808 * CHOOSE(CONTROL!$C$22, $C$13, 100%, $E$13)</f>
        <v>18.380800000000001</v>
      </c>
      <c r="C1018" s="63">
        <f>18.3808 * CHOOSE(CONTROL!$C$22, $C$13, 100%, $E$13)</f>
        <v>18.380800000000001</v>
      </c>
      <c r="D1018" s="63">
        <f>18.393 * CHOOSE(CONTROL!$C$22, $C$13, 100%, $E$13)</f>
        <v>18.393000000000001</v>
      </c>
      <c r="E1018" s="64">
        <f>21.7096 * CHOOSE(CONTROL!$C$22, $C$13, 100%, $E$13)</f>
        <v>21.709599999999998</v>
      </c>
      <c r="F1018" s="64">
        <f>21.7096 * CHOOSE(CONTROL!$C$22, $C$13, 100%, $E$13)</f>
        <v>21.709599999999998</v>
      </c>
      <c r="G1018" s="64">
        <f>21.7098 * CHOOSE(CONTROL!$C$22, $C$13, 100%, $E$13)</f>
        <v>21.709800000000001</v>
      </c>
      <c r="H1018" s="64">
        <f>34.8479* CHOOSE(CONTROL!$C$22, $C$13, 100%, $E$13)</f>
        <v>34.847900000000003</v>
      </c>
      <c r="I1018" s="64">
        <f>34.8481 * CHOOSE(CONTROL!$C$22, $C$13, 100%, $E$13)</f>
        <v>34.848100000000002</v>
      </c>
      <c r="J1018" s="64">
        <f>21.7096 * CHOOSE(CONTROL!$C$22, $C$13, 100%, $E$13)</f>
        <v>21.709599999999998</v>
      </c>
      <c r="K1018" s="64">
        <f>21.7098 * CHOOSE(CONTROL!$C$22, $C$13, 100%, $E$13)</f>
        <v>21.709800000000001</v>
      </c>
    </row>
    <row r="1019" spans="1:11" ht="15">
      <c r="A1019" s="13">
        <v>72655</v>
      </c>
      <c r="B1019" s="63">
        <f>18.3808 * CHOOSE(CONTROL!$C$22, $C$13, 100%, $E$13)</f>
        <v>18.380800000000001</v>
      </c>
      <c r="C1019" s="63">
        <f>18.3808 * CHOOSE(CONTROL!$C$22, $C$13, 100%, $E$13)</f>
        <v>18.380800000000001</v>
      </c>
      <c r="D1019" s="63">
        <f>18.393 * CHOOSE(CONTROL!$C$22, $C$13, 100%, $E$13)</f>
        <v>18.393000000000001</v>
      </c>
      <c r="E1019" s="64">
        <f>21.5864 * CHOOSE(CONTROL!$C$22, $C$13, 100%, $E$13)</f>
        <v>21.586400000000001</v>
      </c>
      <c r="F1019" s="64">
        <f>21.5864 * CHOOSE(CONTROL!$C$22, $C$13, 100%, $E$13)</f>
        <v>21.586400000000001</v>
      </c>
      <c r="G1019" s="64">
        <f>21.5866 * CHOOSE(CONTROL!$C$22, $C$13, 100%, $E$13)</f>
        <v>21.586600000000001</v>
      </c>
      <c r="H1019" s="64">
        <f>34.9205* CHOOSE(CONTROL!$C$22, $C$13, 100%, $E$13)</f>
        <v>34.920499999999997</v>
      </c>
      <c r="I1019" s="64">
        <f>34.9207 * CHOOSE(CONTROL!$C$22, $C$13, 100%, $E$13)</f>
        <v>34.920699999999997</v>
      </c>
      <c r="J1019" s="64">
        <f>21.5864 * CHOOSE(CONTROL!$C$22, $C$13, 100%, $E$13)</f>
        <v>21.586400000000001</v>
      </c>
      <c r="K1019" s="64">
        <f>21.5866 * CHOOSE(CONTROL!$C$22, $C$13, 100%, $E$13)</f>
        <v>21.586600000000001</v>
      </c>
    </row>
    <row r="1020" spans="1:11" ht="15">
      <c r="A1020" s="13">
        <v>72686</v>
      </c>
      <c r="B1020" s="63">
        <f>18.2872 * CHOOSE(CONTROL!$C$22, $C$13, 100%, $E$13)</f>
        <v>18.287199999999999</v>
      </c>
      <c r="C1020" s="63">
        <f>18.2872 * CHOOSE(CONTROL!$C$22, $C$13, 100%, $E$13)</f>
        <v>18.287199999999999</v>
      </c>
      <c r="D1020" s="63">
        <f>18.2995 * CHOOSE(CONTROL!$C$22, $C$13, 100%, $E$13)</f>
        <v>18.299499999999998</v>
      </c>
      <c r="E1020" s="64">
        <f>21.5606 * CHOOSE(CONTROL!$C$22, $C$13, 100%, $E$13)</f>
        <v>21.560600000000001</v>
      </c>
      <c r="F1020" s="64">
        <f>21.5606 * CHOOSE(CONTROL!$C$22, $C$13, 100%, $E$13)</f>
        <v>21.560600000000001</v>
      </c>
      <c r="G1020" s="64">
        <f>21.5608 * CHOOSE(CONTROL!$C$22, $C$13, 100%, $E$13)</f>
        <v>21.5608</v>
      </c>
      <c r="H1020" s="64">
        <f>34.5761* CHOOSE(CONTROL!$C$22, $C$13, 100%, $E$13)</f>
        <v>34.576099999999997</v>
      </c>
      <c r="I1020" s="64">
        <f>34.5762 * CHOOSE(CONTROL!$C$22, $C$13, 100%, $E$13)</f>
        <v>34.5762</v>
      </c>
      <c r="J1020" s="64">
        <f>21.5606 * CHOOSE(CONTROL!$C$22, $C$13, 100%, $E$13)</f>
        <v>21.560600000000001</v>
      </c>
      <c r="K1020" s="64">
        <f>21.5608 * CHOOSE(CONTROL!$C$22, $C$13, 100%, $E$13)</f>
        <v>21.5608</v>
      </c>
    </row>
    <row r="1021" spans="1:11" ht="15">
      <c r="A1021" s="13">
        <v>72717</v>
      </c>
      <c r="B1021" s="63">
        <f>18.2842 * CHOOSE(CONTROL!$C$22, $C$13, 100%, $E$13)</f>
        <v>18.284199999999998</v>
      </c>
      <c r="C1021" s="63">
        <f>18.2842 * CHOOSE(CONTROL!$C$22, $C$13, 100%, $E$13)</f>
        <v>18.284199999999998</v>
      </c>
      <c r="D1021" s="63">
        <f>18.2964 * CHOOSE(CONTROL!$C$22, $C$13, 100%, $E$13)</f>
        <v>18.296399999999998</v>
      </c>
      <c r="E1021" s="64">
        <f>21.3225 * CHOOSE(CONTROL!$C$22, $C$13, 100%, $E$13)</f>
        <v>21.322500000000002</v>
      </c>
      <c r="F1021" s="64">
        <f>21.3225 * CHOOSE(CONTROL!$C$22, $C$13, 100%, $E$13)</f>
        <v>21.322500000000002</v>
      </c>
      <c r="G1021" s="64">
        <f>21.3227 * CHOOSE(CONTROL!$C$22, $C$13, 100%, $E$13)</f>
        <v>21.322700000000001</v>
      </c>
      <c r="H1021" s="64">
        <f>34.6481* CHOOSE(CONTROL!$C$22, $C$13, 100%, $E$13)</f>
        <v>34.648099999999999</v>
      </c>
      <c r="I1021" s="64">
        <f>34.6483 * CHOOSE(CONTROL!$C$22, $C$13, 100%, $E$13)</f>
        <v>34.648299999999999</v>
      </c>
      <c r="J1021" s="64">
        <f>21.3225 * CHOOSE(CONTROL!$C$22, $C$13, 100%, $E$13)</f>
        <v>21.322500000000002</v>
      </c>
      <c r="K1021" s="64">
        <f>21.3227 * CHOOSE(CONTROL!$C$22, $C$13, 100%, $E$13)</f>
        <v>21.322700000000001</v>
      </c>
    </row>
    <row r="1022" spans="1:11" ht="15">
      <c r="A1022" s="13">
        <v>72745</v>
      </c>
      <c r="B1022" s="63">
        <f>18.2812 * CHOOSE(CONTROL!$C$22, $C$13, 100%, $E$13)</f>
        <v>18.281199999999998</v>
      </c>
      <c r="C1022" s="63">
        <f>18.2812 * CHOOSE(CONTROL!$C$22, $C$13, 100%, $E$13)</f>
        <v>18.281199999999998</v>
      </c>
      <c r="D1022" s="63">
        <f>18.2934 * CHOOSE(CONTROL!$C$22, $C$13, 100%, $E$13)</f>
        <v>18.293399999999998</v>
      </c>
      <c r="E1022" s="64">
        <f>21.5064 * CHOOSE(CONTROL!$C$22, $C$13, 100%, $E$13)</f>
        <v>21.506399999999999</v>
      </c>
      <c r="F1022" s="64">
        <f>21.5064 * CHOOSE(CONTROL!$C$22, $C$13, 100%, $E$13)</f>
        <v>21.506399999999999</v>
      </c>
      <c r="G1022" s="64">
        <f>21.5066 * CHOOSE(CONTROL!$C$22, $C$13, 100%, $E$13)</f>
        <v>21.506599999999999</v>
      </c>
      <c r="H1022" s="64">
        <f>34.7203* CHOOSE(CONTROL!$C$22, $C$13, 100%, $E$13)</f>
        <v>34.720300000000002</v>
      </c>
      <c r="I1022" s="64">
        <f>34.7205 * CHOOSE(CONTROL!$C$22, $C$13, 100%, $E$13)</f>
        <v>34.720500000000001</v>
      </c>
      <c r="J1022" s="64">
        <f>21.5064 * CHOOSE(CONTROL!$C$22, $C$13, 100%, $E$13)</f>
        <v>21.506399999999999</v>
      </c>
      <c r="K1022" s="64">
        <f>21.5066 * CHOOSE(CONTROL!$C$22, $C$13, 100%, $E$13)</f>
        <v>21.506599999999999</v>
      </c>
    </row>
    <row r="1023" spans="1:11" ht="15">
      <c r="A1023" s="13">
        <v>72776</v>
      </c>
      <c r="B1023" s="63">
        <f>18.2909 * CHOOSE(CONTROL!$C$22, $C$13, 100%, $E$13)</f>
        <v>18.290900000000001</v>
      </c>
      <c r="C1023" s="63">
        <f>18.2909 * CHOOSE(CONTROL!$C$22, $C$13, 100%, $E$13)</f>
        <v>18.290900000000001</v>
      </c>
      <c r="D1023" s="63">
        <f>18.3032 * CHOOSE(CONTROL!$C$22, $C$13, 100%, $E$13)</f>
        <v>18.3032</v>
      </c>
      <c r="E1023" s="64">
        <f>21.7021 * CHOOSE(CONTROL!$C$22, $C$13, 100%, $E$13)</f>
        <v>21.702100000000002</v>
      </c>
      <c r="F1023" s="64">
        <f>21.7021 * CHOOSE(CONTROL!$C$22, $C$13, 100%, $E$13)</f>
        <v>21.702100000000002</v>
      </c>
      <c r="G1023" s="64">
        <f>21.7022 * CHOOSE(CONTROL!$C$22, $C$13, 100%, $E$13)</f>
        <v>21.702200000000001</v>
      </c>
      <c r="H1023" s="64">
        <f>34.7926* CHOOSE(CONTROL!$C$22, $C$13, 100%, $E$13)</f>
        <v>34.7926</v>
      </c>
      <c r="I1023" s="64">
        <f>34.7928 * CHOOSE(CONTROL!$C$22, $C$13, 100%, $E$13)</f>
        <v>34.7928</v>
      </c>
      <c r="J1023" s="64">
        <f>21.7021 * CHOOSE(CONTROL!$C$22, $C$13, 100%, $E$13)</f>
        <v>21.702100000000002</v>
      </c>
      <c r="K1023" s="64">
        <f>21.7022 * CHOOSE(CONTROL!$C$22, $C$13, 100%, $E$13)</f>
        <v>21.702200000000001</v>
      </c>
    </row>
    <row r="1024" spans="1:11" ht="15">
      <c r="A1024" s="13">
        <v>72806</v>
      </c>
      <c r="B1024" s="63">
        <f>18.2909 * CHOOSE(CONTROL!$C$22, $C$13, 100%, $E$13)</f>
        <v>18.290900000000001</v>
      </c>
      <c r="C1024" s="63">
        <f>18.2909 * CHOOSE(CONTROL!$C$22, $C$13, 100%, $E$13)</f>
        <v>18.290900000000001</v>
      </c>
      <c r="D1024" s="63">
        <f>18.3154 * CHOOSE(CONTROL!$C$22, $C$13, 100%, $E$13)</f>
        <v>18.3154</v>
      </c>
      <c r="E1024" s="64">
        <f>21.777 * CHOOSE(CONTROL!$C$22, $C$13, 100%, $E$13)</f>
        <v>21.777000000000001</v>
      </c>
      <c r="F1024" s="64">
        <f>21.777 * CHOOSE(CONTROL!$C$22, $C$13, 100%, $E$13)</f>
        <v>21.777000000000001</v>
      </c>
      <c r="G1024" s="64">
        <f>21.7786 * CHOOSE(CONTROL!$C$22, $C$13, 100%, $E$13)</f>
        <v>21.778600000000001</v>
      </c>
      <c r="H1024" s="64">
        <f>34.8651* CHOOSE(CONTROL!$C$22, $C$13, 100%, $E$13)</f>
        <v>34.865099999999998</v>
      </c>
      <c r="I1024" s="64">
        <f>34.8667 * CHOOSE(CONTROL!$C$22, $C$13, 100%, $E$13)</f>
        <v>34.866700000000002</v>
      </c>
      <c r="J1024" s="64">
        <f>21.777 * CHOOSE(CONTROL!$C$22, $C$13, 100%, $E$13)</f>
        <v>21.777000000000001</v>
      </c>
      <c r="K1024" s="64">
        <f>21.7786 * CHOOSE(CONTROL!$C$22, $C$13, 100%, $E$13)</f>
        <v>21.778600000000001</v>
      </c>
    </row>
    <row r="1025" spans="1:11" ht="15">
      <c r="A1025" s="13">
        <v>72837</v>
      </c>
      <c r="B1025" s="63">
        <f>18.297 * CHOOSE(CONTROL!$C$22, $C$13, 100%, $E$13)</f>
        <v>18.297000000000001</v>
      </c>
      <c r="C1025" s="63">
        <f>18.297 * CHOOSE(CONTROL!$C$22, $C$13, 100%, $E$13)</f>
        <v>18.297000000000001</v>
      </c>
      <c r="D1025" s="63">
        <f>18.3214 * CHOOSE(CONTROL!$C$22, $C$13, 100%, $E$13)</f>
        <v>18.321400000000001</v>
      </c>
      <c r="E1025" s="64">
        <f>21.7063 * CHOOSE(CONTROL!$C$22, $C$13, 100%, $E$13)</f>
        <v>21.706299999999999</v>
      </c>
      <c r="F1025" s="64">
        <f>21.7063 * CHOOSE(CONTROL!$C$22, $C$13, 100%, $E$13)</f>
        <v>21.706299999999999</v>
      </c>
      <c r="G1025" s="64">
        <f>21.7079 * CHOOSE(CONTROL!$C$22, $C$13, 100%, $E$13)</f>
        <v>21.707899999999999</v>
      </c>
      <c r="H1025" s="64">
        <f>34.9377* CHOOSE(CONTROL!$C$22, $C$13, 100%, $E$13)</f>
        <v>34.9377</v>
      </c>
      <c r="I1025" s="64">
        <f>34.9393 * CHOOSE(CONTROL!$C$22, $C$13, 100%, $E$13)</f>
        <v>34.939300000000003</v>
      </c>
      <c r="J1025" s="64">
        <f>21.7063 * CHOOSE(CONTROL!$C$22, $C$13, 100%, $E$13)</f>
        <v>21.706299999999999</v>
      </c>
      <c r="K1025" s="64">
        <f>21.7079 * CHOOSE(CONTROL!$C$22, $C$13, 100%, $E$13)</f>
        <v>21.707899999999999</v>
      </c>
    </row>
    <row r="1026" spans="1:11" ht="15">
      <c r="A1026" s="13">
        <v>72867</v>
      </c>
      <c r="B1026" s="63">
        <f>18.5815 * CHOOSE(CONTROL!$C$22, $C$13, 100%, $E$13)</f>
        <v>18.581499999999998</v>
      </c>
      <c r="C1026" s="63">
        <f>18.5815 * CHOOSE(CONTROL!$C$22, $C$13, 100%, $E$13)</f>
        <v>18.581499999999998</v>
      </c>
      <c r="D1026" s="63">
        <f>18.6059 * CHOOSE(CONTROL!$C$22, $C$13, 100%, $E$13)</f>
        <v>18.605899999999998</v>
      </c>
      <c r="E1026" s="64">
        <f>22.1168 * CHOOSE(CONTROL!$C$22, $C$13, 100%, $E$13)</f>
        <v>22.116800000000001</v>
      </c>
      <c r="F1026" s="64">
        <f>22.1168 * CHOOSE(CONTROL!$C$22, $C$13, 100%, $E$13)</f>
        <v>22.116800000000001</v>
      </c>
      <c r="G1026" s="64">
        <f>22.1184 * CHOOSE(CONTROL!$C$22, $C$13, 100%, $E$13)</f>
        <v>22.118400000000001</v>
      </c>
      <c r="H1026" s="64">
        <f>35.0105* CHOOSE(CONTROL!$C$22, $C$13, 100%, $E$13)</f>
        <v>35.0105</v>
      </c>
      <c r="I1026" s="64">
        <f>35.0121 * CHOOSE(CONTROL!$C$22, $C$13, 100%, $E$13)</f>
        <v>35.012099999999997</v>
      </c>
      <c r="J1026" s="64">
        <f>22.1168 * CHOOSE(CONTROL!$C$22, $C$13, 100%, $E$13)</f>
        <v>22.116800000000001</v>
      </c>
      <c r="K1026" s="64">
        <f>22.1184 * CHOOSE(CONTROL!$C$22, $C$13, 100%, $E$13)</f>
        <v>22.118400000000001</v>
      </c>
    </row>
    <row r="1027" spans="1:11" ht="15">
      <c r="A1027" s="13">
        <v>72898</v>
      </c>
      <c r="B1027" s="63">
        <f>18.5881 * CHOOSE(CONTROL!$C$22, $C$13, 100%, $E$13)</f>
        <v>18.588100000000001</v>
      </c>
      <c r="C1027" s="63">
        <f>18.5881 * CHOOSE(CONTROL!$C$22, $C$13, 100%, $E$13)</f>
        <v>18.588100000000001</v>
      </c>
      <c r="D1027" s="63">
        <f>18.6126 * CHOOSE(CONTROL!$C$22, $C$13, 100%, $E$13)</f>
        <v>18.6126</v>
      </c>
      <c r="E1027" s="64">
        <f>21.8967 * CHOOSE(CONTROL!$C$22, $C$13, 100%, $E$13)</f>
        <v>21.896699999999999</v>
      </c>
      <c r="F1027" s="64">
        <f>21.8967 * CHOOSE(CONTROL!$C$22, $C$13, 100%, $E$13)</f>
        <v>21.896699999999999</v>
      </c>
      <c r="G1027" s="64">
        <f>21.8982 * CHOOSE(CONTROL!$C$22, $C$13, 100%, $E$13)</f>
        <v>21.898199999999999</v>
      </c>
      <c r="H1027" s="64">
        <f>35.0835* CHOOSE(CONTROL!$C$22, $C$13, 100%, $E$13)</f>
        <v>35.083500000000001</v>
      </c>
      <c r="I1027" s="64">
        <f>35.085 * CHOOSE(CONTROL!$C$22, $C$13, 100%, $E$13)</f>
        <v>35.085000000000001</v>
      </c>
      <c r="J1027" s="64">
        <f>21.8967 * CHOOSE(CONTROL!$C$22, $C$13, 100%, $E$13)</f>
        <v>21.896699999999999</v>
      </c>
      <c r="K1027" s="64">
        <f>21.8982 * CHOOSE(CONTROL!$C$22, $C$13, 100%, $E$13)</f>
        <v>21.898199999999999</v>
      </c>
    </row>
    <row r="1028" spans="1:11" ht="15">
      <c r="A1028" s="13">
        <v>72929</v>
      </c>
      <c r="B1028" s="63">
        <f>18.5851 * CHOOSE(CONTROL!$C$22, $C$13, 100%, $E$13)</f>
        <v>18.585100000000001</v>
      </c>
      <c r="C1028" s="63">
        <f>18.5851 * CHOOSE(CONTROL!$C$22, $C$13, 100%, $E$13)</f>
        <v>18.585100000000001</v>
      </c>
      <c r="D1028" s="63">
        <f>18.6095 * CHOOSE(CONTROL!$C$22, $C$13, 100%, $E$13)</f>
        <v>18.609500000000001</v>
      </c>
      <c r="E1028" s="64">
        <f>21.8696 * CHOOSE(CONTROL!$C$22, $C$13, 100%, $E$13)</f>
        <v>21.869599999999998</v>
      </c>
      <c r="F1028" s="64">
        <f>21.8696 * CHOOSE(CONTROL!$C$22, $C$13, 100%, $E$13)</f>
        <v>21.869599999999998</v>
      </c>
      <c r="G1028" s="64">
        <f>21.8711 * CHOOSE(CONTROL!$C$22, $C$13, 100%, $E$13)</f>
        <v>21.871099999999998</v>
      </c>
      <c r="H1028" s="64">
        <f>35.1565* CHOOSE(CONTROL!$C$22, $C$13, 100%, $E$13)</f>
        <v>35.156500000000001</v>
      </c>
      <c r="I1028" s="64">
        <f>35.1581 * CHOOSE(CONTROL!$C$22, $C$13, 100%, $E$13)</f>
        <v>35.158099999999997</v>
      </c>
      <c r="J1028" s="64">
        <f>21.8696 * CHOOSE(CONTROL!$C$22, $C$13, 100%, $E$13)</f>
        <v>21.869599999999998</v>
      </c>
      <c r="K1028" s="64">
        <f>21.8711 * CHOOSE(CONTROL!$C$22, $C$13, 100%, $E$13)</f>
        <v>21.871099999999998</v>
      </c>
    </row>
    <row r="1029" spans="1:11" ht="15">
      <c r="A1029" s="13">
        <v>72959</v>
      </c>
      <c r="B1029" s="63">
        <f>18.6278 * CHOOSE(CONTROL!$C$22, $C$13, 100%, $E$13)</f>
        <v>18.627800000000001</v>
      </c>
      <c r="C1029" s="63">
        <f>18.6278 * CHOOSE(CONTROL!$C$22, $C$13, 100%, $E$13)</f>
        <v>18.627800000000001</v>
      </c>
      <c r="D1029" s="63">
        <f>18.64 * CHOOSE(CONTROL!$C$22, $C$13, 100%, $E$13)</f>
        <v>18.64</v>
      </c>
      <c r="E1029" s="64">
        <f>21.9561 * CHOOSE(CONTROL!$C$22, $C$13, 100%, $E$13)</f>
        <v>21.956099999999999</v>
      </c>
      <c r="F1029" s="64">
        <f>21.9561 * CHOOSE(CONTROL!$C$22, $C$13, 100%, $E$13)</f>
        <v>21.956099999999999</v>
      </c>
      <c r="G1029" s="64">
        <f>21.9563 * CHOOSE(CONTROL!$C$22, $C$13, 100%, $E$13)</f>
        <v>21.956299999999999</v>
      </c>
      <c r="H1029" s="64">
        <f>35.2298* CHOOSE(CONTROL!$C$22, $C$13, 100%, $E$13)</f>
        <v>35.229799999999997</v>
      </c>
      <c r="I1029" s="64">
        <f>35.23 * CHOOSE(CONTROL!$C$22, $C$13, 100%, $E$13)</f>
        <v>35.229999999999997</v>
      </c>
      <c r="J1029" s="64">
        <f>21.9561 * CHOOSE(CONTROL!$C$22, $C$13, 100%, $E$13)</f>
        <v>21.956099999999999</v>
      </c>
      <c r="K1029" s="64">
        <f>21.9563 * CHOOSE(CONTROL!$C$22, $C$13, 100%, $E$13)</f>
        <v>21.956299999999999</v>
      </c>
    </row>
    <row r="1030" spans="1:11" ht="15">
      <c r="A1030" s="13">
        <v>72990</v>
      </c>
      <c r="B1030" s="63">
        <f>18.6308 * CHOOSE(CONTROL!$C$22, $C$13, 100%, $E$13)</f>
        <v>18.630800000000001</v>
      </c>
      <c r="C1030" s="63">
        <f>18.6308 * CHOOSE(CONTROL!$C$22, $C$13, 100%, $E$13)</f>
        <v>18.630800000000001</v>
      </c>
      <c r="D1030" s="63">
        <f>18.643 * CHOOSE(CONTROL!$C$22, $C$13, 100%, $E$13)</f>
        <v>18.643000000000001</v>
      </c>
      <c r="E1030" s="64">
        <f>22.0082 * CHOOSE(CONTROL!$C$22, $C$13, 100%, $E$13)</f>
        <v>22.008199999999999</v>
      </c>
      <c r="F1030" s="64">
        <f>22.0082 * CHOOSE(CONTROL!$C$22, $C$13, 100%, $E$13)</f>
        <v>22.008199999999999</v>
      </c>
      <c r="G1030" s="64">
        <f>22.0083 * CHOOSE(CONTROL!$C$22, $C$13, 100%, $E$13)</f>
        <v>22.008299999999998</v>
      </c>
      <c r="H1030" s="64">
        <f>35.3032* CHOOSE(CONTROL!$C$22, $C$13, 100%, $E$13)</f>
        <v>35.303199999999997</v>
      </c>
      <c r="I1030" s="64">
        <f>35.3034 * CHOOSE(CONTROL!$C$22, $C$13, 100%, $E$13)</f>
        <v>35.303400000000003</v>
      </c>
      <c r="J1030" s="64">
        <f>22.0082 * CHOOSE(CONTROL!$C$22, $C$13, 100%, $E$13)</f>
        <v>22.008199999999999</v>
      </c>
      <c r="K1030" s="64">
        <f>22.0083 * CHOOSE(CONTROL!$C$22, $C$13, 100%, $E$13)</f>
        <v>22.008299999999998</v>
      </c>
    </row>
    <row r="1031" spans="1:11" ht="15">
      <c r="A1031" s="13">
        <v>73020</v>
      </c>
      <c r="B1031" s="63">
        <f>18.6308 * CHOOSE(CONTROL!$C$22, $C$13, 100%, $E$13)</f>
        <v>18.630800000000001</v>
      </c>
      <c r="C1031" s="63">
        <f>18.6308 * CHOOSE(CONTROL!$C$22, $C$13, 100%, $E$13)</f>
        <v>18.630800000000001</v>
      </c>
      <c r="D1031" s="63">
        <f>18.643 * CHOOSE(CONTROL!$C$22, $C$13, 100%, $E$13)</f>
        <v>18.643000000000001</v>
      </c>
      <c r="E1031" s="64">
        <f>21.8833 * CHOOSE(CONTROL!$C$22, $C$13, 100%, $E$13)</f>
        <v>21.883299999999998</v>
      </c>
      <c r="F1031" s="64">
        <f>21.8833 * CHOOSE(CONTROL!$C$22, $C$13, 100%, $E$13)</f>
        <v>21.883299999999998</v>
      </c>
      <c r="G1031" s="64">
        <f>21.8834 * CHOOSE(CONTROL!$C$22, $C$13, 100%, $E$13)</f>
        <v>21.883400000000002</v>
      </c>
      <c r="H1031" s="64">
        <f>35.3767* CHOOSE(CONTROL!$C$22, $C$13, 100%, $E$13)</f>
        <v>35.3767</v>
      </c>
      <c r="I1031" s="64">
        <f>35.3769 * CHOOSE(CONTROL!$C$22, $C$13, 100%, $E$13)</f>
        <v>35.376899999999999</v>
      </c>
      <c r="J1031" s="64">
        <f>21.8833 * CHOOSE(CONTROL!$C$22, $C$13, 100%, $E$13)</f>
        <v>21.883299999999998</v>
      </c>
      <c r="K1031" s="64">
        <f>21.8834 * CHOOSE(CONTROL!$C$22, $C$13, 100%, $E$13)</f>
        <v>21.883400000000002</v>
      </c>
    </row>
    <row r="1032" spans="1:11" ht="15">
      <c r="A1032" s="13">
        <v>73051</v>
      </c>
      <c r="B1032" s="63">
        <f>18.5326 * CHOOSE(CONTROL!$C$22, $C$13, 100%, $E$13)</f>
        <v>18.532599999999999</v>
      </c>
      <c r="C1032" s="63">
        <f>18.5326 * CHOOSE(CONTROL!$C$22, $C$13, 100%, $E$13)</f>
        <v>18.532599999999999</v>
      </c>
      <c r="D1032" s="63">
        <f>18.5448 * CHOOSE(CONTROL!$C$22, $C$13, 100%, $E$13)</f>
        <v>18.544799999999999</v>
      </c>
      <c r="E1032" s="64">
        <f>21.8531 * CHOOSE(CONTROL!$C$22, $C$13, 100%, $E$13)</f>
        <v>21.853100000000001</v>
      </c>
      <c r="F1032" s="64">
        <f>21.8531 * CHOOSE(CONTROL!$C$22, $C$13, 100%, $E$13)</f>
        <v>21.853100000000001</v>
      </c>
      <c r="G1032" s="64">
        <f>21.8532 * CHOOSE(CONTROL!$C$22, $C$13, 100%, $E$13)</f>
        <v>21.853200000000001</v>
      </c>
      <c r="H1032" s="64">
        <f>35.022* CHOOSE(CONTROL!$C$22, $C$13, 100%, $E$13)</f>
        <v>35.021999999999998</v>
      </c>
      <c r="I1032" s="64">
        <f>35.0221 * CHOOSE(CONTROL!$C$22, $C$13, 100%, $E$13)</f>
        <v>35.022100000000002</v>
      </c>
      <c r="J1032" s="64">
        <f>21.8531 * CHOOSE(CONTROL!$C$22, $C$13, 100%, $E$13)</f>
        <v>21.853100000000001</v>
      </c>
      <c r="K1032" s="64">
        <f>21.8532 * CHOOSE(CONTROL!$C$22, $C$13, 100%, $E$13)</f>
        <v>21.853200000000001</v>
      </c>
    </row>
    <row r="1033" spans="1:11" ht="15">
      <c r="A1033" s="13">
        <v>73082</v>
      </c>
      <c r="B1033" s="63">
        <f>18.5295 * CHOOSE(CONTROL!$C$22, $C$13, 100%, $E$13)</f>
        <v>18.529499999999999</v>
      </c>
      <c r="C1033" s="63">
        <f>18.5295 * CHOOSE(CONTROL!$C$22, $C$13, 100%, $E$13)</f>
        <v>18.529499999999999</v>
      </c>
      <c r="D1033" s="63">
        <f>18.5417 * CHOOSE(CONTROL!$C$22, $C$13, 100%, $E$13)</f>
        <v>18.541699999999999</v>
      </c>
      <c r="E1033" s="64">
        <f>21.6117 * CHOOSE(CONTROL!$C$22, $C$13, 100%, $E$13)</f>
        <v>21.611699999999999</v>
      </c>
      <c r="F1033" s="64">
        <f>21.6117 * CHOOSE(CONTROL!$C$22, $C$13, 100%, $E$13)</f>
        <v>21.611699999999999</v>
      </c>
      <c r="G1033" s="64">
        <f>21.6119 * CHOOSE(CONTROL!$C$22, $C$13, 100%, $E$13)</f>
        <v>21.611899999999999</v>
      </c>
      <c r="H1033" s="64">
        <f>35.0949* CHOOSE(CONTROL!$C$22, $C$13, 100%, $E$13)</f>
        <v>35.094900000000003</v>
      </c>
      <c r="I1033" s="64">
        <f>35.0951 * CHOOSE(CONTROL!$C$22, $C$13, 100%, $E$13)</f>
        <v>35.095100000000002</v>
      </c>
      <c r="J1033" s="64">
        <f>21.6117 * CHOOSE(CONTROL!$C$22, $C$13, 100%, $E$13)</f>
        <v>21.611699999999999</v>
      </c>
      <c r="K1033" s="64">
        <f>21.6119 * CHOOSE(CONTROL!$C$22, $C$13, 100%, $E$13)</f>
        <v>21.611899999999999</v>
      </c>
    </row>
    <row r="1034" spans="1:11" ht="15">
      <c r="A1034" s="13">
        <v>73110</v>
      </c>
      <c r="B1034" s="63">
        <f>18.5265 * CHOOSE(CONTROL!$C$22, $C$13, 100%, $E$13)</f>
        <v>18.526499999999999</v>
      </c>
      <c r="C1034" s="63">
        <f>18.5265 * CHOOSE(CONTROL!$C$22, $C$13, 100%, $E$13)</f>
        <v>18.526499999999999</v>
      </c>
      <c r="D1034" s="63">
        <f>18.5387 * CHOOSE(CONTROL!$C$22, $C$13, 100%, $E$13)</f>
        <v>18.538699999999999</v>
      </c>
      <c r="E1034" s="64">
        <f>21.7982 * CHOOSE(CONTROL!$C$22, $C$13, 100%, $E$13)</f>
        <v>21.798200000000001</v>
      </c>
      <c r="F1034" s="64">
        <f>21.7982 * CHOOSE(CONTROL!$C$22, $C$13, 100%, $E$13)</f>
        <v>21.798200000000001</v>
      </c>
      <c r="G1034" s="64">
        <f>21.7984 * CHOOSE(CONTROL!$C$22, $C$13, 100%, $E$13)</f>
        <v>21.798400000000001</v>
      </c>
      <c r="H1034" s="64">
        <f>35.168* CHOOSE(CONTROL!$C$22, $C$13, 100%, $E$13)</f>
        <v>35.167999999999999</v>
      </c>
      <c r="I1034" s="64">
        <f>35.1682 * CHOOSE(CONTROL!$C$22, $C$13, 100%, $E$13)</f>
        <v>35.168199999999999</v>
      </c>
      <c r="J1034" s="64">
        <f>21.7982 * CHOOSE(CONTROL!$C$22, $C$13, 100%, $E$13)</f>
        <v>21.798200000000001</v>
      </c>
      <c r="K1034" s="64">
        <f>21.7984 * CHOOSE(CONTROL!$C$22, $C$13, 100%, $E$13)</f>
        <v>21.798400000000001</v>
      </c>
    </row>
    <row r="1035" spans="1:11" ht="15">
      <c r="A1035" s="13">
        <v>73141</v>
      </c>
      <c r="B1035" s="63">
        <f>18.5365 * CHOOSE(CONTROL!$C$22, $C$13, 100%, $E$13)</f>
        <v>18.5365</v>
      </c>
      <c r="C1035" s="63">
        <f>18.5365 * CHOOSE(CONTROL!$C$22, $C$13, 100%, $E$13)</f>
        <v>18.5365</v>
      </c>
      <c r="D1035" s="63">
        <f>18.5487 * CHOOSE(CONTROL!$C$22, $C$13, 100%, $E$13)</f>
        <v>18.5487</v>
      </c>
      <c r="E1035" s="64">
        <f>21.9965 * CHOOSE(CONTROL!$C$22, $C$13, 100%, $E$13)</f>
        <v>21.996500000000001</v>
      </c>
      <c r="F1035" s="64">
        <f>21.9965 * CHOOSE(CONTROL!$C$22, $C$13, 100%, $E$13)</f>
        <v>21.996500000000001</v>
      </c>
      <c r="G1035" s="64">
        <f>21.9967 * CHOOSE(CONTROL!$C$22, $C$13, 100%, $E$13)</f>
        <v>21.996700000000001</v>
      </c>
      <c r="H1035" s="64">
        <f>35.2413* CHOOSE(CONTROL!$C$22, $C$13, 100%, $E$13)</f>
        <v>35.241300000000003</v>
      </c>
      <c r="I1035" s="64">
        <f>35.2415 * CHOOSE(CONTROL!$C$22, $C$13, 100%, $E$13)</f>
        <v>35.241500000000002</v>
      </c>
      <c r="J1035" s="64">
        <f>21.9965 * CHOOSE(CONTROL!$C$22, $C$13, 100%, $E$13)</f>
        <v>21.996500000000001</v>
      </c>
      <c r="K1035" s="64">
        <f>21.9967 * CHOOSE(CONTROL!$C$22, $C$13, 100%, $E$13)</f>
        <v>21.996700000000001</v>
      </c>
    </row>
    <row r="1036" spans="1:11" ht="15">
      <c r="A1036" s="13">
        <v>73171</v>
      </c>
      <c r="B1036" s="63">
        <f>18.5365 * CHOOSE(CONTROL!$C$22, $C$13, 100%, $E$13)</f>
        <v>18.5365</v>
      </c>
      <c r="C1036" s="63">
        <f>18.5365 * CHOOSE(CONTROL!$C$22, $C$13, 100%, $E$13)</f>
        <v>18.5365</v>
      </c>
      <c r="D1036" s="63">
        <f>18.5609 * CHOOSE(CONTROL!$C$22, $C$13, 100%, $E$13)</f>
        <v>18.5609</v>
      </c>
      <c r="E1036" s="64">
        <f>22.0725 * CHOOSE(CONTROL!$C$22, $C$13, 100%, $E$13)</f>
        <v>22.072500000000002</v>
      </c>
      <c r="F1036" s="64">
        <f>22.0725 * CHOOSE(CONTROL!$C$22, $C$13, 100%, $E$13)</f>
        <v>22.072500000000002</v>
      </c>
      <c r="G1036" s="64">
        <f>22.074 * CHOOSE(CONTROL!$C$22, $C$13, 100%, $E$13)</f>
        <v>22.074000000000002</v>
      </c>
      <c r="H1036" s="64">
        <f>35.3147* CHOOSE(CONTROL!$C$22, $C$13, 100%, $E$13)</f>
        <v>35.314700000000002</v>
      </c>
      <c r="I1036" s="64">
        <f>35.3163 * CHOOSE(CONTROL!$C$22, $C$13, 100%, $E$13)</f>
        <v>35.316299999999998</v>
      </c>
      <c r="J1036" s="64">
        <f>22.0725 * CHOOSE(CONTROL!$C$22, $C$13, 100%, $E$13)</f>
        <v>22.072500000000002</v>
      </c>
      <c r="K1036" s="64">
        <f>22.074 * CHOOSE(CONTROL!$C$22, $C$13, 100%, $E$13)</f>
        <v>22.074000000000002</v>
      </c>
    </row>
    <row r="1037" spans="1:11" ht="15">
      <c r="A1037" s="13">
        <v>73202</v>
      </c>
      <c r="B1037" s="63">
        <f>18.5425 * CHOOSE(CONTROL!$C$22, $C$13, 100%, $E$13)</f>
        <v>18.5425</v>
      </c>
      <c r="C1037" s="63">
        <f>18.5425 * CHOOSE(CONTROL!$C$22, $C$13, 100%, $E$13)</f>
        <v>18.5425</v>
      </c>
      <c r="D1037" s="63">
        <f>18.567 * CHOOSE(CONTROL!$C$22, $C$13, 100%, $E$13)</f>
        <v>18.567</v>
      </c>
      <c r="E1037" s="64">
        <f>22.0007 * CHOOSE(CONTROL!$C$22, $C$13, 100%, $E$13)</f>
        <v>22.000699999999998</v>
      </c>
      <c r="F1037" s="64">
        <f>22.0007 * CHOOSE(CONTROL!$C$22, $C$13, 100%, $E$13)</f>
        <v>22.000699999999998</v>
      </c>
      <c r="G1037" s="64">
        <f>22.0023 * CHOOSE(CONTROL!$C$22, $C$13, 100%, $E$13)</f>
        <v>22.002300000000002</v>
      </c>
      <c r="H1037" s="64">
        <f>35.3883* CHOOSE(CONTROL!$C$22, $C$13, 100%, $E$13)</f>
        <v>35.388300000000001</v>
      </c>
      <c r="I1037" s="64">
        <f>35.3899 * CHOOSE(CONTROL!$C$22, $C$13, 100%, $E$13)</f>
        <v>35.389899999999997</v>
      </c>
      <c r="J1037" s="64">
        <f>22.0007 * CHOOSE(CONTROL!$C$22, $C$13, 100%, $E$13)</f>
        <v>22.000699999999998</v>
      </c>
      <c r="K1037" s="64">
        <f>22.0023 * CHOOSE(CONTROL!$C$22, $C$13, 100%, $E$13)</f>
        <v>22.002300000000002</v>
      </c>
    </row>
    <row r="1038" spans="1:11" ht="15">
      <c r="A1038" s="13">
        <v>73232</v>
      </c>
      <c r="B1038" s="63">
        <f>18.8307 * CHOOSE(CONTROL!$C$22, $C$13, 100%, $E$13)</f>
        <v>18.8307</v>
      </c>
      <c r="C1038" s="63">
        <f>18.8307 * CHOOSE(CONTROL!$C$22, $C$13, 100%, $E$13)</f>
        <v>18.8307</v>
      </c>
      <c r="D1038" s="63">
        <f>18.8551 * CHOOSE(CONTROL!$C$22, $C$13, 100%, $E$13)</f>
        <v>18.8551</v>
      </c>
      <c r="E1038" s="64">
        <f>22.4167 * CHOOSE(CONTROL!$C$22, $C$13, 100%, $E$13)</f>
        <v>22.416699999999999</v>
      </c>
      <c r="F1038" s="64">
        <f>22.4167 * CHOOSE(CONTROL!$C$22, $C$13, 100%, $E$13)</f>
        <v>22.416699999999999</v>
      </c>
      <c r="G1038" s="64">
        <f>22.4183 * CHOOSE(CONTROL!$C$22, $C$13, 100%, $E$13)</f>
        <v>22.418299999999999</v>
      </c>
      <c r="H1038" s="64">
        <f>35.462* CHOOSE(CONTROL!$C$22, $C$13, 100%, $E$13)</f>
        <v>35.462000000000003</v>
      </c>
      <c r="I1038" s="64">
        <f>35.4636 * CHOOSE(CONTROL!$C$22, $C$13, 100%, $E$13)</f>
        <v>35.4636</v>
      </c>
      <c r="J1038" s="64">
        <f>22.4167 * CHOOSE(CONTROL!$C$22, $C$13, 100%, $E$13)</f>
        <v>22.416699999999999</v>
      </c>
      <c r="K1038" s="64">
        <f>22.4183 * CHOOSE(CONTROL!$C$22, $C$13, 100%, $E$13)</f>
        <v>22.418299999999999</v>
      </c>
    </row>
    <row r="1039" spans="1:11" ht="15">
      <c r="A1039" s="13">
        <v>73263</v>
      </c>
      <c r="B1039" s="63">
        <f>18.8374 * CHOOSE(CONTROL!$C$22, $C$13, 100%, $E$13)</f>
        <v>18.837399999999999</v>
      </c>
      <c r="C1039" s="63">
        <f>18.8374 * CHOOSE(CONTROL!$C$22, $C$13, 100%, $E$13)</f>
        <v>18.837399999999999</v>
      </c>
      <c r="D1039" s="63">
        <f>18.8618 * CHOOSE(CONTROL!$C$22, $C$13, 100%, $E$13)</f>
        <v>18.861799999999999</v>
      </c>
      <c r="E1039" s="64">
        <f>22.1935 * CHOOSE(CONTROL!$C$22, $C$13, 100%, $E$13)</f>
        <v>22.1935</v>
      </c>
      <c r="F1039" s="64">
        <f>22.1935 * CHOOSE(CONTROL!$C$22, $C$13, 100%, $E$13)</f>
        <v>22.1935</v>
      </c>
      <c r="G1039" s="64">
        <f>22.1951 * CHOOSE(CONTROL!$C$22, $C$13, 100%, $E$13)</f>
        <v>22.1951</v>
      </c>
      <c r="H1039" s="64">
        <f>35.5359* CHOOSE(CONTROL!$C$22, $C$13, 100%, $E$13)</f>
        <v>35.535899999999998</v>
      </c>
      <c r="I1039" s="64">
        <f>35.5375 * CHOOSE(CONTROL!$C$22, $C$13, 100%, $E$13)</f>
        <v>35.537500000000001</v>
      </c>
      <c r="J1039" s="64">
        <f>22.1935 * CHOOSE(CONTROL!$C$22, $C$13, 100%, $E$13)</f>
        <v>22.1935</v>
      </c>
      <c r="K1039" s="64">
        <f>22.1951 * CHOOSE(CONTROL!$C$22, $C$13, 100%, $E$13)</f>
        <v>22.1951</v>
      </c>
    </row>
    <row r="1040" spans="1:11" ht="15">
      <c r="A1040" s="13">
        <v>73294</v>
      </c>
      <c r="B1040" s="63">
        <f>18.8343 * CHOOSE(CONTROL!$C$22, $C$13, 100%, $E$13)</f>
        <v>18.834299999999999</v>
      </c>
      <c r="C1040" s="63">
        <f>18.8343 * CHOOSE(CONTROL!$C$22, $C$13, 100%, $E$13)</f>
        <v>18.834299999999999</v>
      </c>
      <c r="D1040" s="63">
        <f>18.8587 * CHOOSE(CONTROL!$C$22, $C$13, 100%, $E$13)</f>
        <v>18.858699999999999</v>
      </c>
      <c r="E1040" s="64">
        <f>22.1661 * CHOOSE(CONTROL!$C$22, $C$13, 100%, $E$13)</f>
        <v>22.1661</v>
      </c>
      <c r="F1040" s="64">
        <f>22.1661 * CHOOSE(CONTROL!$C$22, $C$13, 100%, $E$13)</f>
        <v>22.1661</v>
      </c>
      <c r="G1040" s="64">
        <f>22.1676 * CHOOSE(CONTROL!$C$22, $C$13, 100%, $E$13)</f>
        <v>22.1676</v>
      </c>
      <c r="H1040" s="64">
        <f>35.6099* CHOOSE(CONTROL!$C$22, $C$13, 100%, $E$13)</f>
        <v>35.609900000000003</v>
      </c>
      <c r="I1040" s="64">
        <f>35.6115 * CHOOSE(CONTROL!$C$22, $C$13, 100%, $E$13)</f>
        <v>35.611499999999999</v>
      </c>
      <c r="J1040" s="64">
        <f>22.1661 * CHOOSE(CONTROL!$C$22, $C$13, 100%, $E$13)</f>
        <v>22.1661</v>
      </c>
      <c r="K1040" s="64">
        <f>22.1676 * CHOOSE(CONTROL!$C$22, $C$13, 100%, $E$13)</f>
        <v>22.1676</v>
      </c>
    </row>
    <row r="1041" spans="1:11" ht="15">
      <c r="A1041" s="13">
        <v>73324</v>
      </c>
      <c r="B1041" s="63">
        <f>18.8778 * CHOOSE(CONTROL!$C$22, $C$13, 100%, $E$13)</f>
        <v>18.877800000000001</v>
      </c>
      <c r="C1041" s="63">
        <f>18.8778 * CHOOSE(CONTROL!$C$22, $C$13, 100%, $E$13)</f>
        <v>18.877800000000001</v>
      </c>
      <c r="D1041" s="63">
        <f>18.89 * CHOOSE(CONTROL!$C$22, $C$13, 100%, $E$13)</f>
        <v>18.89</v>
      </c>
      <c r="E1041" s="64">
        <f>22.2539 * CHOOSE(CONTROL!$C$22, $C$13, 100%, $E$13)</f>
        <v>22.253900000000002</v>
      </c>
      <c r="F1041" s="64">
        <f>22.2539 * CHOOSE(CONTROL!$C$22, $C$13, 100%, $E$13)</f>
        <v>22.253900000000002</v>
      </c>
      <c r="G1041" s="64">
        <f>22.2541 * CHOOSE(CONTROL!$C$22, $C$13, 100%, $E$13)</f>
        <v>22.254100000000001</v>
      </c>
      <c r="H1041" s="64">
        <f>35.6841* CHOOSE(CONTROL!$C$22, $C$13, 100%, $E$13)</f>
        <v>35.684100000000001</v>
      </c>
      <c r="I1041" s="64">
        <f>35.6843 * CHOOSE(CONTROL!$C$22, $C$13, 100%, $E$13)</f>
        <v>35.6843</v>
      </c>
      <c r="J1041" s="64">
        <f>22.2539 * CHOOSE(CONTROL!$C$22, $C$13, 100%, $E$13)</f>
        <v>22.253900000000002</v>
      </c>
      <c r="K1041" s="64">
        <f>22.2541 * CHOOSE(CONTROL!$C$22, $C$13, 100%, $E$13)</f>
        <v>22.254100000000001</v>
      </c>
    </row>
    <row r="1042" spans="1:11" ht="15">
      <c r="A1042" s="13">
        <v>73355</v>
      </c>
      <c r="B1042" s="63">
        <f>18.8808 * CHOOSE(CONTROL!$C$22, $C$13, 100%, $E$13)</f>
        <v>18.880800000000001</v>
      </c>
      <c r="C1042" s="63">
        <f>18.8808 * CHOOSE(CONTROL!$C$22, $C$13, 100%, $E$13)</f>
        <v>18.880800000000001</v>
      </c>
      <c r="D1042" s="63">
        <f>18.8931 * CHOOSE(CONTROL!$C$22, $C$13, 100%, $E$13)</f>
        <v>18.8931</v>
      </c>
      <c r="E1042" s="64">
        <f>22.3067 * CHOOSE(CONTROL!$C$22, $C$13, 100%, $E$13)</f>
        <v>22.306699999999999</v>
      </c>
      <c r="F1042" s="64">
        <f>22.3067 * CHOOSE(CONTROL!$C$22, $C$13, 100%, $E$13)</f>
        <v>22.306699999999999</v>
      </c>
      <c r="G1042" s="64">
        <f>22.3069 * CHOOSE(CONTROL!$C$22, $C$13, 100%, $E$13)</f>
        <v>22.306899999999999</v>
      </c>
      <c r="H1042" s="64">
        <f>35.7585* CHOOSE(CONTROL!$C$22, $C$13, 100%, $E$13)</f>
        <v>35.758499999999998</v>
      </c>
      <c r="I1042" s="64">
        <f>35.7586 * CHOOSE(CONTROL!$C$22, $C$13, 100%, $E$13)</f>
        <v>35.758600000000001</v>
      </c>
      <c r="J1042" s="64">
        <f>22.3067 * CHOOSE(CONTROL!$C$22, $C$13, 100%, $E$13)</f>
        <v>22.306699999999999</v>
      </c>
      <c r="K1042" s="64">
        <f>22.3069 * CHOOSE(CONTROL!$C$22, $C$13, 100%, $E$13)</f>
        <v>22.306899999999999</v>
      </c>
    </row>
    <row r="1043" spans="1:11" ht="15">
      <c r="A1043" s="13">
        <v>73385</v>
      </c>
      <c r="B1043" s="63">
        <f>18.8808 * CHOOSE(CONTROL!$C$22, $C$13, 100%, $E$13)</f>
        <v>18.880800000000001</v>
      </c>
      <c r="C1043" s="63">
        <f>18.8808 * CHOOSE(CONTROL!$C$22, $C$13, 100%, $E$13)</f>
        <v>18.880800000000001</v>
      </c>
      <c r="D1043" s="63">
        <f>18.8931 * CHOOSE(CONTROL!$C$22, $C$13, 100%, $E$13)</f>
        <v>18.8931</v>
      </c>
      <c r="E1043" s="64">
        <f>22.1801 * CHOOSE(CONTROL!$C$22, $C$13, 100%, $E$13)</f>
        <v>22.180099999999999</v>
      </c>
      <c r="F1043" s="64">
        <f>22.1801 * CHOOSE(CONTROL!$C$22, $C$13, 100%, $E$13)</f>
        <v>22.180099999999999</v>
      </c>
      <c r="G1043" s="64">
        <f>22.1803 * CHOOSE(CONTROL!$C$22, $C$13, 100%, $E$13)</f>
        <v>22.180299999999999</v>
      </c>
      <c r="H1043" s="64">
        <f>35.833* CHOOSE(CONTROL!$C$22, $C$13, 100%, $E$13)</f>
        <v>35.832999999999998</v>
      </c>
      <c r="I1043" s="64">
        <f>35.8331 * CHOOSE(CONTROL!$C$22, $C$13, 100%, $E$13)</f>
        <v>35.833100000000002</v>
      </c>
      <c r="J1043" s="64">
        <f>22.1801 * CHOOSE(CONTROL!$C$22, $C$13, 100%, $E$13)</f>
        <v>22.180099999999999</v>
      </c>
      <c r="K1043" s="64">
        <f>22.1803 * CHOOSE(CONTROL!$C$22, $C$13, 100%, $E$13)</f>
        <v>22.180299999999999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2.2334857142857145</v>
      </c>
      <c r="C1045" s="63">
        <f t="shared" si="0"/>
        <v>2.2334857142857145</v>
      </c>
      <c r="D1045" s="63">
        <f t="shared" si="0"/>
        <v>2.2526571428571431</v>
      </c>
      <c r="E1045" s="63">
        <f t="shared" si="0"/>
        <v>3.317185714285714</v>
      </c>
      <c r="F1045" s="63">
        <f t="shared" si="0"/>
        <v>4.0599999999999996</v>
      </c>
      <c r="G1045" s="63">
        <f t="shared" si="0"/>
        <v>4.0610000000000008</v>
      </c>
      <c r="H1045" s="63">
        <f t="shared" si="0"/>
        <v>5.6835714285714278</v>
      </c>
      <c r="I1045" s="63">
        <f t="shared" si="0"/>
        <v>5.6845428571428576</v>
      </c>
      <c r="J1045" s="63">
        <f t="shared" si="0"/>
        <v>3.317185714285714</v>
      </c>
      <c r="K1045" s="63">
        <f t="shared" si="0"/>
        <v>3.3181428571428566</v>
      </c>
    </row>
    <row r="1046" spans="1:11" ht="15">
      <c r="A1046" s="3">
        <v>2016</v>
      </c>
      <c r="B1046" s="63">
        <f t="shared" ref="B1046:K1046" si="1">AVERAGE(B24:B35)</f>
        <v>2.6408833333333335</v>
      </c>
      <c r="C1046" s="63">
        <f t="shared" si="1"/>
        <v>2.6408833333333335</v>
      </c>
      <c r="D1046" s="63">
        <f t="shared" si="1"/>
        <v>2.658175</v>
      </c>
      <c r="E1046" s="63">
        <f t="shared" si="1"/>
        <v>3.361966666666667</v>
      </c>
      <c r="F1046" s="63">
        <f t="shared" si="1"/>
        <v>4.0214166666666662</v>
      </c>
      <c r="G1046" s="63">
        <f t="shared" si="1"/>
        <v>4.0222000000000007</v>
      </c>
      <c r="H1046" s="63">
        <f t="shared" si="1"/>
        <v>5.7971666666666666</v>
      </c>
      <c r="I1046" s="63">
        <f t="shared" si="1"/>
        <v>5.7979166666666657</v>
      </c>
      <c r="J1046" s="63">
        <f t="shared" si="1"/>
        <v>3.361966666666667</v>
      </c>
      <c r="K1046" s="63">
        <f t="shared" si="1"/>
        <v>3.3627249999999997</v>
      </c>
    </row>
    <row r="1047" spans="1:11" ht="15">
      <c r="A1047" s="3">
        <v>2017</v>
      </c>
      <c r="B1047" s="63">
        <f t="shared" ref="B1047:K1047" si="2">AVERAGE(B36:B47)</f>
        <v>2.7329833333333333</v>
      </c>
      <c r="C1047" s="63">
        <f t="shared" si="2"/>
        <v>2.7329833333333333</v>
      </c>
      <c r="D1047" s="63">
        <f t="shared" si="2"/>
        <v>2.7502916666666661</v>
      </c>
      <c r="E1047" s="63">
        <f t="shared" si="2"/>
        <v>3.5132250000000003</v>
      </c>
      <c r="F1047" s="63">
        <f t="shared" si="2"/>
        <v>3.5132250000000003</v>
      </c>
      <c r="G1047" s="63">
        <f t="shared" si="2"/>
        <v>3.5140083333333334</v>
      </c>
      <c r="H1047" s="63">
        <f t="shared" si="2"/>
        <v>5.943766666666666</v>
      </c>
      <c r="I1047" s="63">
        <f t="shared" si="2"/>
        <v>5.9445249999999987</v>
      </c>
      <c r="J1047" s="63">
        <f t="shared" si="2"/>
        <v>3.5132250000000003</v>
      </c>
      <c r="K1047" s="63">
        <f t="shared" si="2"/>
        <v>3.5140083333333334</v>
      </c>
    </row>
    <row r="1048" spans="1:11" ht="15">
      <c r="A1048" s="3">
        <v>2018</v>
      </c>
      <c r="B1048" s="63">
        <f t="shared" ref="B1048:K1048" si="3">AVERAGE(B48:B59)</f>
        <v>2.8547750000000001</v>
      </c>
      <c r="C1048" s="63">
        <f t="shared" si="3"/>
        <v>2.8547750000000001</v>
      </c>
      <c r="D1048" s="63">
        <f t="shared" si="3"/>
        <v>2.8720833333333338</v>
      </c>
      <c r="E1048" s="63">
        <f t="shared" si="3"/>
        <v>3.3498833333333331</v>
      </c>
      <c r="F1048" s="63">
        <f t="shared" si="3"/>
        <v>3.3498833333333331</v>
      </c>
      <c r="G1048" s="63">
        <f t="shared" si="3"/>
        <v>3.3506333333333331</v>
      </c>
      <c r="H1048" s="63">
        <f t="shared" si="3"/>
        <v>6.0940916666666674</v>
      </c>
      <c r="I1048" s="63">
        <f t="shared" si="3"/>
        <v>6.0948249999999993</v>
      </c>
      <c r="J1048" s="63">
        <f t="shared" si="3"/>
        <v>3.3498833333333331</v>
      </c>
      <c r="K1048" s="63">
        <f t="shared" si="3"/>
        <v>3.3506333333333331</v>
      </c>
    </row>
    <row r="1049" spans="1:11" ht="15">
      <c r="A1049" s="3">
        <v>2019</v>
      </c>
      <c r="B1049" s="63">
        <f t="shared" ref="B1049:K1049" si="4">AVERAGE(B60:B71)</f>
        <v>2.9488833333333333</v>
      </c>
      <c r="C1049" s="63">
        <f t="shared" si="4"/>
        <v>2.9488833333333333</v>
      </c>
      <c r="D1049" s="63">
        <f t="shared" si="4"/>
        <v>2.9661916666666666</v>
      </c>
      <c r="E1049" s="63">
        <f t="shared" si="4"/>
        <v>3.4520083333333336</v>
      </c>
      <c r="F1049" s="63">
        <f t="shared" si="4"/>
        <v>3.4520083333333336</v>
      </c>
      <c r="G1049" s="63">
        <f t="shared" si="4"/>
        <v>3.4527750000000004</v>
      </c>
      <c r="H1049" s="63">
        <f t="shared" si="4"/>
        <v>6.2481916666666679</v>
      </c>
      <c r="I1049" s="63">
        <f t="shared" si="4"/>
        <v>6.2489499999999998</v>
      </c>
      <c r="J1049" s="63">
        <f t="shared" si="4"/>
        <v>3.4520083333333336</v>
      </c>
      <c r="K1049" s="63">
        <f t="shared" si="4"/>
        <v>3.4527750000000004</v>
      </c>
    </row>
    <row r="1050" spans="1:11" ht="15">
      <c r="A1050" s="3">
        <v>2020</v>
      </c>
      <c r="B1050" s="63">
        <f t="shared" ref="B1050:K1050" si="5">AVERAGE(B72:B83)</f>
        <v>3.0247416666666669</v>
      </c>
      <c r="C1050" s="63">
        <f t="shared" si="5"/>
        <v>3.0247416666666669</v>
      </c>
      <c r="D1050" s="63">
        <f t="shared" si="5"/>
        <v>3.0420333333333338</v>
      </c>
      <c r="E1050" s="63">
        <f t="shared" si="5"/>
        <v>3.5770166666666667</v>
      </c>
      <c r="F1050" s="63">
        <f t="shared" si="5"/>
        <v>3.5770166666666667</v>
      </c>
      <c r="G1050" s="63">
        <f t="shared" si="5"/>
        <v>3.577783333333334</v>
      </c>
      <c r="H1050" s="63">
        <f t="shared" si="5"/>
        <v>6.4061999999999992</v>
      </c>
      <c r="I1050" s="63">
        <f t="shared" si="5"/>
        <v>6.406950000000001</v>
      </c>
      <c r="J1050" s="63">
        <f t="shared" si="5"/>
        <v>3.5770166666666667</v>
      </c>
      <c r="K1050" s="63">
        <f t="shared" si="5"/>
        <v>3.577783333333334</v>
      </c>
    </row>
    <row r="1051" spans="1:11" ht="15">
      <c r="A1051" s="3">
        <v>2021</v>
      </c>
      <c r="B1051" s="63">
        <f t="shared" ref="B1051:K1051" si="6">AVERAGE(B84:B95)</f>
        <v>3.1064250000000002</v>
      </c>
      <c r="C1051" s="63">
        <f t="shared" si="6"/>
        <v>3.1064250000000002</v>
      </c>
      <c r="D1051" s="63">
        <f t="shared" si="6"/>
        <v>3.1237166666666667</v>
      </c>
      <c r="E1051" s="63">
        <f t="shared" si="6"/>
        <v>3.659675</v>
      </c>
      <c r="F1051" s="63">
        <f t="shared" si="6"/>
        <v>3.659675</v>
      </c>
      <c r="G1051" s="63">
        <f t="shared" si="6"/>
        <v>3.6604166666666664</v>
      </c>
      <c r="H1051" s="63">
        <f t="shared" si="6"/>
        <v>6.5682</v>
      </c>
      <c r="I1051" s="63">
        <f t="shared" si="6"/>
        <v>6.5689500000000001</v>
      </c>
      <c r="J1051" s="63">
        <f t="shared" si="6"/>
        <v>3.659675</v>
      </c>
      <c r="K1051" s="63">
        <f t="shared" si="6"/>
        <v>3.6604166666666664</v>
      </c>
    </row>
    <row r="1052" spans="1:11" ht="15">
      <c r="A1052" s="3">
        <v>2022</v>
      </c>
      <c r="B1052" s="63">
        <f t="shared" ref="B1052:K1052" si="7">AVERAGE(B96:B107)</f>
        <v>3.1894000000000005</v>
      </c>
      <c r="C1052" s="63">
        <f t="shared" si="7"/>
        <v>3.1894000000000005</v>
      </c>
      <c r="D1052" s="63">
        <f t="shared" si="7"/>
        <v>3.2067000000000001</v>
      </c>
      <c r="E1052" s="63">
        <f t="shared" si="7"/>
        <v>3.7376166666666673</v>
      </c>
      <c r="F1052" s="63">
        <f t="shared" si="7"/>
        <v>3.7376166666666673</v>
      </c>
      <c r="G1052" s="63">
        <f t="shared" si="7"/>
        <v>3.738375</v>
      </c>
      <c r="H1052" s="63">
        <f t="shared" si="7"/>
        <v>6.7342833333333338</v>
      </c>
      <c r="I1052" s="63">
        <f t="shared" si="7"/>
        <v>6.7350500000000011</v>
      </c>
      <c r="J1052" s="63">
        <f t="shared" si="7"/>
        <v>3.7376166666666673</v>
      </c>
      <c r="K1052" s="63">
        <f t="shared" si="7"/>
        <v>3.738375</v>
      </c>
    </row>
    <row r="1053" spans="1:11" ht="15">
      <c r="A1053" s="3">
        <v>2023</v>
      </c>
      <c r="B1053" s="63">
        <f t="shared" ref="B1053:K1053" si="8">AVERAGE(B108:B119)</f>
        <v>3.2733583333333329</v>
      </c>
      <c r="C1053" s="63">
        <f t="shared" si="8"/>
        <v>3.2733583333333329</v>
      </c>
      <c r="D1053" s="63">
        <f t="shared" si="8"/>
        <v>3.290658333333333</v>
      </c>
      <c r="E1053" s="63">
        <f t="shared" si="8"/>
        <v>3.8185500000000006</v>
      </c>
      <c r="F1053" s="63">
        <f t="shared" si="8"/>
        <v>3.8185500000000006</v>
      </c>
      <c r="G1053" s="63">
        <f t="shared" si="8"/>
        <v>3.8193083333333337</v>
      </c>
      <c r="H1053" s="63">
        <f t="shared" si="8"/>
        <v>6.9045916666666658</v>
      </c>
      <c r="I1053" s="63">
        <f t="shared" si="8"/>
        <v>6.9053666666666658</v>
      </c>
      <c r="J1053" s="63">
        <f t="shared" si="8"/>
        <v>3.8185500000000006</v>
      </c>
      <c r="K1053" s="63">
        <f t="shared" si="8"/>
        <v>3.8193083333333337</v>
      </c>
    </row>
    <row r="1054" spans="1:11" ht="15">
      <c r="A1054" s="3">
        <v>2024</v>
      </c>
      <c r="B1054" s="63">
        <f t="shared" ref="B1054:K1054" si="9">AVERAGE(B120:B131)</f>
        <v>3.356641666666667</v>
      </c>
      <c r="C1054" s="63">
        <f t="shared" si="9"/>
        <v>3.356641666666667</v>
      </c>
      <c r="D1054" s="63">
        <f t="shared" si="9"/>
        <v>3.3739416666666671</v>
      </c>
      <c r="E1054" s="63">
        <f t="shared" si="9"/>
        <v>3.8828749999999999</v>
      </c>
      <c r="F1054" s="63">
        <f t="shared" si="9"/>
        <v>3.8828749999999999</v>
      </c>
      <c r="G1054" s="63">
        <f t="shared" si="9"/>
        <v>3.8836249999999999</v>
      </c>
      <c r="H1054" s="63">
        <f t="shared" si="9"/>
        <v>7.0792083333333329</v>
      </c>
      <c r="I1054" s="63">
        <f t="shared" si="9"/>
        <v>7.0799500000000002</v>
      </c>
      <c r="J1054" s="63">
        <f t="shared" si="9"/>
        <v>3.8828749999999999</v>
      </c>
      <c r="K1054" s="63">
        <f t="shared" si="9"/>
        <v>3.8836249999999999</v>
      </c>
    </row>
    <row r="1055" spans="1:11" ht="15">
      <c r="A1055" s="3">
        <v>2025</v>
      </c>
      <c r="B1055" s="63">
        <f t="shared" ref="B1055:K1055" si="10">AVERAGE(B132:B143)</f>
        <v>3.4431833333333337</v>
      </c>
      <c r="C1055" s="63">
        <f t="shared" si="10"/>
        <v>3.4431833333333337</v>
      </c>
      <c r="D1055" s="63">
        <f t="shared" si="10"/>
        <v>3.4604750000000006</v>
      </c>
      <c r="E1055" s="63">
        <f t="shared" si="10"/>
        <v>3.9477666666666664</v>
      </c>
      <c r="F1055" s="63">
        <f t="shared" si="10"/>
        <v>3.9477666666666664</v>
      </c>
      <c r="G1055" s="63">
        <f t="shared" si="10"/>
        <v>3.948541666666666</v>
      </c>
      <c r="H1055" s="63">
        <f t="shared" si="10"/>
        <v>7.2582250000000004</v>
      </c>
      <c r="I1055" s="63">
        <f t="shared" si="10"/>
        <v>7.2589916666666676</v>
      </c>
      <c r="J1055" s="63">
        <f t="shared" si="10"/>
        <v>3.9477666666666664</v>
      </c>
      <c r="K1055" s="63">
        <f t="shared" si="10"/>
        <v>3.948541666666666</v>
      </c>
    </row>
    <row r="1056" spans="1:11" ht="15">
      <c r="A1056" s="3">
        <v>2026</v>
      </c>
      <c r="B1056" s="63">
        <f t="shared" ref="B1056:K1056" si="11">AVERAGE(B144:B155)</f>
        <v>3.5199749999999992</v>
      </c>
      <c r="C1056" s="63">
        <f t="shared" si="11"/>
        <v>3.5199749999999992</v>
      </c>
      <c r="D1056" s="63">
        <f t="shared" si="11"/>
        <v>3.5372666666666661</v>
      </c>
      <c r="E1056" s="63">
        <f t="shared" si="11"/>
        <v>4.0216916666666664</v>
      </c>
      <c r="F1056" s="63">
        <f t="shared" si="11"/>
        <v>4.0216916666666664</v>
      </c>
      <c r="G1056" s="63">
        <f t="shared" si="11"/>
        <v>4.0224750000000009</v>
      </c>
      <c r="H1056" s="63">
        <f t="shared" si="11"/>
        <v>7.4417749999999998</v>
      </c>
      <c r="I1056" s="63">
        <f t="shared" si="11"/>
        <v>7.4425333333333334</v>
      </c>
      <c r="J1056" s="63">
        <f t="shared" si="11"/>
        <v>4.0216916666666664</v>
      </c>
      <c r="K1056" s="63">
        <f t="shared" si="11"/>
        <v>4.0224750000000009</v>
      </c>
    </row>
    <row r="1057" spans="1:11" ht="15">
      <c r="A1057" s="3">
        <v>2027</v>
      </c>
      <c r="B1057" s="63">
        <f t="shared" ref="B1057:K1057" si="12">AVERAGE(B156:B167)</f>
        <v>3.5945083333333336</v>
      </c>
      <c r="C1057" s="63">
        <f t="shared" si="12"/>
        <v>3.5945083333333336</v>
      </c>
      <c r="D1057" s="63">
        <f t="shared" si="12"/>
        <v>3.6118166666666665</v>
      </c>
      <c r="E1057" s="63">
        <f t="shared" si="12"/>
        <v>4.0970250000000004</v>
      </c>
      <c r="F1057" s="63">
        <f t="shared" si="12"/>
        <v>4.0970250000000004</v>
      </c>
      <c r="G1057" s="63">
        <f t="shared" si="12"/>
        <v>4.0977750000000013</v>
      </c>
      <c r="H1057" s="63">
        <f t="shared" si="12"/>
        <v>7.6299583333333345</v>
      </c>
      <c r="I1057" s="63">
        <f t="shared" si="12"/>
        <v>7.6307249999999991</v>
      </c>
      <c r="J1057" s="63">
        <f t="shared" si="12"/>
        <v>4.0970250000000004</v>
      </c>
      <c r="K1057" s="63">
        <f t="shared" si="12"/>
        <v>4.0977750000000013</v>
      </c>
    </row>
    <row r="1058" spans="1:11" ht="15">
      <c r="A1058" s="3">
        <v>2028</v>
      </c>
      <c r="B1058" s="63">
        <f t="shared" ref="B1058:K1058" si="13">AVERAGE(B168:B179)</f>
        <v>3.6865333333333346</v>
      </c>
      <c r="C1058" s="63">
        <f t="shared" si="13"/>
        <v>3.6865333333333346</v>
      </c>
      <c r="D1058" s="63">
        <f t="shared" si="13"/>
        <v>3.7038166666666679</v>
      </c>
      <c r="E1058" s="63">
        <f t="shared" si="13"/>
        <v>4.1895333333333324</v>
      </c>
      <c r="F1058" s="63">
        <f t="shared" si="13"/>
        <v>4.1895333333333324</v>
      </c>
      <c r="G1058" s="63">
        <f t="shared" si="13"/>
        <v>4.1902999999999997</v>
      </c>
      <c r="H1058" s="63">
        <f t="shared" si="13"/>
        <v>7.822916666666667</v>
      </c>
      <c r="I1058" s="63">
        <f t="shared" si="13"/>
        <v>7.823666666666667</v>
      </c>
      <c r="J1058" s="63">
        <f t="shared" si="13"/>
        <v>4.1895333333333324</v>
      </c>
      <c r="K1058" s="63">
        <f t="shared" si="13"/>
        <v>4.1902999999999997</v>
      </c>
    </row>
    <row r="1059" spans="1:11" ht="15">
      <c r="A1059" s="3">
        <v>2029</v>
      </c>
      <c r="B1059" s="63">
        <f t="shared" ref="B1059:K1059" si="14">AVERAGE(B180:B191)</f>
        <v>3.7820583333333331</v>
      </c>
      <c r="C1059" s="63">
        <f t="shared" si="14"/>
        <v>3.7820583333333331</v>
      </c>
      <c r="D1059" s="63">
        <f t="shared" si="14"/>
        <v>3.7993416666666668</v>
      </c>
      <c r="E1059" s="63">
        <f t="shared" si="14"/>
        <v>4.3054249999999996</v>
      </c>
      <c r="F1059" s="63">
        <f t="shared" si="14"/>
        <v>4.3054249999999996</v>
      </c>
      <c r="G1059" s="63">
        <f t="shared" si="14"/>
        <v>4.3061833333333341</v>
      </c>
      <c r="H1059" s="63">
        <f t="shared" si="14"/>
        <v>8.0207499999999996</v>
      </c>
      <c r="I1059" s="63">
        <f t="shared" si="14"/>
        <v>8.0214916666666678</v>
      </c>
      <c r="J1059" s="63">
        <f t="shared" si="14"/>
        <v>4.3054249999999996</v>
      </c>
      <c r="K1059" s="63">
        <f t="shared" si="14"/>
        <v>4.3061833333333341</v>
      </c>
    </row>
    <row r="1060" spans="1:11" ht="15">
      <c r="A1060" s="3">
        <v>2030</v>
      </c>
      <c r="B1060" s="63">
        <f t="shared" ref="B1060:K1060" si="15">AVERAGE(B192:B203)</f>
        <v>3.8811916666666666</v>
      </c>
      <c r="C1060" s="63">
        <f t="shared" si="15"/>
        <v>3.8811916666666666</v>
      </c>
      <c r="D1060" s="63">
        <f t="shared" si="15"/>
        <v>3.8985083333333335</v>
      </c>
      <c r="E1060" s="63">
        <f t="shared" si="15"/>
        <v>4.4246083333333326</v>
      </c>
      <c r="F1060" s="63">
        <f t="shared" si="15"/>
        <v>4.4246083333333326</v>
      </c>
      <c r="G1060" s="63">
        <f t="shared" si="15"/>
        <v>4.4253833333333326</v>
      </c>
      <c r="H1060" s="63">
        <f t="shared" si="15"/>
        <v>8.2235750000000003</v>
      </c>
      <c r="I1060" s="63">
        <f t="shared" si="15"/>
        <v>8.2243333333333322</v>
      </c>
      <c r="J1060" s="63">
        <f t="shared" si="15"/>
        <v>4.4246083333333326</v>
      </c>
      <c r="K1060" s="63">
        <f t="shared" si="15"/>
        <v>4.4253833333333326</v>
      </c>
    </row>
    <row r="1061" spans="1:11" ht="15">
      <c r="A1061" s="3">
        <v>2031</v>
      </c>
      <c r="B1061" s="63">
        <f t="shared" ref="B1061:K1061" si="16">AVERAGE(B204:B215)</f>
        <v>3.9861666666666671</v>
      </c>
      <c r="C1061" s="63">
        <f t="shared" si="16"/>
        <v>3.9861666666666671</v>
      </c>
      <c r="D1061" s="63">
        <f t="shared" si="16"/>
        <v>4.0034583333333336</v>
      </c>
      <c r="E1061" s="63">
        <f t="shared" si="16"/>
        <v>4.564283333333333</v>
      </c>
      <c r="F1061" s="63">
        <f t="shared" si="16"/>
        <v>4.564283333333333</v>
      </c>
      <c r="G1061" s="63">
        <f t="shared" si="16"/>
        <v>4.5650333333333331</v>
      </c>
      <c r="H1061" s="63">
        <f t="shared" si="16"/>
        <v>8.4315499999999997</v>
      </c>
      <c r="I1061" s="63">
        <f t="shared" si="16"/>
        <v>8.4322833333333325</v>
      </c>
      <c r="J1061" s="63">
        <f t="shared" si="16"/>
        <v>4.564283333333333</v>
      </c>
      <c r="K1061" s="63">
        <f t="shared" si="16"/>
        <v>4.5650333333333331</v>
      </c>
    </row>
    <row r="1062" spans="1:11" ht="15">
      <c r="A1062" s="3">
        <v>2032</v>
      </c>
      <c r="B1062" s="63">
        <f t="shared" ref="B1062:K1062" si="17">AVERAGE(B216:B227)</f>
        <v>4.1071416666666662</v>
      </c>
      <c r="C1062" s="63">
        <f t="shared" si="17"/>
        <v>4.1071416666666662</v>
      </c>
      <c r="D1062" s="63">
        <f t="shared" si="17"/>
        <v>4.1244333333333332</v>
      </c>
      <c r="E1062" s="63">
        <f t="shared" si="17"/>
        <v>4.7087666666666665</v>
      </c>
      <c r="F1062" s="63">
        <f t="shared" si="17"/>
        <v>4.7087666666666665</v>
      </c>
      <c r="G1062" s="63">
        <f t="shared" si="17"/>
        <v>4.7094999999999994</v>
      </c>
      <c r="H1062" s="63">
        <f t="shared" si="17"/>
        <v>8.6447666666666674</v>
      </c>
      <c r="I1062" s="63">
        <f t="shared" si="17"/>
        <v>8.6455166666666656</v>
      </c>
      <c r="J1062" s="63">
        <f t="shared" si="17"/>
        <v>4.7087666666666665</v>
      </c>
      <c r="K1062" s="63">
        <f t="shared" si="17"/>
        <v>4.7094999999999994</v>
      </c>
    </row>
    <row r="1063" spans="1:11" ht="15">
      <c r="A1063" s="3">
        <v>2033</v>
      </c>
      <c r="B1063" s="63">
        <f t="shared" ref="B1063:K1063" si="18">AVERAGE(B228:B239)</f>
        <v>4.2320083333333329</v>
      </c>
      <c r="C1063" s="63">
        <f t="shared" si="18"/>
        <v>4.2320083333333329</v>
      </c>
      <c r="D1063" s="63">
        <f t="shared" si="18"/>
        <v>4.2493333333333334</v>
      </c>
      <c r="E1063" s="63">
        <f t="shared" si="18"/>
        <v>4.8575416666666671</v>
      </c>
      <c r="F1063" s="63">
        <f t="shared" si="18"/>
        <v>4.8575416666666671</v>
      </c>
      <c r="G1063" s="63">
        <f t="shared" si="18"/>
        <v>4.858299999999999</v>
      </c>
      <c r="H1063" s="63">
        <f t="shared" si="18"/>
        <v>8.8633666666666659</v>
      </c>
      <c r="I1063" s="63">
        <f t="shared" si="18"/>
        <v>8.864116666666666</v>
      </c>
      <c r="J1063" s="63">
        <f t="shared" si="18"/>
        <v>4.8575416666666671</v>
      </c>
      <c r="K1063" s="63">
        <f t="shared" si="18"/>
        <v>4.858299999999999</v>
      </c>
    </row>
    <row r="1064" spans="1:11" ht="15">
      <c r="A1064" s="3">
        <v>2034</v>
      </c>
      <c r="B1064" s="63">
        <f t="shared" ref="B1064:K1064" si="19">AVERAGE(B240:B251)</f>
        <v>4.3617000000000008</v>
      </c>
      <c r="C1064" s="63">
        <f t="shared" si="19"/>
        <v>4.3617000000000008</v>
      </c>
      <c r="D1064" s="63">
        <f t="shared" si="19"/>
        <v>4.3790000000000004</v>
      </c>
      <c r="E1064" s="63">
        <f t="shared" si="19"/>
        <v>5.0112666666666668</v>
      </c>
      <c r="F1064" s="63">
        <f t="shared" si="19"/>
        <v>5.0112666666666668</v>
      </c>
      <c r="G1064" s="63">
        <f t="shared" si="19"/>
        <v>5.0120166666666668</v>
      </c>
      <c r="H1064" s="63">
        <f t="shared" si="19"/>
        <v>9.0875166666666658</v>
      </c>
      <c r="I1064" s="63">
        <f t="shared" si="19"/>
        <v>9.0882666666666658</v>
      </c>
      <c r="J1064" s="63">
        <f t="shared" si="19"/>
        <v>5.0112666666666668</v>
      </c>
      <c r="K1064" s="63">
        <f t="shared" si="19"/>
        <v>5.0120166666666668</v>
      </c>
    </row>
    <row r="1065" spans="1:11" ht="15">
      <c r="A1065" s="3">
        <v>2035</v>
      </c>
      <c r="B1065" s="63">
        <f t="shared" ref="B1065:K1065" si="20">AVERAGE(B252:B263)</f>
        <v>4.4858083333333338</v>
      </c>
      <c r="C1065" s="63">
        <f t="shared" si="20"/>
        <v>4.4858083333333338</v>
      </c>
      <c r="D1065" s="63">
        <f t="shared" si="20"/>
        <v>4.5031083333333335</v>
      </c>
      <c r="E1065" s="63">
        <f t="shared" si="20"/>
        <v>5.1507166666666668</v>
      </c>
      <c r="F1065" s="63">
        <f t="shared" si="20"/>
        <v>5.1507166666666668</v>
      </c>
      <c r="G1065" s="63">
        <f t="shared" si="20"/>
        <v>5.1514583333333333</v>
      </c>
      <c r="H1065" s="63">
        <f t="shared" si="20"/>
        <v>9.3173083333333349</v>
      </c>
      <c r="I1065" s="63">
        <f t="shared" si="20"/>
        <v>9.3180666666666667</v>
      </c>
      <c r="J1065" s="63">
        <f t="shared" si="20"/>
        <v>5.1507166666666668</v>
      </c>
      <c r="K1065" s="63">
        <f t="shared" si="20"/>
        <v>5.1514583333333333</v>
      </c>
    </row>
    <row r="1066" spans="1:11" ht="15">
      <c r="A1066" s="3">
        <v>2036</v>
      </c>
      <c r="B1066" s="63">
        <f t="shared" ref="B1066:K1066" si="21">AVERAGE(B264:B275)</f>
        <v>4.6092000000000004</v>
      </c>
      <c r="C1066" s="63">
        <f t="shared" si="21"/>
        <v>4.6092000000000004</v>
      </c>
      <c r="D1066" s="63">
        <f t="shared" si="21"/>
        <v>4.6265000000000009</v>
      </c>
      <c r="E1066" s="63">
        <f t="shared" si="21"/>
        <v>5.2943249999999997</v>
      </c>
      <c r="F1066" s="63">
        <f t="shared" si="21"/>
        <v>5.2943249999999997</v>
      </c>
      <c r="G1066" s="63">
        <f t="shared" si="21"/>
        <v>5.2950749999999998</v>
      </c>
      <c r="H1066" s="63">
        <f t="shared" si="21"/>
        <v>9.5529416666666673</v>
      </c>
      <c r="I1066" s="63">
        <f t="shared" si="21"/>
        <v>9.5536916666666674</v>
      </c>
      <c r="J1066" s="63">
        <f t="shared" si="21"/>
        <v>5.2943249999999997</v>
      </c>
      <c r="K1066" s="63">
        <f t="shared" si="21"/>
        <v>5.2950749999999998</v>
      </c>
    </row>
    <row r="1067" spans="1:11" ht="15">
      <c r="A1067" s="3">
        <v>2037</v>
      </c>
      <c r="B1067" s="63">
        <f t="shared" ref="B1067:K1067" si="22">AVERAGE(B276:B287)</f>
        <v>4.7357500000000003</v>
      </c>
      <c r="C1067" s="63">
        <f t="shared" si="22"/>
        <v>4.7357500000000003</v>
      </c>
      <c r="D1067" s="63">
        <f t="shared" si="22"/>
        <v>4.7530500000000009</v>
      </c>
      <c r="E1067" s="63">
        <f t="shared" si="22"/>
        <v>5.441816666666667</v>
      </c>
      <c r="F1067" s="63">
        <f t="shared" si="22"/>
        <v>5.441816666666667</v>
      </c>
      <c r="G1067" s="63">
        <f t="shared" si="22"/>
        <v>5.4425750000000006</v>
      </c>
      <c r="H1067" s="63">
        <f t="shared" si="22"/>
        <v>9.7945249999999984</v>
      </c>
      <c r="I1067" s="63">
        <f t="shared" si="22"/>
        <v>9.7952666666666666</v>
      </c>
      <c r="J1067" s="63">
        <f t="shared" si="22"/>
        <v>5.441816666666667</v>
      </c>
      <c r="K1067" s="63">
        <f t="shared" si="22"/>
        <v>5.4425750000000006</v>
      </c>
    </row>
    <row r="1068" spans="1:11" ht="15">
      <c r="A1068" s="3">
        <v>2038</v>
      </c>
      <c r="B1068" s="63">
        <f t="shared" ref="B1068:K1068" si="23">AVERAGE(B288:B299)</f>
        <v>4.8654333333333337</v>
      </c>
      <c r="C1068" s="63">
        <f t="shared" si="23"/>
        <v>4.8654333333333337</v>
      </c>
      <c r="D1068" s="63">
        <f t="shared" si="23"/>
        <v>4.8827333333333334</v>
      </c>
      <c r="E1068" s="63">
        <f t="shared" si="23"/>
        <v>5.594408333333333</v>
      </c>
      <c r="F1068" s="63">
        <f t="shared" si="23"/>
        <v>5.594408333333333</v>
      </c>
      <c r="G1068" s="63">
        <f t="shared" si="23"/>
        <v>5.5951833333333338</v>
      </c>
      <c r="H1068" s="63">
        <f t="shared" si="23"/>
        <v>10.042208333333333</v>
      </c>
      <c r="I1068" s="63">
        <f t="shared" si="23"/>
        <v>10.042949999999999</v>
      </c>
      <c r="J1068" s="63">
        <f t="shared" si="23"/>
        <v>5.594408333333333</v>
      </c>
      <c r="K1068" s="63">
        <f t="shared" si="23"/>
        <v>5.5951833333333338</v>
      </c>
    </row>
    <row r="1069" spans="1:11" ht="15">
      <c r="A1069" s="3">
        <v>2039</v>
      </c>
      <c r="B1069" s="63">
        <f t="shared" ref="B1069:K1069" si="24">AVERAGE(B300:B311)</f>
        <v>5.0003166666666656</v>
      </c>
      <c r="C1069" s="63">
        <f t="shared" si="24"/>
        <v>5.0003166666666656</v>
      </c>
      <c r="D1069" s="63">
        <f t="shared" si="24"/>
        <v>5.0176166666666662</v>
      </c>
      <c r="E1069" s="63">
        <f t="shared" si="24"/>
        <v>5.749200000000001</v>
      </c>
      <c r="F1069" s="63">
        <f t="shared" si="24"/>
        <v>5.749200000000001</v>
      </c>
      <c r="G1069" s="63">
        <f t="shared" si="24"/>
        <v>5.7499499999999992</v>
      </c>
      <c r="H1069" s="63">
        <f t="shared" si="24"/>
        <v>10.296166666666666</v>
      </c>
      <c r="I1069" s="63">
        <f t="shared" si="24"/>
        <v>10.296916666666668</v>
      </c>
      <c r="J1069" s="63">
        <f t="shared" si="24"/>
        <v>5.749200000000001</v>
      </c>
      <c r="K1069" s="63">
        <f t="shared" si="24"/>
        <v>5.7499499999999992</v>
      </c>
    </row>
    <row r="1070" spans="1:11" ht="15">
      <c r="A1070" s="3">
        <v>2040</v>
      </c>
      <c r="B1070" s="63">
        <f t="shared" ref="B1070:K1070" si="25">AVERAGE(B312:B323)</f>
        <v>5.136425</v>
      </c>
      <c r="C1070" s="63">
        <f t="shared" si="25"/>
        <v>5.136425</v>
      </c>
      <c r="D1070" s="63">
        <f t="shared" si="25"/>
        <v>5.1537333333333342</v>
      </c>
      <c r="E1070" s="63">
        <f t="shared" si="25"/>
        <v>5.9101166666666662</v>
      </c>
      <c r="F1070" s="63">
        <f t="shared" si="25"/>
        <v>5.9101166666666662</v>
      </c>
      <c r="G1070" s="63">
        <f t="shared" si="25"/>
        <v>5.9108750000000008</v>
      </c>
      <c r="H1070" s="63">
        <f t="shared" si="25"/>
        <v>10.556541666666666</v>
      </c>
      <c r="I1070" s="63">
        <f t="shared" si="25"/>
        <v>10.557283333333332</v>
      </c>
      <c r="J1070" s="63">
        <f t="shared" si="25"/>
        <v>5.9101166666666662</v>
      </c>
      <c r="K1070" s="63">
        <f t="shared" si="25"/>
        <v>5.9108750000000008</v>
      </c>
    </row>
    <row r="1071" spans="1:11" ht="15">
      <c r="A1071" s="3">
        <v>2041</v>
      </c>
      <c r="B1071" s="63">
        <f t="shared" ref="B1071:K1071" si="26">AVERAGE(B324:B335)</f>
        <v>5.2762833333333345</v>
      </c>
      <c r="C1071" s="63">
        <f t="shared" si="26"/>
        <v>5.2762833333333345</v>
      </c>
      <c r="D1071" s="63">
        <f t="shared" si="26"/>
        <v>5.2936000000000005</v>
      </c>
      <c r="E1071" s="63">
        <f t="shared" si="26"/>
        <v>6.0755333333333335</v>
      </c>
      <c r="F1071" s="63">
        <f t="shared" si="26"/>
        <v>6.0755333333333335</v>
      </c>
      <c r="G1071" s="63">
        <f t="shared" si="26"/>
        <v>6.0763000000000007</v>
      </c>
      <c r="H1071" s="63">
        <f t="shared" si="26"/>
        <v>10.823500000000001</v>
      </c>
      <c r="I1071" s="63">
        <f t="shared" si="26"/>
        <v>10.824225</v>
      </c>
      <c r="J1071" s="63">
        <f t="shared" si="26"/>
        <v>6.0755333333333335</v>
      </c>
      <c r="K1071" s="63">
        <f t="shared" si="26"/>
        <v>6.0763000000000007</v>
      </c>
    </row>
    <row r="1072" spans="1:11" ht="15">
      <c r="A1072" s="3">
        <v>2042</v>
      </c>
      <c r="B1072" s="63">
        <f t="shared" ref="B1072:K1072" si="27">AVERAGE(B336:B347)</f>
        <v>5.4200000000000008</v>
      </c>
      <c r="C1072" s="63">
        <f t="shared" si="27"/>
        <v>5.4200000000000008</v>
      </c>
      <c r="D1072" s="63">
        <f t="shared" si="27"/>
        <v>5.4372999999999996</v>
      </c>
      <c r="E1072" s="63">
        <f t="shared" si="27"/>
        <v>6.2455916666666669</v>
      </c>
      <c r="F1072" s="63">
        <f t="shared" si="27"/>
        <v>6.2455916666666669</v>
      </c>
      <c r="G1072" s="63">
        <f t="shared" si="27"/>
        <v>6.2463416666666669</v>
      </c>
      <c r="H1072" s="63">
        <f t="shared" si="27"/>
        <v>11.097200000000001</v>
      </c>
      <c r="I1072" s="63">
        <f t="shared" si="27"/>
        <v>11.097958333333333</v>
      </c>
      <c r="J1072" s="63">
        <f t="shared" si="27"/>
        <v>6.2455916666666669</v>
      </c>
      <c r="K1072" s="63">
        <f t="shared" si="27"/>
        <v>6.2463416666666669</v>
      </c>
    </row>
    <row r="1073" spans="1:11" ht="15">
      <c r="A1073" s="3">
        <v>2043</v>
      </c>
      <c r="B1073" s="63">
        <f t="shared" ref="B1073:K1073" si="28">AVERAGE(B348:B359)</f>
        <v>5.5676416666666659</v>
      </c>
      <c r="C1073" s="63">
        <f t="shared" si="28"/>
        <v>5.5676416666666659</v>
      </c>
      <c r="D1073" s="63">
        <f t="shared" si="28"/>
        <v>5.5849500000000001</v>
      </c>
      <c r="E1073" s="63">
        <f t="shared" si="28"/>
        <v>6.4204000000000008</v>
      </c>
      <c r="F1073" s="63">
        <f t="shared" si="28"/>
        <v>6.4204000000000008</v>
      </c>
      <c r="G1073" s="63">
        <f t="shared" si="28"/>
        <v>6.4211416666666672</v>
      </c>
      <c r="H1073" s="63">
        <f t="shared" si="28"/>
        <v>11.377841666666667</v>
      </c>
      <c r="I1073" s="63">
        <f t="shared" si="28"/>
        <v>11.3786</v>
      </c>
      <c r="J1073" s="63">
        <f t="shared" si="28"/>
        <v>6.4204000000000008</v>
      </c>
      <c r="K1073" s="63">
        <f t="shared" si="28"/>
        <v>6.4211416666666672</v>
      </c>
    </row>
    <row r="1074" spans="1:11" ht="15">
      <c r="A1074" s="3">
        <v>2044</v>
      </c>
      <c r="B1074" s="63">
        <f t="shared" ref="B1074:K1074" si="29">AVERAGE(B360:B371)</f>
        <v>5.7193499999999995</v>
      </c>
      <c r="C1074" s="63">
        <f t="shared" si="29"/>
        <v>5.7193499999999995</v>
      </c>
      <c r="D1074" s="63">
        <f t="shared" si="29"/>
        <v>5.7366416666666664</v>
      </c>
      <c r="E1074" s="63">
        <f t="shared" si="29"/>
        <v>6.6000916666666649</v>
      </c>
      <c r="F1074" s="63">
        <f t="shared" si="29"/>
        <v>6.6000916666666649</v>
      </c>
      <c r="G1074" s="63">
        <f t="shared" si="29"/>
        <v>6.6008583333333322</v>
      </c>
      <c r="H1074" s="63">
        <f t="shared" si="29"/>
        <v>11.665550000000001</v>
      </c>
      <c r="I1074" s="63">
        <f t="shared" si="29"/>
        <v>11.666325000000001</v>
      </c>
      <c r="J1074" s="63">
        <f t="shared" si="29"/>
        <v>6.6000916666666649</v>
      </c>
      <c r="K1074" s="63">
        <f t="shared" si="29"/>
        <v>6.6008583333333322</v>
      </c>
    </row>
    <row r="1075" spans="1:11" ht="15">
      <c r="A1075" s="3">
        <v>2045</v>
      </c>
      <c r="B1075" s="63">
        <f t="shared" ref="B1075:K1075" si="30">AVERAGE(B372:B383)</f>
        <v>5.875233333333334</v>
      </c>
      <c r="C1075" s="63">
        <f t="shared" si="30"/>
        <v>5.875233333333334</v>
      </c>
      <c r="D1075" s="63">
        <f t="shared" si="30"/>
        <v>5.8925333333333327</v>
      </c>
      <c r="E1075" s="63">
        <f t="shared" si="30"/>
        <v>6.784841666666666</v>
      </c>
      <c r="F1075" s="63">
        <f t="shared" si="30"/>
        <v>6.784841666666666</v>
      </c>
      <c r="G1075" s="63">
        <f t="shared" si="30"/>
        <v>6.785566666666667</v>
      </c>
      <c r="H1075" s="63">
        <f t="shared" si="30"/>
        <v>11.960566666666667</v>
      </c>
      <c r="I1075" s="63">
        <f t="shared" si="30"/>
        <v>11.961316666666667</v>
      </c>
      <c r="J1075" s="63">
        <f t="shared" si="30"/>
        <v>6.784841666666666</v>
      </c>
      <c r="K1075" s="63">
        <f t="shared" si="30"/>
        <v>6.785566666666667</v>
      </c>
    </row>
    <row r="1076" spans="1:11" ht="15">
      <c r="A1076" s="3">
        <v>2046</v>
      </c>
      <c r="B1076" s="63">
        <f t="shared" ref="B1076:K1076" si="31">AVERAGE(B384:B395)</f>
        <v>6.0354000000000001</v>
      </c>
      <c r="C1076" s="63">
        <f t="shared" si="31"/>
        <v>6.0354000000000001</v>
      </c>
      <c r="D1076" s="63">
        <f t="shared" si="31"/>
        <v>6.0526999999999989</v>
      </c>
      <c r="E1076" s="63">
        <f t="shared" si="31"/>
        <v>6.9747249999999994</v>
      </c>
      <c r="F1076" s="63">
        <f t="shared" si="31"/>
        <v>6.9747249999999994</v>
      </c>
      <c r="G1076" s="63">
        <f t="shared" si="31"/>
        <v>6.9755000000000011</v>
      </c>
      <c r="H1076" s="63">
        <f t="shared" si="31"/>
        <v>12.263041666666666</v>
      </c>
      <c r="I1076" s="63">
        <f t="shared" si="31"/>
        <v>12.263783333333334</v>
      </c>
      <c r="J1076" s="63">
        <f t="shared" si="31"/>
        <v>6.9747249999999994</v>
      </c>
      <c r="K1076" s="63">
        <f t="shared" si="31"/>
        <v>6.9755000000000011</v>
      </c>
    </row>
    <row r="1077" spans="1:11" ht="15">
      <c r="A1077" s="3">
        <v>2047</v>
      </c>
      <c r="B1077" s="63">
        <f t="shared" ref="B1077:K1077" si="32">AVERAGE(B396:B407)</f>
        <v>6.1999666666666657</v>
      </c>
      <c r="C1077" s="63">
        <f t="shared" si="32"/>
        <v>6.1999666666666657</v>
      </c>
      <c r="D1077" s="63">
        <f t="shared" si="32"/>
        <v>6.2172583333333336</v>
      </c>
      <c r="E1077" s="63">
        <f t="shared" si="32"/>
        <v>7.1699499999999992</v>
      </c>
      <c r="F1077" s="63">
        <f t="shared" si="32"/>
        <v>7.1699499999999992</v>
      </c>
      <c r="G1077" s="63">
        <f t="shared" si="32"/>
        <v>7.170725</v>
      </c>
      <c r="H1077" s="63">
        <f t="shared" si="32"/>
        <v>12.573133333333333</v>
      </c>
      <c r="I1077" s="63">
        <f t="shared" si="32"/>
        <v>12.573900000000002</v>
      </c>
      <c r="J1077" s="63">
        <f t="shared" si="32"/>
        <v>7.1699499999999992</v>
      </c>
      <c r="K1077" s="63">
        <f t="shared" si="32"/>
        <v>7.170725</v>
      </c>
    </row>
    <row r="1078" spans="1:11" ht="15">
      <c r="A1078" s="3">
        <v>2048</v>
      </c>
      <c r="B1078" s="63">
        <f t="shared" ref="B1078:K1078" si="33">AVERAGE(B408:B419)</f>
        <v>6.3690833333333332</v>
      </c>
      <c r="C1078" s="63">
        <f t="shared" si="33"/>
        <v>6.3690833333333332</v>
      </c>
      <c r="D1078" s="63">
        <f t="shared" si="33"/>
        <v>6.3863833333333337</v>
      </c>
      <c r="E1078" s="63">
        <f t="shared" si="33"/>
        <v>7.3706416666666676</v>
      </c>
      <c r="F1078" s="63">
        <f t="shared" si="33"/>
        <v>7.3706416666666676</v>
      </c>
      <c r="G1078" s="63">
        <f t="shared" si="33"/>
        <v>7.3714000000000004</v>
      </c>
      <c r="H1078" s="63">
        <f t="shared" si="33"/>
        <v>12.891116666666667</v>
      </c>
      <c r="I1078" s="63">
        <f t="shared" si="33"/>
        <v>12.891849999999998</v>
      </c>
      <c r="J1078" s="63">
        <f t="shared" si="33"/>
        <v>7.3706416666666676</v>
      </c>
      <c r="K1078" s="63">
        <f t="shared" si="33"/>
        <v>7.3714000000000004</v>
      </c>
    </row>
    <row r="1079" spans="1:11" ht="15">
      <c r="A1079" s="3">
        <v>2049</v>
      </c>
      <c r="B1079" s="63">
        <f t="shared" ref="B1079:K1079" si="34">AVERAGE(B420:B431)</f>
        <v>6.5428583333333341</v>
      </c>
      <c r="C1079" s="63">
        <f t="shared" si="34"/>
        <v>6.5428583333333341</v>
      </c>
      <c r="D1079" s="63">
        <f t="shared" si="34"/>
        <v>6.5601583333333338</v>
      </c>
      <c r="E1079" s="63">
        <f t="shared" si="34"/>
        <v>7.5769250000000001</v>
      </c>
      <c r="F1079" s="63">
        <f t="shared" si="34"/>
        <v>7.5769250000000001</v>
      </c>
      <c r="G1079" s="63">
        <f t="shared" si="34"/>
        <v>7.5776833333333329</v>
      </c>
      <c r="H1079" s="63">
        <f t="shared" si="34"/>
        <v>13.217100000000002</v>
      </c>
      <c r="I1079" s="63">
        <f t="shared" si="34"/>
        <v>13.21785</v>
      </c>
      <c r="J1079" s="63">
        <f t="shared" si="34"/>
        <v>7.5769250000000001</v>
      </c>
      <c r="K1079" s="63">
        <f t="shared" si="34"/>
        <v>7.5776833333333329</v>
      </c>
    </row>
    <row r="1080" spans="1:11" ht="15">
      <c r="A1080" s="3">
        <v>2050</v>
      </c>
      <c r="B1080" s="63">
        <f t="shared" ref="B1080:K1080" si="35">AVERAGE(B432:B443)</f>
        <v>6.7214083333333337</v>
      </c>
      <c r="C1080" s="63">
        <f t="shared" si="35"/>
        <v>6.7214083333333337</v>
      </c>
      <c r="D1080" s="63">
        <f t="shared" si="35"/>
        <v>6.7387083333333351</v>
      </c>
      <c r="E1080" s="63">
        <f t="shared" si="35"/>
        <v>7.7890083333333324</v>
      </c>
      <c r="F1080" s="63">
        <f t="shared" si="35"/>
        <v>7.7890083333333324</v>
      </c>
      <c r="G1080" s="63">
        <f t="shared" si="35"/>
        <v>7.789741666666667</v>
      </c>
      <c r="H1080" s="63">
        <f t="shared" si="35"/>
        <v>13.551349999999999</v>
      </c>
      <c r="I1080" s="63">
        <f t="shared" si="35"/>
        <v>13.552083333333334</v>
      </c>
      <c r="J1080" s="63">
        <f t="shared" si="35"/>
        <v>7.7890083333333324</v>
      </c>
      <c r="K1080" s="63">
        <f t="shared" si="35"/>
        <v>7.789741666666667</v>
      </c>
    </row>
    <row r="1081" spans="1:11" ht="15">
      <c r="A1081" s="3">
        <v>2051</v>
      </c>
      <c r="B1081" s="63">
        <f t="shared" ref="B1081:K1081" si="36">AVERAGE(B444:B455)</f>
        <v>6.9048833333333333</v>
      </c>
      <c r="C1081" s="63">
        <f t="shared" si="36"/>
        <v>6.9048833333333333</v>
      </c>
      <c r="D1081" s="63">
        <f t="shared" si="36"/>
        <v>6.9221666666666666</v>
      </c>
      <c r="E1081" s="63">
        <f t="shared" si="36"/>
        <v>8.0070083333333333</v>
      </c>
      <c r="F1081" s="63">
        <f t="shared" si="36"/>
        <v>8.0070083333333333</v>
      </c>
      <c r="G1081" s="63">
        <f t="shared" si="36"/>
        <v>8.0077583333333333</v>
      </c>
      <c r="H1081" s="63">
        <f t="shared" si="36"/>
        <v>13.894016666666666</v>
      </c>
      <c r="I1081" s="63">
        <f t="shared" si="36"/>
        <v>13.894774999999997</v>
      </c>
      <c r="J1081" s="63">
        <f t="shared" si="36"/>
        <v>8.0070083333333333</v>
      </c>
      <c r="K1081" s="63">
        <f t="shared" si="36"/>
        <v>8.0077583333333333</v>
      </c>
    </row>
    <row r="1082" spans="1:11" ht="15">
      <c r="A1082" s="3">
        <v>2052</v>
      </c>
      <c r="B1082" s="63">
        <f t="shared" ref="B1082:K1082" si="37">AVERAGE(B456:B467)</f>
        <v>7.0933999999999999</v>
      </c>
      <c r="C1082" s="63">
        <f t="shared" si="37"/>
        <v>7.0933999999999999</v>
      </c>
      <c r="D1082" s="63">
        <f t="shared" si="37"/>
        <v>7.1107000000000014</v>
      </c>
      <c r="E1082" s="63">
        <f t="shared" si="37"/>
        <v>8.2311083333333332</v>
      </c>
      <c r="F1082" s="63">
        <f t="shared" si="37"/>
        <v>8.2311083333333332</v>
      </c>
      <c r="G1082" s="63">
        <f t="shared" si="37"/>
        <v>8.2318499999999997</v>
      </c>
      <c r="H1082" s="63">
        <f t="shared" si="37"/>
        <v>14.245383333333331</v>
      </c>
      <c r="I1082" s="63">
        <f t="shared" si="37"/>
        <v>14.246141666666666</v>
      </c>
      <c r="J1082" s="63">
        <f t="shared" si="37"/>
        <v>8.2311083333333332</v>
      </c>
      <c r="K1082" s="63">
        <f t="shared" si="37"/>
        <v>8.2318499999999997</v>
      </c>
    </row>
    <row r="1083" spans="1:11" ht="15">
      <c r="A1083" s="3">
        <v>2053</v>
      </c>
      <c r="B1083" s="63">
        <f t="shared" ref="B1083:K1083" si="38">AVERAGE(B468:B479)</f>
        <v>7.2871333333333324</v>
      </c>
      <c r="C1083" s="63">
        <f t="shared" si="38"/>
        <v>7.2871333333333324</v>
      </c>
      <c r="D1083" s="63">
        <f t="shared" si="38"/>
        <v>7.3044166666666674</v>
      </c>
      <c r="E1083" s="63">
        <f t="shared" si="38"/>
        <v>8.4614916666666673</v>
      </c>
      <c r="F1083" s="63">
        <f t="shared" si="38"/>
        <v>8.4614916666666673</v>
      </c>
      <c r="G1083" s="63">
        <f t="shared" si="38"/>
        <v>8.4622499999999992</v>
      </c>
      <c r="H1083" s="63">
        <f t="shared" si="38"/>
        <v>14.605633333333332</v>
      </c>
      <c r="I1083" s="63">
        <f t="shared" si="38"/>
        <v>14.606383333333332</v>
      </c>
      <c r="J1083" s="63">
        <f t="shared" si="38"/>
        <v>8.4614916666666673</v>
      </c>
      <c r="K1083" s="63">
        <f t="shared" si="38"/>
        <v>8.4622499999999992</v>
      </c>
    </row>
    <row r="1084" spans="1:11" ht="15">
      <c r="A1084" s="3">
        <v>2054</v>
      </c>
      <c r="B1084" s="63">
        <f t="shared" ref="B1084:K1084" si="39">AVERAGE(B480:B491)</f>
        <v>7.4862000000000011</v>
      </c>
      <c r="C1084" s="63">
        <f t="shared" si="39"/>
        <v>7.4862000000000011</v>
      </c>
      <c r="D1084" s="63">
        <f t="shared" si="39"/>
        <v>7.5034916666666662</v>
      </c>
      <c r="E1084" s="63">
        <f t="shared" si="39"/>
        <v>8.6983249999999988</v>
      </c>
      <c r="F1084" s="63">
        <f t="shared" si="39"/>
        <v>8.6983249999999988</v>
      </c>
      <c r="G1084" s="63">
        <f t="shared" si="39"/>
        <v>8.6990583333333333</v>
      </c>
      <c r="H1084" s="63">
        <f t="shared" si="39"/>
        <v>14.974983333333332</v>
      </c>
      <c r="I1084" s="63">
        <f t="shared" si="39"/>
        <v>14.97575</v>
      </c>
      <c r="J1084" s="63">
        <f t="shared" si="39"/>
        <v>8.6983249999999988</v>
      </c>
      <c r="K1084" s="63">
        <f t="shared" si="39"/>
        <v>8.6990583333333333</v>
      </c>
    </row>
    <row r="1085" spans="1:11" ht="15">
      <c r="A1085" s="3">
        <v>2055</v>
      </c>
      <c r="B1085" s="63">
        <f t="shared" ref="B1085:K1085" si="40">AVERAGE(B17:B503)</f>
        <v>4.7321876796714557</v>
      </c>
      <c r="C1085" s="63">
        <f t="shared" si="40"/>
        <v>4.7321876796714557</v>
      </c>
      <c r="D1085" s="63">
        <f t="shared" si="40"/>
        <v>4.7495133470225879</v>
      </c>
      <c r="E1085" s="63">
        <f t="shared" si="40"/>
        <v>5.4924942505133423</v>
      </c>
      <c r="F1085" s="63">
        <f t="shared" si="40"/>
        <v>5.5194205338808979</v>
      </c>
      <c r="G1085" s="63">
        <f t="shared" si="40"/>
        <v>5.5201813141683811</v>
      </c>
      <c r="H1085" s="63">
        <f t="shared" si="40"/>
        <v>9.7717281314168307</v>
      </c>
      <c r="I1085" s="63">
        <f t="shared" si="40"/>
        <v>9.7724827515400428</v>
      </c>
      <c r="J1085" s="63">
        <f t="shared" si="40"/>
        <v>5.4924942505133423</v>
      </c>
      <c r="K1085" s="63">
        <f t="shared" si="40"/>
        <v>5.4932537987679702</v>
      </c>
    </row>
    <row r="1086" spans="1:11" ht="15">
      <c r="A1086" s="3">
        <v>2056</v>
      </c>
      <c r="B1086" s="63">
        <f t="shared" ref="B1086:K1086" si="41">AVERAGE(B504:B515)</f>
        <v>7.9009416666666672</v>
      </c>
      <c r="C1086" s="63">
        <f t="shared" si="41"/>
        <v>7.9009416666666672</v>
      </c>
      <c r="D1086" s="63">
        <f t="shared" si="41"/>
        <v>7.9182416666666668</v>
      </c>
      <c r="E1086" s="63">
        <f t="shared" si="41"/>
        <v>9.192025000000001</v>
      </c>
      <c r="F1086" s="63">
        <f t="shared" si="41"/>
        <v>9.192025000000001</v>
      </c>
      <c r="G1086" s="63">
        <f t="shared" si="41"/>
        <v>9.1927833333333329</v>
      </c>
      <c r="H1086" s="63">
        <f t="shared" si="41"/>
        <v>15.741966666666665</v>
      </c>
      <c r="I1086" s="63">
        <f t="shared" si="41"/>
        <v>15.742691666666666</v>
      </c>
      <c r="J1086" s="63">
        <f t="shared" si="41"/>
        <v>9.192025000000001</v>
      </c>
      <c r="K1086" s="63">
        <f t="shared" si="41"/>
        <v>9.1927833333333329</v>
      </c>
    </row>
    <row r="1087" spans="1:11" ht="15">
      <c r="A1087" s="3">
        <v>2057</v>
      </c>
      <c r="B1087" s="63">
        <f t="shared" ref="B1087:K1087" si="42">AVERAGE(B516:B527)</f>
        <v>8.1169250000000002</v>
      </c>
      <c r="C1087" s="63">
        <f t="shared" si="42"/>
        <v>8.1169250000000002</v>
      </c>
      <c r="D1087" s="63">
        <f t="shared" si="42"/>
        <v>8.1342416666666679</v>
      </c>
      <c r="E1087" s="63">
        <f t="shared" si="42"/>
        <v>9.4493000000000009</v>
      </c>
      <c r="F1087" s="63">
        <f t="shared" si="42"/>
        <v>9.4493000000000009</v>
      </c>
      <c r="G1087" s="63">
        <f t="shared" si="42"/>
        <v>9.4500499999999992</v>
      </c>
      <c r="H1087" s="63">
        <f t="shared" si="42"/>
        <v>16.140033333333335</v>
      </c>
      <c r="I1087" s="63">
        <f t="shared" si="42"/>
        <v>16.140800000000002</v>
      </c>
      <c r="J1087" s="63">
        <f t="shared" si="42"/>
        <v>9.4493000000000009</v>
      </c>
      <c r="K1087" s="63">
        <f t="shared" si="42"/>
        <v>9.4500499999999992</v>
      </c>
    </row>
    <row r="1088" spans="1:11" ht="15">
      <c r="A1088" s="3">
        <v>2058</v>
      </c>
      <c r="B1088" s="63">
        <f t="shared" ref="B1088:K1088" si="43">AVERAGE(B528:B539)</f>
        <v>8.3388916666666688</v>
      </c>
      <c r="C1088" s="63">
        <f t="shared" si="43"/>
        <v>8.3388916666666688</v>
      </c>
      <c r="D1088" s="63">
        <f t="shared" si="43"/>
        <v>8.3561833333333322</v>
      </c>
      <c r="E1088" s="63">
        <f t="shared" si="43"/>
        <v>9.7137666666666664</v>
      </c>
      <c r="F1088" s="63">
        <f t="shared" si="43"/>
        <v>9.7137666666666664</v>
      </c>
      <c r="G1088" s="63">
        <f t="shared" si="43"/>
        <v>9.7145250000000001</v>
      </c>
      <c r="H1088" s="63">
        <f t="shared" si="43"/>
        <v>16.548199999999998</v>
      </c>
      <c r="I1088" s="63">
        <f t="shared" si="43"/>
        <v>16.548950000000001</v>
      </c>
      <c r="J1088" s="63">
        <f t="shared" si="43"/>
        <v>9.7137666666666664</v>
      </c>
      <c r="K1088" s="63">
        <f t="shared" si="43"/>
        <v>9.7145250000000001</v>
      </c>
    </row>
    <row r="1089" spans="1:11" ht="15">
      <c r="A1089" s="3">
        <v>2059</v>
      </c>
      <c r="B1089" s="63">
        <f t="shared" ref="B1089:K1089" si="44">AVERAGE(B540:B551)</f>
        <v>8.5669999999999984</v>
      </c>
      <c r="C1089" s="63">
        <f t="shared" si="44"/>
        <v>8.5669999999999984</v>
      </c>
      <c r="D1089" s="63">
        <f t="shared" si="44"/>
        <v>8.5843000000000007</v>
      </c>
      <c r="E1089" s="63">
        <f t="shared" si="44"/>
        <v>9.9856583333333333</v>
      </c>
      <c r="F1089" s="63">
        <f t="shared" si="44"/>
        <v>9.9856583333333333</v>
      </c>
      <c r="G1089" s="63">
        <f t="shared" si="44"/>
        <v>9.9863916666666679</v>
      </c>
      <c r="H1089" s="63">
        <f t="shared" si="44"/>
        <v>16.966683333333329</v>
      </c>
      <c r="I1089" s="63">
        <f t="shared" si="44"/>
        <v>16.967433333333332</v>
      </c>
      <c r="J1089" s="63">
        <f t="shared" si="44"/>
        <v>9.9856583333333333</v>
      </c>
      <c r="K1089" s="63">
        <f t="shared" si="44"/>
        <v>9.9863916666666679</v>
      </c>
    </row>
    <row r="1090" spans="1:11" ht="15">
      <c r="A1090" s="3">
        <v>2060</v>
      </c>
      <c r="B1090" s="63">
        <f t="shared" ref="B1090:K1090" si="45">AVERAGE(B552:B563)</f>
        <v>8.8013749999999984</v>
      </c>
      <c r="C1090" s="63">
        <f t="shared" si="45"/>
        <v>8.8013749999999984</v>
      </c>
      <c r="D1090" s="63">
        <f t="shared" si="45"/>
        <v>8.8186833333333343</v>
      </c>
      <c r="E1090" s="63">
        <f t="shared" si="45"/>
        <v>10.265124999999999</v>
      </c>
      <c r="F1090" s="63">
        <f t="shared" si="45"/>
        <v>10.265124999999999</v>
      </c>
      <c r="G1090" s="63">
        <f t="shared" si="45"/>
        <v>10.265866666666668</v>
      </c>
      <c r="H1090" s="63">
        <f t="shared" si="45"/>
        <v>17.395733333333336</v>
      </c>
      <c r="I1090" s="63">
        <f t="shared" si="45"/>
        <v>17.396483333333332</v>
      </c>
      <c r="J1090" s="63">
        <f t="shared" si="45"/>
        <v>10.265124999999999</v>
      </c>
      <c r="K1090" s="63">
        <f t="shared" si="45"/>
        <v>10.265866666666668</v>
      </c>
    </row>
    <row r="1091" spans="1:11" ht="15">
      <c r="A1091" s="3">
        <v>2061</v>
      </c>
      <c r="B1091" s="63">
        <f t="shared" ref="B1091:K1091" si="46">AVERAGE(B564:B575)</f>
        <v>9.0422333333333338</v>
      </c>
      <c r="C1091" s="63">
        <f t="shared" si="46"/>
        <v>9.0422333333333338</v>
      </c>
      <c r="D1091" s="63">
        <f t="shared" si="46"/>
        <v>9.0595416666666662</v>
      </c>
      <c r="E1091" s="63">
        <f t="shared" si="46"/>
        <v>10.552424999999999</v>
      </c>
      <c r="F1091" s="63">
        <f t="shared" si="46"/>
        <v>10.552424999999999</v>
      </c>
      <c r="G1091" s="63">
        <f t="shared" si="46"/>
        <v>10.553175000000001</v>
      </c>
      <c r="H1091" s="63">
        <f t="shared" si="46"/>
        <v>17.835633333333334</v>
      </c>
      <c r="I1091" s="63">
        <f t="shared" si="46"/>
        <v>17.836399999999998</v>
      </c>
      <c r="J1091" s="63">
        <f t="shared" si="46"/>
        <v>10.552424999999999</v>
      </c>
      <c r="K1091" s="63">
        <f t="shared" si="46"/>
        <v>10.553175000000001</v>
      </c>
    </row>
    <row r="1092" spans="1:11" ht="15">
      <c r="A1092" s="3">
        <v>2062</v>
      </c>
      <c r="B1092" s="63">
        <f t="shared" ref="B1092:K1101" ca="1" si="47">AVERAGE(OFFSET(B$576,($A1092-$A$1092)*12,0,12,1))</f>
        <v>9.2897499999999997</v>
      </c>
      <c r="C1092" s="63">
        <f t="shared" ca="1" si="47"/>
        <v>9.2897499999999997</v>
      </c>
      <c r="D1092" s="63">
        <f t="shared" ca="1" si="47"/>
        <v>9.3070499999999985</v>
      </c>
      <c r="E1092" s="63">
        <f t="shared" ca="1" si="47"/>
        <v>10.847766666666667</v>
      </c>
      <c r="F1092" s="63">
        <f t="shared" ca="1" si="47"/>
        <v>10.847766666666667</v>
      </c>
      <c r="G1092" s="63">
        <f t="shared" ca="1" si="47"/>
        <v>10.848525</v>
      </c>
      <c r="H1092" s="63">
        <f t="shared" ca="1" si="47"/>
        <v>18.286683333333333</v>
      </c>
      <c r="I1092" s="63">
        <f t="shared" ca="1" si="47"/>
        <v>18.287441666666666</v>
      </c>
      <c r="J1092" s="63">
        <f t="shared" ca="1" si="47"/>
        <v>10.847766666666667</v>
      </c>
      <c r="K1092" s="63">
        <f t="shared" ca="1" si="47"/>
        <v>10.848525</v>
      </c>
    </row>
    <row r="1093" spans="1:11" ht="15">
      <c r="A1093" s="3">
        <v>2063</v>
      </c>
      <c r="B1093" s="63">
        <f t="shared" ca="1" si="47"/>
        <v>9.5372666666666657</v>
      </c>
      <c r="C1093" s="63">
        <f t="shared" ca="1" si="47"/>
        <v>9.5372666666666657</v>
      </c>
      <c r="D1093" s="63">
        <f t="shared" ca="1" si="47"/>
        <v>9.5545833333333317</v>
      </c>
      <c r="E1093" s="63">
        <f t="shared" ca="1" si="47"/>
        <v>11.143116666666666</v>
      </c>
      <c r="F1093" s="63">
        <f t="shared" ca="1" si="47"/>
        <v>11.143116666666666</v>
      </c>
      <c r="G1093" s="63">
        <f t="shared" ca="1" si="47"/>
        <v>11.143875</v>
      </c>
      <c r="H1093" s="63">
        <f t="shared" ca="1" si="47"/>
        <v>18.7377</v>
      </c>
      <c r="I1093" s="63">
        <f t="shared" ca="1" si="47"/>
        <v>18.738475000000001</v>
      </c>
      <c r="J1093" s="63">
        <f t="shared" ca="1" si="47"/>
        <v>11.143116666666666</v>
      </c>
      <c r="K1093" s="63">
        <f t="shared" ca="1" si="47"/>
        <v>11.143875</v>
      </c>
    </row>
    <row r="1094" spans="1:11" ht="15">
      <c r="A1094" s="3">
        <v>2064</v>
      </c>
      <c r="B1094" s="63">
        <f t="shared" ca="1" si="47"/>
        <v>9.7848083333333342</v>
      </c>
      <c r="C1094" s="63">
        <f t="shared" ca="1" si="47"/>
        <v>9.7848083333333342</v>
      </c>
      <c r="D1094" s="63">
        <f t="shared" ca="1" si="47"/>
        <v>9.8020999999999976</v>
      </c>
      <c r="E1094" s="63">
        <f t="shared" ca="1" si="47"/>
        <v>11.438450000000001</v>
      </c>
      <c r="F1094" s="63">
        <f t="shared" ca="1" si="47"/>
        <v>11.438450000000001</v>
      </c>
      <c r="G1094" s="63">
        <f t="shared" ca="1" si="47"/>
        <v>11.439216666666667</v>
      </c>
      <c r="H1094" s="63">
        <f t="shared" ca="1" si="47"/>
        <v>19.188758333333329</v>
      </c>
      <c r="I1094" s="63">
        <f t="shared" ca="1" si="47"/>
        <v>19.189508333333333</v>
      </c>
      <c r="J1094" s="63">
        <f t="shared" ca="1" si="47"/>
        <v>11.438450000000001</v>
      </c>
      <c r="K1094" s="63">
        <f t="shared" ca="1" si="47"/>
        <v>11.439216666666667</v>
      </c>
    </row>
    <row r="1095" spans="1:11" ht="15">
      <c r="A1095" s="3">
        <v>2065</v>
      </c>
      <c r="B1095" s="63">
        <f t="shared" ca="1" si="47"/>
        <v>10.032308333333335</v>
      </c>
      <c r="C1095" s="63">
        <f t="shared" ca="1" si="47"/>
        <v>10.032308333333335</v>
      </c>
      <c r="D1095" s="63">
        <f t="shared" ca="1" si="47"/>
        <v>10.049616666666667</v>
      </c>
      <c r="E1095" s="63">
        <f t="shared" ca="1" si="47"/>
        <v>11.733808333333334</v>
      </c>
      <c r="F1095" s="63">
        <f t="shared" ca="1" si="47"/>
        <v>11.733808333333334</v>
      </c>
      <c r="G1095" s="63">
        <f t="shared" ca="1" si="47"/>
        <v>11.734549999999999</v>
      </c>
      <c r="H1095" s="63">
        <f t="shared" ca="1" si="47"/>
        <v>19.639800000000005</v>
      </c>
      <c r="I1095" s="63">
        <f t="shared" ca="1" si="47"/>
        <v>19.640525</v>
      </c>
      <c r="J1095" s="63">
        <f t="shared" ca="1" si="47"/>
        <v>11.733808333333334</v>
      </c>
      <c r="K1095" s="63">
        <f t="shared" ca="1" si="47"/>
        <v>11.734549999999999</v>
      </c>
    </row>
    <row r="1096" spans="1:11" ht="15">
      <c r="A1096" s="3">
        <v>2066</v>
      </c>
      <c r="B1096" s="63">
        <f t="shared" ca="1" si="47"/>
        <v>10.279825000000001</v>
      </c>
      <c r="C1096" s="63">
        <f t="shared" ca="1" si="47"/>
        <v>10.279825000000001</v>
      </c>
      <c r="D1096" s="63">
        <f t="shared" ca="1" si="47"/>
        <v>10.297116666666666</v>
      </c>
      <c r="E1096" s="63">
        <f t="shared" ca="1" si="47"/>
        <v>12.029158333333333</v>
      </c>
      <c r="F1096" s="63">
        <f t="shared" ca="1" si="47"/>
        <v>12.029158333333333</v>
      </c>
      <c r="G1096" s="63">
        <f t="shared" ca="1" si="47"/>
        <v>12.029891666666666</v>
      </c>
      <c r="H1096" s="63">
        <f t="shared" ca="1" si="47"/>
        <v>20.090816666666665</v>
      </c>
      <c r="I1096" s="63">
        <f t="shared" ca="1" si="47"/>
        <v>20.091591666666663</v>
      </c>
      <c r="J1096" s="63">
        <f t="shared" ca="1" si="47"/>
        <v>12.029158333333333</v>
      </c>
      <c r="K1096" s="63">
        <f t="shared" ca="1" si="47"/>
        <v>12.029891666666666</v>
      </c>
    </row>
    <row r="1097" spans="1:11" ht="15">
      <c r="A1097" s="3">
        <v>2067</v>
      </c>
      <c r="B1097" s="63">
        <f t="shared" ca="1" si="47"/>
        <v>10.527333333333333</v>
      </c>
      <c r="C1097" s="63">
        <f t="shared" ca="1" si="47"/>
        <v>10.527333333333333</v>
      </c>
      <c r="D1097" s="63">
        <f t="shared" ca="1" si="47"/>
        <v>10.544666666666666</v>
      </c>
      <c r="E1097" s="63">
        <f t="shared" ca="1" si="47"/>
        <v>12.324491666666667</v>
      </c>
      <c r="F1097" s="63">
        <f t="shared" ca="1" si="47"/>
        <v>12.324491666666667</v>
      </c>
      <c r="G1097" s="63">
        <f t="shared" ca="1" si="47"/>
        <v>12.325241666666663</v>
      </c>
      <c r="H1097" s="63">
        <f t="shared" ca="1" si="47"/>
        <v>20.541858333333334</v>
      </c>
      <c r="I1097" s="63">
        <f t="shared" ca="1" si="47"/>
        <v>20.542608333333334</v>
      </c>
      <c r="J1097" s="63">
        <f t="shared" ca="1" si="47"/>
        <v>12.324491666666667</v>
      </c>
      <c r="K1097" s="63">
        <f t="shared" ca="1" si="47"/>
        <v>12.325241666666663</v>
      </c>
    </row>
    <row r="1098" spans="1:11" ht="15">
      <c r="A1098" s="3">
        <v>2068</v>
      </c>
      <c r="B1098" s="63">
        <f t="shared" ca="1" si="47"/>
        <v>10.774883333333333</v>
      </c>
      <c r="C1098" s="63">
        <f t="shared" ca="1" si="47"/>
        <v>10.774883333333333</v>
      </c>
      <c r="D1098" s="63">
        <f t="shared" ca="1" si="47"/>
        <v>10.792183333333332</v>
      </c>
      <c r="E1098" s="63">
        <f t="shared" ca="1" si="47"/>
        <v>12.619816666666667</v>
      </c>
      <c r="F1098" s="63">
        <f t="shared" ca="1" si="47"/>
        <v>12.619816666666667</v>
      </c>
      <c r="G1098" s="63">
        <f t="shared" ca="1" si="47"/>
        <v>12.620583333333334</v>
      </c>
      <c r="H1098" s="63">
        <f t="shared" ca="1" si="47"/>
        <v>20.992891666666669</v>
      </c>
      <c r="I1098" s="63">
        <f t="shared" ca="1" si="47"/>
        <v>20.993666666666666</v>
      </c>
      <c r="J1098" s="63">
        <f t="shared" ca="1" si="47"/>
        <v>12.619816666666667</v>
      </c>
      <c r="K1098" s="63">
        <f t="shared" ca="1" si="47"/>
        <v>12.620583333333334</v>
      </c>
    </row>
    <row r="1099" spans="1:11" ht="15">
      <c r="A1099" s="3">
        <v>2069</v>
      </c>
      <c r="B1099" s="63">
        <f t="shared" ca="1" si="47"/>
        <v>11.022399999999999</v>
      </c>
      <c r="C1099" s="63">
        <f t="shared" ca="1" si="47"/>
        <v>11.022399999999999</v>
      </c>
      <c r="D1099" s="63">
        <f t="shared" ca="1" si="47"/>
        <v>11.039691666666668</v>
      </c>
      <c r="E1099" s="63">
        <f t="shared" ca="1" si="47"/>
        <v>12.915183333333333</v>
      </c>
      <c r="F1099" s="63">
        <f t="shared" ca="1" si="47"/>
        <v>12.915183333333333</v>
      </c>
      <c r="G1099" s="63">
        <f t="shared" ca="1" si="47"/>
        <v>12.915908333333334</v>
      </c>
      <c r="H1099" s="63">
        <f t="shared" ca="1" si="47"/>
        <v>21.443916666666667</v>
      </c>
      <c r="I1099" s="63">
        <f t="shared" ca="1" si="47"/>
        <v>21.444683333333334</v>
      </c>
      <c r="J1099" s="63">
        <f t="shared" ca="1" si="47"/>
        <v>12.915183333333333</v>
      </c>
      <c r="K1099" s="63">
        <f t="shared" ca="1" si="47"/>
        <v>12.915908333333334</v>
      </c>
    </row>
    <row r="1100" spans="1:11" ht="15">
      <c r="A1100" s="3">
        <v>2070</v>
      </c>
      <c r="B1100" s="63">
        <f t="shared" ca="1" si="47"/>
        <v>11.269908333333333</v>
      </c>
      <c r="C1100" s="63">
        <f t="shared" ca="1" si="47"/>
        <v>11.269908333333333</v>
      </c>
      <c r="D1100" s="63">
        <f t="shared" ca="1" si="47"/>
        <v>11.2872</v>
      </c>
      <c r="E1100" s="63">
        <f t="shared" ca="1" si="47"/>
        <v>13.210500000000001</v>
      </c>
      <c r="F1100" s="63">
        <f t="shared" ca="1" si="47"/>
        <v>13.210500000000001</v>
      </c>
      <c r="G1100" s="63">
        <f t="shared" ca="1" si="47"/>
        <v>13.211283333333334</v>
      </c>
      <c r="H1100" s="63">
        <f t="shared" ca="1" si="47"/>
        <v>21.894974999999999</v>
      </c>
      <c r="I1100" s="63">
        <f t="shared" ca="1" si="47"/>
        <v>21.895724999999999</v>
      </c>
      <c r="J1100" s="63">
        <f t="shared" ca="1" si="47"/>
        <v>13.210500000000001</v>
      </c>
      <c r="K1100" s="63">
        <f t="shared" ca="1" si="47"/>
        <v>13.211283333333334</v>
      </c>
    </row>
    <row r="1101" spans="1:11" ht="15">
      <c r="A1101" s="3">
        <v>2071</v>
      </c>
      <c r="B1101" s="63">
        <f t="shared" ca="1" si="47"/>
        <v>11.517416666666669</v>
      </c>
      <c r="C1101" s="63">
        <f t="shared" ca="1" si="47"/>
        <v>11.517416666666669</v>
      </c>
      <c r="D1101" s="63">
        <f t="shared" ca="1" si="47"/>
        <v>11.534733333333334</v>
      </c>
      <c r="E1101" s="63">
        <f t="shared" ca="1" si="47"/>
        <v>13.505833333333333</v>
      </c>
      <c r="F1101" s="63">
        <f t="shared" ca="1" si="47"/>
        <v>13.505833333333333</v>
      </c>
      <c r="G1101" s="63">
        <f t="shared" ca="1" si="47"/>
        <v>13.506608333333334</v>
      </c>
      <c r="H1101" s="63">
        <f t="shared" ca="1" si="47"/>
        <v>22.346016666666667</v>
      </c>
      <c r="I1101" s="63">
        <f t="shared" ca="1" si="47"/>
        <v>22.346766666666667</v>
      </c>
      <c r="J1101" s="63">
        <f t="shared" ca="1" si="47"/>
        <v>13.505833333333333</v>
      </c>
      <c r="K1101" s="63">
        <f t="shared" ca="1" si="47"/>
        <v>13.506608333333334</v>
      </c>
    </row>
    <row r="1102" spans="1:11" ht="15">
      <c r="A1102" s="3">
        <v>2072</v>
      </c>
      <c r="B1102" s="63">
        <f t="shared" ref="B1102:K1111" ca="1" si="48">AVERAGE(OFFSET(B$576,($A1102-$A$1092)*12,0,12,1))</f>
        <v>11.764941666666667</v>
      </c>
      <c r="C1102" s="63">
        <f t="shared" ca="1" si="48"/>
        <v>11.764941666666667</v>
      </c>
      <c r="D1102" s="63">
        <f t="shared" ca="1" si="48"/>
        <v>11.782266666666665</v>
      </c>
      <c r="E1102" s="63">
        <f t="shared" ca="1" si="48"/>
        <v>13.801191666666668</v>
      </c>
      <c r="F1102" s="63">
        <f t="shared" ca="1" si="48"/>
        <v>13.801191666666668</v>
      </c>
      <c r="G1102" s="63">
        <f t="shared" ca="1" si="48"/>
        <v>13.801950000000003</v>
      </c>
      <c r="H1102" s="63">
        <f t="shared" ca="1" si="48"/>
        <v>22.797041666666669</v>
      </c>
      <c r="I1102" s="63">
        <f t="shared" ca="1" si="48"/>
        <v>22.797791666666669</v>
      </c>
      <c r="J1102" s="63">
        <f t="shared" ca="1" si="48"/>
        <v>13.801191666666668</v>
      </c>
      <c r="K1102" s="63">
        <f t="shared" ca="1" si="48"/>
        <v>13.801950000000003</v>
      </c>
    </row>
    <row r="1103" spans="1:11" ht="15">
      <c r="A1103" s="3">
        <v>2073</v>
      </c>
      <c r="B1103" s="63">
        <f t="shared" ca="1" si="48"/>
        <v>12.012483333333334</v>
      </c>
      <c r="C1103" s="63">
        <f t="shared" ca="1" si="48"/>
        <v>12.012483333333334</v>
      </c>
      <c r="D1103" s="63">
        <f t="shared" ca="1" si="48"/>
        <v>12.029774999999999</v>
      </c>
      <c r="E1103" s="63">
        <f t="shared" ca="1" si="48"/>
        <v>14.096541666666665</v>
      </c>
      <c r="F1103" s="63">
        <f t="shared" ca="1" si="48"/>
        <v>14.096541666666665</v>
      </c>
      <c r="G1103" s="63">
        <f t="shared" ca="1" si="48"/>
        <v>14.097299999999999</v>
      </c>
      <c r="H1103" s="63">
        <f t="shared" ca="1" si="48"/>
        <v>23.248075000000004</v>
      </c>
      <c r="I1103" s="63">
        <f t="shared" ca="1" si="48"/>
        <v>23.248833333333334</v>
      </c>
      <c r="J1103" s="63">
        <f t="shared" ca="1" si="48"/>
        <v>14.096541666666665</v>
      </c>
      <c r="K1103" s="63">
        <f t="shared" ca="1" si="48"/>
        <v>14.097299999999999</v>
      </c>
    </row>
    <row r="1104" spans="1:11" ht="15">
      <c r="A1104" s="3">
        <v>2074</v>
      </c>
      <c r="B1104" s="63">
        <f t="shared" ca="1" si="48"/>
        <v>12.259991666666666</v>
      </c>
      <c r="C1104" s="63">
        <f t="shared" ca="1" si="48"/>
        <v>12.259991666666666</v>
      </c>
      <c r="D1104" s="63">
        <f t="shared" ca="1" si="48"/>
        <v>12.277283333333331</v>
      </c>
      <c r="E1104" s="63">
        <f t="shared" ca="1" si="48"/>
        <v>14.391883333333332</v>
      </c>
      <c r="F1104" s="63">
        <f t="shared" ca="1" si="48"/>
        <v>14.391883333333332</v>
      </c>
      <c r="G1104" s="63">
        <f t="shared" ca="1" si="48"/>
        <v>14.392641666666668</v>
      </c>
      <c r="H1104" s="63">
        <f t="shared" ca="1" si="48"/>
        <v>23.699116666666665</v>
      </c>
      <c r="I1104" s="63">
        <f t="shared" ca="1" si="48"/>
        <v>23.699875000000002</v>
      </c>
      <c r="J1104" s="63">
        <f t="shared" ca="1" si="48"/>
        <v>14.391883333333332</v>
      </c>
      <c r="K1104" s="63">
        <f t="shared" ca="1" si="48"/>
        <v>14.392641666666668</v>
      </c>
    </row>
    <row r="1105" spans="1:11" ht="15">
      <c r="A1105" s="3">
        <v>2075</v>
      </c>
      <c r="B1105" s="63">
        <f t="shared" ca="1" si="48"/>
        <v>12.5075</v>
      </c>
      <c r="C1105" s="63">
        <f t="shared" ca="1" si="48"/>
        <v>12.5075</v>
      </c>
      <c r="D1105" s="63">
        <f t="shared" ca="1" si="48"/>
        <v>12.524825</v>
      </c>
      <c r="E1105" s="63">
        <f t="shared" ca="1" si="48"/>
        <v>14.687225000000003</v>
      </c>
      <c r="F1105" s="63">
        <f t="shared" ca="1" si="48"/>
        <v>14.687225000000003</v>
      </c>
      <c r="G1105" s="63">
        <f t="shared" ca="1" si="48"/>
        <v>14.687975</v>
      </c>
      <c r="H1105" s="63">
        <f t="shared" ca="1" si="48"/>
        <v>24.150158333333334</v>
      </c>
      <c r="I1105" s="63">
        <f t="shared" ca="1" si="48"/>
        <v>24.150908333333334</v>
      </c>
      <c r="J1105" s="63">
        <f t="shared" ca="1" si="48"/>
        <v>14.687225000000003</v>
      </c>
      <c r="K1105" s="63">
        <f t="shared" ca="1" si="48"/>
        <v>14.687975</v>
      </c>
    </row>
    <row r="1106" spans="1:11" ht="15">
      <c r="A1106" s="3">
        <v>2076</v>
      </c>
      <c r="B1106" s="63">
        <f t="shared" ca="1" si="48"/>
        <v>12.755041666666669</v>
      </c>
      <c r="C1106" s="63">
        <f t="shared" ca="1" si="48"/>
        <v>12.755041666666669</v>
      </c>
      <c r="D1106" s="63">
        <f t="shared" ca="1" si="48"/>
        <v>12.772325</v>
      </c>
      <c r="E1106" s="63">
        <f t="shared" ca="1" si="48"/>
        <v>14.982583333333332</v>
      </c>
      <c r="F1106" s="63">
        <f t="shared" ca="1" si="48"/>
        <v>14.982583333333332</v>
      </c>
      <c r="G1106" s="63">
        <f t="shared" ca="1" si="48"/>
        <v>14.983325000000001</v>
      </c>
      <c r="H1106" s="63">
        <f t="shared" ca="1" si="48"/>
        <v>24.601200000000002</v>
      </c>
      <c r="I1106" s="63">
        <f t="shared" ca="1" si="48"/>
        <v>24.601924999999998</v>
      </c>
      <c r="J1106" s="63">
        <f t="shared" ca="1" si="48"/>
        <v>14.982583333333332</v>
      </c>
      <c r="K1106" s="63">
        <f t="shared" ca="1" si="48"/>
        <v>14.983325000000001</v>
      </c>
    </row>
    <row r="1107" spans="1:11" ht="15">
      <c r="A1107" s="3">
        <v>2077</v>
      </c>
      <c r="B1107" s="63">
        <f t="shared" ca="1" si="48"/>
        <v>13.002541666666668</v>
      </c>
      <c r="C1107" s="63">
        <f t="shared" ca="1" si="48"/>
        <v>13.002541666666668</v>
      </c>
      <c r="D1107" s="63">
        <f t="shared" ca="1" si="48"/>
        <v>13.019833333333331</v>
      </c>
      <c r="E1107" s="63">
        <f t="shared" ca="1" si="48"/>
        <v>15.277916666666664</v>
      </c>
      <c r="F1107" s="63">
        <f t="shared" ca="1" si="48"/>
        <v>15.277916666666664</v>
      </c>
      <c r="G1107" s="63">
        <f t="shared" ca="1" si="48"/>
        <v>15.278666666666666</v>
      </c>
      <c r="H1107" s="63">
        <f t="shared" ca="1" si="48"/>
        <v>25.052241666666664</v>
      </c>
      <c r="I1107" s="63">
        <f t="shared" ca="1" si="48"/>
        <v>25.052966666666666</v>
      </c>
      <c r="J1107" s="63">
        <f t="shared" ca="1" si="48"/>
        <v>15.277916666666664</v>
      </c>
      <c r="K1107" s="63">
        <f t="shared" ca="1" si="48"/>
        <v>15.278666666666666</v>
      </c>
    </row>
    <row r="1108" spans="1:11" ht="15">
      <c r="A1108" s="3">
        <v>2078</v>
      </c>
      <c r="B1108" s="63">
        <f t="shared" ca="1" si="48"/>
        <v>13.250050000000002</v>
      </c>
      <c r="C1108" s="63">
        <f t="shared" ca="1" si="48"/>
        <v>13.250050000000002</v>
      </c>
      <c r="D1108" s="63">
        <f t="shared" ca="1" si="48"/>
        <v>13.267366666666666</v>
      </c>
      <c r="E1108" s="63">
        <f t="shared" ca="1" si="48"/>
        <v>15.573258333333335</v>
      </c>
      <c r="F1108" s="63">
        <f t="shared" ca="1" si="48"/>
        <v>15.573258333333335</v>
      </c>
      <c r="G1108" s="63">
        <f t="shared" ca="1" si="48"/>
        <v>15.574016666666667</v>
      </c>
      <c r="H1108" s="63">
        <f t="shared" ca="1" si="48"/>
        <v>25.503249999999998</v>
      </c>
      <c r="I1108" s="63">
        <f t="shared" ca="1" si="48"/>
        <v>25.504008333333335</v>
      </c>
      <c r="J1108" s="63">
        <f t="shared" ca="1" si="48"/>
        <v>15.573258333333335</v>
      </c>
      <c r="K1108" s="63">
        <f t="shared" ca="1" si="48"/>
        <v>15.574016666666667</v>
      </c>
    </row>
    <row r="1109" spans="1:11" ht="15">
      <c r="A1109" s="3">
        <v>2079</v>
      </c>
      <c r="B1109" s="63">
        <f t="shared" ca="1" si="48"/>
        <v>13.497583333333333</v>
      </c>
      <c r="C1109" s="63">
        <f t="shared" ca="1" si="48"/>
        <v>13.497583333333333</v>
      </c>
      <c r="D1109" s="63">
        <f t="shared" ca="1" si="48"/>
        <v>13.514899999999999</v>
      </c>
      <c r="E1109" s="63">
        <f t="shared" ca="1" si="48"/>
        <v>15.868608333333333</v>
      </c>
      <c r="F1109" s="63">
        <f t="shared" ca="1" si="48"/>
        <v>15.868608333333333</v>
      </c>
      <c r="G1109" s="63">
        <f t="shared" ca="1" si="48"/>
        <v>15.869341666666669</v>
      </c>
      <c r="H1109" s="63">
        <f t="shared" ca="1" si="48"/>
        <v>25.954283333333333</v>
      </c>
      <c r="I1109" s="63">
        <f t="shared" ca="1" si="48"/>
        <v>25.95504166666667</v>
      </c>
      <c r="J1109" s="63">
        <f t="shared" ca="1" si="48"/>
        <v>15.868608333333333</v>
      </c>
      <c r="K1109" s="63">
        <f t="shared" ca="1" si="48"/>
        <v>15.869341666666669</v>
      </c>
    </row>
    <row r="1110" spans="1:11" ht="15">
      <c r="A1110" s="3">
        <v>2080</v>
      </c>
      <c r="B1110" s="63">
        <f t="shared" ca="1" si="48"/>
        <v>13.745116666666668</v>
      </c>
      <c r="C1110" s="63">
        <f t="shared" ca="1" si="48"/>
        <v>13.745116666666668</v>
      </c>
      <c r="D1110" s="63">
        <f t="shared" ca="1" si="48"/>
        <v>13.762408333333331</v>
      </c>
      <c r="E1110" s="63">
        <f t="shared" ca="1" si="48"/>
        <v>16.163950000000003</v>
      </c>
      <c r="F1110" s="63">
        <f t="shared" ca="1" si="48"/>
        <v>16.163950000000003</v>
      </c>
      <c r="G1110" s="63">
        <f t="shared" ca="1" si="48"/>
        <v>16.164691666666666</v>
      </c>
      <c r="H1110" s="63">
        <f t="shared" ca="1" si="48"/>
        <v>26.405316666666661</v>
      </c>
      <c r="I1110" s="63">
        <f t="shared" ca="1" si="48"/>
        <v>26.406083333333338</v>
      </c>
      <c r="J1110" s="63">
        <f t="shared" ca="1" si="48"/>
        <v>16.163950000000003</v>
      </c>
      <c r="K1110" s="63">
        <f t="shared" ca="1" si="48"/>
        <v>16.164691666666666</v>
      </c>
    </row>
    <row r="1111" spans="1:11" ht="15">
      <c r="A1111" s="3">
        <v>2081</v>
      </c>
      <c r="B1111" s="63">
        <f t="shared" ca="1" si="48"/>
        <v>13.992633333333336</v>
      </c>
      <c r="C1111" s="63">
        <f t="shared" ca="1" si="48"/>
        <v>13.992633333333336</v>
      </c>
      <c r="D1111" s="63">
        <f t="shared" ca="1" si="48"/>
        <v>14.009924999999997</v>
      </c>
      <c r="E1111" s="63">
        <f t="shared" ca="1" si="48"/>
        <v>16.459275000000002</v>
      </c>
      <c r="F1111" s="63">
        <f t="shared" ca="1" si="48"/>
        <v>16.459275000000002</v>
      </c>
      <c r="G1111" s="63">
        <f t="shared" ca="1" si="48"/>
        <v>16.460041666666665</v>
      </c>
      <c r="H1111" s="63">
        <f t="shared" ca="1" si="48"/>
        <v>26.856358333333333</v>
      </c>
      <c r="I1111" s="63">
        <f t="shared" ca="1" si="48"/>
        <v>26.857108333333333</v>
      </c>
      <c r="J1111" s="63">
        <f t="shared" ca="1" si="48"/>
        <v>16.459275000000002</v>
      </c>
      <c r="K1111" s="63">
        <f t="shared" ca="1" si="48"/>
        <v>16.460041666666665</v>
      </c>
    </row>
    <row r="1112" spans="1:11" ht="15">
      <c r="A1112" s="3">
        <v>2082</v>
      </c>
      <c r="B1112" s="63">
        <f t="shared" ref="B1112:K1121" ca="1" si="49">AVERAGE(OFFSET(B$576,($A1112-$A$1092)*12,0,12,1))</f>
        <v>14.240133333333334</v>
      </c>
      <c r="C1112" s="63">
        <f t="shared" ca="1" si="49"/>
        <v>14.240133333333334</v>
      </c>
      <c r="D1112" s="63">
        <f t="shared" ca="1" si="49"/>
        <v>14.257424999999998</v>
      </c>
      <c r="E1112" s="63">
        <f t="shared" ca="1" si="49"/>
        <v>16.754633333333334</v>
      </c>
      <c r="F1112" s="63">
        <f t="shared" ca="1" si="49"/>
        <v>16.754633333333334</v>
      </c>
      <c r="G1112" s="63">
        <f t="shared" ca="1" si="49"/>
        <v>16.755383333333334</v>
      </c>
      <c r="H1112" s="63">
        <f t="shared" ca="1" si="49"/>
        <v>27.307400000000001</v>
      </c>
      <c r="I1112" s="63">
        <f t="shared" ca="1" si="49"/>
        <v>27.308150000000001</v>
      </c>
      <c r="J1112" s="63">
        <f t="shared" ca="1" si="49"/>
        <v>16.754633333333334</v>
      </c>
      <c r="K1112" s="63">
        <f t="shared" ca="1" si="49"/>
        <v>16.755383333333334</v>
      </c>
    </row>
    <row r="1113" spans="1:11" ht="15">
      <c r="A1113" s="3">
        <v>2083</v>
      </c>
      <c r="B1113" s="63">
        <f t="shared" ca="1" si="49"/>
        <v>14.487650000000002</v>
      </c>
      <c r="C1113" s="63">
        <f t="shared" ca="1" si="49"/>
        <v>14.487650000000002</v>
      </c>
      <c r="D1113" s="63">
        <f t="shared" ca="1" si="49"/>
        <v>14.504949999999999</v>
      </c>
      <c r="E1113" s="63">
        <f t="shared" ca="1" si="49"/>
        <v>17.049966666666666</v>
      </c>
      <c r="F1113" s="63">
        <f t="shared" ca="1" si="49"/>
        <v>17.049966666666666</v>
      </c>
      <c r="G1113" s="63">
        <f t="shared" ca="1" si="49"/>
        <v>17.050733333333334</v>
      </c>
      <c r="H1113" s="63">
        <f t="shared" ca="1" si="49"/>
        <v>27.758433333333329</v>
      </c>
      <c r="I1113" s="63">
        <f t="shared" ca="1" si="49"/>
        <v>27.759191666666666</v>
      </c>
      <c r="J1113" s="63">
        <f t="shared" ca="1" si="49"/>
        <v>17.049966666666666</v>
      </c>
      <c r="K1113" s="63">
        <f t="shared" ca="1" si="49"/>
        <v>17.050733333333334</v>
      </c>
    </row>
    <row r="1114" spans="1:11" ht="15">
      <c r="A1114" s="3">
        <v>2084</v>
      </c>
      <c r="B1114" s="63">
        <f t="shared" ca="1" si="49"/>
        <v>14.735199999999997</v>
      </c>
      <c r="C1114" s="63">
        <f t="shared" ca="1" si="49"/>
        <v>14.735199999999997</v>
      </c>
      <c r="D1114" s="63">
        <f t="shared" ca="1" si="49"/>
        <v>14.752491666666666</v>
      </c>
      <c r="E1114" s="63">
        <f t="shared" ca="1" si="49"/>
        <v>17.345324999999999</v>
      </c>
      <c r="F1114" s="63">
        <f t="shared" ca="1" si="49"/>
        <v>17.345324999999999</v>
      </c>
      <c r="G1114" s="63">
        <f t="shared" ca="1" si="49"/>
        <v>17.346075000000003</v>
      </c>
      <c r="H1114" s="63">
        <f t="shared" ca="1" si="49"/>
        <v>28.209475000000001</v>
      </c>
      <c r="I1114" s="63">
        <f t="shared" ca="1" si="49"/>
        <v>28.210233333333335</v>
      </c>
      <c r="J1114" s="63">
        <f t="shared" ca="1" si="49"/>
        <v>17.345324999999999</v>
      </c>
      <c r="K1114" s="63">
        <f t="shared" ca="1" si="49"/>
        <v>17.346075000000003</v>
      </c>
    </row>
    <row r="1115" spans="1:11" ht="15">
      <c r="A1115" s="3">
        <v>2085</v>
      </c>
      <c r="B1115" s="63">
        <f t="shared" ca="1" si="49"/>
        <v>14.982699999999999</v>
      </c>
      <c r="C1115" s="63">
        <f t="shared" ca="1" si="49"/>
        <v>14.982699999999999</v>
      </c>
      <c r="D1115" s="63">
        <f t="shared" ca="1" si="49"/>
        <v>15</v>
      </c>
      <c r="E1115" s="63">
        <f t="shared" ca="1" si="49"/>
        <v>17.640658333333334</v>
      </c>
      <c r="F1115" s="63">
        <f t="shared" ca="1" si="49"/>
        <v>17.640658333333334</v>
      </c>
      <c r="G1115" s="63">
        <f t="shared" ca="1" si="49"/>
        <v>17.641425000000002</v>
      </c>
      <c r="H1115" s="63">
        <f t="shared" ca="1" si="49"/>
        <v>28.660508333333336</v>
      </c>
      <c r="I1115" s="63">
        <f t="shared" ca="1" si="49"/>
        <v>28.661258333333333</v>
      </c>
      <c r="J1115" s="63">
        <f t="shared" ca="1" si="49"/>
        <v>17.640658333333334</v>
      </c>
      <c r="K1115" s="63">
        <f t="shared" ca="1" si="49"/>
        <v>17.641425000000002</v>
      </c>
    </row>
    <row r="1116" spans="1:11" ht="15">
      <c r="A1116" s="3">
        <v>2086</v>
      </c>
      <c r="B1116" s="63">
        <f t="shared" ca="1" si="49"/>
        <v>15.230216666666664</v>
      </c>
      <c r="C1116" s="63">
        <f t="shared" ca="1" si="49"/>
        <v>15.230216666666664</v>
      </c>
      <c r="D1116" s="63">
        <f t="shared" ca="1" si="49"/>
        <v>15.247516666666668</v>
      </c>
      <c r="E1116" s="63">
        <f t="shared" ca="1" si="49"/>
        <v>17.936008333333334</v>
      </c>
      <c r="F1116" s="63">
        <f t="shared" ca="1" si="49"/>
        <v>17.936008333333334</v>
      </c>
      <c r="G1116" s="63">
        <f t="shared" ca="1" si="49"/>
        <v>17.936741666666666</v>
      </c>
      <c r="H1116" s="63">
        <f t="shared" ca="1" si="49"/>
        <v>29.11153333333333</v>
      </c>
      <c r="I1116" s="63">
        <f t="shared" ca="1" si="49"/>
        <v>29.112308333333331</v>
      </c>
      <c r="J1116" s="63">
        <f t="shared" ca="1" si="49"/>
        <v>17.936008333333334</v>
      </c>
      <c r="K1116" s="63">
        <f t="shared" ca="1" si="49"/>
        <v>17.936741666666666</v>
      </c>
    </row>
    <row r="1117" spans="1:11" ht="15">
      <c r="A1117" s="3">
        <v>2087</v>
      </c>
      <c r="B1117" s="63">
        <f t="shared" ca="1" si="49"/>
        <v>15.477733333333333</v>
      </c>
      <c r="C1117" s="63">
        <f t="shared" ca="1" si="49"/>
        <v>15.477733333333333</v>
      </c>
      <c r="D1117" s="63">
        <f t="shared" ca="1" si="49"/>
        <v>15.495033333333334</v>
      </c>
      <c r="E1117" s="63">
        <f t="shared" ca="1" si="49"/>
        <v>18.231333333333335</v>
      </c>
      <c r="F1117" s="63">
        <f t="shared" ca="1" si="49"/>
        <v>18.231333333333335</v>
      </c>
      <c r="G1117" s="63">
        <f t="shared" ca="1" si="49"/>
        <v>18.232099999999999</v>
      </c>
      <c r="H1117" s="63">
        <f t="shared" ca="1" si="49"/>
        <v>29.562583333333333</v>
      </c>
      <c r="I1117" s="63">
        <f t="shared" ca="1" si="49"/>
        <v>29.563316666666669</v>
      </c>
      <c r="J1117" s="63">
        <f t="shared" ca="1" si="49"/>
        <v>18.231333333333335</v>
      </c>
      <c r="K1117" s="63">
        <f t="shared" ca="1" si="49"/>
        <v>18.232099999999999</v>
      </c>
    </row>
    <row r="1118" spans="1:11" ht="15">
      <c r="A1118" s="3">
        <v>2088</v>
      </c>
      <c r="B1118" s="63">
        <f t="shared" ca="1" si="49"/>
        <v>15.725258333333331</v>
      </c>
      <c r="C1118" s="63">
        <f t="shared" ca="1" si="49"/>
        <v>15.725258333333331</v>
      </c>
      <c r="D1118" s="63">
        <f t="shared" ca="1" si="49"/>
        <v>15.742558333333333</v>
      </c>
      <c r="E1118" s="63">
        <f t="shared" ca="1" si="49"/>
        <v>18.526683333333335</v>
      </c>
      <c r="F1118" s="63">
        <f t="shared" ca="1" si="49"/>
        <v>18.526683333333335</v>
      </c>
      <c r="G1118" s="63">
        <f t="shared" ca="1" si="49"/>
        <v>18.527433333333335</v>
      </c>
      <c r="H1118" s="63">
        <f t="shared" ca="1" si="49"/>
        <v>30.013625000000005</v>
      </c>
      <c r="I1118" s="63">
        <f t="shared" ca="1" si="49"/>
        <v>30.014374999999998</v>
      </c>
      <c r="J1118" s="63">
        <f t="shared" ca="1" si="49"/>
        <v>18.526683333333335</v>
      </c>
      <c r="K1118" s="63">
        <f t="shared" ca="1" si="49"/>
        <v>18.527433333333335</v>
      </c>
    </row>
    <row r="1119" spans="1:11" ht="15">
      <c r="A1119" s="3">
        <v>2089</v>
      </c>
      <c r="B1119" s="63">
        <f t="shared" ca="1" si="49"/>
        <v>15.972775000000004</v>
      </c>
      <c r="C1119" s="63">
        <f t="shared" ca="1" si="49"/>
        <v>15.972775000000004</v>
      </c>
      <c r="D1119" s="63">
        <f t="shared" ca="1" si="49"/>
        <v>15.990083333333333</v>
      </c>
      <c r="E1119" s="63">
        <f t="shared" ca="1" si="49"/>
        <v>18.822033333333334</v>
      </c>
      <c r="F1119" s="63">
        <f t="shared" ca="1" si="49"/>
        <v>18.822033333333334</v>
      </c>
      <c r="G1119" s="63">
        <f t="shared" ca="1" si="49"/>
        <v>18.822783333333334</v>
      </c>
      <c r="H1119" s="63">
        <f t="shared" ca="1" si="49"/>
        <v>30.464666666666663</v>
      </c>
      <c r="I1119" s="63">
        <f t="shared" ca="1" si="49"/>
        <v>30.465400000000002</v>
      </c>
      <c r="J1119" s="63">
        <f t="shared" ca="1" si="49"/>
        <v>18.822033333333334</v>
      </c>
      <c r="K1119" s="63">
        <f t="shared" ca="1" si="49"/>
        <v>18.822783333333334</v>
      </c>
    </row>
    <row r="1120" spans="1:11" ht="15">
      <c r="A1120" s="3">
        <v>2090</v>
      </c>
      <c r="B1120" s="63">
        <f t="shared" ca="1" si="49"/>
        <v>16.220299999999998</v>
      </c>
      <c r="C1120" s="63">
        <f t="shared" ca="1" si="49"/>
        <v>16.220299999999998</v>
      </c>
      <c r="D1120" s="63">
        <f t="shared" ca="1" si="49"/>
        <v>16.237583333333333</v>
      </c>
      <c r="E1120" s="63">
        <f t="shared" ca="1" si="49"/>
        <v>19.117366666666669</v>
      </c>
      <c r="F1120" s="63">
        <f t="shared" ca="1" si="49"/>
        <v>19.117366666666669</v>
      </c>
      <c r="G1120" s="63">
        <f t="shared" ca="1" si="49"/>
        <v>19.118124999999996</v>
      </c>
      <c r="H1120" s="63">
        <f t="shared" ca="1" si="49"/>
        <v>30.915683333333337</v>
      </c>
      <c r="I1120" s="63">
        <f t="shared" ca="1" si="49"/>
        <v>30.916441666666671</v>
      </c>
      <c r="J1120" s="63">
        <f t="shared" ca="1" si="49"/>
        <v>19.117366666666669</v>
      </c>
      <c r="K1120" s="63">
        <f t="shared" ca="1" si="49"/>
        <v>19.118124999999996</v>
      </c>
    </row>
    <row r="1121" spans="1:11" ht="15">
      <c r="A1121" s="3">
        <v>2091</v>
      </c>
      <c r="B1121" s="63">
        <f t="shared" ca="1" si="49"/>
        <v>16.467799999999997</v>
      </c>
      <c r="C1121" s="63">
        <f t="shared" ca="1" si="49"/>
        <v>16.467799999999997</v>
      </c>
      <c r="D1121" s="63">
        <f t="shared" ca="1" si="49"/>
        <v>16.485125</v>
      </c>
      <c r="E1121" s="63">
        <f t="shared" ca="1" si="49"/>
        <v>19.412708333333331</v>
      </c>
      <c r="F1121" s="63">
        <f t="shared" ca="1" si="49"/>
        <v>19.412708333333331</v>
      </c>
      <c r="G1121" s="63">
        <f t="shared" ca="1" si="49"/>
        <v>19.413466666666668</v>
      </c>
      <c r="H1121" s="63">
        <f t="shared" ca="1" si="49"/>
        <v>31.366708333333332</v>
      </c>
      <c r="I1121" s="63">
        <f t="shared" ca="1" si="49"/>
        <v>31.367466666666662</v>
      </c>
      <c r="J1121" s="63">
        <f t="shared" ca="1" si="49"/>
        <v>19.412708333333331</v>
      </c>
      <c r="K1121" s="63">
        <f t="shared" ca="1" si="49"/>
        <v>19.413466666666668</v>
      </c>
    </row>
    <row r="1122" spans="1:11" ht="15">
      <c r="A1122" s="3">
        <v>2092</v>
      </c>
      <c r="B1122" s="63">
        <f t="shared" ref="B1122:K1130" ca="1" si="50">AVERAGE(OFFSET(B$576,($A1122-$A$1092)*12,0,12,1))</f>
        <v>16.715349999999997</v>
      </c>
      <c r="C1122" s="63">
        <f t="shared" ca="1" si="50"/>
        <v>16.715349999999997</v>
      </c>
      <c r="D1122" s="63">
        <f t="shared" ca="1" si="50"/>
        <v>16.73264166666667</v>
      </c>
      <c r="E1122" s="63">
        <f t="shared" ca="1" si="50"/>
        <v>19.708050000000004</v>
      </c>
      <c r="F1122" s="63">
        <f t="shared" ca="1" si="50"/>
        <v>19.708050000000004</v>
      </c>
      <c r="G1122" s="63">
        <f t="shared" ca="1" si="50"/>
        <v>19.7088</v>
      </c>
      <c r="H1122" s="63">
        <f t="shared" ca="1" si="50"/>
        <v>31.817750000000007</v>
      </c>
      <c r="I1122" s="63">
        <f t="shared" ca="1" si="50"/>
        <v>31.81850833333333</v>
      </c>
      <c r="J1122" s="63">
        <f t="shared" ca="1" si="50"/>
        <v>19.708050000000004</v>
      </c>
      <c r="K1122" s="63">
        <f t="shared" ca="1" si="50"/>
        <v>19.7088</v>
      </c>
    </row>
    <row r="1123" spans="1:11" ht="15">
      <c r="A1123" s="3">
        <v>2093</v>
      </c>
      <c r="B1123" s="63">
        <f t="shared" ca="1" si="50"/>
        <v>16.962858333333333</v>
      </c>
      <c r="C1123" s="63">
        <f t="shared" ca="1" si="50"/>
        <v>16.962858333333333</v>
      </c>
      <c r="D1123" s="63">
        <f t="shared" ca="1" si="50"/>
        <v>16.980150000000002</v>
      </c>
      <c r="E1123" s="63">
        <f t="shared" ca="1" si="50"/>
        <v>20.003391666666669</v>
      </c>
      <c r="F1123" s="63">
        <f t="shared" ca="1" si="50"/>
        <v>20.003391666666669</v>
      </c>
      <c r="G1123" s="63">
        <f t="shared" ca="1" si="50"/>
        <v>20.004166666666663</v>
      </c>
      <c r="H1123" s="63">
        <f t="shared" ca="1" si="50"/>
        <v>32.268808333333332</v>
      </c>
      <c r="I1123" s="63">
        <f t="shared" ca="1" si="50"/>
        <v>32.269566666666663</v>
      </c>
      <c r="J1123" s="63">
        <f t="shared" ca="1" si="50"/>
        <v>20.003391666666669</v>
      </c>
      <c r="K1123" s="63">
        <f t="shared" ca="1" si="50"/>
        <v>20.004166666666663</v>
      </c>
    </row>
    <row r="1124" spans="1:11" ht="15">
      <c r="A1124" s="3">
        <v>2094</v>
      </c>
      <c r="B1124" s="63">
        <f t="shared" ca="1" si="50"/>
        <v>17.210366666666665</v>
      </c>
      <c r="C1124" s="63">
        <f t="shared" ca="1" si="50"/>
        <v>17.210366666666665</v>
      </c>
      <c r="D1124" s="63">
        <f t="shared" ca="1" si="50"/>
        <v>17.227666666666668</v>
      </c>
      <c r="E1124" s="63">
        <f t="shared" ca="1" si="50"/>
        <v>20.298733333333335</v>
      </c>
      <c r="F1124" s="63">
        <f t="shared" ca="1" si="50"/>
        <v>20.298733333333335</v>
      </c>
      <c r="G1124" s="63">
        <f t="shared" ca="1" si="50"/>
        <v>20.299499999999998</v>
      </c>
      <c r="H1124" s="63">
        <f t="shared" ca="1" si="50"/>
        <v>32.719841666666667</v>
      </c>
      <c r="I1124" s="63">
        <f t="shared" ca="1" si="50"/>
        <v>32.720591666666657</v>
      </c>
      <c r="J1124" s="63">
        <f t="shared" ca="1" si="50"/>
        <v>20.298733333333335</v>
      </c>
      <c r="K1124" s="63">
        <f t="shared" ca="1" si="50"/>
        <v>20.299499999999998</v>
      </c>
    </row>
    <row r="1125" spans="1:11" ht="15">
      <c r="A1125" s="3">
        <v>2095</v>
      </c>
      <c r="B1125" s="63">
        <f t="shared" ca="1" si="50"/>
        <v>17.457874999999998</v>
      </c>
      <c r="C1125" s="63">
        <f t="shared" ca="1" si="50"/>
        <v>17.457874999999998</v>
      </c>
      <c r="D1125" s="63">
        <f t="shared" ca="1" si="50"/>
        <v>17.475200000000005</v>
      </c>
      <c r="E1125" s="63">
        <f t="shared" ca="1" si="50"/>
        <v>20.594083333333334</v>
      </c>
      <c r="F1125" s="63">
        <f t="shared" ca="1" si="50"/>
        <v>20.594083333333334</v>
      </c>
      <c r="G1125" s="63">
        <f t="shared" ca="1" si="50"/>
        <v>20.594841666666671</v>
      </c>
      <c r="H1125" s="63">
        <f t="shared" ca="1" si="50"/>
        <v>33.170858333333335</v>
      </c>
      <c r="I1125" s="63">
        <f t="shared" ca="1" si="50"/>
        <v>33.17163333333334</v>
      </c>
      <c r="J1125" s="63">
        <f t="shared" ca="1" si="50"/>
        <v>20.594083333333334</v>
      </c>
      <c r="K1125" s="63">
        <f t="shared" ca="1" si="50"/>
        <v>20.594841666666671</v>
      </c>
    </row>
    <row r="1126" spans="1:11" ht="15">
      <c r="A1126" s="3">
        <v>2096</v>
      </c>
      <c r="B1126" s="63">
        <f t="shared" ca="1" si="50"/>
        <v>17.705416666666668</v>
      </c>
      <c r="C1126" s="63">
        <f t="shared" ca="1" si="50"/>
        <v>17.705416666666668</v>
      </c>
      <c r="D1126" s="63">
        <f t="shared" ca="1" si="50"/>
        <v>17.722716666666667</v>
      </c>
      <c r="E1126" s="63">
        <f t="shared" ca="1" si="50"/>
        <v>20.889433333333333</v>
      </c>
      <c r="F1126" s="63">
        <f t="shared" ca="1" si="50"/>
        <v>20.889433333333333</v>
      </c>
      <c r="G1126" s="63">
        <f t="shared" ca="1" si="50"/>
        <v>20.890183333333333</v>
      </c>
      <c r="H1126" s="63">
        <f t="shared" ca="1" si="50"/>
        <v>33.621900000000004</v>
      </c>
      <c r="I1126" s="63">
        <f t="shared" ca="1" si="50"/>
        <v>33.622658333333341</v>
      </c>
      <c r="J1126" s="63">
        <f t="shared" ca="1" si="50"/>
        <v>20.889433333333333</v>
      </c>
      <c r="K1126" s="63">
        <f t="shared" ca="1" si="50"/>
        <v>20.890183333333333</v>
      </c>
    </row>
    <row r="1127" spans="1:11" ht="15">
      <c r="A1127" s="3">
        <v>2097</v>
      </c>
      <c r="B1127" s="63">
        <f t="shared" ca="1" si="50"/>
        <v>17.952933333333334</v>
      </c>
      <c r="C1127" s="63">
        <f t="shared" ca="1" si="50"/>
        <v>17.952933333333334</v>
      </c>
      <c r="D1127" s="63">
        <f t="shared" ca="1" si="50"/>
        <v>17.970233333333329</v>
      </c>
      <c r="E1127" s="63">
        <f t="shared" ca="1" si="50"/>
        <v>21.184783333333336</v>
      </c>
      <c r="F1127" s="63">
        <f t="shared" ca="1" si="50"/>
        <v>21.184783333333336</v>
      </c>
      <c r="G1127" s="63">
        <f t="shared" ca="1" si="50"/>
        <v>21.185533333333336</v>
      </c>
      <c r="H1127" s="63">
        <f t="shared" ca="1" si="50"/>
        <v>34.072941666666665</v>
      </c>
      <c r="I1127" s="63">
        <f t="shared" ca="1" si="50"/>
        <v>34.073700000000002</v>
      </c>
      <c r="J1127" s="63">
        <f t="shared" ca="1" si="50"/>
        <v>21.184783333333336</v>
      </c>
      <c r="K1127" s="63">
        <f t="shared" ca="1" si="50"/>
        <v>21.185533333333336</v>
      </c>
    </row>
    <row r="1128" spans="1:11" ht="15">
      <c r="A1128" s="3">
        <v>2098</v>
      </c>
      <c r="B1128" s="63">
        <f t="shared" ca="1" si="50"/>
        <v>18.200441666666666</v>
      </c>
      <c r="C1128" s="63">
        <f t="shared" ca="1" si="50"/>
        <v>18.200441666666666</v>
      </c>
      <c r="D1128" s="63">
        <f t="shared" ca="1" si="50"/>
        <v>18.217749999999999</v>
      </c>
      <c r="E1128" s="63">
        <f t="shared" ca="1" si="50"/>
        <v>21.480099999999997</v>
      </c>
      <c r="F1128" s="63">
        <f t="shared" ca="1" si="50"/>
        <v>21.480099999999997</v>
      </c>
      <c r="G1128" s="63">
        <f t="shared" ca="1" si="50"/>
        <v>21.480858333333334</v>
      </c>
      <c r="H1128" s="63">
        <f t="shared" ca="1" si="50"/>
        <v>34.523975</v>
      </c>
      <c r="I1128" s="63">
        <f t="shared" ca="1" si="50"/>
        <v>34.52471666666667</v>
      </c>
      <c r="J1128" s="63">
        <f t="shared" ca="1" si="50"/>
        <v>21.480099999999997</v>
      </c>
      <c r="K1128" s="63">
        <f t="shared" ca="1" si="50"/>
        <v>21.480858333333334</v>
      </c>
    </row>
    <row r="1129" spans="1:11" ht="15">
      <c r="A1129" s="3">
        <v>2099</v>
      </c>
      <c r="B1129" s="63">
        <f t="shared" ca="1" si="50"/>
        <v>18.447958333333332</v>
      </c>
      <c r="C1129" s="63">
        <f t="shared" ca="1" si="50"/>
        <v>18.447958333333332</v>
      </c>
      <c r="D1129" s="63">
        <f t="shared" ca="1" si="50"/>
        <v>18.465275000000002</v>
      </c>
      <c r="E1129" s="63">
        <f t="shared" ca="1" si="50"/>
        <v>21.77546666666667</v>
      </c>
      <c r="F1129" s="63">
        <f t="shared" ca="1" si="50"/>
        <v>21.77546666666667</v>
      </c>
      <c r="G1129" s="63">
        <f t="shared" ca="1" si="50"/>
        <v>21.776208333333333</v>
      </c>
      <c r="H1129" s="63">
        <f t="shared" ca="1" si="50"/>
        <v>34.975008333333335</v>
      </c>
      <c r="I1129" s="63">
        <f t="shared" ca="1" si="50"/>
        <v>34.975774999999999</v>
      </c>
      <c r="J1129" s="63">
        <f t="shared" ca="1" si="50"/>
        <v>21.77546666666667</v>
      </c>
      <c r="K1129" s="63">
        <f t="shared" ca="1" si="50"/>
        <v>21.776208333333333</v>
      </c>
    </row>
    <row r="1130" spans="1:11" ht="15">
      <c r="A1130" s="3">
        <v>2100</v>
      </c>
      <c r="B1130" s="63">
        <f t="shared" ca="1" si="50"/>
        <v>18.695491666666666</v>
      </c>
      <c r="C1130" s="63">
        <f t="shared" ca="1" si="50"/>
        <v>18.695491666666666</v>
      </c>
      <c r="D1130" s="63">
        <f t="shared" ca="1" si="50"/>
        <v>18.712800000000001</v>
      </c>
      <c r="E1130" s="63">
        <f t="shared" ca="1" si="50"/>
        <v>22.070808333333336</v>
      </c>
      <c r="F1130" s="63">
        <f t="shared" ca="1" si="50"/>
        <v>22.070808333333336</v>
      </c>
      <c r="G1130" s="63">
        <f t="shared" ca="1" si="50"/>
        <v>22.071566666666666</v>
      </c>
      <c r="H1130" s="63">
        <f t="shared" ca="1" si="50"/>
        <v>35.426049999999996</v>
      </c>
      <c r="I1130" s="63">
        <f t="shared" ca="1" si="50"/>
        <v>35.426808333333334</v>
      </c>
      <c r="J1130" s="63">
        <f t="shared" ca="1" si="50"/>
        <v>22.070808333333336</v>
      </c>
      <c r="K1130" s="63">
        <f t="shared" ca="1" si="50"/>
        <v>22.071566666666666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7" sqref="A7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70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2016-07-29T16:29:18Z</dcterms:created>
  <dcterms:modified xsi:type="dcterms:W3CDTF">2016-07-29T16:29:21Z</dcterms:modified>
</cp:coreProperties>
</file>